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ate1904="1" filterPrivacy="1" showInkAnnotation="0" autoCompressPictures="0"/>
  <bookViews>
    <workbookView xWindow="1065" yWindow="345" windowWidth="23460" windowHeight="13185" tabRatio="500"/>
  </bookViews>
  <sheets>
    <sheet name="2012" sheetId="3" r:id="rId1"/>
    <sheet name="2011" sheetId="1" r:id="rId2"/>
    <sheet name="2010 IRP " sheetId="2" r:id="rId3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4" i="2" l="1"/>
  <c r="K86" i="2"/>
  <c r="K87" i="2"/>
  <c r="K88" i="2"/>
  <c r="K89" i="2"/>
  <c r="K90" i="2"/>
  <c r="I85" i="2"/>
  <c r="J85" i="2"/>
  <c r="K85" i="2"/>
  <c r="K84" i="2"/>
  <c r="K83" i="2"/>
  <c r="J91" i="2"/>
  <c r="J92" i="2"/>
  <c r="I91" i="2"/>
  <c r="I92" i="2"/>
  <c r="G11" i="2"/>
  <c r="G12" i="2"/>
  <c r="G13" i="2"/>
  <c r="G14" i="2"/>
  <c r="H86" i="2"/>
  <c r="H87" i="2"/>
  <c r="H88" i="2"/>
  <c r="H89" i="2"/>
  <c r="H90" i="2"/>
  <c r="H91" i="2"/>
  <c r="H83" i="2"/>
  <c r="H84" i="2"/>
  <c r="G19" i="2"/>
  <c r="G18" i="2"/>
  <c r="G17" i="2"/>
  <c r="G86" i="2"/>
  <c r="G87" i="2"/>
  <c r="G88" i="2"/>
  <c r="G89" i="2"/>
  <c r="G90" i="2"/>
  <c r="G91" i="2"/>
  <c r="G92" i="2" s="1"/>
  <c r="G83" i="2"/>
  <c r="G84" i="2"/>
  <c r="G85" i="2" s="1"/>
  <c r="C91" i="2"/>
  <c r="C85" i="2"/>
  <c r="C92" i="2" s="1"/>
  <c r="D91" i="2"/>
  <c r="D85" i="2"/>
  <c r="D92" i="2"/>
  <c r="E91" i="2"/>
  <c r="E85" i="2"/>
  <c r="E92" i="2" s="1"/>
  <c r="F91" i="2"/>
  <c r="F85" i="2"/>
  <c r="F92" i="2"/>
  <c r="G53" i="2"/>
  <c r="G54" i="2"/>
  <c r="G55" i="2"/>
  <c r="G56" i="2"/>
  <c r="G57" i="2"/>
  <c r="G58" i="2"/>
  <c r="G59" i="2"/>
  <c r="G60" i="2"/>
  <c r="G61" i="2"/>
  <c r="G62" i="2"/>
  <c r="O9" i="1" s="1"/>
  <c r="H62" i="2"/>
  <c r="I53" i="2"/>
  <c r="I54" i="2"/>
  <c r="I55" i="2"/>
  <c r="I56" i="2"/>
  <c r="I57" i="2"/>
  <c r="I58" i="2"/>
  <c r="I59" i="2"/>
  <c r="I60" i="2"/>
  <c r="I61" i="2"/>
  <c r="J62" i="2"/>
  <c r="K53" i="2"/>
  <c r="K54" i="2"/>
  <c r="K55" i="2"/>
  <c r="K56" i="2"/>
  <c r="K57" i="2"/>
  <c r="K58" i="2"/>
  <c r="K59" i="2"/>
  <c r="K60" i="2"/>
  <c r="K61" i="2"/>
  <c r="K62" i="2"/>
  <c r="K75" i="2"/>
  <c r="K50" i="2"/>
  <c r="K44" i="2"/>
  <c r="K45" i="2"/>
  <c r="K46" i="2" s="1"/>
  <c r="K78" i="2"/>
  <c r="F62" i="2"/>
  <c r="I45" i="2"/>
  <c r="I46" i="2" s="1"/>
  <c r="O7" i="3" s="1"/>
  <c r="I44" i="2"/>
  <c r="G69" i="2"/>
  <c r="G70" i="2"/>
  <c r="G65" i="2"/>
  <c r="G66" i="2"/>
  <c r="G67" i="2"/>
  <c r="G68" i="2"/>
  <c r="G71" i="2"/>
  <c r="O6" i="1" s="1"/>
  <c r="G75" i="2"/>
  <c r="G49" i="2"/>
  <c r="G50" i="2" s="1"/>
  <c r="G44" i="2"/>
  <c r="G45" i="2"/>
  <c r="G46" i="2"/>
  <c r="O8" i="1" s="1"/>
  <c r="H75" i="2"/>
  <c r="H50" i="2"/>
  <c r="H46" i="2"/>
  <c r="H78" i="2"/>
  <c r="I75" i="2"/>
  <c r="J75" i="2"/>
  <c r="J50" i="2"/>
  <c r="J46" i="2"/>
  <c r="F71" i="2"/>
  <c r="F75" i="2"/>
  <c r="F50" i="2"/>
  <c r="F46" i="2"/>
  <c r="F78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 s="1"/>
  <c r="H39" i="2"/>
  <c r="H14" i="2"/>
  <c r="H40" i="2" s="1"/>
  <c r="I40" i="2"/>
  <c r="J39" i="2"/>
  <c r="J14" i="2"/>
  <c r="J40" i="2" s="1"/>
  <c r="K39" i="2"/>
  <c r="K14" i="2"/>
  <c r="K40" i="2"/>
  <c r="F39" i="2"/>
  <c r="F14" i="2"/>
  <c r="F40" i="2" s="1"/>
  <c r="G78" i="2"/>
  <c r="K16" i="1"/>
  <c r="L16" i="1"/>
  <c r="M16" i="1"/>
  <c r="J12" i="1"/>
  <c r="K12" i="1"/>
  <c r="L12" i="1"/>
  <c r="M12" i="1"/>
  <c r="V7" i="1"/>
  <c r="W7" i="1"/>
  <c r="V8" i="1"/>
  <c r="W8" i="1"/>
  <c r="V9" i="1"/>
  <c r="W9" i="1"/>
  <c r="V10" i="1"/>
  <c r="W10" i="1"/>
  <c r="V11" i="1"/>
  <c r="W11" i="1"/>
  <c r="U12" i="1"/>
  <c r="Q12" i="1"/>
  <c r="R12" i="1"/>
  <c r="S12" i="1"/>
  <c r="T12" i="1"/>
  <c r="V12" i="1"/>
  <c r="V13" i="1"/>
  <c r="V14" i="1"/>
  <c r="V15" i="1"/>
  <c r="W15" i="1" s="1"/>
  <c r="U16" i="1"/>
  <c r="U17" i="1" s="1"/>
  <c r="Q16" i="1"/>
  <c r="R16" i="1"/>
  <c r="S16" i="1"/>
  <c r="T16" i="1"/>
  <c r="T17" i="1" s="1"/>
  <c r="Q17" i="1"/>
  <c r="S17" i="1"/>
  <c r="V6" i="1"/>
  <c r="J17" i="1"/>
  <c r="L17" i="1"/>
  <c r="N11" i="1"/>
  <c r="N14" i="1"/>
  <c r="N13" i="1"/>
  <c r="N7" i="1"/>
  <c r="AA7" i="1" s="1"/>
  <c r="N8" i="1"/>
  <c r="AA8" i="1" s="1"/>
  <c r="N9" i="1"/>
  <c r="AA9" i="1" s="1"/>
  <c r="N10" i="1"/>
  <c r="N6" i="1"/>
  <c r="O13" i="1"/>
  <c r="P9" i="1"/>
  <c r="P8" i="1"/>
  <c r="C12" i="1"/>
  <c r="D12" i="1"/>
  <c r="G12" i="1" s="1"/>
  <c r="E12" i="1"/>
  <c r="E16" i="1"/>
  <c r="E17" i="1" s="1"/>
  <c r="C16" i="1"/>
  <c r="C17" i="1" s="1"/>
  <c r="D16" i="1"/>
  <c r="D17" i="1" s="1"/>
  <c r="G17" i="1" s="1"/>
  <c r="F12" i="1"/>
  <c r="F16" i="1"/>
  <c r="G13" i="1"/>
  <c r="G14" i="1"/>
  <c r="G15" i="1"/>
  <c r="X7" i="1"/>
  <c r="Y7" i="1" s="1"/>
  <c r="X8" i="1"/>
  <c r="Y8" i="1" s="1"/>
  <c r="X9" i="1"/>
  <c r="Y9" i="1" s="1"/>
  <c r="X10" i="1"/>
  <c r="Y10" i="1" s="1"/>
  <c r="Y11" i="1"/>
  <c r="X6" i="1"/>
  <c r="X12" i="1"/>
  <c r="X14" i="1"/>
  <c r="Y14" i="1"/>
  <c r="O7" i="1"/>
  <c r="O10" i="1"/>
  <c r="P7" i="1"/>
  <c r="P13" i="1"/>
  <c r="G6" i="1"/>
  <c r="H6" i="1"/>
  <c r="H16" i="1"/>
  <c r="K15" i="1"/>
  <c r="N15" i="1"/>
  <c r="G7" i="1"/>
  <c r="I7" i="1"/>
  <c r="G8" i="1"/>
  <c r="I8" i="1"/>
  <c r="G9" i="1"/>
  <c r="I9" i="1"/>
  <c r="G10" i="1"/>
  <c r="I10" i="1"/>
  <c r="I14" i="1"/>
  <c r="G11" i="1"/>
  <c r="O14" i="1"/>
  <c r="AN16" i="3"/>
  <c r="AN13" i="3"/>
  <c r="AN17" i="3" s="1"/>
  <c r="AG16" i="3"/>
  <c r="AG17" i="3" s="1"/>
  <c r="AG13" i="3"/>
  <c r="Z16" i="3"/>
  <c r="Z13" i="3"/>
  <c r="Z17" i="3" s="1"/>
  <c r="S16" i="3"/>
  <c r="S17" i="3" s="1"/>
  <c r="S13" i="3"/>
  <c r="L16" i="3"/>
  <c r="L13" i="3"/>
  <c r="L17" i="3" s="1"/>
  <c r="E16" i="3"/>
  <c r="E17" i="3" s="1"/>
  <c r="E13" i="3"/>
  <c r="J5" i="3"/>
  <c r="N5" i="3" s="1"/>
  <c r="K16" i="3"/>
  <c r="AL15" i="3"/>
  <c r="AQ15" i="3" s="1"/>
  <c r="AL9" i="3"/>
  <c r="AQ9" i="3" s="1"/>
  <c r="AU9" i="3" s="1"/>
  <c r="N9" i="3"/>
  <c r="N10" i="3"/>
  <c r="AL6" i="3"/>
  <c r="AQ6" i="3"/>
  <c r="N6" i="3"/>
  <c r="AU6" i="3"/>
  <c r="AL7" i="3"/>
  <c r="AQ7" i="3"/>
  <c r="N7" i="3"/>
  <c r="N8" i="3"/>
  <c r="AQ5" i="3"/>
  <c r="AU5" i="3"/>
  <c r="AL11" i="3"/>
  <c r="AQ11" i="3"/>
  <c r="N11" i="3"/>
  <c r="AU11" i="3"/>
  <c r="AL12" i="3"/>
  <c r="AQ12" i="3"/>
  <c r="N12" i="3"/>
  <c r="AU12" i="3"/>
  <c r="AE13" i="3"/>
  <c r="X13" i="3"/>
  <c r="AL13" i="3" s="1"/>
  <c r="AQ13" i="3" s="1"/>
  <c r="AM13" i="3"/>
  <c r="J13" i="3"/>
  <c r="J17" i="3" s="1"/>
  <c r="K13" i="3"/>
  <c r="N13" i="3"/>
  <c r="C26" i="1" s="1"/>
  <c r="AL14" i="3"/>
  <c r="AQ14" i="3" s="1"/>
  <c r="N14" i="3"/>
  <c r="N15" i="3"/>
  <c r="AE16" i="3"/>
  <c r="X16" i="3"/>
  <c r="AL16" i="3"/>
  <c r="AM16" i="3"/>
  <c r="AQ16" i="3"/>
  <c r="J16" i="3"/>
  <c r="N16" i="3"/>
  <c r="D26" i="1" s="1"/>
  <c r="K17" i="3"/>
  <c r="AL4" i="3"/>
  <c r="AQ4" i="3"/>
  <c r="N4" i="3"/>
  <c r="AU4" i="3"/>
  <c r="AM17" i="3"/>
  <c r="AF16" i="3"/>
  <c r="AF13" i="3"/>
  <c r="AF17" i="3"/>
  <c r="Y16" i="3"/>
  <c r="Y13" i="3"/>
  <c r="Y17" i="3" s="1"/>
  <c r="R16" i="3"/>
  <c r="R13" i="3"/>
  <c r="R17" i="3"/>
  <c r="G5" i="3"/>
  <c r="G10" i="3"/>
  <c r="G9" i="3"/>
  <c r="D16" i="3"/>
  <c r="D13" i="3"/>
  <c r="D17" i="3"/>
  <c r="AJ14" i="3"/>
  <c r="AK14" i="3"/>
  <c r="AJ15" i="3"/>
  <c r="AK15" i="3"/>
  <c r="AJ16" i="3"/>
  <c r="AK16" i="3"/>
  <c r="AJ4" i="3"/>
  <c r="AJ6" i="3"/>
  <c r="AJ7" i="3"/>
  <c r="AJ10" i="3"/>
  <c r="AJ11" i="3"/>
  <c r="AJ13" i="3"/>
  <c r="AJ17" i="3" s="1"/>
  <c r="AE17" i="3"/>
  <c r="AK17" i="3" s="1"/>
  <c r="AK6" i="3"/>
  <c r="AK7" i="3"/>
  <c r="AK10" i="3"/>
  <c r="AK11" i="3"/>
  <c r="AK13" i="3"/>
  <c r="AK4" i="3"/>
  <c r="AC15" i="3"/>
  <c r="AC14" i="3"/>
  <c r="AC16" i="3"/>
  <c r="AC17" i="3" s="1"/>
  <c r="AC4" i="3"/>
  <c r="AC6" i="3"/>
  <c r="AC7" i="3"/>
  <c r="AC10" i="3"/>
  <c r="AC11" i="3"/>
  <c r="AC13" i="3"/>
  <c r="AB6" i="3"/>
  <c r="AD6" i="3" s="1"/>
  <c r="AB7" i="3"/>
  <c r="AD7" i="3" s="1"/>
  <c r="AB10" i="3"/>
  <c r="AD10" i="3" s="1"/>
  <c r="AB11" i="3"/>
  <c r="AD11" i="3" s="1"/>
  <c r="AB13" i="3"/>
  <c r="AD13" i="3" s="1"/>
  <c r="AB14" i="3"/>
  <c r="AD14" i="3" s="1"/>
  <c r="AB15" i="3"/>
  <c r="AD15" i="3" s="1"/>
  <c r="AB16" i="3"/>
  <c r="AD16" i="3" s="1"/>
  <c r="X17" i="3"/>
  <c r="AB17" i="3" s="1"/>
  <c r="AD17" i="3" s="1"/>
  <c r="AB4" i="3"/>
  <c r="AD4" i="3"/>
  <c r="AB8" i="3"/>
  <c r="AB12" i="3"/>
  <c r="U14" i="3"/>
  <c r="W14" i="3"/>
  <c r="U15" i="3"/>
  <c r="W15" i="3"/>
  <c r="U16" i="3"/>
  <c r="V16" i="3"/>
  <c r="W16" i="3" s="1"/>
  <c r="Q13" i="3"/>
  <c r="Q17" i="3" s="1"/>
  <c r="U17" i="3" s="1"/>
  <c r="W17" i="3" s="1"/>
  <c r="V13" i="3"/>
  <c r="V17" i="3"/>
  <c r="U13" i="3"/>
  <c r="W13" i="3" s="1"/>
  <c r="U11" i="3"/>
  <c r="W11" i="3" s="1"/>
  <c r="U10" i="3"/>
  <c r="W10" i="3" s="1"/>
  <c r="U8" i="3"/>
  <c r="W7" i="3" s="1"/>
  <c r="U6" i="3"/>
  <c r="W6" i="3" s="1"/>
  <c r="O14" i="3"/>
  <c r="P14" i="3" s="1"/>
  <c r="O15" i="3"/>
  <c r="P15" i="3" s="1"/>
  <c r="O16" i="3"/>
  <c r="P16" i="3" s="1"/>
  <c r="O4" i="3"/>
  <c r="O6" i="3"/>
  <c r="O11" i="3"/>
  <c r="P11" i="3" s="1"/>
  <c r="P6" i="3"/>
  <c r="P12" i="3"/>
  <c r="P4" i="3"/>
  <c r="H15" i="3"/>
  <c r="H14" i="3"/>
  <c r="H16" i="3" s="1"/>
  <c r="H4" i="3"/>
  <c r="H13" i="3" s="1"/>
  <c r="I13" i="3" s="1"/>
  <c r="H6" i="3"/>
  <c r="H7" i="3"/>
  <c r="H10" i="3"/>
  <c r="H11" i="3"/>
  <c r="C13" i="3"/>
  <c r="C16" i="3"/>
  <c r="C17" i="3" s="1"/>
  <c r="G17" i="3" s="1"/>
  <c r="G11" i="3"/>
  <c r="I11" i="3" s="1"/>
  <c r="G8" i="3"/>
  <c r="I8" i="3" s="1"/>
  <c r="G6" i="3"/>
  <c r="I6" i="3" s="1"/>
  <c r="I10" i="3"/>
  <c r="G13" i="3"/>
  <c r="G4" i="3"/>
  <c r="I4" i="3"/>
  <c r="G15" i="3"/>
  <c r="I15" i="3"/>
  <c r="G14" i="3"/>
  <c r="I14" i="3"/>
  <c r="AR4" i="3"/>
  <c r="AR6" i="3"/>
  <c r="AR7" i="3"/>
  <c r="AR10" i="3"/>
  <c r="AR11" i="3"/>
  <c r="AR14" i="3"/>
  <c r="AR15" i="3"/>
  <c r="AL17" i="3"/>
  <c r="U7" i="3"/>
  <c r="U12" i="3"/>
  <c r="U4" i="3"/>
  <c r="G7" i="3"/>
  <c r="G12" i="3"/>
  <c r="H17" i="3" l="1"/>
  <c r="I17" i="3" s="1"/>
  <c r="I12" i="1"/>
  <c r="P8" i="3"/>
  <c r="P7" i="3"/>
  <c r="H92" i="2"/>
  <c r="H94" i="2" s="1"/>
  <c r="AU16" i="3"/>
  <c r="N17" i="3"/>
  <c r="AU13" i="3"/>
  <c r="AU7" i="3"/>
  <c r="AU15" i="3"/>
  <c r="I6" i="1"/>
  <c r="H12" i="1"/>
  <c r="H17" i="1" s="1"/>
  <c r="I17" i="1" s="1"/>
  <c r="G16" i="1"/>
  <c r="I16" i="1" s="1"/>
  <c r="I13" i="1"/>
  <c r="O16" i="1"/>
  <c r="O17" i="1" s="1"/>
  <c r="AA10" i="1"/>
  <c r="P10" i="1"/>
  <c r="V16" i="1"/>
  <c r="R17" i="1"/>
  <c r="V17" i="1" s="1"/>
  <c r="W17" i="1" s="1"/>
  <c r="W14" i="1"/>
  <c r="AA14" i="1"/>
  <c r="W12" i="1"/>
  <c r="Y12" i="1"/>
  <c r="M17" i="1"/>
  <c r="N16" i="1"/>
  <c r="K17" i="1"/>
  <c r="N17" i="1" s="1"/>
  <c r="H85" i="2"/>
  <c r="X13" i="1"/>
  <c r="K91" i="2"/>
  <c r="K92" i="2" s="1"/>
  <c r="K94" i="2" s="1"/>
  <c r="AR17" i="3" s="1"/>
  <c r="G16" i="3"/>
  <c r="I16" i="3" s="1"/>
  <c r="AQ17" i="3"/>
  <c r="AU14" i="3"/>
  <c r="M21" i="1"/>
  <c r="N21" i="1" s="1"/>
  <c r="P6" i="1"/>
  <c r="P14" i="1"/>
  <c r="W6" i="1"/>
  <c r="AA6" i="1"/>
  <c r="Y6" i="1"/>
  <c r="W13" i="1"/>
  <c r="AA13" i="1"/>
  <c r="N12" i="1"/>
  <c r="J78" i="2"/>
  <c r="O12" i="1"/>
  <c r="I62" i="2"/>
  <c r="P17" i="1" l="1"/>
  <c r="N20" i="1"/>
  <c r="AB20" i="1" s="1"/>
  <c r="AB12" i="1"/>
  <c r="P12" i="1"/>
  <c r="C25" i="1"/>
  <c r="AU17" i="3"/>
  <c r="D25" i="1"/>
  <c r="AB16" i="1"/>
  <c r="P16" i="1"/>
  <c r="W16" i="1"/>
  <c r="I78" i="2"/>
  <c r="O10" i="3"/>
  <c r="X16" i="1"/>
  <c r="X17" i="1" s="1"/>
  <c r="Y17" i="1" s="1"/>
  <c r="Y13" i="1"/>
  <c r="V20" i="1"/>
  <c r="AA20" i="1" s="1"/>
  <c r="P10" i="3" l="1"/>
  <c r="O13" i="3"/>
  <c r="Y16" i="1"/>
  <c r="P13" i="3" l="1"/>
  <c r="O17" i="3"/>
  <c r="P17" i="3" s="1"/>
</calcChain>
</file>

<file path=xl/sharedStrings.xml><?xml version="1.0" encoding="utf-8"?>
<sst xmlns="http://schemas.openxmlformats.org/spreadsheetml/2006/main" count="338" uniqueCount="217">
  <si>
    <t>Whole house improvements include insulation blanket, pipe insulatino, and recommendation of tempature setbacks were appropriate</t>
    <phoneticPr fontId="5" type="noConversion"/>
  </si>
  <si>
    <t>Q4</t>
    <phoneticPr fontId="5" type="noConversion"/>
  </si>
  <si>
    <t>Total Cost ($)</t>
    <phoneticPr fontId="5" type="noConversion"/>
  </si>
  <si>
    <t>Year to date cumulative</t>
    <phoneticPr fontId="5" type="noConversion"/>
  </si>
  <si>
    <t>2010 IRP: 2011 budget</t>
    <phoneticPr fontId="5" type="noConversion"/>
  </si>
  <si>
    <t>calculated % of annual achieved</t>
    <phoneticPr fontId="5" type="noConversion"/>
  </si>
  <si>
    <t>Energy Savings</t>
    <phoneticPr fontId="5" type="noConversion"/>
  </si>
  <si>
    <t>Demand Savings</t>
    <phoneticPr fontId="5" type="noConversion"/>
  </si>
  <si>
    <t>Residential Water Heating</t>
    <phoneticPr fontId="5" type="noConversion"/>
  </si>
  <si>
    <t>Unit</t>
    <phoneticPr fontId="5" type="noConversion"/>
  </si>
  <si>
    <t>Energy Savings (kWh/unit)</t>
    <phoneticPr fontId="5" type="noConversion"/>
  </si>
  <si>
    <t>Residential High Efficiency New Homes</t>
    <phoneticPr fontId="5" type="noConversion"/>
  </si>
  <si>
    <t>Residential Home Energy Improvement</t>
    <phoneticPr fontId="5" type="noConversion"/>
  </si>
  <si>
    <t>Residential Water Heating</t>
    <phoneticPr fontId="5" type="noConversion"/>
  </si>
  <si>
    <t>Residential Power Credit</t>
    <phoneticPr fontId="5" type="noConversion"/>
  </si>
  <si>
    <t>EE Total</t>
  </si>
  <si>
    <t>First Cost 2011</t>
  </si>
  <si>
    <t>2010 IRP: Volume 2 Load and Energy Forecast (Public Disclosure)</t>
  </si>
  <si>
    <t>Residential</t>
  </si>
  <si>
    <t>Territorial</t>
  </si>
  <si>
    <t>Retail</t>
  </si>
  <si>
    <t>2009 Actual Energy (GWh) - Attachment 9.4-1</t>
  </si>
  <si>
    <t xml:space="preserve">Yellow cells don't total to GPC's filings. </t>
    <phoneticPr fontId="5" type="noConversion"/>
  </si>
  <si>
    <t>demand savings</t>
    <phoneticPr fontId="5" type="noConversion"/>
  </si>
  <si>
    <t>Residential High Efficiency New Homes single</t>
    <phoneticPr fontId="5" type="noConversion"/>
  </si>
  <si>
    <t>Whole House SF HP</t>
    <phoneticPr fontId="5" type="noConversion"/>
  </si>
  <si>
    <t>WH SF Gas</t>
    <phoneticPr fontId="5" type="noConversion"/>
  </si>
  <si>
    <t>WH MF HP</t>
    <phoneticPr fontId="5" type="noConversion"/>
  </si>
  <si>
    <t>WH MF Gas</t>
    <phoneticPr fontId="5" type="noConversion"/>
  </si>
  <si>
    <t>unbundled SF HP</t>
    <phoneticPr fontId="5" type="noConversion"/>
  </si>
  <si>
    <t>unbundled SF Gas</t>
    <phoneticPr fontId="5" type="noConversion"/>
  </si>
  <si>
    <t>unbundled MF HP</t>
    <phoneticPr fontId="5" type="noConversion"/>
  </si>
  <si>
    <t>unbundled MF gas</t>
    <phoneticPr fontId="5" type="noConversion"/>
  </si>
  <si>
    <t>Unbundled Home assessments</t>
    <phoneticPr fontId="5" type="noConversion"/>
  </si>
  <si>
    <t>home</t>
    <phoneticPr fontId="5" type="noConversion"/>
  </si>
  <si>
    <t>home</t>
    <phoneticPr fontId="5" type="noConversion"/>
  </si>
  <si>
    <t>dwelling/unit</t>
    <phoneticPr fontId="5" type="noConversion"/>
  </si>
  <si>
    <t>home</t>
    <phoneticPr fontId="5" type="noConversion"/>
  </si>
  <si>
    <t>dwelling/unit</t>
    <phoneticPr fontId="5" type="noConversion"/>
  </si>
  <si>
    <t>dwelling/unit</t>
    <phoneticPr fontId="5" type="noConversion"/>
  </si>
  <si>
    <t>Q3</t>
    <phoneticPr fontId="5" type="noConversion"/>
  </si>
  <si>
    <t>Q4</t>
    <phoneticPr fontId="5" type="noConversion"/>
  </si>
  <si>
    <t>Q1</t>
    <phoneticPr fontId="5" type="noConversion"/>
  </si>
  <si>
    <t>Q1</t>
    <phoneticPr fontId="5" type="noConversion"/>
  </si>
  <si>
    <t>Q2</t>
    <phoneticPr fontId="5" type="noConversion"/>
  </si>
  <si>
    <t>Q3</t>
    <phoneticPr fontId="5" type="noConversion"/>
  </si>
  <si>
    <t xml:space="preserve">Pending Commercial </t>
    <phoneticPr fontId="5" type="noConversion"/>
  </si>
  <si>
    <t>Measure</t>
    <phoneticPr fontId="5" type="noConversion"/>
  </si>
  <si>
    <t>Participation</t>
    <phoneticPr fontId="5" type="noConversion"/>
  </si>
  <si>
    <t>Res. ES Dishwasher</t>
    <phoneticPr fontId="5" type="noConversion"/>
  </si>
  <si>
    <t>Measure</t>
    <phoneticPr fontId="5" type="noConversion"/>
  </si>
  <si>
    <t>Unit</t>
    <phoneticPr fontId="5" type="noConversion"/>
  </si>
  <si>
    <t>fixture</t>
    <phoneticPr fontId="5" type="noConversion"/>
  </si>
  <si>
    <t>sensor</t>
    <phoneticPr fontId="5" type="noConversion"/>
  </si>
  <si>
    <t>fixture</t>
    <phoneticPr fontId="5" type="noConversion"/>
  </si>
  <si>
    <t>sign</t>
    <phoneticPr fontId="5" type="noConversion"/>
  </si>
  <si>
    <t xml:space="preserve">Prescriptive Total </t>
    <phoneticPr fontId="5" type="noConversion"/>
  </si>
  <si>
    <t xml:space="preserve">Custom Total </t>
    <phoneticPr fontId="5" type="noConversion"/>
  </si>
  <si>
    <t>NA</t>
    <phoneticPr fontId="5" type="noConversion"/>
  </si>
  <si>
    <t>Participation</t>
    <phoneticPr fontId="5" type="noConversion"/>
  </si>
  <si>
    <t xml:space="preserve">Source:2010 IRP Appendix A: Final Order </t>
    <phoneticPr fontId="5" type="noConversion"/>
  </si>
  <si>
    <t>2011 goal. Source: Appendix D-1 of 2010 IRP order</t>
  </si>
  <si>
    <t>2012 goal. Source: Appendix D-1 of 2010 IRP order</t>
  </si>
  <si>
    <t>2013 goal. Source: Appendix D-1 of 2010 IRP order</t>
  </si>
  <si>
    <t>Residential New Construction</t>
    <phoneticPr fontId="5" type="noConversion"/>
  </si>
  <si>
    <t>Participation</t>
    <phoneticPr fontId="5" type="noConversion"/>
  </si>
  <si>
    <t>kWh</t>
    <phoneticPr fontId="5" type="noConversion"/>
  </si>
  <si>
    <t xml:space="preserve">Total </t>
    <phoneticPr fontId="5" type="noConversion"/>
  </si>
  <si>
    <t>Residential Refrigeration Recycling</t>
    <phoneticPr fontId="5" type="noConversion"/>
  </si>
  <si>
    <t xml:space="preserve">Existing Residential </t>
    <phoneticPr fontId="5" type="noConversion"/>
  </si>
  <si>
    <t>Residential Lighting &amp; Appliances</t>
    <phoneticPr fontId="5" type="noConversion"/>
  </si>
  <si>
    <t>kWh</t>
    <phoneticPr fontId="5" type="noConversion"/>
  </si>
  <si>
    <t xml:space="preserve">Residential Total </t>
    <phoneticPr fontId="5" type="noConversion"/>
  </si>
  <si>
    <t>Incentive</t>
    <phoneticPr fontId="5" type="noConversion"/>
  </si>
  <si>
    <t>Program Admin/Mgmt</t>
    <phoneticPr fontId="5" type="noConversion"/>
  </si>
  <si>
    <t>Packaged A/C</t>
    <phoneticPr fontId="5" type="noConversion"/>
  </si>
  <si>
    <t>Packaged ASHP</t>
    <phoneticPr fontId="5" type="noConversion"/>
  </si>
  <si>
    <t>Reflective Roof</t>
    <phoneticPr fontId="5" type="noConversion"/>
  </si>
  <si>
    <t>Duct &amp; Air Sealing</t>
    <phoneticPr fontId="5" type="noConversion"/>
  </si>
  <si>
    <t>Q2</t>
    <phoneticPr fontId="5" type="noConversion"/>
  </si>
  <si>
    <t>Total Cost w/incentive</t>
    <phoneticPr fontId="5" type="noConversion"/>
  </si>
  <si>
    <t>Commercial Prescriptive</t>
    <phoneticPr fontId="5" type="noConversion"/>
  </si>
  <si>
    <t>Commercial Custom</t>
    <phoneticPr fontId="5" type="noConversion"/>
  </si>
  <si>
    <t>WH improvements</t>
    <phoneticPr fontId="5" type="noConversion"/>
  </si>
  <si>
    <t>home</t>
    <phoneticPr fontId="5" type="noConversion"/>
  </si>
  <si>
    <t>Lighting 40%&gt; ASHRAE 2001</t>
    <phoneticPr fontId="5" type="noConversion"/>
  </si>
  <si>
    <t>Unit</t>
    <phoneticPr fontId="5" type="noConversion"/>
  </si>
  <si>
    <t>2010 IRP: 2011 Participants</t>
    <phoneticPr fontId="5" type="noConversion"/>
  </si>
  <si>
    <t>Savings  (kWh)</t>
    <phoneticPr fontId="5" type="noConversion"/>
  </si>
  <si>
    <t>2010 IRP: 2011 kWh savings</t>
    <phoneticPr fontId="5" type="noConversion"/>
  </si>
  <si>
    <t>Q1</t>
    <phoneticPr fontId="5" type="noConversion"/>
  </si>
  <si>
    <t>GWh</t>
  </si>
  <si>
    <t>Restaurant DC Vent Hoods</t>
    <phoneticPr fontId="5" type="noConversion"/>
  </si>
  <si>
    <t>Rest. ES Electric Fryer</t>
    <phoneticPr fontId="5" type="noConversion"/>
  </si>
  <si>
    <t>Res. ES Steam Cookers</t>
    <phoneticPr fontId="5" type="noConversion"/>
  </si>
  <si>
    <t>Rest. High Efficiency Griddles</t>
    <phoneticPr fontId="5" type="noConversion"/>
  </si>
  <si>
    <t>Res. ES Refrigerator/Freezer</t>
    <phoneticPr fontId="5" type="noConversion"/>
  </si>
  <si>
    <t>Annual cumulative</t>
    <phoneticPr fontId="5" type="noConversion"/>
  </si>
  <si>
    <t>Annual Cumulative</t>
    <phoneticPr fontId="5" type="noConversion"/>
  </si>
  <si>
    <t>Cells this color have numbers that have been modifed by GPC from originial filing.</t>
    <phoneticPr fontId="5" type="noConversion"/>
  </si>
  <si>
    <t>Calculated % of annual achieved</t>
    <phoneticPr fontId="5" type="noConversion"/>
  </si>
  <si>
    <t>control</t>
    <phoneticPr fontId="5" type="noConversion"/>
  </si>
  <si>
    <t>feet</t>
    <phoneticPr fontId="5" type="noConversion"/>
  </si>
  <si>
    <t>each</t>
    <phoneticPr fontId="5" type="noConversion"/>
  </si>
  <si>
    <t>First year cost</t>
    <phoneticPr fontId="5" type="noConversion"/>
  </si>
  <si>
    <t>Demand savings (kW/unit)</t>
    <phoneticPr fontId="5" type="noConversion"/>
  </si>
  <si>
    <t>kWh</t>
    <phoneticPr fontId="5" type="noConversion"/>
  </si>
  <si>
    <t>Measure</t>
    <phoneticPr fontId="5" type="noConversion"/>
  </si>
  <si>
    <t>Residential Water Heater</t>
    <phoneticPr fontId="5" type="noConversion"/>
  </si>
  <si>
    <t xml:space="preserve">Resi Total </t>
    <phoneticPr fontId="5" type="noConversion"/>
  </si>
  <si>
    <t xml:space="preserve">Commercial Total </t>
    <phoneticPr fontId="5" type="noConversion"/>
  </si>
  <si>
    <t xml:space="preserve">Residential and Commercial Total </t>
    <phoneticPr fontId="5" type="noConversion"/>
  </si>
  <si>
    <t>Residential Existing Home</t>
    <phoneticPr fontId="5" type="noConversion"/>
  </si>
  <si>
    <t>Residential Lighting &amp; Appliances</t>
    <phoneticPr fontId="5" type="noConversion"/>
  </si>
  <si>
    <t>Residential Refrigerator</t>
    <phoneticPr fontId="5" type="noConversion"/>
  </si>
  <si>
    <t>Commercial</t>
  </si>
  <si>
    <t>Industrial</t>
  </si>
  <si>
    <t>Actual Peak Demand (MW) - Attachment 9.4-2</t>
  </si>
  <si>
    <t>Savings as % of 2009 retail sales</t>
  </si>
  <si>
    <t>Year to date incentive</t>
    <phoneticPr fontId="5" type="noConversion"/>
  </si>
  <si>
    <t>Q3</t>
    <phoneticPr fontId="5" type="noConversion"/>
  </si>
  <si>
    <t>Appliances</t>
    <phoneticPr fontId="5" type="noConversion"/>
  </si>
  <si>
    <t>incl</t>
    <phoneticPr fontId="5" type="noConversion"/>
  </si>
  <si>
    <t>incl</t>
    <phoneticPr fontId="5" type="noConversion"/>
  </si>
  <si>
    <t>Residential Home Energy Improvement multi</t>
    <phoneticPr fontId="5" type="noConversion"/>
  </si>
  <si>
    <t>Residential Home Energy improvement single</t>
    <phoneticPr fontId="5" type="noConversion"/>
  </si>
  <si>
    <t>Residential Lighting</t>
    <phoneticPr fontId="5" type="noConversion"/>
  </si>
  <si>
    <t xml:space="preserve">Residential </t>
    <phoneticPr fontId="5" type="noConversion"/>
  </si>
  <si>
    <t xml:space="preserve">Commercial </t>
    <phoneticPr fontId="5" type="noConversion"/>
  </si>
  <si>
    <t>Demand Savings</t>
    <phoneticPr fontId="5" type="noConversion"/>
  </si>
  <si>
    <t>Residential New Homes</t>
    <phoneticPr fontId="5" type="noConversion"/>
  </si>
  <si>
    <t>Program Costs</t>
    <phoneticPr fontId="5" type="noConversion"/>
  </si>
  <si>
    <t>Residential Total</t>
    <phoneticPr fontId="5" type="noConversion"/>
  </si>
  <si>
    <t>Cross Cutting Program Costs</t>
    <phoneticPr fontId="5" type="noConversion"/>
  </si>
  <si>
    <t>kWh</t>
    <phoneticPr fontId="5" type="noConversion"/>
  </si>
  <si>
    <t>kWh</t>
    <phoneticPr fontId="5" type="noConversion"/>
  </si>
  <si>
    <t xml:space="preserve">Commercial Total </t>
    <phoneticPr fontId="5" type="noConversion"/>
  </si>
  <si>
    <t>Participation</t>
    <phoneticPr fontId="5" type="noConversion"/>
  </si>
  <si>
    <t>Commercial Custom</t>
    <phoneticPr fontId="5" type="noConversion"/>
  </si>
  <si>
    <t>Commercial Prescriptive</t>
    <phoneticPr fontId="5" type="noConversion"/>
  </si>
  <si>
    <t xml:space="preserve">Commercial Total </t>
    <phoneticPr fontId="5" type="noConversion"/>
  </si>
  <si>
    <t>NA</t>
    <phoneticPr fontId="5" type="noConversion"/>
  </si>
  <si>
    <t>Res+Com total</t>
    <phoneticPr fontId="5" type="noConversion"/>
  </si>
  <si>
    <t>Total Program cost</t>
    <phoneticPr fontId="5" type="noConversion"/>
  </si>
  <si>
    <t>All costs</t>
    <phoneticPr fontId="5" type="noConversion"/>
  </si>
  <si>
    <t>From IRP</t>
    <phoneticPr fontId="5" type="noConversion"/>
  </si>
  <si>
    <t>Annual Total budget (calculated)</t>
    <phoneticPr fontId="5" type="noConversion"/>
  </si>
  <si>
    <t>2010 IRP: 2011 kW savings</t>
    <phoneticPr fontId="5" type="noConversion"/>
  </si>
  <si>
    <t>2010 IRP: 2011 $ cost</t>
    <phoneticPr fontId="5" type="noConversion"/>
  </si>
  <si>
    <t>Refrigerator Recycling</t>
    <phoneticPr fontId="5" type="noConversion"/>
  </si>
  <si>
    <t>each</t>
    <phoneticPr fontId="5" type="noConversion"/>
  </si>
  <si>
    <t>measure</t>
    <phoneticPr fontId="5" type="noConversion"/>
  </si>
  <si>
    <t>unit</t>
    <phoneticPr fontId="5" type="noConversion"/>
  </si>
  <si>
    <t>Energy savings</t>
    <phoneticPr fontId="5" type="noConversion"/>
  </si>
  <si>
    <t>calculated % of annual achieved</t>
    <phoneticPr fontId="5" type="noConversion"/>
  </si>
  <si>
    <t>T8 Linear Florescent</t>
    <phoneticPr fontId="5" type="noConversion"/>
  </si>
  <si>
    <t>Occupancy Sensor</t>
    <phoneticPr fontId="5" type="noConversion"/>
  </si>
  <si>
    <t>High Bay Light Change</t>
    <phoneticPr fontId="5" type="noConversion"/>
  </si>
  <si>
    <t>LED Exit sign</t>
    <phoneticPr fontId="5" type="noConversion"/>
  </si>
  <si>
    <t>ES Refrigerators</t>
    <phoneticPr fontId="5" type="noConversion"/>
  </si>
  <si>
    <t>ES Freezers</t>
    <phoneticPr fontId="5" type="noConversion"/>
  </si>
  <si>
    <t>ES Clothes Washers</t>
    <phoneticPr fontId="5" type="noConversion"/>
  </si>
  <si>
    <t>ES Room AC</t>
    <phoneticPr fontId="5" type="noConversion"/>
  </si>
  <si>
    <t>CFL screw in 4 pack give aways</t>
    <phoneticPr fontId="5" type="noConversion"/>
  </si>
  <si>
    <t>CFL screw in 4 pack buy downs</t>
    <phoneticPr fontId="5" type="noConversion"/>
  </si>
  <si>
    <t>each</t>
    <phoneticPr fontId="5" type="noConversion"/>
  </si>
  <si>
    <t>Demand savings (kW/unit)</t>
    <phoneticPr fontId="5" type="noConversion"/>
  </si>
  <si>
    <t>Total</t>
    <phoneticPr fontId="5" type="noConversion"/>
  </si>
  <si>
    <t>Measure</t>
    <phoneticPr fontId="5" type="noConversion"/>
  </si>
  <si>
    <t>Lighting 30%&gt; ASHRAE 2003</t>
    <phoneticPr fontId="5" type="noConversion"/>
  </si>
  <si>
    <t>Participation</t>
    <phoneticPr fontId="5" type="noConversion"/>
  </si>
  <si>
    <t>Q2</t>
    <phoneticPr fontId="5" type="noConversion"/>
  </si>
  <si>
    <t xml:space="preserve">Residential High Efficiency New Homes multi </t>
    <phoneticPr fontId="5" type="noConversion"/>
  </si>
  <si>
    <t>Participants</t>
    <phoneticPr fontId="5" type="noConversion"/>
  </si>
  <si>
    <t>Savings  (kW)</t>
    <phoneticPr fontId="5" type="noConversion"/>
  </si>
  <si>
    <t>incentive cost ($)</t>
    <phoneticPr fontId="5" type="noConversion"/>
  </si>
  <si>
    <t>non-incentive cost ($)</t>
    <phoneticPr fontId="5" type="noConversion"/>
  </si>
  <si>
    <t>total costs</t>
    <phoneticPr fontId="5" type="noConversion"/>
  </si>
  <si>
    <t>Incentive</t>
    <phoneticPr fontId="5" type="noConversion"/>
  </si>
  <si>
    <t>Admin/mgmt/eval</t>
    <phoneticPr fontId="5" type="noConversion"/>
  </si>
  <si>
    <t>ton</t>
    <phoneticPr fontId="5" type="noConversion"/>
  </si>
  <si>
    <t>SF</t>
    <phoneticPr fontId="5" type="noConversion"/>
  </si>
  <si>
    <t>SF</t>
    <phoneticPr fontId="5" type="noConversion"/>
  </si>
  <si>
    <t>each</t>
    <phoneticPr fontId="5" type="noConversion"/>
  </si>
  <si>
    <t>tons cooling</t>
    <phoneticPr fontId="5" type="noConversion"/>
  </si>
  <si>
    <t>feet</t>
    <phoneticPr fontId="5" type="noConversion"/>
  </si>
  <si>
    <t>each</t>
    <phoneticPr fontId="5" type="noConversion"/>
  </si>
  <si>
    <t>Measure</t>
    <phoneticPr fontId="5" type="noConversion"/>
  </si>
  <si>
    <t>Single Family HP and Electric WH</t>
    <phoneticPr fontId="5" type="noConversion"/>
  </si>
  <si>
    <t>MF HP and Elec WH</t>
    <phoneticPr fontId="5" type="noConversion"/>
  </si>
  <si>
    <t>each</t>
    <phoneticPr fontId="5" type="noConversion"/>
  </si>
  <si>
    <t>Energy Saving (kWh/unit)</t>
    <phoneticPr fontId="5" type="noConversion"/>
  </si>
  <si>
    <t>Georgia Power Energy Efficiency Program Results</t>
    <phoneticPr fontId="5" type="noConversion"/>
  </si>
  <si>
    <t>Residential Lighting &amp; Appliances</t>
    <phoneticPr fontId="5" type="noConversion"/>
  </si>
  <si>
    <t>Residential Refrigerator &amp; Freezer Recycling</t>
    <phoneticPr fontId="5" type="noConversion"/>
  </si>
  <si>
    <t>each</t>
    <phoneticPr fontId="5" type="noConversion"/>
  </si>
  <si>
    <t>Energy Savings (kWh/unit)</t>
    <phoneticPr fontId="5" type="noConversion"/>
  </si>
  <si>
    <t>Demand savings (kW/Unit)</t>
    <phoneticPr fontId="5" type="noConversion"/>
  </si>
  <si>
    <t>Rest ES Holding cabinet</t>
    <phoneticPr fontId="5" type="noConversion"/>
  </si>
  <si>
    <t>Commercial Custom Incentive</t>
    <phoneticPr fontId="5" type="noConversion"/>
  </si>
  <si>
    <t>Commercial Prescriptive Incentive</t>
    <phoneticPr fontId="5" type="noConversion"/>
  </si>
  <si>
    <t>Lighting 24%&gt; ASHRAE 2001</t>
    <phoneticPr fontId="5" type="noConversion"/>
  </si>
  <si>
    <t>Program Marketing</t>
    <phoneticPr fontId="5" type="noConversion"/>
  </si>
  <si>
    <t>Program Evaluation</t>
    <phoneticPr fontId="5" type="noConversion"/>
  </si>
  <si>
    <t>Total Cost w/o incentive</t>
    <phoneticPr fontId="5" type="noConversion"/>
  </si>
  <si>
    <t>home</t>
    <phoneticPr fontId="5" type="noConversion"/>
  </si>
  <si>
    <t>home</t>
    <phoneticPr fontId="5" type="noConversion"/>
  </si>
  <si>
    <t xml:space="preserve">Total </t>
    <phoneticPr fontId="5" type="noConversion"/>
  </si>
  <si>
    <t>measure</t>
    <phoneticPr fontId="5" type="noConversion"/>
  </si>
  <si>
    <t xml:space="preserve">energy savings </t>
    <phoneticPr fontId="5" type="noConversion"/>
  </si>
  <si>
    <t>Hi Eff Elec Storage WH</t>
    <phoneticPr fontId="5" type="noConversion"/>
  </si>
  <si>
    <t>Heat Pump WH</t>
    <phoneticPr fontId="5" type="noConversion"/>
  </si>
  <si>
    <t>Pipe insulation</t>
    <phoneticPr fontId="5" type="noConversion"/>
  </si>
  <si>
    <t>heat exchanger</t>
    <phoneticPr fontId="5" type="noConversion"/>
  </si>
  <si>
    <t>Grocery Anti- Sweat Control</t>
    <phoneticPr fontId="5" type="noConversion"/>
  </si>
  <si>
    <t>Grocery Door Gaskets</t>
    <phoneticPr fontId="5" type="noConversion"/>
  </si>
  <si>
    <t>Grocery Pipe Insulation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</si>
</sst>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&quot;$&quot;#,##0"/>
    <numFmt numFmtId="167" formatCode="_(* #,##0_);_(* \(#,##0\);_(* &quot;-&quot;??_);_(@_)"/>
    <numFmt numFmtId="168" formatCode="_(&quot;$&quot;* #,##0.000_);_(&quot;$&quot;* \(#,##0.000\);_(&quot;$&quot;* &quot;-&quot;??_);_(@_)"/>
  </numFmts>
  <fonts count="10" x14ac:knownFonts="1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2"/>
      <name val="Verdana"/>
    </font>
    <font>
      <b/>
      <sz val="10"/>
      <name val="Verdana"/>
    </font>
    <font>
      <sz val="10"/>
      <name val="Verdana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3" fillId="0" borderId="1" xfId="0" applyFont="1" applyBorder="1"/>
    <xf numFmtId="0" fontId="0" fillId="0" borderId="5" xfId="0" applyBorder="1"/>
    <xf numFmtId="3" fontId="0" fillId="0" borderId="0" xfId="0" applyNumberFormat="1" applyBorder="1"/>
    <xf numFmtId="3" fontId="0" fillId="0" borderId="0" xfId="0" applyNumberFormat="1" applyBorder="1"/>
    <xf numFmtId="0" fontId="0" fillId="0" borderId="7" xfId="0" applyBorder="1"/>
    <xf numFmtId="3" fontId="0" fillId="0" borderId="7" xfId="0" applyNumberFormat="1" applyBorder="1"/>
    <xf numFmtId="0" fontId="6" fillId="0" borderId="6" xfId="0" applyFont="1" applyBorder="1"/>
    <xf numFmtId="3" fontId="0" fillId="0" borderId="5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0" fillId="0" borderId="8" xfId="0" applyNumberFormat="1" applyBorder="1"/>
    <xf numFmtId="166" fontId="0" fillId="0" borderId="0" xfId="0" applyNumberFormat="1"/>
    <xf numFmtId="0" fontId="0" fillId="0" borderId="0" xfId="0" applyFill="1" applyBorder="1"/>
    <xf numFmtId="0" fontId="4" fillId="0" borderId="9" xfId="0" applyFont="1" applyBorder="1"/>
    <xf numFmtId="0" fontId="0" fillId="0" borderId="10" xfId="0" applyFill="1" applyBorder="1"/>
    <xf numFmtId="0" fontId="0" fillId="0" borderId="2" xfId="0" applyFill="1" applyBorder="1"/>
    <xf numFmtId="0" fontId="3" fillId="0" borderId="0" xfId="0" applyFont="1" applyAlignment="1">
      <alignment wrapText="1"/>
    </xf>
    <xf numFmtId="166" fontId="0" fillId="0" borderId="0" xfId="0" applyNumberFormat="1" applyBorder="1"/>
    <xf numFmtId="166" fontId="0" fillId="0" borderId="5" xfId="0" applyNumberFormat="1" applyBorder="1"/>
    <xf numFmtId="166" fontId="0" fillId="0" borderId="7" xfId="0" applyNumberFormat="1" applyBorder="1"/>
    <xf numFmtId="0" fontId="6" fillId="0" borderId="1" xfId="0" applyFont="1" applyBorder="1"/>
    <xf numFmtId="0" fontId="0" fillId="0" borderId="4" xfId="0" applyNumberFormat="1" applyBorder="1" applyAlignment="1">
      <alignment wrapText="1"/>
    </xf>
    <xf numFmtId="0" fontId="0" fillId="0" borderId="0" xfId="0" applyBorder="1" applyAlignment="1">
      <alignment wrapText="1"/>
    </xf>
    <xf numFmtId="3" fontId="3" fillId="0" borderId="0" xfId="0" applyNumberFormat="1" applyFont="1" applyBorder="1"/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wrapText="1"/>
    </xf>
    <xf numFmtId="3" fontId="0" fillId="0" borderId="4" xfId="0" applyNumberFormat="1" applyBorder="1"/>
    <xf numFmtId="9" fontId="0" fillId="0" borderId="5" xfId="0" applyNumberFormat="1" applyBorder="1"/>
    <xf numFmtId="3" fontId="3" fillId="0" borderId="4" xfId="0" applyNumberFormat="1" applyFont="1" applyBorder="1"/>
    <xf numFmtId="9" fontId="0" fillId="0" borderId="8" xfId="0" applyNumberFormat="1" applyBorder="1"/>
    <xf numFmtId="3" fontId="0" fillId="0" borderId="0" xfId="0" applyNumberFormat="1" applyFill="1" applyBorder="1"/>
    <xf numFmtId="166" fontId="3" fillId="0" borderId="0" xfId="0" applyNumberFormat="1" applyFont="1" applyBorder="1"/>
    <xf numFmtId="9" fontId="0" fillId="0" borderId="0" xfId="0" applyNumberFormat="1" applyBorder="1"/>
    <xf numFmtId="9" fontId="0" fillId="0" borderId="7" xfId="0" applyNumberFormat="1" applyBorder="1"/>
    <xf numFmtId="9" fontId="0" fillId="0" borderId="0" xfId="0" applyNumberFormat="1" applyFill="1" applyBorder="1"/>
    <xf numFmtId="0" fontId="0" fillId="0" borderId="4" xfId="0" applyBorder="1" applyAlignment="1">
      <alignment wrapText="1"/>
    </xf>
    <xf numFmtId="0" fontId="3" fillId="0" borderId="4" xfId="0" applyFont="1" applyBorder="1"/>
    <xf numFmtId="0" fontId="0" fillId="0" borderId="2" xfId="0" applyBorder="1" applyAlignment="1">
      <alignment wrapText="1"/>
    </xf>
    <xf numFmtId="166" fontId="0" fillId="0" borderId="8" xfId="0" applyNumberFormat="1" applyBorder="1"/>
    <xf numFmtId="165" fontId="0" fillId="0" borderId="0" xfId="0" applyNumberFormat="1" applyBorder="1"/>
    <xf numFmtId="165" fontId="3" fillId="0" borderId="0" xfId="0" applyNumberFormat="1" applyFont="1" applyBorder="1"/>
    <xf numFmtId="0" fontId="0" fillId="0" borderId="3" xfId="0" applyBorder="1" applyAlignment="1">
      <alignment wrapText="1"/>
    </xf>
    <xf numFmtId="166" fontId="0" fillId="0" borderId="4" xfId="0" applyNumberFormat="1" applyBorder="1"/>
    <xf numFmtId="166" fontId="3" fillId="0" borderId="4" xfId="0" applyNumberFormat="1" applyFont="1" applyBorder="1"/>
    <xf numFmtId="166" fontId="3" fillId="0" borderId="7" xfId="0" applyNumberFormat="1" applyFont="1" applyBorder="1"/>
    <xf numFmtId="3" fontId="0" fillId="2" borderId="0" xfId="0" applyNumberFormat="1" applyFill="1" applyBorder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3" fontId="2" fillId="0" borderId="0" xfId="0" applyNumberFormat="1" applyFont="1" applyBorder="1"/>
    <xf numFmtId="3" fontId="3" fillId="0" borderId="0" xfId="0" applyNumberFormat="1" applyFont="1" applyFill="1" applyBorder="1"/>
    <xf numFmtId="3" fontId="1" fillId="0" borderId="0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0" fontId="2" fillId="2" borderId="0" xfId="0" applyFont="1" applyFill="1"/>
    <xf numFmtId="9" fontId="1" fillId="0" borderId="0" xfId="0" applyNumberFormat="1" applyFont="1" applyBorder="1"/>
    <xf numFmtId="9" fontId="1" fillId="0" borderId="7" xfId="0" applyNumberFormat="1" applyFont="1" applyBorder="1"/>
    <xf numFmtId="166" fontId="2" fillId="0" borderId="6" xfId="0" applyNumberFormat="1" applyFont="1" applyBorder="1"/>
    <xf numFmtId="166" fontId="2" fillId="0" borderId="7" xfId="0" applyNumberFormat="1" applyFont="1" applyBorder="1"/>
    <xf numFmtId="167" fontId="0" fillId="0" borderId="0" xfId="1" applyNumberFormat="1" applyFont="1" applyBorder="1"/>
    <xf numFmtId="167" fontId="7" fillId="0" borderId="0" xfId="1" applyNumberFormat="1" applyFont="1" applyBorder="1"/>
    <xf numFmtId="0" fontId="8" fillId="0" borderId="0" xfId="0" applyFont="1" applyBorder="1" applyAlignment="1">
      <alignment wrapText="1"/>
    </xf>
    <xf numFmtId="168" fontId="0" fillId="0" borderId="0" xfId="2" applyNumberFormat="1" applyFont="1" applyBorder="1"/>
    <xf numFmtId="164" fontId="7" fillId="0" borderId="0" xfId="0" applyNumberFormat="1" applyFont="1"/>
    <xf numFmtId="3" fontId="9" fillId="0" borderId="0" xfId="0" applyNumberFormat="1" applyFont="1"/>
    <xf numFmtId="0" fontId="8" fillId="0" borderId="0" xfId="0" applyFont="1"/>
    <xf numFmtId="10" fontId="7" fillId="0" borderId="0" xfId="3" applyNumberFormat="1" applyFont="1" applyBorder="1"/>
    <xf numFmtId="10" fontId="7" fillId="0" borderId="0" xfId="3" applyNumberFormat="1" applyFont="1"/>
    <xf numFmtId="9" fontId="0" fillId="0" borderId="0" xfId="0" applyNumberFormat="1" applyBorder="1"/>
    <xf numFmtId="3" fontId="0" fillId="0" borderId="0" xfId="0" applyNumberFormat="1"/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wrapText="1"/>
    </xf>
    <xf numFmtId="6" fontId="0" fillId="0" borderId="0" xfId="0" applyNumberFormat="1"/>
    <xf numFmtId="6" fontId="0" fillId="0" borderId="0" xfId="0" applyNumberFormat="1" applyAlignment="1"/>
    <xf numFmtId="0" fontId="6" fillId="0" borderId="1" xfId="0" applyFont="1" applyBorder="1" applyAlignment="1">
      <alignment horizontal="left"/>
    </xf>
    <xf numFmtId="0" fontId="0" fillId="0" borderId="0" xfId="0" applyAlignment="1"/>
    <xf numFmtId="166" fontId="0" fillId="0" borderId="0" xfId="0" applyNumberFormat="1" applyFill="1" applyBorder="1"/>
    <xf numFmtId="0" fontId="0" fillId="0" borderId="4" xfId="0" applyFill="1" applyBorder="1"/>
    <xf numFmtId="0" fontId="0" fillId="0" borderId="4" xfId="0" applyNumberFormat="1" applyFill="1" applyBorder="1" applyAlignment="1">
      <alignment wrapText="1"/>
    </xf>
    <xf numFmtId="0" fontId="0" fillId="0" borderId="6" xfId="0" applyBorder="1"/>
    <xf numFmtId="0" fontId="0" fillId="0" borderId="5" xfId="0" applyFill="1" applyBorder="1"/>
    <xf numFmtId="0" fontId="0" fillId="0" borderId="1" xfId="0" applyBorder="1"/>
    <xf numFmtId="166" fontId="0" fillId="0" borderId="4" xfId="0" applyNumberFormat="1" applyFill="1" applyBorder="1"/>
    <xf numFmtId="0" fontId="0" fillId="0" borderId="1" xfId="0" applyNumberFormat="1" applyBorder="1" applyAlignment="1">
      <alignment wrapText="1"/>
    </xf>
    <xf numFmtId="166" fontId="0" fillId="0" borderId="2" xfId="0" applyNumberFormat="1" applyBorder="1"/>
    <xf numFmtId="166" fontId="0" fillId="0" borderId="1" xfId="0" applyNumberFormat="1" applyBorder="1"/>
    <xf numFmtId="166" fontId="0" fillId="0" borderId="3" xfId="0" applyNumberFormat="1" applyBorder="1"/>
    <xf numFmtId="0" fontId="0" fillId="0" borderId="6" xfId="0" applyNumberFormat="1" applyBorder="1" applyAlignment="1">
      <alignment wrapText="1"/>
    </xf>
    <xf numFmtId="166" fontId="0" fillId="0" borderId="6" xfId="0" applyNumberFormat="1" applyBorder="1"/>
    <xf numFmtId="0" fontId="0" fillId="0" borderId="12" xfId="0" applyNumberFormat="1" applyBorder="1" applyAlignment="1">
      <alignment wrapText="1"/>
    </xf>
    <xf numFmtId="166" fontId="0" fillId="0" borderId="13" xfId="0" applyNumberFormat="1" applyBorder="1"/>
    <xf numFmtId="166" fontId="0" fillId="0" borderId="12" xfId="0" applyNumberFormat="1" applyBorder="1"/>
    <xf numFmtId="166" fontId="0" fillId="0" borderId="14" xfId="0" applyNumberFormat="1" applyBorder="1"/>
    <xf numFmtId="9" fontId="0" fillId="0" borderId="0" xfId="0" applyNumberFormat="1"/>
    <xf numFmtId="3" fontId="0" fillId="0" borderId="0" xfId="0" applyNumberFormat="1" applyAlignment="1"/>
    <xf numFmtId="9" fontId="0" fillId="0" borderId="0" xfId="0" applyNumberFormat="1"/>
    <xf numFmtId="9" fontId="0" fillId="0" borderId="0" xfId="0" applyNumberFormat="1" applyAlignment="1"/>
    <xf numFmtId="9" fontId="0" fillId="0" borderId="0" xfId="0" applyNumberFormat="1"/>
    <xf numFmtId="9" fontId="0" fillId="0" borderId="0" xfId="0" applyNumberFormat="1"/>
    <xf numFmtId="0" fontId="0" fillId="3" borderId="0" xfId="0" applyFill="1"/>
    <xf numFmtId="3" fontId="0" fillId="3" borderId="0" xfId="0" applyNumberFormat="1" applyFill="1"/>
    <xf numFmtId="6" fontId="0" fillId="0" borderId="0" xfId="0" applyNumberFormat="1" applyFill="1" applyBorder="1"/>
    <xf numFmtId="6" fontId="0" fillId="3" borderId="0" xfId="0" applyNumberFormat="1" applyFill="1"/>
    <xf numFmtId="0" fontId="0" fillId="0" borderId="0" xfId="0" applyFill="1" applyBorder="1" applyAlignment="1">
      <alignment wrapText="1"/>
    </xf>
    <xf numFmtId="165" fontId="0" fillId="0" borderId="0" xfId="0" applyNumberFormat="1"/>
    <xf numFmtId="6" fontId="0" fillId="0" borderId="0" xfId="0" applyNumberFormat="1" applyFill="1"/>
    <xf numFmtId="3" fontId="0" fillId="3" borderId="0" xfId="0" applyNumberFormat="1" applyFill="1" applyAlignment="1">
      <alignment wrapText="1"/>
    </xf>
    <xf numFmtId="6" fontId="0" fillId="0" borderId="0" xfId="0" applyNumberFormat="1" applyAlignment="1"/>
    <xf numFmtId="0" fontId="0" fillId="0" borderId="0" xfId="0" applyAlignment="1"/>
    <xf numFmtId="3" fontId="0" fillId="0" borderId="0" xfId="0" applyNumberFormat="1" applyAlignment="1"/>
    <xf numFmtId="9" fontId="0" fillId="0" borderId="0" xfId="0" applyNumberFormat="1" applyAlignment="1"/>
    <xf numFmtId="165" fontId="0" fillId="0" borderId="0" xfId="0" applyNumberFormat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'2011'!$C$24</c:f>
              <c:strCache>
                <c:ptCount val="1"/>
                <c:pt idx="0">
                  <c:v>Residential </c:v>
                </c:pt>
              </c:strCache>
            </c:strRef>
          </c:tx>
          <c:invertIfNegative val="0"/>
          <c:cat>
            <c:numRef>
              <c:f>'2011'!$B$25:$B$26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'2011'!$C$25:$C$26</c:f>
              <c:numCache>
                <c:formatCode>#,##0</c:formatCode>
                <c:ptCount val="2"/>
                <c:pt idx="0">
                  <c:v>48625196</c:v>
                </c:pt>
                <c:pt idx="1">
                  <c:v>54141589</c:v>
                </c:pt>
              </c:numCache>
            </c:numRef>
          </c:val>
        </c:ser>
        <c:ser>
          <c:idx val="1"/>
          <c:order val="1"/>
          <c:tx>
            <c:strRef>
              <c:f>'2011'!$D$24</c:f>
              <c:strCache>
                <c:ptCount val="1"/>
                <c:pt idx="0">
                  <c:v>Commercial </c:v>
                </c:pt>
              </c:strCache>
            </c:strRef>
          </c:tx>
          <c:invertIfNegative val="0"/>
          <c:cat>
            <c:numRef>
              <c:f>'2011'!$B$25:$B$26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'2011'!$D$25:$D$26</c:f>
              <c:numCache>
                <c:formatCode>#,##0</c:formatCode>
                <c:ptCount val="2"/>
                <c:pt idx="0">
                  <c:v>69981124</c:v>
                </c:pt>
                <c:pt idx="1">
                  <c:v>116123143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21696"/>
        <c:axId val="120631680"/>
      </c:barChart>
      <c:catAx>
        <c:axId val="1206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631680"/>
        <c:crosses val="autoZero"/>
        <c:auto val="1"/>
        <c:lblAlgn val="ctr"/>
        <c:lblOffset val="100"/>
        <c:noMultiLvlLbl val="0"/>
      </c:catAx>
      <c:valAx>
        <c:axId val="120631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GWh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20621696"/>
        <c:crosses val="autoZero"/>
        <c:crossBetween val="between"/>
        <c:dispUnits>
          <c:builtInUnit val="millions"/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18</xdr:row>
      <xdr:rowOff>114300</xdr:rowOff>
    </xdr:from>
    <xdr:to>
      <xdr:col>10</xdr:col>
      <xdr:colOff>723900</xdr:colOff>
      <xdr:row>35</xdr:row>
      <xdr:rowOff>50800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0"/>
  <sheetViews>
    <sheetView tabSelected="1" topLeftCell="A2" workbookViewId="0">
      <pane xSplit="2" ySplit="2" topLeftCell="C4" activePane="bottomRight" state="frozen"/>
      <selection activeCell="A2" sqref="A2"/>
      <selection pane="topRight" activeCell="C2" sqref="C2"/>
      <selection pane="bottomLeft" activeCell="A4" sqref="A4"/>
      <selection pane="bottomRight" activeCell="B20" sqref="B20"/>
    </sheetView>
  </sheetViews>
  <sheetFormatPr defaultColWidth="11" defaultRowHeight="12.75" x14ac:dyDescent="0.2"/>
  <cols>
    <col min="2" max="2" width="21.75" customWidth="1"/>
    <col min="15" max="15" width="15" bestFit="1" customWidth="1"/>
    <col min="26" max="26" width="14.25" bestFit="1" customWidth="1"/>
    <col min="36" max="36" width="11" bestFit="1" customWidth="1"/>
    <col min="43" max="43" width="11" bestFit="1" customWidth="1"/>
    <col min="44" max="44" width="11" customWidth="1"/>
  </cols>
  <sheetData>
    <row r="1" spans="2:47" ht="13.5" thickBot="1" x14ac:dyDescent="0.25"/>
    <row r="2" spans="2:47" ht="30" x14ac:dyDescent="0.2">
      <c r="C2" s="28" t="s">
        <v>173</v>
      </c>
      <c r="D2" s="3"/>
      <c r="E2" s="3"/>
      <c r="F2" s="3"/>
      <c r="G2" s="3"/>
      <c r="H2" s="3"/>
      <c r="I2" s="4"/>
      <c r="J2" s="54" t="s">
        <v>88</v>
      </c>
      <c r="K2" s="55"/>
      <c r="L2" s="55"/>
      <c r="M2" s="55"/>
      <c r="N2" s="55"/>
      <c r="O2" s="55"/>
      <c r="P2" s="82"/>
      <c r="Q2" s="54" t="s">
        <v>174</v>
      </c>
      <c r="R2" s="55"/>
      <c r="S2" s="55"/>
      <c r="T2" s="55"/>
      <c r="U2" s="55"/>
      <c r="V2" s="55"/>
      <c r="W2" s="82"/>
      <c r="X2" s="86" t="s">
        <v>175</v>
      </c>
      <c r="Y2" s="55"/>
      <c r="Z2" s="55"/>
      <c r="AA2" s="55"/>
      <c r="AB2" s="55"/>
      <c r="AC2" s="55"/>
      <c r="AD2" s="82"/>
      <c r="AE2" s="86" t="s">
        <v>176</v>
      </c>
      <c r="AF2" s="55"/>
      <c r="AG2" s="55"/>
      <c r="AH2" s="55"/>
      <c r="AI2" s="55"/>
      <c r="AJ2" s="55"/>
      <c r="AK2" s="82"/>
      <c r="AL2" s="86" t="s">
        <v>177</v>
      </c>
      <c r="AM2" s="55"/>
      <c r="AN2" s="55"/>
      <c r="AO2" s="55"/>
      <c r="AP2" s="55"/>
      <c r="AQ2" s="55"/>
      <c r="AR2" s="55"/>
      <c r="AS2" s="82"/>
    </row>
    <row r="3" spans="2:47" ht="51.75" thickBot="1" x14ac:dyDescent="0.25">
      <c r="B3" s="2"/>
      <c r="C3" s="79" t="s">
        <v>42</v>
      </c>
      <c r="D3" s="80" t="s">
        <v>79</v>
      </c>
      <c r="E3" s="80" t="s">
        <v>40</v>
      </c>
      <c r="F3" s="80" t="s">
        <v>41</v>
      </c>
      <c r="G3" s="80" t="s">
        <v>97</v>
      </c>
      <c r="H3" s="80" t="s">
        <v>87</v>
      </c>
      <c r="I3" s="81" t="s">
        <v>154</v>
      </c>
      <c r="J3" s="83" t="s">
        <v>90</v>
      </c>
      <c r="K3" s="80" t="s">
        <v>171</v>
      </c>
      <c r="L3" s="80" t="s">
        <v>120</v>
      </c>
      <c r="M3" s="80" t="s">
        <v>41</v>
      </c>
      <c r="N3" s="80" t="s">
        <v>98</v>
      </c>
      <c r="O3" s="80" t="s">
        <v>89</v>
      </c>
      <c r="P3" s="81" t="s">
        <v>5</v>
      </c>
      <c r="Q3" s="83" t="s">
        <v>90</v>
      </c>
      <c r="R3" s="80" t="s">
        <v>171</v>
      </c>
      <c r="S3" s="80" t="s">
        <v>120</v>
      </c>
      <c r="T3" s="80" t="s">
        <v>41</v>
      </c>
      <c r="U3" s="80" t="s">
        <v>98</v>
      </c>
      <c r="V3" s="80" t="s">
        <v>147</v>
      </c>
      <c r="W3" s="81" t="s">
        <v>5</v>
      </c>
      <c r="X3" s="83" t="s">
        <v>90</v>
      </c>
      <c r="Y3" s="80" t="s">
        <v>171</v>
      </c>
      <c r="Z3" s="80" t="s">
        <v>120</v>
      </c>
      <c r="AA3" s="80" t="s">
        <v>41</v>
      </c>
      <c r="AB3" s="80" t="s">
        <v>98</v>
      </c>
      <c r="AC3" s="80" t="s">
        <v>148</v>
      </c>
      <c r="AD3" s="81" t="s">
        <v>5</v>
      </c>
      <c r="AE3" s="83" t="s">
        <v>90</v>
      </c>
      <c r="AF3" s="80" t="s">
        <v>171</v>
      </c>
      <c r="AG3" s="80" t="s">
        <v>120</v>
      </c>
      <c r="AH3" s="80" t="s">
        <v>41</v>
      </c>
      <c r="AI3" s="80" t="s">
        <v>98</v>
      </c>
      <c r="AJ3" s="80" t="s">
        <v>89</v>
      </c>
      <c r="AK3" s="81" t="s">
        <v>5</v>
      </c>
      <c r="AL3" s="83" t="s">
        <v>90</v>
      </c>
      <c r="AM3" s="80" t="s">
        <v>171</v>
      </c>
      <c r="AN3" s="80" t="s">
        <v>120</v>
      </c>
      <c r="AO3" s="80" t="s">
        <v>41</v>
      </c>
      <c r="AP3" s="80" t="s">
        <v>98</v>
      </c>
      <c r="AQ3" s="80" t="s">
        <v>146</v>
      </c>
      <c r="AR3" s="80" t="s">
        <v>145</v>
      </c>
      <c r="AS3" s="81" t="s">
        <v>5</v>
      </c>
      <c r="AU3" s="115" t="s">
        <v>104</v>
      </c>
    </row>
    <row r="4" spans="2:47" x14ac:dyDescent="0.2">
      <c r="B4" s="2" t="s">
        <v>126</v>
      </c>
      <c r="C4" s="78">
        <v>271456</v>
      </c>
      <c r="D4">
        <v>63189</v>
      </c>
      <c r="E4">
        <v>43103</v>
      </c>
      <c r="G4" s="112">
        <f>SUM(C4:F4)</f>
        <v>377748</v>
      </c>
      <c r="H4" s="78">
        <f>'2010 IRP '!H71</f>
        <v>101270</v>
      </c>
      <c r="I4" s="105">
        <f>G4/H4</f>
        <v>3.7301076330601362</v>
      </c>
      <c r="J4" s="78">
        <v>19640865</v>
      </c>
      <c r="K4" s="78">
        <v>4688388</v>
      </c>
      <c r="L4" s="78">
        <v>2434531</v>
      </c>
      <c r="N4" s="78">
        <f>SUM(J4:M4)</f>
        <v>26763784</v>
      </c>
      <c r="O4" s="78">
        <f>'2010 IRP '!I71</f>
        <v>22907000</v>
      </c>
      <c r="P4" s="107">
        <f>N4/O4</f>
        <v>1.1683670493735538</v>
      </c>
      <c r="Q4" s="78">
        <v>13595</v>
      </c>
      <c r="R4" s="78">
        <v>3798</v>
      </c>
      <c r="S4" s="78">
        <v>1842</v>
      </c>
      <c r="T4" s="78"/>
      <c r="U4" s="78">
        <f>SUM(Q4:T4)</f>
        <v>19235</v>
      </c>
      <c r="V4">
        <v>106</v>
      </c>
      <c r="X4" s="84">
        <v>663424</v>
      </c>
      <c r="Y4" s="84">
        <v>194293</v>
      </c>
      <c r="Z4" s="84">
        <v>35109</v>
      </c>
      <c r="AA4" s="84"/>
      <c r="AB4" s="84">
        <f>SUM(X4:AA4)</f>
        <v>892826</v>
      </c>
      <c r="AC4" s="84">
        <f>'2010 IRP '!I88</f>
        <v>891225</v>
      </c>
      <c r="AD4" s="109">
        <f>AB4/AC4</f>
        <v>1.0017964038261944</v>
      </c>
      <c r="AE4" s="84">
        <v>289742</v>
      </c>
      <c r="AF4" s="84">
        <v>192187</v>
      </c>
      <c r="AG4" s="84">
        <v>148368</v>
      </c>
      <c r="AH4" s="84"/>
      <c r="AI4" s="84"/>
      <c r="AJ4" s="84">
        <f>'2010 IRP '!J88</f>
        <v>1277454</v>
      </c>
      <c r="AK4" s="110">
        <f>AE4/AJ4</f>
        <v>0.22681208090467445</v>
      </c>
      <c r="AL4" s="84">
        <f>AE4+X4</f>
        <v>953166</v>
      </c>
      <c r="AM4" s="84">
        <v>388548</v>
      </c>
      <c r="AN4" s="84">
        <v>183477</v>
      </c>
      <c r="AQ4" s="84">
        <f>SUM(AL4:AO4)</f>
        <v>1525191</v>
      </c>
      <c r="AR4" s="84">
        <f>'2010 IRP '!K88</f>
        <v>2168679</v>
      </c>
      <c r="AU4" s="116">
        <f>AQ4/N4</f>
        <v>5.6987121103652609E-2</v>
      </c>
    </row>
    <row r="5" spans="2:47" x14ac:dyDescent="0.2">
      <c r="B5" s="2" t="s">
        <v>121</v>
      </c>
      <c r="C5" s="78" t="s">
        <v>122</v>
      </c>
      <c r="D5">
        <v>2258</v>
      </c>
      <c r="E5">
        <v>398</v>
      </c>
      <c r="G5" s="112">
        <f>SUM(D5:F5)</f>
        <v>2656</v>
      </c>
      <c r="H5" s="78"/>
      <c r="I5" s="110"/>
      <c r="J5" s="78">
        <f>5959910-1319797</f>
        <v>4640113</v>
      </c>
      <c r="K5" s="78">
        <v>1319797</v>
      </c>
      <c r="L5" s="78">
        <v>167255</v>
      </c>
      <c r="N5" s="78">
        <f>SUM(J5:M5)</f>
        <v>6127165</v>
      </c>
      <c r="O5" s="78"/>
      <c r="P5" s="110"/>
      <c r="Q5" s="78"/>
      <c r="R5" s="78">
        <v>183</v>
      </c>
      <c r="S5" s="78">
        <v>28</v>
      </c>
      <c r="T5" s="78"/>
      <c r="U5" s="78"/>
      <c r="X5" s="84"/>
      <c r="Y5" s="84">
        <v>196361</v>
      </c>
      <c r="Z5" s="84">
        <v>10605</v>
      </c>
      <c r="AA5" s="84"/>
      <c r="AB5" s="84"/>
      <c r="AC5" s="84"/>
      <c r="AD5" s="110"/>
      <c r="AE5" s="84">
        <v>0</v>
      </c>
      <c r="AF5" s="84">
        <v>281729</v>
      </c>
      <c r="AG5" s="84">
        <v>298732</v>
      </c>
      <c r="AH5" s="84"/>
      <c r="AI5" s="84"/>
      <c r="AJ5" s="84"/>
      <c r="AK5" s="110"/>
      <c r="AL5" s="84">
        <v>0</v>
      </c>
      <c r="AM5" s="84">
        <v>476022</v>
      </c>
      <c r="AN5" s="84">
        <v>309337</v>
      </c>
      <c r="AO5" s="84"/>
      <c r="AQ5" s="84">
        <f t="shared" ref="AQ5:AQ16" si="0">SUM(AL5:AO5)</f>
        <v>785359</v>
      </c>
      <c r="AR5" s="84"/>
      <c r="AU5" s="116">
        <f t="shared" ref="AU5:AU17" si="1">AQ5/N5</f>
        <v>0.12817657105692437</v>
      </c>
    </row>
    <row r="6" spans="2:47" ht="25.5" x14ac:dyDescent="0.2">
      <c r="B6" s="2" t="s">
        <v>194</v>
      </c>
      <c r="C6" s="78">
        <v>1561</v>
      </c>
      <c r="D6">
        <v>2610</v>
      </c>
      <c r="E6">
        <v>4672</v>
      </c>
      <c r="G6" s="78">
        <f t="shared" ref="G6:G12" si="2">SUM(C6:F6)</f>
        <v>8843</v>
      </c>
      <c r="H6" s="78">
        <f>'2010 IRP '!J50</f>
        <v>14836</v>
      </c>
      <c r="I6" s="105">
        <f t="shared" ref="I6:I13" si="3">G6/H6</f>
        <v>0.59605014828794822</v>
      </c>
      <c r="J6" s="78">
        <v>1718661</v>
      </c>
      <c r="K6" s="78">
        <v>2873610</v>
      </c>
      <c r="L6" s="78">
        <v>5143872</v>
      </c>
      <c r="N6" s="78">
        <f t="shared" ref="N6:N16" si="4">SUM(J6:M6)</f>
        <v>9736143</v>
      </c>
      <c r="O6" s="78">
        <f>'2010 IRP '!I50</f>
        <v>12251000</v>
      </c>
      <c r="P6" s="107">
        <f t="shared" ref="P6:P16" si="5">N6/O6</f>
        <v>0.79472230838298918</v>
      </c>
      <c r="Q6" s="78">
        <v>250</v>
      </c>
      <c r="R6" s="78">
        <v>418</v>
      </c>
      <c r="S6" s="78">
        <v>748</v>
      </c>
      <c r="T6" s="78"/>
      <c r="U6" s="78">
        <f t="shared" ref="U6:U17" si="6">SUM(Q6:T6)</f>
        <v>1416</v>
      </c>
      <c r="V6">
        <v>17</v>
      </c>
      <c r="W6" s="107">
        <f>U6/V6</f>
        <v>83.294117647058826</v>
      </c>
      <c r="X6" s="84">
        <v>35145</v>
      </c>
      <c r="Y6" s="84">
        <v>73045</v>
      </c>
      <c r="Z6" s="84">
        <v>172563</v>
      </c>
      <c r="AA6" s="84"/>
      <c r="AB6" s="84">
        <f t="shared" ref="AB6:AB17" si="7">SUM(X6:AA6)</f>
        <v>280753</v>
      </c>
      <c r="AC6" s="84">
        <f>'2010 IRP '!I89</f>
        <v>395287</v>
      </c>
      <c r="AD6" s="109">
        <f t="shared" ref="AD6:AD17" si="8">AB6/AC6</f>
        <v>0.71025103279389401</v>
      </c>
      <c r="AE6" s="84">
        <v>211523</v>
      </c>
      <c r="AF6" s="84">
        <v>425759</v>
      </c>
      <c r="AG6" s="84">
        <v>831659</v>
      </c>
      <c r="AH6" s="84"/>
      <c r="AI6" s="84"/>
      <c r="AJ6" s="84">
        <f>'2010 IRP '!J89</f>
        <v>1883381</v>
      </c>
      <c r="AK6" s="110">
        <f t="shared" ref="AK6:AK17" si="9">AE6/AJ6</f>
        <v>0.11231025480240057</v>
      </c>
      <c r="AL6" s="84">
        <f t="shared" ref="AL6:AL17" si="10">AE6+X6</f>
        <v>246668</v>
      </c>
      <c r="AM6" s="84">
        <v>498804</v>
      </c>
      <c r="AN6" s="84">
        <v>1004222</v>
      </c>
      <c r="AQ6" s="84">
        <f t="shared" si="0"/>
        <v>1749694</v>
      </c>
      <c r="AR6" s="84">
        <f>'2010 IRP '!K89</f>
        <v>2278668</v>
      </c>
      <c r="AU6" s="116">
        <f>AQ6/N6</f>
        <v>0.17971120596729115</v>
      </c>
    </row>
    <row r="7" spans="2:47" ht="38.25" x14ac:dyDescent="0.2">
      <c r="B7" s="2" t="s">
        <v>172</v>
      </c>
      <c r="C7" s="78">
        <v>0</v>
      </c>
      <c r="D7">
        <v>115</v>
      </c>
      <c r="E7">
        <v>351</v>
      </c>
      <c r="G7" s="78">
        <f t="shared" si="2"/>
        <v>466</v>
      </c>
      <c r="H7" s="121">
        <f>'2010 IRP '!H46</f>
        <v>8098</v>
      </c>
      <c r="I7" s="105"/>
      <c r="J7" s="78">
        <v>0</v>
      </c>
      <c r="K7" s="78">
        <v>92000</v>
      </c>
      <c r="L7" s="78">
        <v>280800</v>
      </c>
      <c r="N7" s="78">
        <f t="shared" si="4"/>
        <v>372800</v>
      </c>
      <c r="O7" s="121">
        <f>'2010 IRP '!I46</f>
        <v>10861604</v>
      </c>
      <c r="P7" s="107">
        <f t="shared" si="5"/>
        <v>3.4322739072424294E-2</v>
      </c>
      <c r="Q7" s="78">
        <v>0</v>
      </c>
      <c r="R7" s="78">
        <v>45</v>
      </c>
      <c r="S7" s="78">
        <v>137</v>
      </c>
      <c r="T7" s="78"/>
      <c r="U7" s="78">
        <f t="shared" si="6"/>
        <v>182</v>
      </c>
      <c r="V7" s="120">
        <v>36</v>
      </c>
      <c r="W7" s="122">
        <f>U8/V7</f>
        <v>5.833333333333333</v>
      </c>
      <c r="X7" s="119">
        <v>56100</v>
      </c>
      <c r="Y7" s="119">
        <v>62750</v>
      </c>
      <c r="Z7" s="119">
        <v>204350</v>
      </c>
      <c r="AA7" s="84"/>
      <c r="AB7" s="84">
        <f t="shared" si="7"/>
        <v>323200</v>
      </c>
      <c r="AC7" s="119">
        <f>'2010 IRP '!I90</f>
        <v>2384996</v>
      </c>
      <c r="AD7" s="109">
        <f t="shared" si="8"/>
        <v>0.13551385411128572</v>
      </c>
      <c r="AE7" s="119">
        <v>94345</v>
      </c>
      <c r="AF7" s="119">
        <v>180169</v>
      </c>
      <c r="AG7" s="84">
        <v>676870</v>
      </c>
      <c r="AH7" s="84"/>
      <c r="AI7" s="84"/>
      <c r="AJ7" s="119">
        <f>'2010 IRP '!J90</f>
        <v>1364022</v>
      </c>
      <c r="AK7" s="110">
        <f t="shared" si="9"/>
        <v>6.9166772969937437E-2</v>
      </c>
      <c r="AL7" s="119">
        <f t="shared" si="10"/>
        <v>150445</v>
      </c>
      <c r="AM7" s="119">
        <v>242919</v>
      </c>
      <c r="AN7" s="84"/>
      <c r="AO7" s="119"/>
      <c r="AP7" s="119"/>
      <c r="AQ7" s="119">
        <f>SUM(AL7:AO7)</f>
        <v>393364</v>
      </c>
      <c r="AR7" s="119">
        <f>'2010 IRP '!K90</f>
        <v>3749018</v>
      </c>
      <c r="AU7" s="123">
        <f>AQ7/(N7+N8)</f>
        <v>0.41192190569538867</v>
      </c>
    </row>
    <row r="8" spans="2:47" ht="38.25" x14ac:dyDescent="0.2">
      <c r="B8" s="2" t="s">
        <v>24</v>
      </c>
      <c r="C8" s="78">
        <v>197</v>
      </c>
      <c r="D8">
        <v>141</v>
      </c>
      <c r="E8">
        <v>138</v>
      </c>
      <c r="G8" s="78">
        <f t="shared" si="2"/>
        <v>476</v>
      </c>
      <c r="H8" s="121"/>
      <c r="I8" s="105">
        <f>G8/H7</f>
        <v>5.8779945665596446E-2</v>
      </c>
      <c r="J8" s="78">
        <v>240931</v>
      </c>
      <c r="K8" s="78">
        <v>172443</v>
      </c>
      <c r="L8" s="78">
        <v>168774</v>
      </c>
      <c r="N8" s="78">
        <f>SUM(J8:M8)</f>
        <v>582148</v>
      </c>
      <c r="O8" s="120"/>
      <c r="P8" s="107">
        <f>N8/O7</f>
        <v>5.3596872064199726E-2</v>
      </c>
      <c r="Q8" s="78">
        <v>87</v>
      </c>
      <c r="R8" s="78">
        <v>62</v>
      </c>
      <c r="S8" s="78">
        <v>61</v>
      </c>
      <c r="T8" s="78"/>
      <c r="U8" s="78">
        <f t="shared" si="6"/>
        <v>210</v>
      </c>
      <c r="V8" s="120"/>
      <c r="W8" s="122"/>
      <c r="X8" s="119"/>
      <c r="Y8" s="119"/>
      <c r="Z8" s="120"/>
      <c r="AA8" s="84"/>
      <c r="AB8" s="84">
        <f t="shared" si="7"/>
        <v>0</v>
      </c>
      <c r="AC8" s="119"/>
      <c r="AD8" s="109">
        <v>0</v>
      </c>
      <c r="AE8" s="119"/>
      <c r="AF8" s="119"/>
      <c r="AH8" s="84"/>
      <c r="AI8" s="84"/>
      <c r="AJ8" s="119"/>
      <c r="AK8" s="110">
        <v>0</v>
      </c>
      <c r="AL8" s="120"/>
      <c r="AM8" s="120"/>
      <c r="AN8" s="84">
        <v>881220</v>
      </c>
      <c r="AO8" s="120"/>
      <c r="AP8" s="120"/>
      <c r="AQ8" s="120"/>
      <c r="AR8" s="120"/>
      <c r="AU8" s="123"/>
    </row>
    <row r="9" spans="2:47" ht="25.5" x14ac:dyDescent="0.2">
      <c r="B9" s="2" t="s">
        <v>124</v>
      </c>
      <c r="C9" s="78">
        <v>1933</v>
      </c>
      <c r="D9">
        <v>1964</v>
      </c>
      <c r="E9">
        <v>591</v>
      </c>
      <c r="G9" s="112">
        <f>SUM(C9:F9)</f>
        <v>4488</v>
      </c>
      <c r="H9" s="106"/>
      <c r="I9" s="110"/>
      <c r="J9" s="78"/>
      <c r="K9" s="78">
        <v>1860776</v>
      </c>
      <c r="L9" s="78">
        <v>790824</v>
      </c>
      <c r="N9" s="78">
        <f>SUM(K9:M9)</f>
        <v>2651600</v>
      </c>
      <c r="O9" s="87"/>
      <c r="P9" s="110"/>
      <c r="Q9" s="78"/>
      <c r="R9" s="78">
        <v>390</v>
      </c>
      <c r="S9" s="78">
        <v>174</v>
      </c>
      <c r="T9" s="78"/>
      <c r="U9" s="78"/>
      <c r="V9" s="87"/>
      <c r="W9" s="108"/>
      <c r="X9" s="85"/>
      <c r="Y9" s="119">
        <v>1487168</v>
      </c>
      <c r="Z9" s="119">
        <v>1456120</v>
      </c>
      <c r="AA9" s="84"/>
      <c r="AB9" s="84"/>
      <c r="AC9" s="85"/>
      <c r="AD9" s="110"/>
      <c r="AE9" s="85"/>
      <c r="AF9" s="119">
        <v>545457</v>
      </c>
      <c r="AG9" s="84">
        <v>483512</v>
      </c>
      <c r="AH9" s="84"/>
      <c r="AI9" s="84"/>
      <c r="AJ9" s="85"/>
      <c r="AK9" s="110"/>
      <c r="AL9" s="119">
        <f>AE10+X10</f>
        <v>1005712</v>
      </c>
      <c r="AM9" s="119">
        <v>2032625</v>
      </c>
      <c r="AN9" s="84"/>
      <c r="AO9" s="120"/>
      <c r="AP9" s="120"/>
      <c r="AQ9" s="119">
        <f>SUM(AL9:AO9)</f>
        <v>3038337</v>
      </c>
      <c r="AR9" s="87"/>
      <c r="AU9" s="123">
        <f>AQ9/(N9+N10)</f>
        <v>0.30011808801137518</v>
      </c>
    </row>
    <row r="10" spans="2:47" ht="25.5" x14ac:dyDescent="0.2">
      <c r="B10" s="2" t="s">
        <v>125</v>
      </c>
      <c r="C10" t="s">
        <v>123</v>
      </c>
      <c r="D10">
        <v>3111</v>
      </c>
      <c r="E10">
        <v>1877</v>
      </c>
      <c r="G10" s="112">
        <f>SUM(D10:F10)</f>
        <v>4988</v>
      </c>
      <c r="H10" s="78">
        <f>'2010 IRP '!H62</f>
        <v>6062</v>
      </c>
      <c r="I10" s="105">
        <f t="shared" si="3"/>
        <v>0.82283074892774666</v>
      </c>
      <c r="J10" s="78">
        <v>3447629</v>
      </c>
      <c r="K10" s="78">
        <v>2734352</v>
      </c>
      <c r="L10" s="78">
        <v>1290224</v>
      </c>
      <c r="N10" s="78">
        <f t="shared" si="4"/>
        <v>7472205</v>
      </c>
      <c r="O10" s="78">
        <f>'2010 IRP '!I62</f>
        <v>4773726</v>
      </c>
      <c r="P10" s="107">
        <f t="shared" si="5"/>
        <v>1.5652773116848349</v>
      </c>
      <c r="Q10" s="78">
        <v>474</v>
      </c>
      <c r="R10" s="78">
        <v>1288</v>
      </c>
      <c r="S10" s="78">
        <v>471</v>
      </c>
      <c r="T10" s="78"/>
      <c r="U10" s="78">
        <f t="shared" si="6"/>
        <v>2233</v>
      </c>
      <c r="V10">
        <v>15</v>
      </c>
      <c r="W10" s="107">
        <f>U10/V10</f>
        <v>148.86666666666667</v>
      </c>
      <c r="X10" s="84">
        <v>588792</v>
      </c>
      <c r="Y10" s="119"/>
      <c r="Z10" s="120"/>
      <c r="AA10" s="84"/>
      <c r="AB10" s="84">
        <f t="shared" si="7"/>
        <v>588792</v>
      </c>
      <c r="AC10" s="84">
        <f>'2010 IRP '!I87</f>
        <v>1222720</v>
      </c>
      <c r="AD10" s="109">
        <f t="shared" si="8"/>
        <v>0.48154278984559018</v>
      </c>
      <c r="AE10" s="84">
        <v>416920</v>
      </c>
      <c r="AF10" s="119"/>
      <c r="AG10" s="84"/>
      <c r="AH10" s="84"/>
      <c r="AI10" s="84"/>
      <c r="AJ10" s="84">
        <f>'2010 IRP '!J87</f>
        <v>2479619</v>
      </c>
      <c r="AK10" s="110">
        <f t="shared" si="9"/>
        <v>0.16813873421682929</v>
      </c>
      <c r="AL10" s="120"/>
      <c r="AM10" s="120"/>
      <c r="AN10" s="84">
        <v>1939632</v>
      </c>
      <c r="AO10" s="120"/>
      <c r="AP10" s="120"/>
      <c r="AQ10" s="120"/>
      <c r="AR10" s="84">
        <f>'2010 IRP '!K87</f>
        <v>3702339</v>
      </c>
      <c r="AU10" s="120"/>
    </row>
    <row r="11" spans="2:47" ht="25.5" x14ac:dyDescent="0.2">
      <c r="B11" s="2" t="s">
        <v>13</v>
      </c>
      <c r="C11" s="78">
        <v>274</v>
      </c>
      <c r="D11">
        <v>314</v>
      </c>
      <c r="E11">
        <v>213</v>
      </c>
      <c r="G11" s="78">
        <f t="shared" si="2"/>
        <v>801</v>
      </c>
      <c r="H11" s="78">
        <f>'2010 IRP '!H78</f>
        <v>127457</v>
      </c>
      <c r="I11" s="105">
        <f>G11/H11</f>
        <v>6.2844724103030825E-3</v>
      </c>
      <c r="J11" s="78">
        <v>149056</v>
      </c>
      <c r="K11" s="78">
        <v>170816</v>
      </c>
      <c r="L11" s="78">
        <v>115872</v>
      </c>
      <c r="N11" s="78">
        <f t="shared" si="4"/>
        <v>435744</v>
      </c>
      <c r="O11" s="78">
        <f>'2010 IRP '!I75</f>
        <v>489600</v>
      </c>
      <c r="P11" s="107">
        <f>N11/O11</f>
        <v>0.89</v>
      </c>
      <c r="Q11" s="78">
        <v>27</v>
      </c>
      <c r="R11" s="78">
        <v>31</v>
      </c>
      <c r="S11" s="78">
        <v>21</v>
      </c>
      <c r="T11" s="78"/>
      <c r="U11" s="78">
        <f t="shared" si="6"/>
        <v>79</v>
      </c>
      <c r="V11">
        <v>1</v>
      </c>
      <c r="W11" s="107">
        <f>U11/V11</f>
        <v>79</v>
      </c>
      <c r="X11" s="84">
        <v>0</v>
      </c>
      <c r="Y11" s="84">
        <v>0</v>
      </c>
      <c r="Z11" s="84">
        <v>0</v>
      </c>
      <c r="AA11" s="84"/>
      <c r="AB11" s="84">
        <f t="shared" si="7"/>
        <v>0</v>
      </c>
      <c r="AC11" s="84">
        <f>'2010 IRP '!I86</f>
        <v>45675</v>
      </c>
      <c r="AD11" s="109">
        <f t="shared" si="8"/>
        <v>0</v>
      </c>
      <c r="AE11" s="84">
        <v>115</v>
      </c>
      <c r="AF11" s="84">
        <v>16357</v>
      </c>
      <c r="AG11" s="84">
        <v>12832</v>
      </c>
      <c r="AH11" s="84"/>
      <c r="AI11" s="84"/>
      <c r="AJ11" s="84">
        <f>'2010 IRP '!J86</f>
        <v>159880</v>
      </c>
      <c r="AK11" s="110">
        <f t="shared" si="9"/>
        <v>7.1928946710032523E-4</v>
      </c>
      <c r="AL11" s="84">
        <f t="shared" si="10"/>
        <v>115</v>
      </c>
      <c r="AM11" s="113">
        <v>16357</v>
      </c>
      <c r="AN11" s="84">
        <v>12832</v>
      </c>
      <c r="AQ11" s="84">
        <f t="shared" si="0"/>
        <v>29304</v>
      </c>
      <c r="AR11" s="84">
        <f>'2010 IRP '!K86</f>
        <v>205555</v>
      </c>
      <c r="AU11" s="116">
        <f t="shared" si="1"/>
        <v>6.7250495703899543E-2</v>
      </c>
    </row>
    <row r="12" spans="2:47" x14ac:dyDescent="0.2">
      <c r="B12" s="2" t="s">
        <v>14</v>
      </c>
      <c r="C12" s="78">
        <v>-9</v>
      </c>
      <c r="D12">
        <v>-16</v>
      </c>
      <c r="E12">
        <v>-1139</v>
      </c>
      <c r="G12" s="78">
        <f t="shared" si="2"/>
        <v>-1164</v>
      </c>
      <c r="H12" s="78">
        <v>0</v>
      </c>
      <c r="I12" s="105">
        <v>0</v>
      </c>
      <c r="J12" s="78">
        <v>0</v>
      </c>
      <c r="K12" s="78">
        <v>0</v>
      </c>
      <c r="L12" s="78">
        <v>0</v>
      </c>
      <c r="N12" s="78">
        <f t="shared" si="4"/>
        <v>0</v>
      </c>
      <c r="O12">
        <v>0</v>
      </c>
      <c r="P12" s="107" t="e">
        <f t="shared" si="5"/>
        <v>#DIV/0!</v>
      </c>
      <c r="Q12" s="78">
        <v>-18</v>
      </c>
      <c r="R12" s="78">
        <v>-31</v>
      </c>
      <c r="S12" s="78">
        <v>-86</v>
      </c>
      <c r="T12" s="78"/>
      <c r="U12" s="78">
        <f t="shared" si="6"/>
        <v>-135</v>
      </c>
      <c r="V12">
        <v>0</v>
      </c>
      <c r="W12" s="107">
        <v>0</v>
      </c>
      <c r="X12" s="84">
        <v>20</v>
      </c>
      <c r="Y12" s="84">
        <v>840</v>
      </c>
      <c r="Z12" s="84">
        <v>780</v>
      </c>
      <c r="AA12" s="84"/>
      <c r="AB12" s="84">
        <f t="shared" si="7"/>
        <v>1640</v>
      </c>
      <c r="AC12" s="84">
        <v>0</v>
      </c>
      <c r="AD12" s="109">
        <v>0</v>
      </c>
      <c r="AE12" s="84">
        <v>366669</v>
      </c>
      <c r="AF12" s="84">
        <v>596596</v>
      </c>
      <c r="AG12" s="84">
        <v>1761035</v>
      </c>
      <c r="AH12" s="84"/>
      <c r="AI12" s="84"/>
      <c r="AJ12" s="84">
        <v>0</v>
      </c>
      <c r="AK12" s="110">
        <v>0</v>
      </c>
      <c r="AL12" s="84">
        <f t="shared" si="10"/>
        <v>366689</v>
      </c>
      <c r="AM12" s="113">
        <v>597423</v>
      </c>
      <c r="AN12" s="84">
        <v>1761815</v>
      </c>
      <c r="AQ12" s="84">
        <f t="shared" si="0"/>
        <v>2725927</v>
      </c>
      <c r="AR12" s="84">
        <v>0</v>
      </c>
      <c r="AU12" s="116" t="e">
        <f t="shared" si="1"/>
        <v>#DIV/0!</v>
      </c>
    </row>
    <row r="13" spans="2:47" x14ac:dyDescent="0.2">
      <c r="B13" s="24" t="s">
        <v>109</v>
      </c>
      <c r="C13" s="78">
        <f>SUM(C4:C12)</f>
        <v>275412</v>
      </c>
      <c r="D13" s="78">
        <f>SUM(D4:D12)</f>
        <v>73686</v>
      </c>
      <c r="E13">
        <f>SUM(E4:E12)</f>
        <v>50204</v>
      </c>
      <c r="G13" s="78">
        <f>SUM(C13:F13)</f>
        <v>399302</v>
      </c>
      <c r="H13" s="78">
        <f>SUM(H4:H12)</f>
        <v>257723</v>
      </c>
      <c r="I13" s="105">
        <f t="shared" si="3"/>
        <v>1.5493456152535863</v>
      </c>
      <c r="J13" s="78">
        <f>SUM(J4:J12)</f>
        <v>29837255</v>
      </c>
      <c r="K13" s="78">
        <f>SUM(K4:K12)</f>
        <v>13912182</v>
      </c>
      <c r="L13" s="78">
        <f>SUM(L4:L12)</f>
        <v>10392152</v>
      </c>
      <c r="N13" s="78">
        <f>SUM(J13:M13)</f>
        <v>54141589</v>
      </c>
      <c r="O13" s="78">
        <f>SUM(O4:O12)</f>
        <v>51282930</v>
      </c>
      <c r="P13" s="107">
        <f t="shared" si="5"/>
        <v>1.0557428953454882</v>
      </c>
      <c r="Q13" s="78">
        <f>SUM(Q4:Q12)</f>
        <v>14415</v>
      </c>
      <c r="R13" s="78">
        <f>SUM(R4:R12)</f>
        <v>6184</v>
      </c>
      <c r="S13" s="78">
        <f>SUM(S4:S12)</f>
        <v>3396</v>
      </c>
      <c r="T13" s="78"/>
      <c r="U13" s="112">
        <f t="shared" si="6"/>
        <v>23995</v>
      </c>
      <c r="V13">
        <f>SUM(V4:V12)</f>
        <v>175</v>
      </c>
      <c r="W13" s="107">
        <f>U13/V13</f>
        <v>137.11428571428573</v>
      </c>
      <c r="X13" s="84">
        <f>SUM(X4:X12)</f>
        <v>1343481</v>
      </c>
      <c r="Y13" s="84">
        <f>SUM(Y4:Y12)</f>
        <v>2014457</v>
      </c>
      <c r="Z13" s="84">
        <f>SUM(Z4:Z12)</f>
        <v>1879527</v>
      </c>
      <c r="AA13" s="84"/>
      <c r="AB13" s="84">
        <f t="shared" si="7"/>
        <v>5237465</v>
      </c>
      <c r="AC13" s="84">
        <f>SUM(AC4:AC12)</f>
        <v>4939903</v>
      </c>
      <c r="AD13" s="109">
        <f t="shared" si="8"/>
        <v>1.060236405451686</v>
      </c>
      <c r="AE13" s="84">
        <f>SUM(AE4:AE12)</f>
        <v>1379314</v>
      </c>
      <c r="AF13" s="84">
        <f>SUM(AF4:AF12)</f>
        <v>2238254</v>
      </c>
      <c r="AG13" s="84">
        <f>SUM(AG4:AG12)</f>
        <v>4213008</v>
      </c>
      <c r="AH13" s="84"/>
      <c r="AI13" s="84"/>
      <c r="AJ13" s="84">
        <f>SUM(AJ4:AJ12)</f>
        <v>7164356</v>
      </c>
      <c r="AK13" s="110">
        <f t="shared" si="9"/>
        <v>0.19252449208274966</v>
      </c>
      <c r="AL13" s="84">
        <f t="shared" si="10"/>
        <v>2722795</v>
      </c>
      <c r="AM13" s="114">
        <f>SUM(AM4:AM12)</f>
        <v>4252698</v>
      </c>
      <c r="AN13" s="117">
        <f>SUM(AN4:AN12)</f>
        <v>6092535</v>
      </c>
      <c r="AQ13" s="84">
        <f t="shared" si="0"/>
        <v>13068028</v>
      </c>
      <c r="AR13" s="84"/>
      <c r="AU13" s="116">
        <f t="shared" si="1"/>
        <v>0.24136764807549332</v>
      </c>
    </row>
    <row r="14" spans="2:47" ht="25.5" x14ac:dyDescent="0.2">
      <c r="B14" s="2" t="s">
        <v>199</v>
      </c>
      <c r="C14" s="78">
        <v>280</v>
      </c>
      <c r="D14">
        <v>302</v>
      </c>
      <c r="E14">
        <v>249</v>
      </c>
      <c r="G14" s="78">
        <f t="shared" ref="G14:G17" si="11">SUM(C14:F14)</f>
        <v>831</v>
      </c>
      <c r="H14" s="78">
        <f>'2010 IRP '!H14</f>
        <v>337</v>
      </c>
      <c r="I14" s="105">
        <f>G14/H14</f>
        <v>2.4658753709198815</v>
      </c>
      <c r="J14" s="78">
        <v>32661400</v>
      </c>
      <c r="K14" s="78">
        <v>19641745</v>
      </c>
      <c r="L14" s="78">
        <v>23862070</v>
      </c>
      <c r="N14" s="78">
        <f>SUM(J14:M14)</f>
        <v>76165215</v>
      </c>
      <c r="O14" s="78">
        <f>'2010 IRP '!I14</f>
        <v>89560000</v>
      </c>
      <c r="P14" s="107">
        <f t="shared" si="5"/>
        <v>0.85043786288521661</v>
      </c>
      <c r="Q14" s="78">
        <v>5958</v>
      </c>
      <c r="R14" s="78">
        <v>4038</v>
      </c>
      <c r="S14" s="78">
        <v>6397</v>
      </c>
      <c r="T14" s="78"/>
      <c r="U14" s="78">
        <f t="shared" si="6"/>
        <v>16393</v>
      </c>
      <c r="V14">
        <v>241</v>
      </c>
      <c r="W14" s="107">
        <f t="shared" ref="W14:W17" si="12">U14/V14</f>
        <v>68.020746887966808</v>
      </c>
      <c r="X14" s="84">
        <v>383940</v>
      </c>
      <c r="Y14" s="84">
        <v>675685</v>
      </c>
      <c r="Z14" s="84">
        <v>629590</v>
      </c>
      <c r="AA14" s="84"/>
      <c r="AB14" s="84">
        <f t="shared" si="7"/>
        <v>1689215</v>
      </c>
      <c r="AC14" s="84">
        <f>'2010 IRP '!I84</f>
        <v>2118745</v>
      </c>
      <c r="AD14" s="109">
        <f t="shared" si="8"/>
        <v>0.79727149798583596</v>
      </c>
      <c r="AE14" s="84">
        <v>317029</v>
      </c>
      <c r="AF14" s="84">
        <v>596200</v>
      </c>
      <c r="AG14" s="84">
        <v>802521</v>
      </c>
      <c r="AH14" s="84"/>
      <c r="AI14" s="84"/>
      <c r="AJ14" s="84">
        <f>'2010 IRP '!J84</f>
        <v>1073323</v>
      </c>
      <c r="AK14" s="110">
        <f t="shared" si="9"/>
        <v>0.29537147717881757</v>
      </c>
      <c r="AL14" s="84">
        <f t="shared" si="10"/>
        <v>700969</v>
      </c>
      <c r="AM14" s="113">
        <v>1271885</v>
      </c>
      <c r="AN14" s="84">
        <v>1432111</v>
      </c>
      <c r="AQ14" s="84">
        <f t="shared" si="0"/>
        <v>3404965</v>
      </c>
      <c r="AR14" s="84">
        <f>'2010 IRP '!K84</f>
        <v>3192068</v>
      </c>
      <c r="AU14" s="116">
        <f t="shared" si="1"/>
        <v>4.4704987703376144E-2</v>
      </c>
    </row>
    <row r="15" spans="2:47" ht="25.5" x14ac:dyDescent="0.2">
      <c r="B15" s="2" t="s">
        <v>200</v>
      </c>
      <c r="C15" s="78">
        <v>389</v>
      </c>
      <c r="D15">
        <v>185</v>
      </c>
      <c r="E15">
        <v>264</v>
      </c>
      <c r="G15" s="78">
        <f t="shared" si="11"/>
        <v>838</v>
      </c>
      <c r="H15" s="78">
        <f>'2010 IRP '!H40</f>
        <v>5569</v>
      </c>
      <c r="I15" s="105">
        <f t="shared" ref="I15:I17" si="13">G15/H15</f>
        <v>0.15047584844675885</v>
      </c>
      <c r="J15" s="78">
        <v>16376500</v>
      </c>
      <c r="K15" s="78">
        <v>11271775</v>
      </c>
      <c r="L15" s="78">
        <v>12309653</v>
      </c>
      <c r="N15" s="78">
        <f t="shared" si="4"/>
        <v>39957928</v>
      </c>
      <c r="O15" s="78">
        <f>'2010 IRP '!I39</f>
        <v>61922000</v>
      </c>
      <c r="P15" s="107">
        <f t="shared" si="5"/>
        <v>0.64529453183036722</v>
      </c>
      <c r="Q15" s="78">
        <v>4227</v>
      </c>
      <c r="R15" s="78">
        <v>3121</v>
      </c>
      <c r="S15" s="78">
        <v>2593</v>
      </c>
      <c r="T15" s="78"/>
      <c r="U15" s="78">
        <f t="shared" si="6"/>
        <v>9941</v>
      </c>
      <c r="V15">
        <v>245</v>
      </c>
      <c r="W15" s="107">
        <f t="shared" si="12"/>
        <v>40.575510204081631</v>
      </c>
      <c r="X15" s="84">
        <v>146806</v>
      </c>
      <c r="Y15" s="84">
        <v>209046</v>
      </c>
      <c r="Z15" s="84">
        <v>277342</v>
      </c>
      <c r="AA15" s="84"/>
      <c r="AB15" s="84">
        <f t="shared" si="7"/>
        <v>633194</v>
      </c>
      <c r="AC15" s="84">
        <f>'2010 IRP '!I83</f>
        <v>2591672</v>
      </c>
      <c r="AD15" s="109">
        <f t="shared" si="8"/>
        <v>0.24431872551773526</v>
      </c>
      <c r="AE15" s="84">
        <v>93892</v>
      </c>
      <c r="AF15" s="84">
        <v>380224</v>
      </c>
      <c r="AG15" s="84">
        <v>509821</v>
      </c>
      <c r="AH15" s="84"/>
      <c r="AI15" s="84"/>
      <c r="AJ15" s="84">
        <f>'2010 IRP '!J83</f>
        <v>2663019</v>
      </c>
      <c r="AK15" s="110">
        <f t="shared" si="9"/>
        <v>3.5257728164913578E-2</v>
      </c>
      <c r="AL15" s="84">
        <f t="shared" si="10"/>
        <v>240698</v>
      </c>
      <c r="AM15" s="113">
        <v>589270</v>
      </c>
      <c r="AN15" s="84">
        <v>787163</v>
      </c>
      <c r="AQ15" s="84">
        <f>SUM(AL15:AO15)</f>
        <v>1617131</v>
      </c>
      <c r="AR15" s="84">
        <f>'2010 IRP '!K83</f>
        <v>5254691</v>
      </c>
      <c r="AU15" s="116">
        <f t="shared" si="1"/>
        <v>4.0470842231859469E-2</v>
      </c>
    </row>
    <row r="16" spans="2:47" x14ac:dyDescent="0.2">
      <c r="B16" s="24" t="s">
        <v>110</v>
      </c>
      <c r="C16" s="78">
        <f>SUM(C14:C15)</f>
        <v>669</v>
      </c>
      <c r="D16">
        <f>SUM(D14:D15)</f>
        <v>487</v>
      </c>
      <c r="E16">
        <f>SUM(E14:E15)</f>
        <v>513</v>
      </c>
      <c r="G16" s="78">
        <f t="shared" si="11"/>
        <v>1669</v>
      </c>
      <c r="H16" s="78">
        <f>H15+H14</f>
        <v>5906</v>
      </c>
      <c r="I16" s="105">
        <f t="shared" si="13"/>
        <v>0.28259397223162885</v>
      </c>
      <c r="J16" s="78">
        <f>SUM(J14:J15)</f>
        <v>49037900</v>
      </c>
      <c r="K16" s="78">
        <f>SUM(K14:K15)</f>
        <v>30913520</v>
      </c>
      <c r="L16" s="78">
        <f>SUM(L14:L15)</f>
        <v>36171723</v>
      </c>
      <c r="N16" s="78">
        <f t="shared" si="4"/>
        <v>116123143</v>
      </c>
      <c r="O16" s="78">
        <f>O15+O14</f>
        <v>151482000</v>
      </c>
      <c r="P16" s="107">
        <f t="shared" si="5"/>
        <v>0.76658047160718767</v>
      </c>
      <c r="Q16" s="78">
        <v>10185</v>
      </c>
      <c r="R16" s="78">
        <f>SUM(R14:R15)</f>
        <v>7159</v>
      </c>
      <c r="S16" s="78">
        <f>SUM(S14:S15)</f>
        <v>8990</v>
      </c>
      <c r="T16" s="78"/>
      <c r="U16" s="78">
        <f t="shared" si="6"/>
        <v>26334</v>
      </c>
      <c r="V16">
        <f>V15+V14</f>
        <v>486</v>
      </c>
      <c r="W16" s="107">
        <f t="shared" si="12"/>
        <v>54.185185185185183</v>
      </c>
      <c r="X16" s="84">
        <f>X15+X14</f>
        <v>530746</v>
      </c>
      <c r="Y16" s="84">
        <f>SUM(Y14:Y15)</f>
        <v>884731</v>
      </c>
      <c r="Z16" s="84">
        <f>SUM(Z14:Z15)</f>
        <v>906932</v>
      </c>
      <c r="AA16" s="84"/>
      <c r="AB16" s="84">
        <f t="shared" si="7"/>
        <v>2322409</v>
      </c>
      <c r="AC16" s="84">
        <f>AC15+AC14</f>
        <v>4710417</v>
      </c>
      <c r="AD16" s="109">
        <f t="shared" si="8"/>
        <v>0.49303681606108335</v>
      </c>
      <c r="AE16" s="84">
        <f>SUM(AE14:AE15)</f>
        <v>410921</v>
      </c>
      <c r="AF16" s="84">
        <f>SUM(AF14:AF15)</f>
        <v>976424</v>
      </c>
      <c r="AG16" s="84">
        <f>SUM(AG14:AG15)</f>
        <v>1312342</v>
      </c>
      <c r="AH16" s="84"/>
      <c r="AI16" s="84"/>
      <c r="AJ16" s="84">
        <f>AJ14+AJ15</f>
        <v>3736342</v>
      </c>
      <c r="AK16" s="110">
        <f t="shared" si="9"/>
        <v>0.10997949331190775</v>
      </c>
      <c r="AL16" s="84">
        <f t="shared" si="10"/>
        <v>941667</v>
      </c>
      <c r="AM16" s="113">
        <f>SUM(AM14:AM15)</f>
        <v>1861155</v>
      </c>
      <c r="AN16" s="113">
        <f>SUM(AN14:AN15)</f>
        <v>2219274</v>
      </c>
      <c r="AQ16" s="84">
        <f t="shared" si="0"/>
        <v>5022096</v>
      </c>
      <c r="AR16" s="84"/>
      <c r="AU16" s="116">
        <f t="shared" si="1"/>
        <v>4.3248019905902824E-2</v>
      </c>
    </row>
    <row r="17" spans="2:47" ht="25.5" x14ac:dyDescent="0.2">
      <c r="B17" s="24" t="s">
        <v>111</v>
      </c>
      <c r="C17" s="78">
        <f>C16+C13</f>
        <v>276081</v>
      </c>
      <c r="D17" s="111">
        <f>SUM(D16+D13)</f>
        <v>74173</v>
      </c>
      <c r="E17">
        <f>E16+E13</f>
        <v>50717</v>
      </c>
      <c r="G17" s="78">
        <f t="shared" si="11"/>
        <v>400971</v>
      </c>
      <c r="H17" s="78">
        <f>H16+H13</f>
        <v>263629</v>
      </c>
      <c r="I17" s="105">
        <f t="shared" si="13"/>
        <v>1.5209669649393656</v>
      </c>
      <c r="J17" s="78">
        <f>J13+J16</f>
        <v>78875155</v>
      </c>
      <c r="K17" s="78">
        <f>SUM(K16+K13)</f>
        <v>44825702</v>
      </c>
      <c r="L17" s="78">
        <f>L16+L13</f>
        <v>46563875</v>
      </c>
      <c r="N17" s="78">
        <f>SUM(J17:M17)</f>
        <v>170264732</v>
      </c>
      <c r="O17" s="78">
        <f>O16+O13</f>
        <v>202764930</v>
      </c>
      <c r="P17" s="107">
        <f>N17/O17</f>
        <v>0.83971489547033606</v>
      </c>
      <c r="Q17" s="78">
        <f>Q16+Q13</f>
        <v>24600</v>
      </c>
      <c r="R17" s="78">
        <f>R16+R13</f>
        <v>13343</v>
      </c>
      <c r="S17" s="78">
        <f>S16+S13</f>
        <v>12386</v>
      </c>
      <c r="T17" s="78"/>
      <c r="U17" s="112">
        <f t="shared" si="6"/>
        <v>50329</v>
      </c>
      <c r="V17">
        <f>V16+V13</f>
        <v>661</v>
      </c>
      <c r="W17" s="107">
        <f t="shared" si="12"/>
        <v>76.140695915279878</v>
      </c>
      <c r="X17" s="84">
        <f>X16+X13</f>
        <v>1874227</v>
      </c>
      <c r="Y17" s="84">
        <f>SUM(Y16+Y13)</f>
        <v>2899188</v>
      </c>
      <c r="Z17" s="84">
        <f>SUM(Z16+Z13)</f>
        <v>2786459</v>
      </c>
      <c r="AA17" s="84"/>
      <c r="AB17" s="84">
        <f t="shared" si="7"/>
        <v>7559874</v>
      </c>
      <c r="AC17" s="84">
        <f>AC16+AC13</f>
        <v>9650320</v>
      </c>
      <c r="AD17" s="109">
        <f t="shared" si="8"/>
        <v>0.78338065473476526</v>
      </c>
      <c r="AE17" s="84">
        <f>AE16+AE13</f>
        <v>1790235</v>
      </c>
      <c r="AF17" s="84">
        <f>AF16+AF13</f>
        <v>3214678</v>
      </c>
      <c r="AG17" s="84">
        <f>AG16+AG13</f>
        <v>5525350</v>
      </c>
      <c r="AH17" s="84"/>
      <c r="AI17" s="84"/>
      <c r="AJ17" s="84">
        <f>AJ16+AJ13</f>
        <v>10900698</v>
      </c>
      <c r="AK17" s="110">
        <f t="shared" si="9"/>
        <v>0.16423122629394926</v>
      </c>
      <c r="AL17" s="84">
        <f t="shared" si="10"/>
        <v>3664462</v>
      </c>
      <c r="AM17" s="114">
        <f>AM16+AM13</f>
        <v>6113853</v>
      </c>
      <c r="AN17" s="84">
        <f>AN16+AN13</f>
        <v>8311809</v>
      </c>
      <c r="AQ17" s="84">
        <f>AQ16+AQ13</f>
        <v>18090124</v>
      </c>
      <c r="AR17" s="84">
        <f>'2010 IRP '!K94</f>
        <v>21151018</v>
      </c>
      <c r="AU17" s="116">
        <f t="shared" si="1"/>
        <v>0.10624704122519042</v>
      </c>
    </row>
    <row r="18" spans="2:47" x14ac:dyDescent="0.2">
      <c r="H18" s="78"/>
      <c r="I18" s="105"/>
      <c r="J18" s="78"/>
      <c r="L18" s="78"/>
      <c r="O18" s="1"/>
      <c r="Q18" s="78"/>
      <c r="R18" s="78"/>
      <c r="S18" s="78"/>
      <c r="T18" s="78"/>
      <c r="W18" s="107"/>
      <c r="AE18" s="84"/>
      <c r="AF18" s="84"/>
      <c r="AG18" s="84"/>
      <c r="AH18" s="84"/>
      <c r="AI18" s="84"/>
      <c r="AQ18" s="84"/>
      <c r="AR18" s="84"/>
    </row>
    <row r="19" spans="2:47" x14ac:dyDescent="0.2">
      <c r="B19" s="2"/>
      <c r="J19" s="78"/>
      <c r="AR19" s="78"/>
    </row>
    <row r="20" spans="2:47" ht="25.5" x14ac:dyDescent="0.2">
      <c r="B20" s="118" t="s">
        <v>22</v>
      </c>
      <c r="J20" s="78"/>
      <c r="AR20" s="84"/>
    </row>
  </sheetData>
  <mergeCells count="27">
    <mergeCell ref="AQ9:AQ10"/>
    <mergeCell ref="AU7:AU8"/>
    <mergeCell ref="AU9:AU10"/>
    <mergeCell ref="AO9:AO10"/>
    <mergeCell ref="AP9:AP10"/>
    <mergeCell ref="AR7:AR8"/>
    <mergeCell ref="AQ7:AQ8"/>
    <mergeCell ref="AM7:AM8"/>
    <mergeCell ref="AP7:AP8"/>
    <mergeCell ref="AO7:AO8"/>
    <mergeCell ref="H7:H8"/>
    <mergeCell ref="O7:O8"/>
    <mergeCell ref="V7:V8"/>
    <mergeCell ref="W7:W8"/>
    <mergeCell ref="AC7:AC8"/>
    <mergeCell ref="X7:X8"/>
    <mergeCell ref="Y7:Y8"/>
    <mergeCell ref="Y9:Y10"/>
    <mergeCell ref="AF7:AF8"/>
    <mergeCell ref="AF9:AF10"/>
    <mergeCell ref="AL9:AL10"/>
    <mergeCell ref="AM9:AM10"/>
    <mergeCell ref="AJ7:AJ8"/>
    <mergeCell ref="Z7:Z8"/>
    <mergeCell ref="Z9:Z10"/>
    <mergeCell ref="AE7:AE8"/>
    <mergeCell ref="AL7:AL8"/>
  </mergeCells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26"/>
  <sheetViews>
    <sheetView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F25" sqref="F25"/>
    </sheetView>
  </sheetViews>
  <sheetFormatPr defaultColWidth="11" defaultRowHeight="12.75" x14ac:dyDescent="0.2"/>
  <cols>
    <col min="1" max="1" width="2.875" customWidth="1"/>
    <col min="2" max="2" width="25.375" style="2" customWidth="1"/>
    <col min="14" max="14" width="12.25" bestFit="1" customWidth="1"/>
    <col min="15" max="15" width="11.375" customWidth="1"/>
    <col min="16" max="16" width="11.75" bestFit="1" customWidth="1"/>
    <col min="17" max="17" width="10.875" bestFit="1" customWidth="1"/>
    <col min="18" max="21" width="10.875" customWidth="1"/>
    <col min="22" max="23" width="11.75" customWidth="1"/>
    <col min="24" max="24" width="20.25" customWidth="1"/>
    <col min="25" max="25" width="11.875" customWidth="1"/>
    <col min="26" max="26" width="10.875" bestFit="1" customWidth="1"/>
    <col min="27" max="27" width="14.375" bestFit="1" customWidth="1"/>
  </cols>
  <sheetData>
    <row r="3" spans="2:28" ht="13.5" thickBot="1" x14ac:dyDescent="0.25">
      <c r="B3" t="s">
        <v>192</v>
      </c>
    </row>
    <row r="4" spans="2:28" s="2" customFormat="1" ht="30" x14ac:dyDescent="0.2">
      <c r="C4" s="54" t="s">
        <v>170</v>
      </c>
      <c r="D4" s="55"/>
      <c r="E4" s="55"/>
      <c r="F4" s="55"/>
      <c r="G4" s="55"/>
      <c r="H4" s="56"/>
      <c r="I4" s="56"/>
      <c r="J4" s="54" t="s">
        <v>88</v>
      </c>
      <c r="K4" s="55"/>
      <c r="L4" s="55"/>
      <c r="M4" s="55"/>
      <c r="N4" s="55"/>
      <c r="O4" s="55"/>
      <c r="P4" s="57"/>
      <c r="Q4" s="54" t="s">
        <v>2</v>
      </c>
      <c r="R4" s="55"/>
      <c r="S4" s="55"/>
      <c r="T4" s="55"/>
      <c r="U4" s="55"/>
      <c r="V4" s="45"/>
      <c r="W4" s="56"/>
      <c r="X4" s="45"/>
      <c r="Y4" s="49"/>
      <c r="Z4" s="30"/>
      <c r="AA4" s="30"/>
      <c r="AB4" s="30"/>
    </row>
    <row r="5" spans="2:28" s="2" customFormat="1" ht="38.25" x14ac:dyDescent="0.2">
      <c r="C5" s="32" t="s">
        <v>42</v>
      </c>
      <c r="D5" s="30" t="s">
        <v>79</v>
      </c>
      <c r="E5" s="30" t="s">
        <v>40</v>
      </c>
      <c r="F5" s="30" t="s">
        <v>41</v>
      </c>
      <c r="G5" s="30" t="s">
        <v>97</v>
      </c>
      <c r="H5" s="30" t="s">
        <v>87</v>
      </c>
      <c r="I5" s="30" t="s">
        <v>154</v>
      </c>
      <c r="J5" s="43" t="s">
        <v>90</v>
      </c>
      <c r="K5" s="30" t="s">
        <v>171</v>
      </c>
      <c r="L5" s="30" t="s">
        <v>120</v>
      </c>
      <c r="M5" s="30" t="s">
        <v>41</v>
      </c>
      <c r="N5" s="30" t="s">
        <v>98</v>
      </c>
      <c r="O5" s="30" t="s">
        <v>89</v>
      </c>
      <c r="P5" s="30" t="s">
        <v>5</v>
      </c>
      <c r="Q5" s="43" t="s">
        <v>43</v>
      </c>
      <c r="R5" s="30" t="s">
        <v>44</v>
      </c>
      <c r="S5" s="30" t="s">
        <v>45</v>
      </c>
      <c r="T5" s="30" t="s">
        <v>1</v>
      </c>
      <c r="U5" s="30" t="s">
        <v>119</v>
      </c>
      <c r="V5" s="30" t="s">
        <v>3</v>
      </c>
      <c r="W5" s="30"/>
      <c r="X5" s="30" t="s">
        <v>4</v>
      </c>
      <c r="Y5" s="33" t="s">
        <v>100</v>
      </c>
      <c r="Z5" s="30"/>
      <c r="AA5" s="70" t="s">
        <v>16</v>
      </c>
      <c r="AB5" s="70" t="s">
        <v>118</v>
      </c>
    </row>
    <row r="6" spans="2:28" ht="25.5" x14ac:dyDescent="0.2">
      <c r="B6" s="2" t="s">
        <v>193</v>
      </c>
      <c r="C6" s="34">
        <v>6990</v>
      </c>
      <c r="D6" s="10">
        <v>14453</v>
      </c>
      <c r="E6" s="10">
        <v>13743</v>
      </c>
      <c r="F6" s="10">
        <v>394829</v>
      </c>
      <c r="G6" s="10">
        <f>SUM(C6:F6)</f>
        <v>430015</v>
      </c>
      <c r="H6" s="10">
        <f>'2010 IRP '!F71</f>
        <v>32500</v>
      </c>
      <c r="I6" s="40">
        <f>G6/H6</f>
        <v>13.23123076923077</v>
      </c>
      <c r="J6" s="34">
        <v>370470</v>
      </c>
      <c r="K6" s="10">
        <v>886546</v>
      </c>
      <c r="L6" s="10">
        <v>3045988</v>
      </c>
      <c r="M6" s="10">
        <v>26052452</v>
      </c>
      <c r="N6" s="10">
        <f>SUM(J6:M6)</f>
        <v>30355456</v>
      </c>
      <c r="O6" s="10">
        <f>'2010 IRP '!G71</f>
        <v>6890000</v>
      </c>
      <c r="P6" s="40">
        <f>N6/O6</f>
        <v>4.4057265602322202</v>
      </c>
      <c r="Q6" s="50">
        <v>68158</v>
      </c>
      <c r="R6" s="25">
        <v>140494</v>
      </c>
      <c r="S6" s="25">
        <v>570839</v>
      </c>
      <c r="T6" s="25">
        <v>1404055</v>
      </c>
      <c r="U6" s="25">
        <v>652080</v>
      </c>
      <c r="V6" s="25">
        <f>SUM(Q6:T6)</f>
        <v>2183546</v>
      </c>
      <c r="W6" s="77">
        <f>U6/V6</f>
        <v>0.29863350714846404</v>
      </c>
      <c r="X6" s="25">
        <f>'2010 IRP '!H88</f>
        <v>1196584</v>
      </c>
      <c r="Y6" s="35">
        <f>V6/X6</f>
        <v>1.8248163104303585</v>
      </c>
      <c r="Z6" s="47"/>
      <c r="AA6" s="71">
        <f>V6/N6</f>
        <v>7.1932571199062198E-2</v>
      </c>
      <c r="AB6" s="68"/>
    </row>
    <row r="7" spans="2:28" ht="25.5" x14ac:dyDescent="0.2">
      <c r="B7" s="2" t="s">
        <v>194</v>
      </c>
      <c r="C7" s="34">
        <v>1011</v>
      </c>
      <c r="D7" s="10">
        <v>2177</v>
      </c>
      <c r="E7" s="10">
        <v>1938</v>
      </c>
      <c r="F7" s="10">
        <v>1523</v>
      </c>
      <c r="G7" s="10">
        <f t="shared" ref="G7:G15" si="0">SUM(C7:F7)</f>
        <v>6649</v>
      </c>
      <c r="H7" s="10">
        <v>7418</v>
      </c>
      <c r="I7" s="40">
        <f>G7/H7</f>
        <v>0.8963332434618495</v>
      </c>
      <c r="J7" s="34">
        <v>1113111</v>
      </c>
      <c r="K7" s="10">
        <v>2396877</v>
      </c>
      <c r="L7" s="10">
        <v>2133738</v>
      </c>
      <c r="M7" s="10">
        <v>1676823</v>
      </c>
      <c r="N7" s="10">
        <f t="shared" ref="N7:N15" si="1">SUM(J7:M7)</f>
        <v>7320549</v>
      </c>
      <c r="O7" s="10">
        <f>'2010 IRP '!G50</f>
        <v>8167218</v>
      </c>
      <c r="P7" s="40">
        <f>N7/O7</f>
        <v>0.8963332434618495</v>
      </c>
      <c r="Q7" s="50">
        <v>113587</v>
      </c>
      <c r="R7" s="25">
        <v>329344</v>
      </c>
      <c r="S7" s="25">
        <v>408743</v>
      </c>
      <c r="T7" s="25">
        <v>366927</v>
      </c>
      <c r="U7" s="25">
        <v>239430</v>
      </c>
      <c r="V7" s="25">
        <f>SUM(Q7:T7)</f>
        <v>1218601</v>
      </c>
      <c r="W7" s="77">
        <f t="shared" ref="W7:W17" si="2">U7/V7</f>
        <v>0.19647940548218817</v>
      </c>
      <c r="X7" s="25">
        <f>'2010 IRP '!H89</f>
        <v>1444426</v>
      </c>
      <c r="Y7" s="35">
        <f t="shared" ref="Y7:Y17" si="3">V7/X7</f>
        <v>0.84365761901267355</v>
      </c>
      <c r="Z7" s="47"/>
      <c r="AA7" s="71">
        <f t="shared" ref="AA7:AA10" si="4">V7/N7</f>
        <v>0.16646306171845854</v>
      </c>
      <c r="AB7" s="68"/>
    </row>
    <row r="8" spans="2:28" ht="25.5" x14ac:dyDescent="0.2">
      <c r="B8" s="2" t="s">
        <v>11</v>
      </c>
      <c r="C8" s="34">
        <v>492</v>
      </c>
      <c r="D8" s="10">
        <v>511</v>
      </c>
      <c r="E8" s="10">
        <v>634</v>
      </c>
      <c r="F8" s="10">
        <v>961</v>
      </c>
      <c r="G8" s="10">
        <f t="shared" si="0"/>
        <v>2598</v>
      </c>
      <c r="H8" s="10">
        <v>5550</v>
      </c>
      <c r="I8" s="40">
        <f>G8/H8</f>
        <v>0.4681081081081081</v>
      </c>
      <c r="J8" s="34">
        <v>473547</v>
      </c>
      <c r="K8" s="10">
        <v>475211</v>
      </c>
      <c r="L8" s="10">
        <v>576149</v>
      </c>
      <c r="M8" s="10">
        <v>859745</v>
      </c>
      <c r="N8" s="10">
        <f t="shared" si="1"/>
        <v>2384652</v>
      </c>
      <c r="O8" s="10">
        <f>'2010 IRP '!G46</f>
        <v>7745400</v>
      </c>
      <c r="P8" s="40">
        <f>N8/O8</f>
        <v>0.30787977380122394</v>
      </c>
      <c r="Q8" s="50">
        <v>173160</v>
      </c>
      <c r="R8" s="25">
        <v>98693</v>
      </c>
      <c r="S8" s="25">
        <v>340461</v>
      </c>
      <c r="T8" s="25">
        <v>768790</v>
      </c>
      <c r="U8" s="25">
        <v>529750</v>
      </c>
      <c r="V8" s="25">
        <f t="shared" ref="V8:V17" si="5">SUM(Q8:T8)</f>
        <v>1381104</v>
      </c>
      <c r="W8" s="77">
        <f t="shared" si="2"/>
        <v>0.38356995562969914</v>
      </c>
      <c r="X8" s="25">
        <f>'2010 IRP '!H90</f>
        <v>2638445</v>
      </c>
      <c r="Y8" s="35">
        <f t="shared" si="3"/>
        <v>0.52345377675107874</v>
      </c>
      <c r="Z8" s="47"/>
      <c r="AA8" s="71">
        <f t="shared" si="4"/>
        <v>0.57916375219528893</v>
      </c>
      <c r="AB8" s="68"/>
    </row>
    <row r="9" spans="2:28" ht="25.5" x14ac:dyDescent="0.2">
      <c r="B9" s="2" t="s">
        <v>12</v>
      </c>
      <c r="C9" s="34">
        <v>257</v>
      </c>
      <c r="D9" s="10">
        <v>425</v>
      </c>
      <c r="E9" s="10">
        <v>2388</v>
      </c>
      <c r="F9" s="10">
        <v>1879</v>
      </c>
      <c r="G9" s="10">
        <f t="shared" si="0"/>
        <v>4949</v>
      </c>
      <c r="H9" s="10">
        <v>3031</v>
      </c>
      <c r="I9" s="40">
        <f>G9/H9</f>
        <v>1.6327944572748267</v>
      </c>
      <c r="J9" s="34">
        <v>153608</v>
      </c>
      <c r="K9" s="10">
        <v>315302</v>
      </c>
      <c r="L9" s="10">
        <v>1774917</v>
      </c>
      <c r="M9" s="10">
        <v>6000992</v>
      </c>
      <c r="N9" s="10">
        <f t="shared" si="1"/>
        <v>8244819</v>
      </c>
      <c r="O9" s="10">
        <f>'2010 IRP '!G62</f>
        <v>2383658</v>
      </c>
      <c r="P9" s="40">
        <f>N9/O9</f>
        <v>3.4588934318597717</v>
      </c>
      <c r="Q9" s="50">
        <v>275030</v>
      </c>
      <c r="R9" s="25">
        <v>725346</v>
      </c>
      <c r="S9" s="25">
        <v>1744929</v>
      </c>
      <c r="T9" s="25">
        <v>1812246</v>
      </c>
      <c r="U9" s="25">
        <v>2791100</v>
      </c>
      <c r="V9" s="25">
        <f t="shared" si="5"/>
        <v>4557551</v>
      </c>
      <c r="W9" s="77">
        <f t="shared" si="2"/>
        <v>0.61241223630849106</v>
      </c>
      <c r="X9" s="25">
        <f>'2010 IRP '!H87</f>
        <v>2271598</v>
      </c>
      <c r="Y9" s="35">
        <f t="shared" si="3"/>
        <v>2.0063193399536363</v>
      </c>
      <c r="Z9" s="47"/>
      <c r="AA9" s="71">
        <f t="shared" si="4"/>
        <v>0.55277756855547711</v>
      </c>
      <c r="AB9" s="68"/>
    </row>
    <row r="10" spans="2:28" x14ac:dyDescent="0.2">
      <c r="B10" s="2" t="s">
        <v>13</v>
      </c>
      <c r="C10" s="34">
        <v>186</v>
      </c>
      <c r="D10" s="10">
        <v>52</v>
      </c>
      <c r="E10" s="10">
        <v>201</v>
      </c>
      <c r="F10" s="10">
        <v>149</v>
      </c>
      <c r="G10" s="10">
        <f t="shared" si="0"/>
        <v>588</v>
      </c>
      <c r="H10" s="10">
        <v>800</v>
      </c>
      <c r="I10" s="40">
        <f>G10/H10</f>
        <v>0.73499999999999999</v>
      </c>
      <c r="J10" s="34">
        <v>101184</v>
      </c>
      <c r="K10" s="10">
        <v>28288</v>
      </c>
      <c r="L10" s="10">
        <v>109192</v>
      </c>
      <c r="M10" s="10">
        <v>81056</v>
      </c>
      <c r="N10" s="10">
        <f t="shared" si="1"/>
        <v>319720</v>
      </c>
      <c r="O10" s="10">
        <f>'2010 IRP '!G75</f>
        <v>435200</v>
      </c>
      <c r="P10" s="40">
        <f>N10/O10</f>
        <v>0.73465073529411762</v>
      </c>
      <c r="Q10" s="50">
        <v>148</v>
      </c>
      <c r="R10" s="25">
        <v>17</v>
      </c>
      <c r="S10" s="25">
        <v>27237</v>
      </c>
      <c r="T10" s="25">
        <v>24731</v>
      </c>
      <c r="U10" s="25">
        <v>0</v>
      </c>
      <c r="V10" s="25">
        <f t="shared" si="5"/>
        <v>52133</v>
      </c>
      <c r="W10" s="77">
        <f t="shared" si="2"/>
        <v>0</v>
      </c>
      <c r="X10" s="25">
        <f>'2010 IRP '!H86</f>
        <v>241278</v>
      </c>
      <c r="Y10" s="35">
        <f t="shared" si="3"/>
        <v>0.21607025920307696</v>
      </c>
      <c r="Z10" s="47"/>
      <c r="AA10" s="71">
        <f t="shared" si="4"/>
        <v>0.16305830101338672</v>
      </c>
      <c r="AB10" s="68"/>
    </row>
    <row r="11" spans="2:28" x14ac:dyDescent="0.2">
      <c r="B11" s="2" t="s">
        <v>14</v>
      </c>
      <c r="C11" s="34">
        <v>395</v>
      </c>
      <c r="D11" s="10">
        <v>10</v>
      </c>
      <c r="E11" s="10">
        <v>-76</v>
      </c>
      <c r="F11" s="10">
        <v>14</v>
      </c>
      <c r="G11" s="10">
        <f t="shared" si="0"/>
        <v>343</v>
      </c>
      <c r="H11" s="10">
        <v>0</v>
      </c>
      <c r="I11" s="40"/>
      <c r="J11" s="34">
        <v>0</v>
      </c>
      <c r="K11" s="10">
        <v>0</v>
      </c>
      <c r="L11" s="10">
        <v>0</v>
      </c>
      <c r="M11" s="10">
        <v>0</v>
      </c>
      <c r="N11" s="10">
        <f t="shared" si="1"/>
        <v>0</v>
      </c>
      <c r="O11" s="10">
        <v>0</v>
      </c>
      <c r="P11" s="40"/>
      <c r="Q11" s="50">
        <v>87260</v>
      </c>
      <c r="R11" s="25">
        <v>90777</v>
      </c>
      <c r="S11" s="25">
        <v>135193</v>
      </c>
      <c r="T11" s="25">
        <v>896748</v>
      </c>
      <c r="U11" s="25">
        <v>11260</v>
      </c>
      <c r="V11" s="25">
        <f t="shared" si="5"/>
        <v>1209978</v>
      </c>
      <c r="W11" s="77">
        <f t="shared" si="2"/>
        <v>9.3059543231364533E-3</v>
      </c>
      <c r="X11" s="25">
        <v>2000000</v>
      </c>
      <c r="Y11" s="35">
        <f t="shared" si="3"/>
        <v>0.604989</v>
      </c>
      <c r="Z11" s="47"/>
      <c r="AA11" s="68"/>
      <c r="AB11" s="68"/>
    </row>
    <row r="12" spans="2:28" x14ac:dyDescent="0.2">
      <c r="B12" s="24" t="s">
        <v>109</v>
      </c>
      <c r="C12" s="36">
        <f t="shared" ref="C12:X12" si="6">SUM(C6:C11)</f>
        <v>9331</v>
      </c>
      <c r="D12" s="31">
        <f>SUM(D6:D11)</f>
        <v>17628</v>
      </c>
      <c r="E12" s="31">
        <f>SUM(E6:E11)</f>
        <v>18828</v>
      </c>
      <c r="F12" s="31">
        <f>SUM(F6:F11)</f>
        <v>399355</v>
      </c>
      <c r="G12" s="60">
        <f>SUM(C12:F12)</f>
        <v>445142</v>
      </c>
      <c r="H12" s="31">
        <f>SUM(H6:H11)</f>
        <v>49299</v>
      </c>
      <c r="I12" s="64">
        <f>G12/H12</f>
        <v>9.0294326456926104</v>
      </c>
      <c r="J12" s="36">
        <f t="shared" si="6"/>
        <v>2211920</v>
      </c>
      <c r="K12" s="31">
        <f>SUM(K6:K11)</f>
        <v>4102224</v>
      </c>
      <c r="L12" s="31">
        <f>SUM(L6:L11)</f>
        <v>7639984</v>
      </c>
      <c r="M12" s="31">
        <f t="shared" si="6"/>
        <v>34671068</v>
      </c>
      <c r="N12" s="60">
        <f t="shared" si="1"/>
        <v>48625196</v>
      </c>
      <c r="O12" s="31">
        <f>SUM(O6:O11)</f>
        <v>25621476</v>
      </c>
      <c r="P12" s="64">
        <f>N12/O12</f>
        <v>1.8978296176223415</v>
      </c>
      <c r="Q12" s="51">
        <f t="shared" si="6"/>
        <v>717343</v>
      </c>
      <c r="R12" s="39">
        <f>SUM(R6:R11)</f>
        <v>1384671</v>
      </c>
      <c r="S12" s="39">
        <f>SUM(S6:S11)</f>
        <v>3227402</v>
      </c>
      <c r="T12" s="39">
        <f>SUM(T6:T11)</f>
        <v>5273497</v>
      </c>
      <c r="U12" s="39">
        <f>SUM(U6:U11)</f>
        <v>4223620</v>
      </c>
      <c r="V12" s="25">
        <f t="shared" si="5"/>
        <v>10602913</v>
      </c>
      <c r="W12" s="77">
        <f t="shared" si="2"/>
        <v>0.39834524719763331</v>
      </c>
      <c r="X12" s="39">
        <f t="shared" si="6"/>
        <v>9792331</v>
      </c>
      <c r="Y12" s="35">
        <f t="shared" si="3"/>
        <v>1.0827772263825641</v>
      </c>
      <c r="Z12" s="48"/>
      <c r="AA12" s="69"/>
      <c r="AB12" s="75">
        <f>(N12/1000000)/'2010 IRP '!C102</f>
        <v>1.8508372411693058E-3</v>
      </c>
    </row>
    <row r="13" spans="2:28" ht="25.5" x14ac:dyDescent="0.2">
      <c r="B13" s="2" t="s">
        <v>199</v>
      </c>
      <c r="C13" s="34">
        <v>0</v>
      </c>
      <c r="D13" s="10">
        <v>17</v>
      </c>
      <c r="E13" s="53">
        <v>72</v>
      </c>
      <c r="F13" s="10">
        <v>252</v>
      </c>
      <c r="G13" s="10">
        <f>SUM(C13:F13)</f>
        <v>341</v>
      </c>
      <c r="H13" s="10">
        <v>196</v>
      </c>
      <c r="I13" s="40">
        <f>G13/H13</f>
        <v>1.739795918367347</v>
      </c>
      <c r="J13" s="34">
        <v>0</v>
      </c>
      <c r="K13" s="58">
        <v>1451932</v>
      </c>
      <c r="L13" s="10">
        <v>13489817</v>
      </c>
      <c r="M13" s="10">
        <v>41120196</v>
      </c>
      <c r="N13" s="10">
        <f t="shared" si="1"/>
        <v>56061945</v>
      </c>
      <c r="O13" s="38">
        <f>'2010 IRP '!G14</f>
        <v>52829374</v>
      </c>
      <c r="P13" s="40">
        <f>N13/O13</f>
        <v>1.0611888946478905</v>
      </c>
      <c r="Q13" s="50">
        <v>47868</v>
      </c>
      <c r="R13" s="25">
        <v>265450</v>
      </c>
      <c r="S13" s="25">
        <v>547474</v>
      </c>
      <c r="T13" s="25">
        <v>1452078</v>
      </c>
      <c r="U13" s="25">
        <v>1417066</v>
      </c>
      <c r="V13" s="25">
        <f t="shared" si="5"/>
        <v>2312870</v>
      </c>
      <c r="W13" s="77">
        <f t="shared" si="2"/>
        <v>0.61268726733452372</v>
      </c>
      <c r="X13" s="25">
        <f>'2010 IRP '!H84</f>
        <v>2052150</v>
      </c>
      <c r="Y13" s="35">
        <f t="shared" si="3"/>
        <v>1.1270472431352483</v>
      </c>
      <c r="Z13" s="25"/>
      <c r="AA13" s="71">
        <f t="shared" ref="AA13:AA14" si="7">V13/N13</f>
        <v>4.1255614659819598E-2</v>
      </c>
      <c r="AB13" s="68"/>
    </row>
    <row r="14" spans="2:28" ht="14.1" customHeight="1" x14ac:dyDescent="0.2">
      <c r="B14" s="2" t="s">
        <v>200</v>
      </c>
      <c r="C14" s="34">
        <v>0</v>
      </c>
      <c r="D14" s="10">
        <v>23</v>
      </c>
      <c r="E14" s="10">
        <v>52</v>
      </c>
      <c r="F14" s="10">
        <v>222</v>
      </c>
      <c r="G14" s="10">
        <f t="shared" si="0"/>
        <v>297</v>
      </c>
      <c r="H14" s="10">
        <v>1894</v>
      </c>
      <c r="I14" s="40">
        <f>G14/H14</f>
        <v>0.15681098204857444</v>
      </c>
      <c r="J14" s="5">
        <v>0</v>
      </c>
      <c r="K14" s="38">
        <v>1580432</v>
      </c>
      <c r="L14" s="38">
        <v>3938213</v>
      </c>
      <c r="M14" s="38">
        <v>8400534</v>
      </c>
      <c r="N14" s="10">
        <f t="shared" si="1"/>
        <v>13919179</v>
      </c>
      <c r="O14" s="38">
        <f>'2010 IRP '!G39</f>
        <v>5126279</v>
      </c>
      <c r="P14" s="40">
        <f>N14/O14</f>
        <v>2.7152597429831657</v>
      </c>
      <c r="Q14" s="50">
        <v>92183</v>
      </c>
      <c r="R14" s="25">
        <v>362736</v>
      </c>
      <c r="S14" s="25">
        <v>488507</v>
      </c>
      <c r="T14" s="25">
        <v>921910</v>
      </c>
      <c r="U14" s="25">
        <v>286634</v>
      </c>
      <c r="V14" s="25">
        <f t="shared" si="5"/>
        <v>1865336</v>
      </c>
      <c r="W14" s="77">
        <f t="shared" si="2"/>
        <v>0.15366346867266809</v>
      </c>
      <c r="X14" s="25">
        <f>'2010 IRP '!H83</f>
        <v>2999510</v>
      </c>
      <c r="Y14" s="35">
        <f t="shared" si="3"/>
        <v>0.6218802404392717</v>
      </c>
      <c r="Z14" s="25"/>
      <c r="AA14" s="71">
        <f t="shared" si="7"/>
        <v>0.13401192699655634</v>
      </c>
      <c r="AB14" s="68"/>
    </row>
    <row r="15" spans="2:28" x14ac:dyDescent="0.2">
      <c r="B15" s="2" t="s">
        <v>46</v>
      </c>
      <c r="C15" s="34">
        <v>46</v>
      </c>
      <c r="D15" s="10">
        <v>83</v>
      </c>
      <c r="E15" s="10">
        <v>0</v>
      </c>
      <c r="F15" s="10">
        <v>0</v>
      </c>
      <c r="G15" s="10">
        <f t="shared" si="0"/>
        <v>129</v>
      </c>
      <c r="H15" s="10">
        <v>0</v>
      </c>
      <c r="I15" s="40"/>
      <c r="J15" s="34">
        <v>2768446</v>
      </c>
      <c r="K15" s="10">
        <f>7936161+1093440</f>
        <v>9029601</v>
      </c>
      <c r="L15" s="10">
        <v>0</v>
      </c>
      <c r="M15" s="10">
        <v>0</v>
      </c>
      <c r="N15" s="10">
        <f t="shared" si="1"/>
        <v>11798047</v>
      </c>
      <c r="O15" s="6">
        <v>0</v>
      </c>
      <c r="P15" s="40"/>
      <c r="Q15" s="50">
        <v>0</v>
      </c>
      <c r="R15" s="25">
        <v>0</v>
      </c>
      <c r="S15" s="25">
        <v>0</v>
      </c>
      <c r="T15" s="25">
        <v>0</v>
      </c>
      <c r="U15" s="25">
        <v>0</v>
      </c>
      <c r="V15" s="25">
        <f t="shared" si="5"/>
        <v>0</v>
      </c>
      <c r="W15" s="77" t="e">
        <f t="shared" si="2"/>
        <v>#DIV/0!</v>
      </c>
      <c r="X15" s="25">
        <v>0</v>
      </c>
      <c r="Y15" s="35">
        <v>0</v>
      </c>
      <c r="Z15" s="25"/>
      <c r="AB15" s="68"/>
    </row>
    <row r="16" spans="2:28" x14ac:dyDescent="0.2">
      <c r="B16" s="24" t="s">
        <v>110</v>
      </c>
      <c r="C16" s="36">
        <f>SUM(C13:C14)</f>
        <v>0</v>
      </c>
      <c r="D16" s="31">
        <f>SUM(D13:D14)</f>
        <v>40</v>
      </c>
      <c r="E16" s="59">
        <f>SUM(E13:E15)</f>
        <v>124</v>
      </c>
      <c r="F16" s="59">
        <f>SUM(F13:F15)</f>
        <v>474</v>
      </c>
      <c r="G16" s="60">
        <f>SUM(G13:G15)</f>
        <v>767</v>
      </c>
      <c r="H16" s="31">
        <f>SUM(H13:H15)</f>
        <v>2090</v>
      </c>
      <c r="I16" s="64">
        <f>G16/H16</f>
        <v>0.36698564593301436</v>
      </c>
      <c r="J16" s="44">
        <v>0</v>
      </c>
      <c r="K16" s="31">
        <f>SUM(K13:K14)</f>
        <v>3032364</v>
      </c>
      <c r="L16" s="31">
        <f>SUM(L13:L14)</f>
        <v>17428030</v>
      </c>
      <c r="M16" s="31">
        <f>SUM(M13:M14)</f>
        <v>49520730</v>
      </c>
      <c r="N16" s="60">
        <f>SUM(J16:M16)</f>
        <v>69981124</v>
      </c>
      <c r="O16" s="31">
        <f>SUM(O13:O15)</f>
        <v>57955653</v>
      </c>
      <c r="P16" s="64">
        <f>N16/O16</f>
        <v>1.2074943577980219</v>
      </c>
      <c r="Q16" s="51">
        <f>SUM(Q13:Q15)</f>
        <v>140051</v>
      </c>
      <c r="R16" s="39">
        <f>SUM(R13:R14)</f>
        <v>628186</v>
      </c>
      <c r="S16" s="39">
        <f>SUM(S13:S14)</f>
        <v>1035981</v>
      </c>
      <c r="T16" s="39">
        <f>SUM(T13:T14)</f>
        <v>2373988</v>
      </c>
      <c r="U16" s="39">
        <f>SUM(U13:U15)</f>
        <v>1703700</v>
      </c>
      <c r="V16" s="25">
        <f t="shared" si="5"/>
        <v>4178206</v>
      </c>
      <c r="W16" s="77">
        <f t="shared" si="2"/>
        <v>0.40775873664438755</v>
      </c>
      <c r="X16" s="39">
        <f>SUM(X13:X14)</f>
        <v>5051660</v>
      </c>
      <c r="Y16" s="35">
        <f t="shared" si="3"/>
        <v>0.82709564776726863</v>
      </c>
      <c r="Z16" s="39"/>
      <c r="AA16" s="69"/>
      <c r="AB16" s="75">
        <f>(N16/1000000)/'2010 IRP '!C103</f>
        <v>2.1471212837112261E-3</v>
      </c>
    </row>
    <row r="17" spans="2:28" ht="26.25" thickBot="1" x14ac:dyDescent="0.25">
      <c r="B17" s="24" t="s">
        <v>111</v>
      </c>
      <c r="C17" s="61">
        <f>C16+C12</f>
        <v>9331</v>
      </c>
      <c r="D17" s="62">
        <f>D16+D12</f>
        <v>17668</v>
      </c>
      <c r="E17" s="62">
        <f>E16+E12</f>
        <v>18952</v>
      </c>
      <c r="F17" s="62">
        <v>129</v>
      </c>
      <c r="G17" s="62">
        <f>SUM(C17:F17)</f>
        <v>46080</v>
      </c>
      <c r="H17" s="62">
        <f t="shared" ref="H17:Q17" si="8">H16+H12</f>
        <v>51389</v>
      </c>
      <c r="I17" s="41">
        <f>G17/H17</f>
        <v>0.89668995310280408</v>
      </c>
      <c r="J17" s="61">
        <f t="shared" si="8"/>
        <v>2211920</v>
      </c>
      <c r="K17" s="62">
        <f>K16+K12</f>
        <v>7134588</v>
      </c>
      <c r="L17" s="62">
        <f>L16+L12</f>
        <v>25068014</v>
      </c>
      <c r="M17" s="62">
        <f>M16+M12</f>
        <v>84191798</v>
      </c>
      <c r="N17" s="62">
        <f>SUM(J17:M17)</f>
        <v>118606320</v>
      </c>
      <c r="O17" s="62">
        <f>O16+O12</f>
        <v>83577129</v>
      </c>
      <c r="P17" s="65">
        <f>N17/O17</f>
        <v>1.4191241242565296</v>
      </c>
      <c r="Q17" s="66">
        <f t="shared" si="8"/>
        <v>857394</v>
      </c>
      <c r="R17" s="67">
        <f>R16+R12</f>
        <v>2012857</v>
      </c>
      <c r="S17" s="67">
        <f>S16+S12</f>
        <v>4263383</v>
      </c>
      <c r="T17" s="67">
        <f>T16+T12</f>
        <v>7647485</v>
      </c>
      <c r="U17" s="67">
        <f>U16+U12</f>
        <v>5927320</v>
      </c>
      <c r="V17" s="25">
        <f t="shared" si="5"/>
        <v>14781119</v>
      </c>
      <c r="W17" s="77">
        <f t="shared" si="2"/>
        <v>0.40100617551350476</v>
      </c>
      <c r="X17" s="52">
        <f>X16+X12</f>
        <v>14843991</v>
      </c>
      <c r="Y17" s="37">
        <f t="shared" si="3"/>
        <v>0.99576448139856732</v>
      </c>
      <c r="Z17" s="39"/>
      <c r="AA17" s="69"/>
      <c r="AB17" s="69"/>
    </row>
    <row r="18" spans="2:28" x14ac:dyDescent="0.2">
      <c r="B18"/>
      <c r="J18" s="6"/>
      <c r="K18" s="6"/>
      <c r="L18" s="6"/>
      <c r="M18" s="6"/>
      <c r="N18" s="6"/>
      <c r="O18" s="6"/>
      <c r="P18" s="42"/>
    </row>
    <row r="19" spans="2:28" x14ac:dyDescent="0.2">
      <c r="J19" s="6"/>
      <c r="K19" s="6"/>
      <c r="L19" s="6"/>
      <c r="M19" s="6"/>
      <c r="N19" s="10"/>
      <c r="O19" s="31"/>
      <c r="P19" s="40"/>
      <c r="V19" s="19"/>
      <c r="W19" s="19"/>
    </row>
    <row r="20" spans="2:28" x14ac:dyDescent="0.2">
      <c r="B20" s="72" t="s">
        <v>15</v>
      </c>
      <c r="C20" s="63"/>
      <c r="D20" t="s">
        <v>99</v>
      </c>
      <c r="G20" s="1"/>
      <c r="N20" s="73">
        <f>N17-N11</f>
        <v>118606320</v>
      </c>
      <c r="V20" s="73">
        <f>V17-V11</f>
        <v>13571141</v>
      </c>
      <c r="W20" s="73"/>
      <c r="AA20" s="71">
        <f t="shared" ref="AA20" si="9">V20/N20</f>
        <v>0.11442173570514623</v>
      </c>
      <c r="AB20" s="76">
        <f>(N20/1000000)/('2010 IRP '!C102+'2010 IRP '!C103)</f>
        <v>2.0148869447039835E-3</v>
      </c>
    </row>
    <row r="21" spans="2:28" x14ac:dyDescent="0.2">
      <c r="B21"/>
      <c r="M21" s="10">
        <f>N6*0.7</f>
        <v>21248819.199999999</v>
      </c>
      <c r="N21" s="10">
        <f>M21*5</f>
        <v>106244096</v>
      </c>
      <c r="O21" s="10"/>
    </row>
    <row r="22" spans="2:28" x14ac:dyDescent="0.2">
      <c r="B22"/>
    </row>
    <row r="23" spans="2:28" x14ac:dyDescent="0.2">
      <c r="B23"/>
    </row>
    <row r="24" spans="2:28" x14ac:dyDescent="0.2">
      <c r="B24"/>
      <c r="C24" t="s">
        <v>127</v>
      </c>
      <c r="D24" t="s">
        <v>128</v>
      </c>
    </row>
    <row r="25" spans="2:28" x14ac:dyDescent="0.2">
      <c r="B25" s="2">
        <v>2011</v>
      </c>
      <c r="C25" s="78">
        <f>N12</f>
        <v>48625196</v>
      </c>
      <c r="D25" s="78">
        <f>N16</f>
        <v>69981124</v>
      </c>
    </row>
    <row r="26" spans="2:28" x14ac:dyDescent="0.2">
      <c r="B26" s="2">
        <v>2012</v>
      </c>
      <c r="C26" s="78">
        <f>'2012'!N13</f>
        <v>54141589</v>
      </c>
      <c r="D26" s="78">
        <f>'2012'!N16</f>
        <v>116123143</v>
      </c>
    </row>
  </sheetData>
  <phoneticPr fontId="5" type="noConversion"/>
  <pageMargins left="0.75" right="0.75" top="1" bottom="1" header="0.5" footer="0.5"/>
  <pageSetup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4"/>
  <sheetViews>
    <sheetView topLeftCell="A79" zoomScale="110" workbookViewId="0">
      <selection activeCell="I39" sqref="I39"/>
    </sheetView>
  </sheetViews>
  <sheetFormatPr defaultColWidth="11" defaultRowHeight="12.75" x14ac:dyDescent="0.2"/>
  <cols>
    <col min="1" max="1" width="2.75" customWidth="1"/>
    <col min="5" max="5" width="11.875" bestFit="1" customWidth="1"/>
  </cols>
  <sheetData>
    <row r="2" spans="2:11" x14ac:dyDescent="0.2">
      <c r="B2" t="s">
        <v>60</v>
      </c>
    </row>
    <row r="4" spans="2:11" x14ac:dyDescent="0.2">
      <c r="C4">
        <v>104.1</v>
      </c>
      <c r="D4" t="s">
        <v>91</v>
      </c>
      <c r="E4" t="s">
        <v>61</v>
      </c>
    </row>
    <row r="5" spans="2:11" x14ac:dyDescent="0.2">
      <c r="C5">
        <v>203.3</v>
      </c>
      <c r="D5" t="s">
        <v>91</v>
      </c>
      <c r="E5" t="s">
        <v>62</v>
      </c>
    </row>
    <row r="6" spans="2:11" x14ac:dyDescent="0.2">
      <c r="C6">
        <v>289.89999999999998</v>
      </c>
      <c r="D6" t="s">
        <v>91</v>
      </c>
      <c r="E6" t="s">
        <v>63</v>
      </c>
    </row>
    <row r="8" spans="2:11" ht="13.5" thickBot="1" x14ac:dyDescent="0.25"/>
    <row r="9" spans="2:11" x14ac:dyDescent="0.2">
      <c r="B9" s="7" t="s">
        <v>138</v>
      </c>
      <c r="C9" s="3"/>
      <c r="D9" s="3"/>
      <c r="E9" s="3"/>
      <c r="F9" s="3" t="s">
        <v>48</v>
      </c>
      <c r="G9" s="3" t="s">
        <v>135</v>
      </c>
      <c r="H9" s="3" t="s">
        <v>137</v>
      </c>
      <c r="I9" s="3" t="s">
        <v>134</v>
      </c>
      <c r="J9" s="3" t="s">
        <v>137</v>
      </c>
      <c r="K9" s="4" t="s">
        <v>134</v>
      </c>
    </row>
    <row r="10" spans="2:11" x14ac:dyDescent="0.2">
      <c r="B10" s="15" t="s">
        <v>47</v>
      </c>
      <c r="C10" s="16" t="s">
        <v>86</v>
      </c>
      <c r="D10" s="16" t="s">
        <v>6</v>
      </c>
      <c r="E10" s="16" t="s">
        <v>7</v>
      </c>
      <c r="F10" s="16">
        <v>2011</v>
      </c>
      <c r="G10" s="16">
        <v>2011</v>
      </c>
      <c r="H10" s="16">
        <v>2012</v>
      </c>
      <c r="I10" s="16">
        <v>2012</v>
      </c>
      <c r="J10" s="16">
        <v>2013</v>
      </c>
      <c r="K10" s="17">
        <v>2013</v>
      </c>
    </row>
    <row r="11" spans="2:11" x14ac:dyDescent="0.2">
      <c r="B11" s="5" t="s">
        <v>201</v>
      </c>
      <c r="C11" s="6"/>
      <c r="D11" s="9">
        <v>256399</v>
      </c>
      <c r="E11" s="6">
        <v>68.89</v>
      </c>
      <c r="F11" s="6">
        <v>182</v>
      </c>
      <c r="G11" s="6">
        <f>F11*D11</f>
        <v>46664618</v>
      </c>
      <c r="H11" s="6">
        <v>319</v>
      </c>
      <c r="I11" s="6"/>
      <c r="J11" s="6">
        <v>403</v>
      </c>
      <c r="K11" s="8"/>
    </row>
    <row r="12" spans="2:11" x14ac:dyDescent="0.2">
      <c r="B12" s="5" t="s">
        <v>85</v>
      </c>
      <c r="C12" s="6"/>
      <c r="D12" s="9">
        <v>415548</v>
      </c>
      <c r="E12" s="6">
        <v>111.29</v>
      </c>
      <c r="F12" s="6">
        <v>12</v>
      </c>
      <c r="G12" s="6">
        <f t="shared" ref="G12:G13" si="0">F12*D12</f>
        <v>4986576</v>
      </c>
      <c r="H12" s="6">
        <v>15</v>
      </c>
      <c r="I12" s="6"/>
      <c r="J12" s="6">
        <v>19</v>
      </c>
      <c r="K12" s="8"/>
    </row>
    <row r="13" spans="2:11" x14ac:dyDescent="0.2">
      <c r="B13" s="5" t="s">
        <v>169</v>
      </c>
      <c r="C13" s="6"/>
      <c r="D13" s="9">
        <v>589090</v>
      </c>
      <c r="E13" s="6">
        <v>174.15</v>
      </c>
      <c r="F13" s="6">
        <v>2</v>
      </c>
      <c r="G13" s="6">
        <f t="shared" si="0"/>
        <v>1178180</v>
      </c>
      <c r="H13" s="6">
        <v>3</v>
      </c>
      <c r="I13" s="6"/>
      <c r="J13" s="6">
        <v>3</v>
      </c>
      <c r="K13" s="8"/>
    </row>
    <row r="14" spans="2:11" ht="13.5" thickBot="1" x14ac:dyDescent="0.25">
      <c r="B14" s="5" t="s">
        <v>57</v>
      </c>
      <c r="C14" s="6"/>
      <c r="D14" s="6" t="s">
        <v>58</v>
      </c>
      <c r="E14" s="6" t="s">
        <v>141</v>
      </c>
      <c r="F14" s="10">
        <f>SUM(F11:F13)</f>
        <v>196</v>
      </c>
      <c r="G14" s="10">
        <f>SUM(G11:G13)</f>
        <v>52829374</v>
      </c>
      <c r="H14" s="10">
        <f t="shared" ref="H14:K14" si="1">SUM(H11:H13)</f>
        <v>337</v>
      </c>
      <c r="I14" s="10">
        <f>89560000</f>
        <v>89560000</v>
      </c>
      <c r="J14" s="10">
        <f t="shared" si="1"/>
        <v>425</v>
      </c>
      <c r="K14" s="14">
        <f t="shared" si="1"/>
        <v>0</v>
      </c>
    </row>
    <row r="15" spans="2:11" x14ac:dyDescent="0.2">
      <c r="B15" s="7" t="s">
        <v>139</v>
      </c>
      <c r="C15" s="3"/>
      <c r="D15" s="3"/>
      <c r="E15" s="3"/>
      <c r="F15" s="3" t="s">
        <v>59</v>
      </c>
      <c r="G15" s="3" t="s">
        <v>134</v>
      </c>
      <c r="H15" s="3" t="s">
        <v>59</v>
      </c>
      <c r="I15" s="3" t="s">
        <v>134</v>
      </c>
      <c r="J15" s="3" t="s">
        <v>59</v>
      </c>
      <c r="K15" s="4" t="s">
        <v>134</v>
      </c>
    </row>
    <row r="16" spans="2:11" x14ac:dyDescent="0.2">
      <c r="B16" s="15" t="s">
        <v>50</v>
      </c>
      <c r="C16" s="16" t="s">
        <v>51</v>
      </c>
      <c r="D16" s="16" t="s">
        <v>196</v>
      </c>
      <c r="E16" s="16" t="s">
        <v>197</v>
      </c>
      <c r="F16" s="16">
        <v>2011</v>
      </c>
      <c r="G16" s="16">
        <v>2011</v>
      </c>
      <c r="H16" s="16">
        <v>2012</v>
      </c>
      <c r="I16" s="16">
        <v>2012</v>
      </c>
      <c r="J16" s="16">
        <v>2013</v>
      </c>
      <c r="K16" s="17">
        <v>2013</v>
      </c>
    </row>
    <row r="17" spans="2:11" x14ac:dyDescent="0.2">
      <c r="B17" s="5" t="s">
        <v>155</v>
      </c>
      <c r="C17" s="6" t="s">
        <v>52</v>
      </c>
      <c r="D17" s="6">
        <v>111</v>
      </c>
      <c r="E17" s="6">
        <v>0.04</v>
      </c>
      <c r="F17" s="6">
        <v>266</v>
      </c>
      <c r="G17" s="6">
        <f>F17*D17</f>
        <v>29526</v>
      </c>
      <c r="H17" s="6">
        <v>739</v>
      </c>
      <c r="I17" s="6"/>
      <c r="J17" s="6">
        <v>949</v>
      </c>
      <c r="K17" s="8"/>
    </row>
    <row r="18" spans="2:11" x14ac:dyDescent="0.2">
      <c r="B18" s="5" t="s">
        <v>156</v>
      </c>
      <c r="C18" s="6" t="s">
        <v>53</v>
      </c>
      <c r="D18" s="6">
        <v>4335</v>
      </c>
      <c r="E18" s="6">
        <v>1.88</v>
      </c>
      <c r="F18" s="6">
        <v>664</v>
      </c>
      <c r="G18" s="6">
        <f>F18*D18</f>
        <v>2878440</v>
      </c>
      <c r="H18" s="6">
        <v>1447</v>
      </c>
      <c r="I18" s="6"/>
      <c r="J18" s="6">
        <v>1731</v>
      </c>
      <c r="K18" s="8"/>
    </row>
    <row r="19" spans="2:11" x14ac:dyDescent="0.2">
      <c r="B19" s="5" t="s">
        <v>157</v>
      </c>
      <c r="C19" s="6" t="s">
        <v>54</v>
      </c>
      <c r="D19" s="6">
        <v>2262</v>
      </c>
      <c r="E19" s="6">
        <v>0.02</v>
      </c>
      <c r="F19" s="6">
        <v>266</v>
      </c>
      <c r="G19" s="6">
        <f>F19*D19</f>
        <v>601692</v>
      </c>
      <c r="H19" s="6">
        <v>739</v>
      </c>
      <c r="I19" s="6"/>
      <c r="J19" s="6">
        <v>949</v>
      </c>
      <c r="K19" s="8"/>
    </row>
    <row r="20" spans="2:11" x14ac:dyDescent="0.2">
      <c r="B20" s="5" t="s">
        <v>158</v>
      </c>
      <c r="C20" s="6" t="s">
        <v>55</v>
      </c>
      <c r="D20" s="6">
        <v>322</v>
      </c>
      <c r="E20" s="6">
        <v>7.0000000000000007E-2</v>
      </c>
      <c r="F20" s="6">
        <v>0</v>
      </c>
      <c r="G20" s="6">
        <f t="shared" ref="G20:G38" si="2">F20*D20</f>
        <v>0</v>
      </c>
      <c r="H20" s="6">
        <v>714</v>
      </c>
      <c r="I20" s="6"/>
      <c r="J20" s="6">
        <v>815</v>
      </c>
      <c r="K20" s="8"/>
    </row>
    <row r="21" spans="2:11" x14ac:dyDescent="0.2">
      <c r="B21" s="5" t="s">
        <v>75</v>
      </c>
      <c r="C21" s="6" t="s">
        <v>180</v>
      </c>
      <c r="D21" s="6">
        <v>305</v>
      </c>
      <c r="E21" s="6">
        <v>0.17</v>
      </c>
      <c r="F21" s="6">
        <v>0</v>
      </c>
      <c r="G21" s="6">
        <f t="shared" si="2"/>
        <v>0</v>
      </c>
      <c r="H21" s="6">
        <v>236</v>
      </c>
      <c r="I21" s="6"/>
      <c r="J21" s="6">
        <v>242</v>
      </c>
      <c r="K21" s="8"/>
    </row>
    <row r="22" spans="2:11" x14ac:dyDescent="0.2">
      <c r="B22" s="5" t="s">
        <v>76</v>
      </c>
      <c r="C22" s="6" t="s">
        <v>180</v>
      </c>
      <c r="D22" s="6">
        <v>737</v>
      </c>
      <c r="E22" s="6">
        <v>0.25</v>
      </c>
      <c r="F22" s="6">
        <v>0</v>
      </c>
      <c r="G22" s="6">
        <f t="shared" si="2"/>
        <v>0</v>
      </c>
      <c r="H22" s="6">
        <v>117</v>
      </c>
      <c r="I22" s="6"/>
      <c r="J22" s="6">
        <v>120</v>
      </c>
      <c r="K22" s="8"/>
    </row>
    <row r="23" spans="2:11" x14ac:dyDescent="0.2">
      <c r="B23" s="5" t="s">
        <v>77</v>
      </c>
      <c r="C23" s="6" t="s">
        <v>181</v>
      </c>
      <c r="D23" s="6">
        <v>0</v>
      </c>
      <c r="E23" s="6">
        <v>0</v>
      </c>
      <c r="F23" s="6">
        <v>89</v>
      </c>
      <c r="G23" s="6">
        <f t="shared" si="2"/>
        <v>0</v>
      </c>
      <c r="H23" s="6">
        <v>120</v>
      </c>
      <c r="I23" s="6"/>
      <c r="J23" s="6">
        <v>123</v>
      </c>
      <c r="K23" s="8"/>
    </row>
    <row r="24" spans="2:11" x14ac:dyDescent="0.2">
      <c r="B24" s="5" t="s">
        <v>78</v>
      </c>
      <c r="C24" s="6" t="s">
        <v>182</v>
      </c>
      <c r="D24" s="6">
        <v>2</v>
      </c>
      <c r="E24" s="6">
        <v>0</v>
      </c>
      <c r="F24" s="6">
        <v>109</v>
      </c>
      <c r="G24" s="6">
        <f t="shared" si="2"/>
        <v>218</v>
      </c>
      <c r="H24" s="6">
        <v>125</v>
      </c>
      <c r="I24" s="6"/>
      <c r="J24" s="6">
        <v>149</v>
      </c>
      <c r="K24" s="8"/>
    </row>
    <row r="25" spans="2:11" x14ac:dyDescent="0.2">
      <c r="B25" s="5" t="s">
        <v>210</v>
      </c>
      <c r="C25" s="6" t="s">
        <v>183</v>
      </c>
      <c r="D25" s="6">
        <v>168</v>
      </c>
      <c r="E25" s="6">
        <v>0.04</v>
      </c>
      <c r="F25" s="6">
        <v>167</v>
      </c>
      <c r="G25" s="6">
        <f t="shared" si="2"/>
        <v>28056</v>
      </c>
      <c r="H25" s="6">
        <v>287</v>
      </c>
      <c r="I25" s="6"/>
      <c r="J25" s="6">
        <v>347</v>
      </c>
      <c r="K25" s="8"/>
    </row>
    <row r="26" spans="2:11" x14ac:dyDescent="0.2">
      <c r="B26" s="5" t="s">
        <v>211</v>
      </c>
      <c r="C26" s="6" t="s">
        <v>184</v>
      </c>
      <c r="D26" s="6">
        <v>9122</v>
      </c>
      <c r="E26" s="6">
        <v>2.74</v>
      </c>
      <c r="F26" s="6">
        <v>124</v>
      </c>
      <c r="G26" s="6">
        <f t="shared" si="2"/>
        <v>1131128</v>
      </c>
      <c r="H26" s="6">
        <v>130</v>
      </c>
      <c r="I26" s="6"/>
      <c r="J26" s="6">
        <v>133</v>
      </c>
      <c r="K26" s="8"/>
    </row>
    <row r="27" spans="2:11" x14ac:dyDescent="0.2">
      <c r="B27" s="5" t="s">
        <v>212</v>
      </c>
      <c r="C27" s="6" t="s">
        <v>185</v>
      </c>
      <c r="D27" s="6">
        <v>9</v>
      </c>
      <c r="E27" s="6">
        <v>0</v>
      </c>
      <c r="F27" s="6">
        <v>112</v>
      </c>
      <c r="G27" s="6">
        <f t="shared" si="2"/>
        <v>1008</v>
      </c>
      <c r="H27" s="6">
        <v>182</v>
      </c>
      <c r="I27" s="6"/>
      <c r="J27" s="6">
        <v>188</v>
      </c>
      <c r="K27" s="8"/>
    </row>
    <row r="28" spans="2:11" x14ac:dyDescent="0.2">
      <c r="B28" s="5" t="s">
        <v>213</v>
      </c>
      <c r="C28" s="6" t="s">
        <v>186</v>
      </c>
      <c r="D28" s="6">
        <v>4233</v>
      </c>
      <c r="E28" s="6">
        <v>1.47</v>
      </c>
      <c r="F28" s="6">
        <v>0</v>
      </c>
      <c r="G28" s="6">
        <f t="shared" si="2"/>
        <v>0</v>
      </c>
      <c r="H28" s="6">
        <v>8</v>
      </c>
      <c r="I28" s="6"/>
      <c r="J28" s="6">
        <v>8</v>
      </c>
      <c r="K28" s="8"/>
    </row>
    <row r="29" spans="2:11" x14ac:dyDescent="0.2">
      <c r="B29" s="5" t="s">
        <v>214</v>
      </c>
      <c r="C29" s="6" t="s">
        <v>101</v>
      </c>
      <c r="D29" s="6">
        <v>14097</v>
      </c>
      <c r="E29" s="6">
        <v>1.33</v>
      </c>
      <c r="F29" s="6">
        <v>17</v>
      </c>
      <c r="G29" s="6">
        <f t="shared" si="2"/>
        <v>239649</v>
      </c>
      <c r="H29" s="6">
        <v>20</v>
      </c>
      <c r="I29" s="6"/>
      <c r="J29" s="6">
        <v>23</v>
      </c>
      <c r="K29" s="8"/>
    </row>
    <row r="30" spans="2:11" x14ac:dyDescent="0.2">
      <c r="B30" s="5" t="s">
        <v>215</v>
      </c>
      <c r="C30" s="6" t="s">
        <v>102</v>
      </c>
      <c r="D30" s="6">
        <v>281</v>
      </c>
      <c r="E30" s="6">
        <v>0.05</v>
      </c>
      <c r="F30" s="6">
        <v>0</v>
      </c>
      <c r="G30" s="6">
        <f t="shared" si="2"/>
        <v>0</v>
      </c>
      <c r="H30" s="6">
        <v>13</v>
      </c>
      <c r="I30" s="6"/>
      <c r="J30" s="6">
        <v>16</v>
      </c>
      <c r="K30" s="8"/>
    </row>
    <row r="31" spans="2:11" x14ac:dyDescent="0.2">
      <c r="B31" s="5" t="s">
        <v>216</v>
      </c>
      <c r="C31" s="6" t="s">
        <v>102</v>
      </c>
      <c r="D31" s="6">
        <v>18</v>
      </c>
      <c r="E31" s="6">
        <v>0</v>
      </c>
      <c r="F31" s="6">
        <v>0</v>
      </c>
      <c r="G31" s="6">
        <f t="shared" si="2"/>
        <v>0</v>
      </c>
      <c r="H31" s="6">
        <v>1</v>
      </c>
      <c r="I31" s="6"/>
      <c r="J31" s="6">
        <v>1</v>
      </c>
      <c r="K31" s="8"/>
    </row>
    <row r="32" spans="2:11" x14ac:dyDescent="0.2">
      <c r="B32" s="5" t="s">
        <v>92</v>
      </c>
      <c r="C32" s="6" t="s">
        <v>103</v>
      </c>
      <c r="D32" s="6">
        <v>9800</v>
      </c>
      <c r="E32" s="6">
        <v>3.09</v>
      </c>
      <c r="F32" s="6">
        <v>0</v>
      </c>
      <c r="G32" s="6">
        <f t="shared" si="2"/>
        <v>0</v>
      </c>
      <c r="H32" s="6">
        <v>27</v>
      </c>
      <c r="I32" s="6"/>
      <c r="J32" s="6">
        <v>28</v>
      </c>
      <c r="K32" s="8"/>
    </row>
    <row r="33" spans="2:11" x14ac:dyDescent="0.2">
      <c r="B33" s="5" t="s">
        <v>198</v>
      </c>
      <c r="C33" s="6"/>
      <c r="D33" s="6">
        <v>7429</v>
      </c>
      <c r="E33" s="6">
        <v>1.91</v>
      </c>
      <c r="F33" s="6">
        <v>0</v>
      </c>
      <c r="G33" s="6">
        <f t="shared" si="2"/>
        <v>0</v>
      </c>
      <c r="H33" s="6">
        <v>57</v>
      </c>
      <c r="I33" s="6"/>
      <c r="J33" s="6">
        <v>69</v>
      </c>
      <c r="K33" s="8"/>
    </row>
    <row r="34" spans="2:11" x14ac:dyDescent="0.2">
      <c r="B34" s="5" t="s">
        <v>93</v>
      </c>
      <c r="C34" s="6" t="s">
        <v>183</v>
      </c>
      <c r="D34" s="6">
        <v>1231</v>
      </c>
      <c r="E34" s="6">
        <v>0.3</v>
      </c>
      <c r="F34" s="6">
        <v>0</v>
      </c>
      <c r="G34" s="6">
        <f t="shared" si="2"/>
        <v>0</v>
      </c>
      <c r="H34" s="6">
        <v>48</v>
      </c>
      <c r="I34" s="6"/>
      <c r="J34" s="6">
        <v>58</v>
      </c>
      <c r="K34" s="8"/>
    </row>
    <row r="35" spans="2:11" x14ac:dyDescent="0.2">
      <c r="B35" s="5" t="s">
        <v>94</v>
      </c>
      <c r="C35" s="6" t="s">
        <v>183</v>
      </c>
      <c r="D35" s="6">
        <v>2676</v>
      </c>
      <c r="E35" s="6">
        <v>0.72</v>
      </c>
      <c r="F35" s="6">
        <v>41</v>
      </c>
      <c r="G35" s="6">
        <f t="shared" si="2"/>
        <v>109716</v>
      </c>
      <c r="H35" s="6">
        <v>61</v>
      </c>
      <c r="I35" s="6"/>
      <c r="J35" s="6">
        <v>78</v>
      </c>
      <c r="K35" s="8"/>
    </row>
    <row r="36" spans="2:11" x14ac:dyDescent="0.2">
      <c r="B36" s="5" t="s">
        <v>95</v>
      </c>
      <c r="C36" s="6" t="s">
        <v>183</v>
      </c>
      <c r="D36" s="6">
        <v>2606</v>
      </c>
      <c r="E36" s="6">
        <v>0.66</v>
      </c>
      <c r="F36" s="6">
        <v>41</v>
      </c>
      <c r="G36" s="6">
        <f t="shared" si="2"/>
        <v>106846</v>
      </c>
      <c r="H36" s="6">
        <v>61</v>
      </c>
      <c r="I36" s="6"/>
      <c r="J36" s="6">
        <v>78</v>
      </c>
      <c r="K36" s="8"/>
    </row>
    <row r="37" spans="2:11" x14ac:dyDescent="0.2">
      <c r="B37" s="5" t="s">
        <v>96</v>
      </c>
      <c r="C37" s="6" t="s">
        <v>183</v>
      </c>
      <c r="D37" s="6">
        <v>5120</v>
      </c>
      <c r="E37" s="6">
        <v>1</v>
      </c>
      <c r="F37" s="6">
        <v>0</v>
      </c>
      <c r="G37" s="6">
        <f t="shared" si="2"/>
        <v>0</v>
      </c>
      <c r="H37" s="6">
        <v>78</v>
      </c>
      <c r="I37" s="6"/>
      <c r="J37" s="6">
        <v>99</v>
      </c>
      <c r="K37" s="8"/>
    </row>
    <row r="38" spans="2:11" x14ac:dyDescent="0.2">
      <c r="B38" s="5" t="s">
        <v>49</v>
      </c>
      <c r="C38" s="6" t="s">
        <v>195</v>
      </c>
      <c r="D38" s="6">
        <v>16131</v>
      </c>
      <c r="E38" s="6">
        <v>4.4800000000000004</v>
      </c>
      <c r="F38" s="6">
        <v>0</v>
      </c>
      <c r="G38" s="6">
        <f t="shared" si="2"/>
        <v>0</v>
      </c>
      <c r="H38" s="6">
        <v>22</v>
      </c>
      <c r="I38" s="6"/>
      <c r="J38" s="6">
        <v>28</v>
      </c>
      <c r="K38" s="8"/>
    </row>
    <row r="39" spans="2:11" ht="13.5" thickBot="1" x14ac:dyDescent="0.25">
      <c r="B39" s="5" t="s">
        <v>56</v>
      </c>
      <c r="C39" s="6"/>
      <c r="D39" s="6" t="s">
        <v>141</v>
      </c>
      <c r="E39" s="6" t="s">
        <v>141</v>
      </c>
      <c r="F39" s="6">
        <f>SUM(F17:F38)</f>
        <v>1896</v>
      </c>
      <c r="G39" s="12">
        <f t="shared" ref="G39:K39" si="3">SUM(G17:G38)</f>
        <v>5126279</v>
      </c>
      <c r="H39" s="6">
        <f t="shared" si="3"/>
        <v>5232</v>
      </c>
      <c r="I39" s="10">
        <v>61922000</v>
      </c>
      <c r="J39" s="6">
        <f t="shared" si="3"/>
        <v>6232</v>
      </c>
      <c r="K39" s="8">
        <f t="shared" si="3"/>
        <v>0</v>
      </c>
    </row>
    <row r="40" spans="2:11" ht="15.75" thickBot="1" x14ac:dyDescent="0.25">
      <c r="B40" s="13" t="s">
        <v>140</v>
      </c>
      <c r="C40" s="11"/>
      <c r="D40" s="11" t="s">
        <v>141</v>
      </c>
      <c r="E40" s="11" t="s">
        <v>141</v>
      </c>
      <c r="F40" s="12">
        <f>F39+F14</f>
        <v>2092</v>
      </c>
      <c r="G40" s="12">
        <f t="shared" ref="G40:K40" si="4">G39+G14</f>
        <v>57955653</v>
      </c>
      <c r="H40" s="12">
        <f t="shared" si="4"/>
        <v>5569</v>
      </c>
      <c r="I40" s="12">
        <f t="shared" si="4"/>
        <v>151482000</v>
      </c>
      <c r="J40" s="12">
        <f t="shared" si="4"/>
        <v>6657</v>
      </c>
      <c r="K40" s="18">
        <f t="shared" si="4"/>
        <v>0</v>
      </c>
    </row>
    <row r="41" spans="2:11" ht="13.5" thickBot="1" x14ac:dyDescent="0.25">
      <c r="G41" s="1"/>
    </row>
    <row r="42" spans="2:11" x14ac:dyDescent="0.2">
      <c r="B42" s="7" t="s">
        <v>64</v>
      </c>
      <c r="C42" s="3"/>
      <c r="D42" s="3"/>
      <c r="E42" s="3"/>
      <c r="F42" s="3" t="s">
        <v>65</v>
      </c>
      <c r="G42" s="3" t="s">
        <v>66</v>
      </c>
      <c r="H42" s="3" t="s">
        <v>65</v>
      </c>
      <c r="I42" s="3" t="s">
        <v>66</v>
      </c>
      <c r="J42" s="3" t="s">
        <v>65</v>
      </c>
      <c r="K42" s="4" t="s">
        <v>66</v>
      </c>
    </row>
    <row r="43" spans="2:11" x14ac:dyDescent="0.2">
      <c r="B43" s="15" t="s">
        <v>187</v>
      </c>
      <c r="C43" s="16" t="s">
        <v>51</v>
      </c>
      <c r="D43" s="16" t="s">
        <v>191</v>
      </c>
      <c r="E43" s="16" t="s">
        <v>166</v>
      </c>
      <c r="F43" s="16">
        <v>2011</v>
      </c>
      <c r="G43" s="16">
        <v>2011</v>
      </c>
      <c r="H43" s="16">
        <v>2012</v>
      </c>
      <c r="I43" s="16">
        <v>2012</v>
      </c>
      <c r="J43" s="16">
        <v>2013</v>
      </c>
      <c r="K43" s="17">
        <v>2013</v>
      </c>
    </row>
    <row r="44" spans="2:11" x14ac:dyDescent="0.2">
      <c r="B44" s="5" t="s">
        <v>188</v>
      </c>
      <c r="C44" s="6" t="s">
        <v>183</v>
      </c>
      <c r="D44" s="6">
        <v>1223</v>
      </c>
      <c r="E44" s="6">
        <v>0.44</v>
      </c>
      <c r="F44" s="6">
        <v>4800</v>
      </c>
      <c r="G44" s="6">
        <f>F44*D44</f>
        <v>5870400</v>
      </c>
      <c r="H44" s="6">
        <v>7348</v>
      </c>
      <c r="I44" s="10">
        <f>H44*D44</f>
        <v>8986604</v>
      </c>
      <c r="J44" s="6">
        <v>9673</v>
      </c>
      <c r="K44" s="14">
        <f>J44*D44</f>
        <v>11830079</v>
      </c>
    </row>
    <row r="45" spans="2:11" x14ac:dyDescent="0.2">
      <c r="B45" s="5" t="s">
        <v>189</v>
      </c>
      <c r="C45" s="6" t="s">
        <v>190</v>
      </c>
      <c r="D45" s="6">
        <v>2500</v>
      </c>
      <c r="E45" s="6">
        <v>0.39</v>
      </c>
      <c r="F45" s="6">
        <v>750</v>
      </c>
      <c r="G45" s="6">
        <f>F45*D45</f>
        <v>1875000</v>
      </c>
      <c r="H45" s="6">
        <v>750</v>
      </c>
      <c r="I45" s="10">
        <f>H45*D45</f>
        <v>1875000</v>
      </c>
      <c r="J45" s="6">
        <v>1161</v>
      </c>
      <c r="K45" s="14">
        <f>J45*D45</f>
        <v>2902500</v>
      </c>
    </row>
    <row r="46" spans="2:11" ht="13.5" thickBot="1" x14ac:dyDescent="0.25">
      <c r="B46" s="5" t="s">
        <v>167</v>
      </c>
      <c r="C46" s="6" t="s">
        <v>141</v>
      </c>
      <c r="D46" s="6" t="s">
        <v>141</v>
      </c>
      <c r="E46" s="6" t="s">
        <v>141</v>
      </c>
      <c r="F46" s="6">
        <f>SUM(F44:F45)</f>
        <v>5550</v>
      </c>
      <c r="G46" s="10">
        <f>G44+G45</f>
        <v>7745400</v>
      </c>
      <c r="H46" s="10">
        <f t="shared" ref="H46:K46" si="5">H44+H45</f>
        <v>8098</v>
      </c>
      <c r="I46" s="10">
        <f t="shared" si="5"/>
        <v>10861604</v>
      </c>
      <c r="J46" s="10">
        <f t="shared" si="5"/>
        <v>10834</v>
      </c>
      <c r="K46" s="14">
        <f t="shared" si="5"/>
        <v>14732579</v>
      </c>
    </row>
    <row r="47" spans="2:11" x14ac:dyDescent="0.2">
      <c r="B47" s="7" t="s">
        <v>68</v>
      </c>
      <c r="C47" s="3"/>
      <c r="D47" s="3"/>
      <c r="E47" s="3"/>
      <c r="F47" s="3" t="s">
        <v>65</v>
      </c>
      <c r="G47" s="3" t="s">
        <v>66</v>
      </c>
      <c r="H47" s="3" t="s">
        <v>65</v>
      </c>
      <c r="I47" s="3" t="s">
        <v>66</v>
      </c>
      <c r="J47" s="3" t="s">
        <v>65</v>
      </c>
      <c r="K47" s="4" t="s">
        <v>134</v>
      </c>
    </row>
    <row r="48" spans="2:11" x14ac:dyDescent="0.2">
      <c r="B48" s="15" t="s">
        <v>168</v>
      </c>
      <c r="C48" s="16" t="s">
        <v>51</v>
      </c>
      <c r="D48" s="16" t="s">
        <v>6</v>
      </c>
      <c r="E48" s="16" t="s">
        <v>129</v>
      </c>
      <c r="F48" s="16">
        <v>2011</v>
      </c>
      <c r="G48" s="16">
        <v>2011</v>
      </c>
      <c r="H48" s="16">
        <v>2012</v>
      </c>
      <c r="I48" s="16">
        <v>2012</v>
      </c>
      <c r="J48" s="16">
        <v>2013</v>
      </c>
      <c r="K48" s="17">
        <v>2013</v>
      </c>
    </row>
    <row r="49" spans="2:11" x14ac:dyDescent="0.2">
      <c r="B49" s="5" t="s">
        <v>149</v>
      </c>
      <c r="C49" s="6" t="s">
        <v>150</v>
      </c>
      <c r="D49" s="6">
        <v>1101</v>
      </c>
      <c r="E49" s="6">
        <v>0.16</v>
      </c>
      <c r="F49" s="6">
        <v>7418</v>
      </c>
      <c r="G49" s="10">
        <f>F49*D49</f>
        <v>8167218</v>
      </c>
      <c r="H49" s="6">
        <v>11127</v>
      </c>
      <c r="I49" s="6"/>
      <c r="J49" s="6">
        <v>14836</v>
      </c>
      <c r="K49" s="8"/>
    </row>
    <row r="50" spans="2:11" ht="13.5" thickBot="1" x14ac:dyDescent="0.25">
      <c r="B50" s="5" t="s">
        <v>67</v>
      </c>
      <c r="C50" s="6" t="s">
        <v>141</v>
      </c>
      <c r="D50" s="6" t="s">
        <v>141</v>
      </c>
      <c r="E50" s="6" t="s">
        <v>141</v>
      </c>
      <c r="F50" s="6">
        <f>SUM(F49)</f>
        <v>7418</v>
      </c>
      <c r="G50" s="10">
        <f t="shared" ref="G50:K50" si="6">SUM(G49)</f>
        <v>8167218</v>
      </c>
      <c r="H50" s="6">
        <f t="shared" si="6"/>
        <v>11127</v>
      </c>
      <c r="I50" s="10">
        <v>12251000</v>
      </c>
      <c r="J50" s="6">
        <f t="shared" si="6"/>
        <v>14836</v>
      </c>
      <c r="K50" s="8">
        <f t="shared" si="6"/>
        <v>0</v>
      </c>
    </row>
    <row r="51" spans="2:11" x14ac:dyDescent="0.2">
      <c r="B51" s="7" t="s">
        <v>69</v>
      </c>
      <c r="C51" s="3"/>
      <c r="D51" s="3"/>
      <c r="E51" s="3"/>
      <c r="F51" s="3" t="s">
        <v>65</v>
      </c>
      <c r="G51" s="3" t="s">
        <v>66</v>
      </c>
      <c r="H51" s="3" t="s">
        <v>65</v>
      </c>
      <c r="I51" s="3" t="s">
        <v>66</v>
      </c>
      <c r="J51" s="3" t="s">
        <v>65</v>
      </c>
      <c r="K51" s="4" t="s">
        <v>66</v>
      </c>
    </row>
    <row r="52" spans="2:11" x14ac:dyDescent="0.2">
      <c r="B52" s="15" t="s">
        <v>151</v>
      </c>
      <c r="C52" s="16" t="s">
        <v>152</v>
      </c>
      <c r="D52" s="16" t="s">
        <v>153</v>
      </c>
      <c r="E52" s="16" t="s">
        <v>23</v>
      </c>
      <c r="F52" s="16">
        <v>2011</v>
      </c>
      <c r="G52" s="16">
        <v>2011</v>
      </c>
      <c r="H52" s="16">
        <v>2012</v>
      </c>
      <c r="I52" s="16">
        <v>2012</v>
      </c>
      <c r="J52" s="16">
        <v>2013</v>
      </c>
      <c r="K52" s="17">
        <v>2013</v>
      </c>
    </row>
    <row r="53" spans="2:11" x14ac:dyDescent="0.2">
      <c r="B53" s="5" t="s">
        <v>25</v>
      </c>
      <c r="C53" s="6" t="s">
        <v>34</v>
      </c>
      <c r="D53" s="10">
        <v>4551</v>
      </c>
      <c r="E53" s="6">
        <v>0.76</v>
      </c>
      <c r="F53" s="10">
        <v>99</v>
      </c>
      <c r="G53" s="10">
        <f>F53*D53</f>
        <v>450549</v>
      </c>
      <c r="H53" s="10">
        <v>199</v>
      </c>
      <c r="I53" s="10">
        <f>H53*D53</f>
        <v>905649</v>
      </c>
      <c r="J53" s="10">
        <v>224</v>
      </c>
      <c r="K53" s="14">
        <f>J53*D53</f>
        <v>1019424</v>
      </c>
    </row>
    <row r="54" spans="2:11" x14ac:dyDescent="0.2">
      <c r="B54" s="5" t="s">
        <v>26</v>
      </c>
      <c r="C54" s="6" t="s">
        <v>35</v>
      </c>
      <c r="D54" s="10">
        <v>416</v>
      </c>
      <c r="E54" s="6">
        <v>0.43</v>
      </c>
      <c r="F54" s="10">
        <v>217</v>
      </c>
      <c r="G54" s="10">
        <f t="shared" ref="G54:G61" si="7">F54*D54</f>
        <v>90272</v>
      </c>
      <c r="H54" s="10">
        <v>435</v>
      </c>
      <c r="I54" s="10">
        <f t="shared" ref="I54:I61" si="8">H54*D54</f>
        <v>180960</v>
      </c>
      <c r="J54" s="10">
        <v>490</v>
      </c>
      <c r="K54" s="14">
        <f t="shared" ref="K54:K61" si="9">J54*D54</f>
        <v>203840</v>
      </c>
    </row>
    <row r="55" spans="2:11" x14ac:dyDescent="0.2">
      <c r="B55" s="5" t="s">
        <v>27</v>
      </c>
      <c r="C55" s="6" t="s">
        <v>36</v>
      </c>
      <c r="D55" s="10">
        <v>1063</v>
      </c>
      <c r="E55" s="6">
        <v>0.17</v>
      </c>
      <c r="F55" s="10">
        <v>42</v>
      </c>
      <c r="G55" s="10">
        <f t="shared" si="7"/>
        <v>44646</v>
      </c>
      <c r="H55" s="10">
        <v>84</v>
      </c>
      <c r="I55" s="10">
        <f t="shared" si="8"/>
        <v>89292</v>
      </c>
      <c r="J55" s="10">
        <v>94</v>
      </c>
      <c r="K55" s="14">
        <f t="shared" si="9"/>
        <v>99922</v>
      </c>
    </row>
    <row r="56" spans="2:11" x14ac:dyDescent="0.2">
      <c r="B56" s="5" t="s">
        <v>28</v>
      </c>
      <c r="C56" s="6" t="s">
        <v>39</v>
      </c>
      <c r="D56" s="10">
        <v>149</v>
      </c>
      <c r="E56" s="6">
        <v>0.08</v>
      </c>
      <c r="F56" s="10">
        <v>17</v>
      </c>
      <c r="G56" s="10">
        <f t="shared" si="7"/>
        <v>2533</v>
      </c>
      <c r="H56" s="10">
        <v>33</v>
      </c>
      <c r="I56" s="10">
        <f t="shared" si="8"/>
        <v>4917</v>
      </c>
      <c r="J56" s="10">
        <v>37</v>
      </c>
      <c r="K56" s="14">
        <f t="shared" si="9"/>
        <v>5513</v>
      </c>
    </row>
    <row r="57" spans="2:11" x14ac:dyDescent="0.2">
      <c r="B57" s="5" t="s">
        <v>29</v>
      </c>
      <c r="C57" s="6" t="s">
        <v>37</v>
      </c>
      <c r="D57" s="10">
        <v>2440</v>
      </c>
      <c r="E57" s="6">
        <v>0.42</v>
      </c>
      <c r="F57" s="10">
        <v>562</v>
      </c>
      <c r="G57" s="10">
        <f t="shared" si="7"/>
        <v>1371280</v>
      </c>
      <c r="H57" s="10">
        <v>1125</v>
      </c>
      <c r="I57" s="10">
        <f t="shared" si="8"/>
        <v>2745000</v>
      </c>
      <c r="J57" s="10">
        <v>1269</v>
      </c>
      <c r="K57" s="14">
        <f t="shared" si="9"/>
        <v>3096360</v>
      </c>
    </row>
    <row r="58" spans="2:11" x14ac:dyDescent="0.2">
      <c r="B58" s="5" t="s">
        <v>30</v>
      </c>
      <c r="C58" s="6" t="s">
        <v>205</v>
      </c>
      <c r="D58" s="10">
        <v>228</v>
      </c>
      <c r="E58" s="6">
        <v>0.25</v>
      </c>
      <c r="F58" s="10">
        <v>1230</v>
      </c>
      <c r="G58" s="10">
        <f t="shared" si="7"/>
        <v>280440</v>
      </c>
      <c r="H58" s="10">
        <v>2462</v>
      </c>
      <c r="I58" s="10">
        <f t="shared" si="8"/>
        <v>561336</v>
      </c>
      <c r="J58" s="10">
        <v>2776</v>
      </c>
      <c r="K58" s="14">
        <f t="shared" si="9"/>
        <v>632928</v>
      </c>
    </row>
    <row r="59" spans="2:11" x14ac:dyDescent="0.2">
      <c r="B59" s="5" t="s">
        <v>31</v>
      </c>
      <c r="C59" s="6" t="s">
        <v>38</v>
      </c>
      <c r="D59" s="10">
        <v>570</v>
      </c>
      <c r="E59" s="6">
        <v>0.09</v>
      </c>
      <c r="F59" s="10">
        <v>239</v>
      </c>
      <c r="G59" s="10">
        <f t="shared" si="7"/>
        <v>136230</v>
      </c>
      <c r="H59" s="10">
        <v>476</v>
      </c>
      <c r="I59" s="10">
        <f t="shared" si="8"/>
        <v>271320</v>
      </c>
      <c r="J59" s="10">
        <v>534</v>
      </c>
      <c r="K59" s="14">
        <f t="shared" si="9"/>
        <v>304380</v>
      </c>
    </row>
    <row r="60" spans="2:11" x14ac:dyDescent="0.2">
      <c r="B60" s="5" t="s">
        <v>32</v>
      </c>
      <c r="C60" s="6" t="s">
        <v>38</v>
      </c>
      <c r="D60" s="10">
        <v>82</v>
      </c>
      <c r="E60" s="6">
        <v>0.05</v>
      </c>
      <c r="F60" s="10">
        <v>94</v>
      </c>
      <c r="G60" s="10">
        <f t="shared" si="7"/>
        <v>7708</v>
      </c>
      <c r="H60" s="10">
        <v>186</v>
      </c>
      <c r="I60" s="10">
        <f t="shared" si="8"/>
        <v>15252</v>
      </c>
      <c r="J60" s="10">
        <v>209</v>
      </c>
      <c r="K60" s="14">
        <f t="shared" si="9"/>
        <v>17138</v>
      </c>
    </row>
    <row r="61" spans="2:11" x14ac:dyDescent="0.2">
      <c r="B61" s="5" t="s">
        <v>33</v>
      </c>
      <c r="C61" s="6" t="s">
        <v>206</v>
      </c>
      <c r="D61" s="10">
        <v>0</v>
      </c>
      <c r="E61" s="6">
        <v>0</v>
      </c>
      <c r="F61" s="10">
        <v>531</v>
      </c>
      <c r="G61" s="10">
        <f t="shared" si="7"/>
        <v>0</v>
      </c>
      <c r="H61" s="10">
        <v>1062</v>
      </c>
      <c r="I61" s="10">
        <f t="shared" si="8"/>
        <v>0</v>
      </c>
      <c r="J61" s="10">
        <v>1197</v>
      </c>
      <c r="K61" s="14">
        <f t="shared" si="9"/>
        <v>0</v>
      </c>
    </row>
    <row r="62" spans="2:11" ht="13.5" thickBot="1" x14ac:dyDescent="0.25">
      <c r="B62" s="5" t="s">
        <v>207</v>
      </c>
      <c r="C62" s="6" t="s">
        <v>141</v>
      </c>
      <c r="D62" s="6" t="s">
        <v>141</v>
      </c>
      <c r="E62" s="6"/>
      <c r="F62" s="10">
        <f>SUM(F53:F61)</f>
        <v>3031</v>
      </c>
      <c r="G62" s="10">
        <f t="shared" ref="G62:K62" si="10">SUM(G53:G61)</f>
        <v>2383658</v>
      </c>
      <c r="H62" s="10">
        <f t="shared" si="10"/>
        <v>6062</v>
      </c>
      <c r="I62" s="10">
        <f t="shared" si="10"/>
        <v>4773726</v>
      </c>
      <c r="J62" s="10">
        <f t="shared" si="10"/>
        <v>6830</v>
      </c>
      <c r="K62" s="14">
        <f t="shared" si="10"/>
        <v>5379505</v>
      </c>
    </row>
    <row r="63" spans="2:11" x14ac:dyDescent="0.2">
      <c r="B63" s="7" t="s">
        <v>70</v>
      </c>
      <c r="C63" s="3"/>
      <c r="D63" s="3"/>
      <c r="E63" s="3"/>
      <c r="F63" s="3" t="s">
        <v>137</v>
      </c>
      <c r="G63" s="3" t="s">
        <v>71</v>
      </c>
      <c r="H63" s="3" t="s">
        <v>137</v>
      </c>
      <c r="I63" s="3" t="s">
        <v>134</v>
      </c>
      <c r="J63" s="3" t="s">
        <v>137</v>
      </c>
      <c r="K63" s="4" t="s">
        <v>134</v>
      </c>
    </row>
    <row r="64" spans="2:11" x14ac:dyDescent="0.2">
      <c r="B64" s="15" t="s">
        <v>208</v>
      </c>
      <c r="C64" s="16" t="s">
        <v>152</v>
      </c>
      <c r="D64" s="16" t="s">
        <v>209</v>
      </c>
      <c r="E64" s="16" t="s">
        <v>23</v>
      </c>
      <c r="F64" s="16">
        <v>2011</v>
      </c>
      <c r="G64" s="16">
        <v>2011</v>
      </c>
      <c r="H64" s="16">
        <v>2012</v>
      </c>
      <c r="I64" s="16">
        <v>2012</v>
      </c>
      <c r="J64" s="16">
        <v>2013</v>
      </c>
      <c r="K64" s="17">
        <v>2013</v>
      </c>
    </row>
    <row r="65" spans="2:11" x14ac:dyDescent="0.2">
      <c r="B65" s="5" t="s">
        <v>159</v>
      </c>
      <c r="C65" s="6" t="s">
        <v>190</v>
      </c>
      <c r="D65" s="6">
        <v>161</v>
      </c>
      <c r="E65" s="6">
        <v>0.04</v>
      </c>
      <c r="F65" s="6">
        <v>0</v>
      </c>
      <c r="G65" s="6">
        <f>F65*D65</f>
        <v>0</v>
      </c>
      <c r="H65" s="6"/>
      <c r="I65" s="6"/>
      <c r="J65" s="6"/>
      <c r="K65" s="8"/>
    </row>
    <row r="66" spans="2:11" x14ac:dyDescent="0.2">
      <c r="B66" s="5" t="s">
        <v>160</v>
      </c>
      <c r="C66" s="6" t="s">
        <v>190</v>
      </c>
      <c r="D66" s="6">
        <v>138</v>
      </c>
      <c r="E66" s="6">
        <v>0.03</v>
      </c>
      <c r="F66" s="6">
        <v>0</v>
      </c>
      <c r="G66" s="6">
        <f t="shared" ref="G66:G70" si="11">F66*D66</f>
        <v>0</v>
      </c>
      <c r="H66" s="6"/>
      <c r="I66" s="6"/>
      <c r="J66" s="6"/>
      <c r="K66" s="8"/>
    </row>
    <row r="67" spans="2:11" x14ac:dyDescent="0.2">
      <c r="B67" s="5" t="s">
        <v>161</v>
      </c>
      <c r="C67" s="6" t="s">
        <v>190</v>
      </c>
      <c r="D67" s="6">
        <v>684</v>
      </c>
      <c r="E67" s="6">
        <v>0.09</v>
      </c>
      <c r="F67" s="6">
        <v>0</v>
      </c>
      <c r="G67" s="6">
        <f t="shared" si="11"/>
        <v>0</v>
      </c>
      <c r="H67" s="6"/>
      <c r="I67" s="6"/>
      <c r="J67" s="6"/>
      <c r="K67" s="8"/>
    </row>
    <row r="68" spans="2:11" x14ac:dyDescent="0.2">
      <c r="B68" s="5" t="s">
        <v>162</v>
      </c>
      <c r="C68" s="6" t="s">
        <v>190</v>
      </c>
      <c r="D68" s="6">
        <v>133</v>
      </c>
      <c r="E68" s="6">
        <v>0.13</v>
      </c>
      <c r="F68" s="6">
        <v>0</v>
      </c>
      <c r="G68" s="6">
        <f t="shared" si="11"/>
        <v>0</v>
      </c>
      <c r="H68" s="6"/>
      <c r="I68" s="6"/>
      <c r="J68" s="6"/>
      <c r="K68" s="8"/>
    </row>
    <row r="69" spans="2:11" x14ac:dyDescent="0.2">
      <c r="B69" s="5" t="s">
        <v>163</v>
      </c>
      <c r="C69" s="6" t="s">
        <v>190</v>
      </c>
      <c r="D69" s="6">
        <v>212</v>
      </c>
      <c r="E69" s="6">
        <v>0.11</v>
      </c>
      <c r="F69" s="10">
        <v>32500</v>
      </c>
      <c r="G69" s="10">
        <f t="shared" si="11"/>
        <v>6890000</v>
      </c>
      <c r="H69" s="6"/>
      <c r="I69" s="6"/>
      <c r="J69" s="6"/>
      <c r="K69" s="8"/>
    </row>
    <row r="70" spans="2:11" x14ac:dyDescent="0.2">
      <c r="B70" s="5" t="s">
        <v>164</v>
      </c>
      <c r="C70" s="6" t="s">
        <v>165</v>
      </c>
      <c r="D70" s="6">
        <v>212</v>
      </c>
      <c r="E70" s="6">
        <v>0.11</v>
      </c>
      <c r="F70" s="10">
        <v>0</v>
      </c>
      <c r="G70" s="10">
        <f t="shared" si="11"/>
        <v>0</v>
      </c>
      <c r="H70" s="6"/>
      <c r="I70" s="6"/>
      <c r="J70" s="6"/>
      <c r="K70" s="8"/>
    </row>
    <row r="71" spans="2:11" ht="13.5" thickBot="1" x14ac:dyDescent="0.25">
      <c r="B71" s="5" t="s">
        <v>207</v>
      </c>
      <c r="C71" s="6"/>
      <c r="D71" s="6"/>
      <c r="E71" s="6"/>
      <c r="F71" s="10">
        <f>SUM(F65:F70)</f>
        <v>32500</v>
      </c>
      <c r="G71" s="10">
        <f>SUM(G65:G70)</f>
        <v>6890000</v>
      </c>
      <c r="H71" s="10">
        <v>101270</v>
      </c>
      <c r="I71" s="10">
        <v>22907000</v>
      </c>
      <c r="J71" s="6"/>
      <c r="K71" s="8"/>
    </row>
    <row r="72" spans="2:11" x14ac:dyDescent="0.2">
      <c r="B72" s="7" t="s">
        <v>8</v>
      </c>
      <c r="C72" s="3"/>
      <c r="D72" s="3"/>
      <c r="E72" s="3"/>
      <c r="F72" s="23" t="s">
        <v>137</v>
      </c>
      <c r="G72" s="3" t="s">
        <v>106</v>
      </c>
      <c r="H72" s="3" t="s">
        <v>137</v>
      </c>
      <c r="I72" s="23" t="s">
        <v>134</v>
      </c>
      <c r="J72" s="23" t="s">
        <v>137</v>
      </c>
      <c r="K72" s="4" t="s">
        <v>134</v>
      </c>
    </row>
    <row r="73" spans="2:11" x14ac:dyDescent="0.2">
      <c r="B73" s="21" t="s">
        <v>107</v>
      </c>
      <c r="C73" s="22" t="s">
        <v>9</v>
      </c>
      <c r="D73" s="16" t="s">
        <v>10</v>
      </c>
      <c r="E73" s="22" t="s">
        <v>105</v>
      </c>
      <c r="F73" s="22">
        <v>2011</v>
      </c>
      <c r="G73" s="16">
        <v>2011</v>
      </c>
      <c r="H73" s="16">
        <v>2012</v>
      </c>
      <c r="I73" s="22">
        <v>2012</v>
      </c>
      <c r="J73" s="22">
        <v>2013</v>
      </c>
      <c r="K73" s="17">
        <v>2013</v>
      </c>
    </row>
    <row r="74" spans="2:11" x14ac:dyDescent="0.2">
      <c r="B74" s="5" t="s">
        <v>83</v>
      </c>
      <c r="C74" s="20" t="s">
        <v>84</v>
      </c>
      <c r="D74" s="20">
        <v>544</v>
      </c>
      <c r="E74" s="20">
        <v>0.1</v>
      </c>
      <c r="F74" s="10">
        <v>800</v>
      </c>
      <c r="G74" s="10">
        <v>435200</v>
      </c>
      <c r="H74" s="10">
        <v>900</v>
      </c>
      <c r="I74" s="10">
        <v>489600</v>
      </c>
      <c r="J74" s="10">
        <v>1000</v>
      </c>
      <c r="K74" s="14">
        <v>544000</v>
      </c>
    </row>
    <row r="75" spans="2:11" x14ac:dyDescent="0.2">
      <c r="B75" s="5" t="s">
        <v>67</v>
      </c>
      <c r="C75" s="20" t="s">
        <v>141</v>
      </c>
      <c r="D75" s="6" t="s">
        <v>141</v>
      </c>
      <c r="E75" s="20" t="s">
        <v>141</v>
      </c>
      <c r="F75" s="10">
        <f>SUM(F74)</f>
        <v>800</v>
      </c>
      <c r="G75" s="10">
        <f t="shared" ref="G75:K75" si="12">SUM(G74)</f>
        <v>435200</v>
      </c>
      <c r="H75" s="10">
        <f t="shared" si="12"/>
        <v>900</v>
      </c>
      <c r="I75" s="10">
        <f t="shared" si="12"/>
        <v>489600</v>
      </c>
      <c r="J75" s="10">
        <f t="shared" si="12"/>
        <v>1000</v>
      </c>
      <c r="K75" s="14">
        <f t="shared" si="12"/>
        <v>544000</v>
      </c>
    </row>
    <row r="76" spans="2:11" x14ac:dyDescent="0.2">
      <c r="B76" s="5" t="s">
        <v>0</v>
      </c>
      <c r="C76" s="6"/>
      <c r="D76" s="6"/>
      <c r="E76" s="6"/>
      <c r="F76" s="6"/>
      <c r="G76" s="6"/>
      <c r="H76" s="6"/>
      <c r="I76" s="6"/>
      <c r="J76" s="6"/>
      <c r="K76" s="8"/>
    </row>
    <row r="77" spans="2:11" x14ac:dyDescent="0.2">
      <c r="B77" s="5"/>
      <c r="C77" s="6"/>
      <c r="D77" s="6"/>
      <c r="E77" s="6"/>
      <c r="F77" s="6"/>
      <c r="G77" s="6"/>
      <c r="H77" s="6"/>
      <c r="I77" s="6"/>
      <c r="J77" s="6"/>
      <c r="K77" s="8"/>
    </row>
    <row r="78" spans="2:11" ht="15.75" thickBot="1" x14ac:dyDescent="0.25">
      <c r="B78" s="13" t="s">
        <v>72</v>
      </c>
      <c r="C78" s="11"/>
      <c r="D78" s="11" t="s">
        <v>141</v>
      </c>
      <c r="E78" s="11" t="s">
        <v>141</v>
      </c>
      <c r="F78" s="12">
        <f>F75+F71+F62+F50+F46</f>
        <v>49299</v>
      </c>
      <c r="G78" s="12">
        <f t="shared" ref="G78:K78" si="13">G75+G71+G62+G50+G46</f>
        <v>25621476</v>
      </c>
      <c r="H78" s="12">
        <f t="shared" si="13"/>
        <v>127457</v>
      </c>
      <c r="I78" s="12">
        <f t="shared" si="13"/>
        <v>51282930</v>
      </c>
      <c r="J78" s="12">
        <f t="shared" si="13"/>
        <v>33500</v>
      </c>
      <c r="K78" s="18">
        <f t="shared" si="13"/>
        <v>20656084</v>
      </c>
    </row>
    <row r="79" spans="2:11" ht="13.5" thickBot="1" x14ac:dyDescent="0.25"/>
    <row r="80" spans="2:11" ht="15" x14ac:dyDescent="0.2">
      <c r="B80" s="28" t="s">
        <v>131</v>
      </c>
      <c r="C80" s="3"/>
      <c r="D80" s="3"/>
      <c r="E80" s="3"/>
      <c r="F80" s="3"/>
      <c r="G80" s="3"/>
      <c r="H80" s="3"/>
      <c r="I80" s="93"/>
      <c r="J80" s="3"/>
      <c r="K80" s="4"/>
    </row>
    <row r="81" spans="2:16" x14ac:dyDescent="0.2">
      <c r="B81" s="5"/>
      <c r="C81" s="6">
        <v>2011</v>
      </c>
      <c r="D81" s="6">
        <v>2011</v>
      </c>
      <c r="E81" s="6">
        <v>2011</v>
      </c>
      <c r="F81" s="6">
        <v>2011</v>
      </c>
      <c r="G81" s="6">
        <v>2011</v>
      </c>
      <c r="H81" s="6">
        <v>2011</v>
      </c>
      <c r="I81" s="89">
        <v>2012</v>
      </c>
      <c r="J81" s="6">
        <v>2012</v>
      </c>
      <c r="K81" s="92">
        <v>2012</v>
      </c>
    </row>
    <row r="82" spans="2:16" ht="25.5" x14ac:dyDescent="0.2">
      <c r="B82" s="5"/>
      <c r="C82" s="6" t="s">
        <v>73</v>
      </c>
      <c r="D82" s="6" t="s">
        <v>74</v>
      </c>
      <c r="E82" s="6" t="s">
        <v>202</v>
      </c>
      <c r="F82" s="6" t="s">
        <v>203</v>
      </c>
      <c r="G82" s="6" t="s">
        <v>204</v>
      </c>
      <c r="H82" s="30" t="s">
        <v>80</v>
      </c>
      <c r="I82" s="5" t="s">
        <v>178</v>
      </c>
      <c r="J82" s="6" t="s">
        <v>179</v>
      </c>
      <c r="K82" s="8" t="s">
        <v>143</v>
      </c>
      <c r="L82" s="6"/>
      <c r="M82" s="6"/>
      <c r="N82" s="33"/>
    </row>
    <row r="83" spans="2:16" ht="25.5" x14ac:dyDescent="0.2">
      <c r="B83" s="29" t="s">
        <v>81</v>
      </c>
      <c r="C83" s="25">
        <v>1028210</v>
      </c>
      <c r="D83" s="25">
        <v>534626</v>
      </c>
      <c r="E83" s="25">
        <v>1436674</v>
      </c>
      <c r="F83" s="25">
        <v>0</v>
      </c>
      <c r="G83" s="25">
        <f>SUM(D83:F83)</f>
        <v>1971300</v>
      </c>
      <c r="H83" s="25">
        <f>SUM(C83:F83)</f>
        <v>2999510</v>
      </c>
      <c r="I83" s="94">
        <v>2591672</v>
      </c>
      <c r="J83" s="25">
        <v>2663019</v>
      </c>
      <c r="K83" s="26">
        <f>I83+J83</f>
        <v>5254691</v>
      </c>
    </row>
    <row r="84" spans="2:16" ht="26.25" thickBot="1" x14ac:dyDescent="0.25">
      <c r="B84" s="29" t="s">
        <v>82</v>
      </c>
      <c r="C84" s="25">
        <v>1300251</v>
      </c>
      <c r="D84" s="25">
        <v>374527</v>
      </c>
      <c r="E84" s="25">
        <v>377372</v>
      </c>
      <c r="F84" s="25">
        <v>0</v>
      </c>
      <c r="G84" s="25">
        <f t="shared" ref="G84:G89" si="14">SUM(D84:F84)</f>
        <v>751899</v>
      </c>
      <c r="H84" s="25">
        <f t="shared" ref="H84:H89" si="15">SUM(C84:F84)</f>
        <v>2052150</v>
      </c>
      <c r="I84" s="94">
        <v>2118745</v>
      </c>
      <c r="J84" s="25">
        <v>1073323</v>
      </c>
      <c r="K84" s="26">
        <f t="shared" ref="K84:K89" si="16">I84+J84</f>
        <v>3192068</v>
      </c>
    </row>
    <row r="85" spans="2:16" ht="26.25" thickBot="1" x14ac:dyDescent="0.25">
      <c r="B85" s="101" t="s">
        <v>136</v>
      </c>
      <c r="C85" s="102">
        <f>SUM(C83:C84)</f>
        <v>2328461</v>
      </c>
      <c r="D85" s="102">
        <f t="shared" ref="D85:H85" si="17">SUM(D83:D84)</f>
        <v>909153</v>
      </c>
      <c r="E85" s="102">
        <f t="shared" si="17"/>
        <v>1814046</v>
      </c>
      <c r="F85" s="102">
        <f t="shared" si="17"/>
        <v>0</v>
      </c>
      <c r="G85" s="102">
        <f t="shared" si="17"/>
        <v>2723199</v>
      </c>
      <c r="H85" s="102">
        <f t="shared" si="17"/>
        <v>5051660</v>
      </c>
      <c r="I85" s="103">
        <f>SUM(I83:I84)</f>
        <v>4710417</v>
      </c>
      <c r="J85" s="102">
        <f>SUM(J83:J84)</f>
        <v>3736342</v>
      </c>
      <c r="K85" s="104">
        <f t="shared" si="16"/>
        <v>8446759</v>
      </c>
      <c r="L85" s="19"/>
    </row>
    <row r="86" spans="2:16" ht="38.25" x14ac:dyDescent="0.2">
      <c r="B86" s="95" t="s">
        <v>108</v>
      </c>
      <c r="C86" s="96">
        <v>40000</v>
      </c>
      <c r="D86" s="96">
        <v>54576</v>
      </c>
      <c r="E86" s="96">
        <v>146702</v>
      </c>
      <c r="F86" s="96">
        <v>0</v>
      </c>
      <c r="G86" s="96">
        <f t="shared" si="14"/>
        <v>201278</v>
      </c>
      <c r="H86" s="96">
        <f t="shared" si="15"/>
        <v>241278</v>
      </c>
      <c r="I86" s="97">
        <v>45675</v>
      </c>
      <c r="J86" s="96">
        <v>159880</v>
      </c>
      <c r="K86" s="98">
        <f t="shared" si="16"/>
        <v>205555</v>
      </c>
    </row>
    <row r="87" spans="2:16" ht="38.25" x14ac:dyDescent="0.2">
      <c r="B87" s="29" t="s">
        <v>112</v>
      </c>
      <c r="C87" s="25">
        <v>601742</v>
      </c>
      <c r="D87" s="25">
        <v>985865</v>
      </c>
      <c r="E87" s="25">
        <v>683991</v>
      </c>
      <c r="F87" s="25">
        <v>0</v>
      </c>
      <c r="G87" s="25">
        <f t="shared" si="14"/>
        <v>1669856</v>
      </c>
      <c r="H87" s="25">
        <f t="shared" si="15"/>
        <v>2271598</v>
      </c>
      <c r="I87" s="50">
        <v>1222720</v>
      </c>
      <c r="J87" s="25">
        <v>2479619</v>
      </c>
      <c r="K87" s="26">
        <f t="shared" si="16"/>
        <v>3702339</v>
      </c>
      <c r="P87" s="2"/>
    </row>
    <row r="88" spans="2:16" ht="38.25" x14ac:dyDescent="0.2">
      <c r="B88" s="29" t="s">
        <v>113</v>
      </c>
      <c r="C88" s="25">
        <v>214500</v>
      </c>
      <c r="D88" s="25">
        <v>150899</v>
      </c>
      <c r="E88" s="25">
        <v>831185</v>
      </c>
      <c r="F88" s="25">
        <v>0</v>
      </c>
      <c r="G88" s="25">
        <f t="shared" si="14"/>
        <v>982084</v>
      </c>
      <c r="H88" s="25">
        <f t="shared" si="15"/>
        <v>1196584</v>
      </c>
      <c r="I88" s="50">
        <v>891225</v>
      </c>
      <c r="J88" s="25">
        <v>1277454</v>
      </c>
      <c r="K88" s="26">
        <f t="shared" si="16"/>
        <v>2168679</v>
      </c>
    </row>
    <row r="89" spans="2:16" ht="25.5" x14ac:dyDescent="0.2">
      <c r="B89" s="29" t="s">
        <v>114</v>
      </c>
      <c r="C89" s="25">
        <v>259630</v>
      </c>
      <c r="D89" s="25">
        <v>813896</v>
      </c>
      <c r="E89" s="25">
        <v>370900</v>
      </c>
      <c r="F89" s="25">
        <v>0</v>
      </c>
      <c r="G89" s="25">
        <f t="shared" si="14"/>
        <v>1184796</v>
      </c>
      <c r="H89" s="25">
        <f t="shared" si="15"/>
        <v>1444426</v>
      </c>
      <c r="I89" s="50">
        <v>395287</v>
      </c>
      <c r="J89" s="25">
        <v>1883381</v>
      </c>
      <c r="K89" s="26">
        <f t="shared" si="16"/>
        <v>2278668</v>
      </c>
    </row>
    <row r="90" spans="2:16" ht="26.25" thickBot="1" x14ac:dyDescent="0.25">
      <c r="B90" s="99" t="s">
        <v>130</v>
      </c>
      <c r="C90" s="27">
        <v>1552500</v>
      </c>
      <c r="D90" s="27">
        <v>251615</v>
      </c>
      <c r="E90" s="27">
        <v>834330</v>
      </c>
      <c r="F90" s="27">
        <v>0</v>
      </c>
      <c r="G90" s="27">
        <f>SUM(D90:F90)</f>
        <v>1085945</v>
      </c>
      <c r="H90" s="27">
        <f>SUM(C90:F90)</f>
        <v>2638445</v>
      </c>
      <c r="I90" s="100">
        <v>2384996</v>
      </c>
      <c r="J90" s="27">
        <v>1364022</v>
      </c>
      <c r="K90" s="46">
        <f>I90+J90</f>
        <v>3749018</v>
      </c>
    </row>
    <row r="91" spans="2:16" ht="26.25" thickBot="1" x14ac:dyDescent="0.25">
      <c r="B91" s="101" t="s">
        <v>132</v>
      </c>
      <c r="C91" s="102">
        <f>SUM(C86:C90)</f>
        <v>2668372</v>
      </c>
      <c r="D91" s="102">
        <f t="shared" ref="D91:G91" si="18">SUM(D86:D90)</f>
        <v>2256851</v>
      </c>
      <c r="E91" s="102">
        <f t="shared" si="18"/>
        <v>2867108</v>
      </c>
      <c r="F91" s="102">
        <f t="shared" si="18"/>
        <v>0</v>
      </c>
      <c r="G91" s="102">
        <f t="shared" si="18"/>
        <v>5123959</v>
      </c>
      <c r="H91" s="102">
        <f>SUM(H86:H90)</f>
        <v>7792331</v>
      </c>
      <c r="I91" s="103">
        <f>SUM(I86:I90)</f>
        <v>4939903</v>
      </c>
      <c r="J91" s="102">
        <f>SUM(J86:J90)</f>
        <v>7164356</v>
      </c>
      <c r="K91" s="104">
        <f>SUM(K86:K90)</f>
        <v>12104259</v>
      </c>
      <c r="L91" s="19"/>
    </row>
    <row r="92" spans="2:16" x14ac:dyDescent="0.2">
      <c r="B92" s="89" t="s">
        <v>142</v>
      </c>
      <c r="C92" s="25">
        <f t="shared" ref="C92:K92" si="19">C91+C85</f>
        <v>4996833</v>
      </c>
      <c r="D92" s="25">
        <f t="shared" si="19"/>
        <v>3166004</v>
      </c>
      <c r="E92" s="25">
        <f t="shared" si="19"/>
        <v>4681154</v>
      </c>
      <c r="F92" s="25">
        <f t="shared" si="19"/>
        <v>0</v>
      </c>
      <c r="G92" s="25">
        <f t="shared" si="19"/>
        <v>7847158</v>
      </c>
      <c r="H92" s="25">
        <f t="shared" si="19"/>
        <v>12843991</v>
      </c>
      <c r="I92" s="50">
        <f t="shared" si="19"/>
        <v>9650320</v>
      </c>
      <c r="J92" s="25">
        <f t="shared" si="19"/>
        <v>10900698</v>
      </c>
      <c r="K92" s="26">
        <f t="shared" si="19"/>
        <v>20551018</v>
      </c>
    </row>
    <row r="93" spans="2:16" ht="51" x14ac:dyDescent="0.2">
      <c r="B93" s="90" t="s">
        <v>133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900000</v>
      </c>
      <c r="I93" s="94">
        <v>0</v>
      </c>
      <c r="J93" s="88">
        <v>0</v>
      </c>
      <c r="K93" s="26">
        <v>600000</v>
      </c>
    </row>
    <row r="94" spans="2:16" ht="13.5" thickBot="1" x14ac:dyDescent="0.25">
      <c r="B94" s="91" t="s">
        <v>144</v>
      </c>
      <c r="C94" s="27"/>
      <c r="D94" s="27"/>
      <c r="E94" s="27"/>
      <c r="F94" s="27"/>
      <c r="G94" s="27"/>
      <c r="H94" s="27">
        <f>H93+H92</f>
        <v>13743991</v>
      </c>
      <c r="I94" s="91"/>
      <c r="J94" s="11"/>
      <c r="K94" s="46">
        <f>K93+K92</f>
        <v>21151018</v>
      </c>
    </row>
    <row r="95" spans="2:16" x14ac:dyDescent="0.2">
      <c r="C95" s="19"/>
      <c r="D95" s="19"/>
      <c r="E95" s="19"/>
      <c r="F95" s="19"/>
      <c r="G95" s="19"/>
      <c r="H95" s="19"/>
    </row>
    <row r="96" spans="2:16" x14ac:dyDescent="0.2">
      <c r="C96" s="19"/>
      <c r="D96" s="19"/>
      <c r="E96" s="19"/>
      <c r="F96" s="19"/>
      <c r="G96" s="19"/>
      <c r="H96" s="19"/>
    </row>
    <row r="97" spans="2:8" x14ac:dyDescent="0.2">
      <c r="C97" s="19"/>
      <c r="D97" s="19"/>
      <c r="E97" s="19"/>
      <c r="F97" s="19"/>
      <c r="G97" s="19"/>
      <c r="H97" s="19"/>
    </row>
    <row r="98" spans="2:8" x14ac:dyDescent="0.2">
      <c r="B98" s="74" t="s">
        <v>17</v>
      </c>
    </row>
    <row r="99" spans="2:8" x14ac:dyDescent="0.2">
      <c r="B99" s="74" t="s">
        <v>21</v>
      </c>
      <c r="D99" s="74" t="s">
        <v>117</v>
      </c>
    </row>
    <row r="100" spans="2:8" x14ac:dyDescent="0.2">
      <c r="B100" s="74" t="s">
        <v>19</v>
      </c>
      <c r="C100" s="1">
        <v>81373</v>
      </c>
      <c r="D100" s="1">
        <v>16081</v>
      </c>
    </row>
    <row r="101" spans="2:8" x14ac:dyDescent="0.2">
      <c r="B101" s="74" t="s">
        <v>20</v>
      </c>
      <c r="C101" s="1">
        <v>81347</v>
      </c>
      <c r="D101" s="1"/>
    </row>
    <row r="102" spans="2:8" x14ac:dyDescent="0.2">
      <c r="B102" s="74" t="s">
        <v>18</v>
      </c>
      <c r="C102" s="1">
        <v>26272</v>
      </c>
      <c r="D102" s="1"/>
    </row>
    <row r="103" spans="2:8" x14ac:dyDescent="0.2">
      <c r="B103" s="74" t="s">
        <v>115</v>
      </c>
      <c r="C103" s="1">
        <v>32593</v>
      </c>
      <c r="D103" s="1"/>
    </row>
    <row r="104" spans="2:8" x14ac:dyDescent="0.2">
      <c r="B104" s="74" t="s">
        <v>116</v>
      </c>
      <c r="C104" s="1">
        <v>21810</v>
      </c>
      <c r="D104" s="1"/>
    </row>
  </sheetData>
  <phoneticPr fontId="5" type="noConversion"/>
  <pageMargins left="0.75" right="0.75" top="1" bottom="1" header="0.5" footer="0.5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</vt:lpstr>
      <vt:lpstr>2011</vt:lpstr>
      <vt:lpstr>2010 IRP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2014-06-30T19:49:15Z</dcterms:created>
  <dcterms:modified xsi:type="dcterms:W3CDTF">2014-06-30T19:49:20Z</dcterms:modified>
</cp:coreProperties>
</file>