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don\OneDrive\Documents\Florida\2016\FPL Rate Case\Excel Models\"/>
    </mc:Choice>
  </mc:AlternateContent>
  <bookViews>
    <workbookView xWindow="0" yWindow="0" windowWidth="20400" windowHeight="7530" activeTab="2"/>
  </bookViews>
  <sheets>
    <sheet name="2017" sheetId="1" r:id="rId1"/>
    <sheet name="2018" sheetId="7" r:id="rId2"/>
    <sheet name="Cap Stru Impact - NextEra" sheetId="6" r:id="rId3"/>
    <sheet name="Res and Ind. Impact" sheetId="2" r:id="rId4"/>
    <sheet name="Credit Downgrade" sheetId="3" r:id="rId5"/>
    <sheet name="Hevert" sheetId="4" r:id="rId6"/>
  </sheets>
  <definedNames>
    <definedName name="_xlnm.Print_Area" localSheetId="0">'2017'!$J$2:$N$14</definedName>
    <definedName name="_xlnm.Print_Area" localSheetId="1">'2018'!$J$2:$N$13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O12" i="1" l="1"/>
  <c r="O11" i="1"/>
  <c r="O10" i="1"/>
  <c r="O9" i="1"/>
  <c r="O8" i="1"/>
  <c r="O7" i="1"/>
  <c r="O6" i="1"/>
  <c r="P11" i="1"/>
  <c r="P7" i="1"/>
  <c r="P6" i="1"/>
  <c r="H11" i="1"/>
  <c r="H9" i="1"/>
  <c r="H7" i="1"/>
  <c r="H6" i="1"/>
  <c r="G10" i="1"/>
  <c r="G6" i="1"/>
  <c r="G15" i="1"/>
  <c r="D43" i="7"/>
  <c r="D41" i="7"/>
  <c r="D39" i="7"/>
  <c r="D40" i="7"/>
  <c r="C43" i="7"/>
  <c r="C41" i="7"/>
  <c r="C39" i="7"/>
  <c r="C40" i="7"/>
  <c r="D17" i="7"/>
  <c r="E26" i="7"/>
  <c r="C26" i="7"/>
  <c r="E25" i="7"/>
  <c r="C25" i="7"/>
  <c r="E24" i="7"/>
  <c r="C24" i="7"/>
  <c r="C13" i="7"/>
  <c r="D11" i="7" s="1"/>
  <c r="F11" i="7" s="1"/>
  <c r="H11" i="7" s="1"/>
  <c r="M12" i="7"/>
  <c r="K12" i="7"/>
  <c r="M11" i="7"/>
  <c r="K11" i="7"/>
  <c r="M10" i="7"/>
  <c r="M9" i="7"/>
  <c r="M8" i="7"/>
  <c r="K8" i="7"/>
  <c r="M7" i="7"/>
  <c r="M6" i="7"/>
  <c r="K10" i="1"/>
  <c r="K6" i="1"/>
  <c r="C34" i="1"/>
  <c r="C32" i="1"/>
  <c r="C33" i="1"/>
  <c r="E32" i="7" l="1"/>
  <c r="D9" i="7"/>
  <c r="F9" i="7" s="1"/>
  <c r="H9" i="7" s="1"/>
  <c r="D8" i="7"/>
  <c r="F8" i="7" s="1"/>
  <c r="H8" i="7" s="1"/>
  <c r="D12" i="7"/>
  <c r="F12" i="7" s="1"/>
  <c r="H12" i="7" s="1"/>
  <c r="D7" i="7"/>
  <c r="F7" i="7" s="1"/>
  <c r="H7" i="7" s="1"/>
  <c r="D6" i="7"/>
  <c r="D10" i="7"/>
  <c r="F10" i="7" s="1"/>
  <c r="H10" i="7" s="1"/>
  <c r="C27" i="7"/>
  <c r="E34" i="7"/>
  <c r="C33" i="7" l="1"/>
  <c r="C32" i="7"/>
  <c r="D26" i="7"/>
  <c r="F26" i="7" s="1"/>
  <c r="H26" i="7" s="1"/>
  <c r="K9" i="7"/>
  <c r="F6" i="7"/>
  <c r="D13" i="7"/>
  <c r="D24" i="7"/>
  <c r="D25" i="7"/>
  <c r="F25" i="7" s="1"/>
  <c r="H25" i="7" s="1"/>
  <c r="K8" i="6"/>
  <c r="F13" i="7" l="1"/>
  <c r="H6" i="7"/>
  <c r="H13" i="7" s="1"/>
  <c r="K6" i="7"/>
  <c r="D27" i="7"/>
  <c r="F24" i="7"/>
  <c r="C34" i="7"/>
  <c r="E26" i="6"/>
  <c r="C26" i="6"/>
  <c r="E25" i="6"/>
  <c r="C25" i="6"/>
  <c r="E24" i="6"/>
  <c r="C24" i="6"/>
  <c r="C13" i="6"/>
  <c r="D7" i="6" s="1"/>
  <c r="F7" i="6" s="1"/>
  <c r="H7" i="6" s="1"/>
  <c r="M12" i="6"/>
  <c r="K12" i="6"/>
  <c r="M11" i="6"/>
  <c r="K11" i="6"/>
  <c r="M10" i="6"/>
  <c r="M9" i="6"/>
  <c r="M8" i="6"/>
  <c r="M7" i="6"/>
  <c r="M6" i="6"/>
  <c r="K10" i="7" l="1"/>
  <c r="F27" i="7"/>
  <c r="H24" i="7"/>
  <c r="H27" i="7" s="1"/>
  <c r="C35" i="7"/>
  <c r="D12" i="6"/>
  <c r="F12" i="6" s="1"/>
  <c r="H12" i="6" s="1"/>
  <c r="D11" i="6"/>
  <c r="F11" i="6" s="1"/>
  <c r="H11" i="6" s="1"/>
  <c r="D9" i="6"/>
  <c r="F9" i="6" s="1"/>
  <c r="H9" i="6" s="1"/>
  <c r="D6" i="6"/>
  <c r="F6" i="6" s="1"/>
  <c r="H6" i="6" s="1"/>
  <c r="D8" i="6"/>
  <c r="D10" i="6"/>
  <c r="F10" i="6" s="1"/>
  <c r="H10" i="6" s="1"/>
  <c r="C27" i="6"/>
  <c r="K13" i="7" l="1"/>
  <c r="D32" i="7"/>
  <c r="F32" i="7" s="1"/>
  <c r="D33" i="7"/>
  <c r="D24" i="6"/>
  <c r="K10" i="6"/>
  <c r="K9" i="6"/>
  <c r="K6" i="6"/>
  <c r="D13" i="6"/>
  <c r="D26" i="6"/>
  <c r="F26" i="6" s="1"/>
  <c r="H26" i="6" s="1"/>
  <c r="D25" i="6"/>
  <c r="F25" i="6" s="1"/>
  <c r="H25" i="6" s="1"/>
  <c r="F8" i="6"/>
  <c r="H8" i="6" s="1"/>
  <c r="H13" i="6" s="1"/>
  <c r="F33" i="7" l="1"/>
  <c r="H33" i="7" s="1"/>
  <c r="D34" i="7"/>
  <c r="H32" i="7"/>
  <c r="L8" i="7"/>
  <c r="N8" i="7" s="1"/>
  <c r="P8" i="7" s="1"/>
  <c r="L7" i="7"/>
  <c r="N7" i="7" s="1"/>
  <c r="P7" i="7" s="1"/>
  <c r="L12" i="7"/>
  <c r="N12" i="7" s="1"/>
  <c r="P12" i="7" s="1"/>
  <c r="L11" i="7"/>
  <c r="N11" i="7" s="1"/>
  <c r="P11" i="7" s="1"/>
  <c r="L9" i="7"/>
  <c r="N9" i="7" s="1"/>
  <c r="P9" i="7" s="1"/>
  <c r="L6" i="7"/>
  <c r="L10" i="7"/>
  <c r="N10" i="7" s="1"/>
  <c r="P10" i="7" s="1"/>
  <c r="F13" i="6"/>
  <c r="D27" i="6"/>
  <c r="F24" i="6"/>
  <c r="D35" i="7" l="1"/>
  <c r="F34" i="7"/>
  <c r="L13" i="7"/>
  <c r="N6" i="7"/>
  <c r="F27" i="6"/>
  <c r="H24" i="6"/>
  <c r="H27" i="6" s="1"/>
  <c r="H34" i="7" l="1"/>
  <c r="H35" i="7" s="1"/>
  <c r="F35" i="7"/>
  <c r="N13" i="7"/>
  <c r="P6" i="7"/>
  <c r="P13" i="7" s="1"/>
  <c r="K13" i="6"/>
  <c r="D16" i="7" l="1"/>
  <c r="D18" i="7" s="1"/>
  <c r="L6" i="6"/>
  <c r="L8" i="6"/>
  <c r="N8" i="6" s="1"/>
  <c r="P8" i="6" s="1"/>
  <c r="L9" i="6"/>
  <c r="N9" i="6" s="1"/>
  <c r="P9" i="6" s="1"/>
  <c r="L12" i="6"/>
  <c r="N12" i="6" s="1"/>
  <c r="P12" i="6" s="1"/>
  <c r="L7" i="6"/>
  <c r="N7" i="6" s="1"/>
  <c r="P7" i="6" s="1"/>
  <c r="L11" i="6"/>
  <c r="N11" i="6" s="1"/>
  <c r="P11" i="6" s="1"/>
  <c r="L10" i="6"/>
  <c r="N10" i="6" s="1"/>
  <c r="P10" i="6" s="1"/>
  <c r="F20" i="7" l="1"/>
  <c r="D20" i="7"/>
  <c r="N6" i="6"/>
  <c r="L13" i="6"/>
  <c r="N13" i="6" l="1"/>
  <c r="P6" i="6"/>
  <c r="P13" i="6" s="1"/>
  <c r="M12" i="1"/>
  <c r="M11" i="1"/>
  <c r="M10" i="1"/>
  <c r="M8" i="1"/>
  <c r="M7" i="1"/>
  <c r="M6" i="1"/>
  <c r="K8" i="1"/>
  <c r="K11" i="1"/>
  <c r="K12" i="1"/>
  <c r="E26" i="1"/>
  <c r="E25" i="1"/>
  <c r="E24" i="1"/>
  <c r="C26" i="1"/>
  <c r="C25" i="1"/>
  <c r="C24" i="1"/>
  <c r="C13" i="1"/>
  <c r="D16" i="6" l="1"/>
  <c r="D18" i="6" s="1"/>
  <c r="D11" i="1"/>
  <c r="D7" i="1"/>
  <c r="F7" i="1" s="1"/>
  <c r="D10" i="1"/>
  <c r="F10" i="1" s="1"/>
  <c r="H10" i="1" s="1"/>
  <c r="D6" i="1"/>
  <c r="D9" i="1"/>
  <c r="D12" i="1"/>
  <c r="D8" i="1"/>
  <c r="F8" i="1" s="1"/>
  <c r="H8" i="1" s="1"/>
  <c r="E32" i="1"/>
  <c r="F12" i="1"/>
  <c r="H12" i="1" s="1"/>
  <c r="F11" i="1"/>
  <c r="F9" i="1"/>
  <c r="C27" i="1"/>
  <c r="F20" i="6" l="1"/>
  <c r="D20" i="6"/>
  <c r="F6" i="1"/>
  <c r="H13" i="1" s="1"/>
  <c r="D13" i="1"/>
  <c r="K9" i="1"/>
  <c r="D25" i="1"/>
  <c r="F25" i="1" s="1"/>
  <c r="D24" i="1"/>
  <c r="F24" i="1" s="1"/>
  <c r="D26" i="1"/>
  <c r="F26" i="1" s="1"/>
  <c r="F11" i="2"/>
  <c r="F13" i="2"/>
  <c r="C25" i="4"/>
  <c r="F13" i="1" l="1"/>
  <c r="K13" i="1"/>
  <c r="L6" i="1" s="1"/>
  <c r="D27" i="1"/>
  <c r="C7" i="3"/>
  <c r="N6" i="1" l="1"/>
  <c r="L12" i="1"/>
  <c r="N12" i="1" s="1"/>
  <c r="P12" i="1" s="1"/>
  <c r="L10" i="1"/>
  <c r="N10" i="1" s="1"/>
  <c r="P10" i="1" s="1"/>
  <c r="L7" i="1"/>
  <c r="N7" i="1" s="1"/>
  <c r="L11" i="1"/>
  <c r="N11" i="1" s="1"/>
  <c r="L8" i="1"/>
  <c r="N8" i="1" s="1"/>
  <c r="P8" i="1" s="1"/>
  <c r="L9" i="1"/>
  <c r="N9" i="1" s="1"/>
  <c r="P9" i="1" s="1"/>
  <c r="N10" i="2"/>
  <c r="N9" i="2"/>
  <c r="N8" i="2"/>
  <c r="N7" i="2"/>
  <c r="K8" i="2"/>
  <c r="K9" i="2" s="1"/>
  <c r="K10" i="2" s="1"/>
  <c r="F14" i="2"/>
  <c r="F12" i="2"/>
  <c r="F10" i="2"/>
  <c r="F9" i="2"/>
  <c r="D12" i="2"/>
  <c r="D14" i="2" s="1"/>
  <c r="C35" i="1"/>
  <c r="P13" i="1" l="1"/>
  <c r="D32" i="1"/>
  <c r="D33" i="1"/>
  <c r="N13" i="1"/>
  <c r="L13" i="1"/>
  <c r="F32" i="1"/>
  <c r="D16" i="1" l="1"/>
  <c r="F33" i="1"/>
  <c r="H33" i="1" s="1"/>
  <c r="D34" i="1"/>
  <c r="F34" i="1" s="1"/>
  <c r="H34" i="1" s="1"/>
  <c r="H32" i="1"/>
  <c r="H25" i="1"/>
  <c r="H24" i="1"/>
  <c r="H26" i="1"/>
  <c r="D35" i="1" l="1"/>
  <c r="H35" i="1"/>
  <c r="F35" i="1"/>
  <c r="H27" i="1"/>
  <c r="F27" i="1"/>
  <c r="D18" i="1" l="1"/>
  <c r="D20" i="1" l="1"/>
  <c r="F20" i="1"/>
  <c r="O8" i="2"/>
  <c r="G12" i="2"/>
  <c r="O7" i="2"/>
  <c r="G11" i="2"/>
  <c r="O10" i="2"/>
  <c r="G14" i="2"/>
  <c r="G10" i="2"/>
  <c r="O9" i="2"/>
  <c r="G13" i="2"/>
  <c r="G9" i="2"/>
</calcChain>
</file>

<file path=xl/sharedStrings.xml><?xml version="1.0" encoding="utf-8"?>
<sst xmlns="http://schemas.openxmlformats.org/spreadsheetml/2006/main" count="218" uniqueCount="65">
  <si>
    <t>Common Equity</t>
  </si>
  <si>
    <t>Preferred Stock</t>
  </si>
  <si>
    <t>Long-Term Debt</t>
  </si>
  <si>
    <t>Customer Deposits</t>
  </si>
  <si>
    <t>Short-Term Debt</t>
  </si>
  <si>
    <t>Def. Income Taxes</t>
  </si>
  <si>
    <t>Inv. Tax Credits</t>
  </si>
  <si>
    <t>Total</t>
  </si>
  <si>
    <t>Diff in COC</t>
  </si>
  <si>
    <t>Rate Base</t>
  </si>
  <si>
    <t>Impact in Case</t>
  </si>
  <si>
    <t>(000's)</t>
  </si>
  <si>
    <t>Usage</t>
  </si>
  <si>
    <t xml:space="preserve">Monthly </t>
  </si>
  <si>
    <t>Monthly</t>
  </si>
  <si>
    <t>Increase ($)</t>
  </si>
  <si>
    <t xml:space="preserve">Annual </t>
  </si>
  <si>
    <t>with 59.60%</t>
  </si>
  <si>
    <t>Equity Ratio</t>
  </si>
  <si>
    <t>with 50.00%</t>
  </si>
  <si>
    <t>Savings</t>
  </si>
  <si>
    <t>Load</t>
  </si>
  <si>
    <t>[1]</t>
  </si>
  <si>
    <t>Notes:  1.  Source is MFR, Schedule A-2, p. 5 of 6</t>
  </si>
  <si>
    <t>Allete</t>
  </si>
  <si>
    <t>Allianct Energy</t>
  </si>
  <si>
    <t>Ameren</t>
  </si>
  <si>
    <t>AEP</t>
  </si>
  <si>
    <t>Avista</t>
  </si>
  <si>
    <t>CMS Energy</t>
  </si>
  <si>
    <t>Dominion</t>
  </si>
  <si>
    <t>DTE Energy</t>
  </si>
  <si>
    <t>Great Plains Energy</t>
  </si>
  <si>
    <t>IDACORP</t>
  </si>
  <si>
    <t>NorthWestern Corp.</t>
  </si>
  <si>
    <t>OGE Energy</t>
  </si>
  <si>
    <t>Otter Tail</t>
  </si>
  <si>
    <t>Pinnacle West</t>
  </si>
  <si>
    <t>PNM Resources</t>
  </si>
  <si>
    <t>Portland General</t>
  </si>
  <si>
    <t>SCANA</t>
  </si>
  <si>
    <t>Westart Energy</t>
  </si>
  <si>
    <t>Xcel Energy</t>
  </si>
  <si>
    <t>Average</t>
  </si>
  <si>
    <t>Ratio (%)</t>
  </si>
  <si>
    <t>Cost Rate (%)</t>
  </si>
  <si>
    <t>Notes:  1.  Source is MFR, Schedule A-2, p. 1 of 6</t>
  </si>
  <si>
    <t>Source of Capital</t>
  </si>
  <si>
    <t>Amount ($)</t>
  </si>
  <si>
    <t xml:space="preserve">Table 3:  Hevert Comparable </t>
  </si>
  <si>
    <t>Group Equity Ratios</t>
  </si>
  <si>
    <t>Requested FPL Equity Ratio</t>
  </si>
  <si>
    <t>Overall COC</t>
  </si>
  <si>
    <t>Company Requested Cap. Structure and Overall Cost of Capital</t>
  </si>
  <si>
    <t>OPC Recommended Cap. Structure and Overall Cost of Capital</t>
  </si>
  <si>
    <t>Pre-Tax</t>
  </si>
  <si>
    <t>between FPL requested and OPC cap structure</t>
  </si>
  <si>
    <t>FPL Rate Hike requested</t>
  </si>
  <si>
    <t>Gross Up</t>
  </si>
  <si>
    <t>between FPL requested and NEE cap structure</t>
  </si>
  <si>
    <t>diff</t>
  </si>
  <si>
    <t>Relative to NextEra</t>
  </si>
  <si>
    <t>Cost Rates</t>
  </si>
  <si>
    <t xml:space="preserve">Overall </t>
  </si>
  <si>
    <t>25 basis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</si>
</sst>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&quot;$&quot;#,##0.00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10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quotePrefix="1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6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/>
    <xf numFmtId="10" fontId="6" fillId="0" borderId="0" xfId="0" applyNumberFormat="1" applyFont="1"/>
    <xf numFmtId="0" fontId="3" fillId="0" borderId="0" xfId="0" applyFont="1" applyAlignment="1">
      <alignment horizontal="centerContinuous"/>
    </xf>
    <xf numFmtId="166" fontId="3" fillId="0" borderId="0" xfId="0" applyNumberFormat="1" applyFont="1" applyAlignment="1">
      <alignment horizontal="centerContinuous"/>
    </xf>
    <xf numFmtId="166" fontId="3" fillId="0" borderId="0" xfId="0" applyNumberFormat="1" applyFont="1"/>
    <xf numFmtId="166" fontId="4" fillId="0" borderId="0" xfId="0" applyNumberFormat="1" applyFont="1"/>
    <xf numFmtId="164" fontId="7" fillId="0" borderId="0" xfId="0" applyNumberFormat="1" applyFont="1"/>
    <xf numFmtId="164" fontId="8" fillId="0" borderId="0" xfId="0" applyNumberFormat="1" applyFont="1"/>
    <xf numFmtId="0" fontId="0" fillId="0" borderId="4" xfId="0" applyBorder="1" applyAlignment="1">
      <alignment horizontal="center"/>
    </xf>
    <xf numFmtId="10" fontId="7" fillId="0" borderId="0" xfId="0" applyNumberFormat="1" applyFont="1"/>
    <xf numFmtId="10" fontId="0" fillId="0" borderId="0" xfId="0" applyNumberFormat="1" applyFont="1"/>
    <xf numFmtId="0" fontId="0" fillId="0" borderId="0" xfId="0" applyAlignment="1">
      <alignment horizontal="centerContinuous"/>
    </xf>
    <xf numFmtId="0" fontId="3" fillId="0" borderId="4" xfId="0" applyFont="1" applyBorder="1" applyAlignment="1">
      <alignment horizontal="center"/>
    </xf>
    <xf numFmtId="10" fontId="8" fillId="0" borderId="0" xfId="0" applyNumberFormat="1" applyFont="1"/>
    <xf numFmtId="0" fontId="0" fillId="0" borderId="5" xfId="0" applyBorder="1" applyAlignment="1">
      <alignment horizontal="center"/>
    </xf>
    <xf numFmtId="166" fontId="6" fillId="0" borderId="0" xfId="0" applyNumberFormat="1" applyFont="1"/>
    <xf numFmtId="0" fontId="0" fillId="0" borderId="6" xfId="0" applyBorder="1" applyAlignment="1">
      <alignment horizontal="center"/>
    </xf>
    <xf numFmtId="164" fontId="9" fillId="0" borderId="0" xfId="0" applyNumberFormat="1" applyFont="1"/>
    <xf numFmtId="0" fontId="9" fillId="0" borderId="0" xfId="0" applyFont="1"/>
    <xf numFmtId="166" fontId="7" fillId="0" borderId="0" xfId="0" applyNumberFormat="1" applyFont="1"/>
    <xf numFmtId="166" fontId="8" fillId="0" borderId="0" xfId="0" applyNumberFormat="1" applyFont="1"/>
    <xf numFmtId="165" fontId="0" fillId="0" borderId="0" xfId="0" applyNumberFormat="1"/>
    <xf numFmtId="0" fontId="1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/>
    </xf>
    <xf numFmtId="0" fontId="10" fillId="0" borderId="9" xfId="0" applyFont="1" applyBorder="1" applyAlignment="1">
      <alignment horizontal="centerContinuous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10" fontId="0" fillId="0" borderId="0" xfId="0" applyNumberFormat="1" applyBorder="1"/>
    <xf numFmtId="164" fontId="0" fillId="0" borderId="0" xfId="0" applyNumberFormat="1" applyBorder="1"/>
    <xf numFmtId="0" fontId="6" fillId="0" borderId="0" xfId="0" applyFont="1" applyBorder="1"/>
    <xf numFmtId="164" fontId="6" fillId="0" borderId="0" xfId="0" applyNumberFormat="1" applyFont="1" applyBorder="1"/>
    <xf numFmtId="166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0"/>
  <sheetViews>
    <sheetView topLeftCell="A16" workbookViewId="0">
      <selection activeCell="J31" sqref="J31:AN94"/>
    </sheetView>
  </sheetViews>
  <sheetFormatPr defaultRowHeight="15" x14ac:dyDescent="0.25"/>
  <cols>
    <col min="2" max="2" width="25" customWidth="1"/>
    <col min="3" max="3" width="13.85546875" bestFit="1" customWidth="1"/>
    <col min="4" max="4" width="13.140625" customWidth="1"/>
    <col min="5" max="6" width="14.42578125" customWidth="1"/>
    <col min="7" max="7" width="9" customWidth="1"/>
    <col min="8" max="8" width="14.5703125" customWidth="1"/>
    <col min="9" max="9" width="1.7109375" customWidth="1"/>
    <col min="10" max="10" width="20" customWidth="1"/>
    <col min="11" max="11" width="13.28515625" customWidth="1"/>
    <col min="12" max="12" width="11.140625" customWidth="1"/>
    <col min="13" max="13" width="13.28515625" customWidth="1"/>
    <col min="14" max="14" width="12.42578125" customWidth="1"/>
    <col min="16" max="16" width="15.140625" customWidth="1"/>
    <col min="17" max="17" width="2.28515625" customWidth="1"/>
    <col min="18" max="18" width="15.28515625" customWidth="1"/>
    <col min="19" max="19" width="12.140625" customWidth="1"/>
    <col min="24" max="24" width="15.28515625" customWidth="1"/>
  </cols>
  <sheetData>
    <row r="2" spans="2:16" x14ac:dyDescent="0.25">
      <c r="B2" s="3" t="s">
        <v>53</v>
      </c>
      <c r="C2" s="3"/>
      <c r="D2" s="3"/>
      <c r="E2" s="3"/>
      <c r="F2" s="3"/>
      <c r="J2" s="3" t="s">
        <v>54</v>
      </c>
      <c r="K2" s="31"/>
      <c r="L2" s="31"/>
      <c r="M2" s="31"/>
      <c r="N2" s="31"/>
    </row>
    <row r="3" spans="2:16" ht="15.75" thickBot="1" x14ac:dyDescent="0.3">
      <c r="B3" s="3"/>
      <c r="C3" s="3"/>
      <c r="D3" s="3"/>
      <c r="E3" s="3"/>
      <c r="F3" s="3"/>
    </row>
    <row r="4" spans="2:16" ht="16.5" thickBot="1" x14ac:dyDescent="0.3">
      <c r="B4" s="16" t="s">
        <v>47</v>
      </c>
      <c r="C4" s="16" t="s">
        <v>48</v>
      </c>
      <c r="D4" s="32" t="s">
        <v>44</v>
      </c>
      <c r="E4" s="17" t="s">
        <v>45</v>
      </c>
      <c r="F4" s="28" t="s">
        <v>52</v>
      </c>
      <c r="H4" s="34" t="s">
        <v>55</v>
      </c>
      <c r="J4" s="16" t="s">
        <v>47</v>
      </c>
      <c r="K4" s="16" t="s">
        <v>48</v>
      </c>
      <c r="L4" s="28" t="s">
        <v>44</v>
      </c>
      <c r="M4" s="17" t="s">
        <v>45</v>
      </c>
      <c r="N4" s="28" t="s">
        <v>52</v>
      </c>
      <c r="P4" s="34" t="s">
        <v>55</v>
      </c>
    </row>
    <row r="5" spans="2:16" ht="15.75" x14ac:dyDescent="0.25">
      <c r="B5" s="18"/>
      <c r="C5" s="19" t="s">
        <v>11</v>
      </c>
      <c r="D5" s="18"/>
      <c r="J5" s="18"/>
      <c r="K5" s="19" t="s">
        <v>11</v>
      </c>
      <c r="M5" s="18"/>
    </row>
    <row r="6" spans="2:16" ht="15.75" x14ac:dyDescent="0.25">
      <c r="B6" s="18" t="s">
        <v>2</v>
      </c>
      <c r="C6" s="20">
        <v>9358417</v>
      </c>
      <c r="D6" s="21">
        <f>+ROUND(C6/$C$13,4)</f>
        <v>0.28760000000000002</v>
      </c>
      <c r="E6" s="2">
        <v>4.6199999999999998E-2</v>
      </c>
      <c r="F6" s="2">
        <f t="shared" ref="F6:F12" si="0">+ROUND(E6*D6,5)</f>
        <v>1.329E-2</v>
      </c>
      <c r="G6">
        <f>+G15</f>
        <v>1.0013718794748805</v>
      </c>
      <c r="H6" s="2">
        <f t="shared" ref="H6:H12" si="1">+G6*F6</f>
        <v>1.3308232278221161E-2</v>
      </c>
      <c r="J6" s="18" t="s">
        <v>2</v>
      </c>
      <c r="K6" s="1">
        <f>+C32</f>
        <v>11569226.774613703</v>
      </c>
      <c r="L6" s="2">
        <f>+ROUND(K6/$K$13,5)</f>
        <v>0.35558000000000001</v>
      </c>
      <c r="M6" s="2">
        <f t="shared" ref="M6:M12" si="2">+E6</f>
        <v>4.6199999999999998E-2</v>
      </c>
      <c r="N6" s="2">
        <f>+ROUND(M6*L6,5)</f>
        <v>1.643E-2</v>
      </c>
      <c r="O6">
        <f>+G6</f>
        <v>1.0013718794748805</v>
      </c>
      <c r="P6" s="2">
        <f t="shared" ref="P6:P12" si="3">+O6*N6</f>
        <v>1.6452539979772286E-2</v>
      </c>
    </row>
    <row r="7" spans="2:16" ht="15.75" x14ac:dyDescent="0.25">
      <c r="B7" s="18" t="s">
        <v>1</v>
      </c>
      <c r="C7" s="20">
        <v>0</v>
      </c>
      <c r="D7" s="21">
        <f t="shared" ref="D7:D12" si="4">+ROUND(C7/$C$13,4)</f>
        <v>0</v>
      </c>
      <c r="E7" s="2">
        <v>0</v>
      </c>
      <c r="F7" s="2">
        <f t="shared" si="0"/>
        <v>0</v>
      </c>
      <c r="G7">
        <v>1.6302399999999999</v>
      </c>
      <c r="H7" s="2">
        <f t="shared" si="1"/>
        <v>0</v>
      </c>
      <c r="J7" s="18" t="s">
        <v>1</v>
      </c>
      <c r="K7" s="1">
        <v>0</v>
      </c>
      <c r="L7" s="2">
        <f t="shared" ref="L7:L12" si="5">+ROUND(K7/$K$13,5)</f>
        <v>0</v>
      </c>
      <c r="M7" s="2">
        <f t="shared" si="2"/>
        <v>0</v>
      </c>
      <c r="N7" s="2">
        <f t="shared" ref="N7:N12" si="6">+ROUND(M7*L7,5)</f>
        <v>0</v>
      </c>
      <c r="O7">
        <f t="shared" ref="O7:O12" si="7">+G7</f>
        <v>1.6302399999999999</v>
      </c>
      <c r="P7" s="2">
        <f t="shared" si="3"/>
        <v>0</v>
      </c>
    </row>
    <row r="8" spans="2:16" ht="15.75" x14ac:dyDescent="0.25">
      <c r="B8" s="18" t="s">
        <v>3</v>
      </c>
      <c r="C8" s="20">
        <v>407328</v>
      </c>
      <c r="D8" s="21">
        <f t="shared" si="4"/>
        <v>1.2500000000000001E-2</v>
      </c>
      <c r="E8" s="2">
        <v>2.0500000000000001E-2</v>
      </c>
      <c r="F8" s="2">
        <f t="shared" si="0"/>
        <v>2.5999999999999998E-4</v>
      </c>
      <c r="G8">
        <v>1</v>
      </c>
      <c r="H8" s="2">
        <f t="shared" si="1"/>
        <v>2.5999999999999998E-4</v>
      </c>
      <c r="J8" s="18" t="s">
        <v>3</v>
      </c>
      <c r="K8" s="1">
        <f>+C8</f>
        <v>407328</v>
      </c>
      <c r="L8" s="2">
        <f t="shared" si="5"/>
        <v>1.252E-2</v>
      </c>
      <c r="M8" s="2">
        <f t="shared" si="2"/>
        <v>2.0500000000000001E-2</v>
      </c>
      <c r="N8" s="2">
        <f t="shared" si="6"/>
        <v>2.5999999999999998E-4</v>
      </c>
      <c r="O8">
        <f t="shared" si="7"/>
        <v>1</v>
      </c>
      <c r="P8" s="2">
        <f t="shared" si="3"/>
        <v>2.5999999999999998E-4</v>
      </c>
    </row>
    <row r="9" spans="2:16" ht="15.75" x14ac:dyDescent="0.25">
      <c r="B9" s="18" t="s">
        <v>0</v>
      </c>
      <c r="C9" s="20">
        <v>14682574</v>
      </c>
      <c r="D9" s="21">
        <f t="shared" si="4"/>
        <v>0.45129999999999998</v>
      </c>
      <c r="E9" s="2">
        <v>0.115</v>
      </c>
      <c r="F9" s="2">
        <f t="shared" si="0"/>
        <v>5.1900000000000002E-2</v>
      </c>
      <c r="G9">
        <v>1.6302399999999999</v>
      </c>
      <c r="H9" s="2">
        <f t="shared" si="1"/>
        <v>8.4609456E-2</v>
      </c>
      <c r="J9" s="18" t="s">
        <v>0</v>
      </c>
      <c r="K9" s="1">
        <f>0.5*C27</f>
        <v>12326965</v>
      </c>
      <c r="L9" s="2">
        <f t="shared" si="5"/>
        <v>0.37886999999999998</v>
      </c>
      <c r="M9" s="2">
        <f>+E9</f>
        <v>0.115</v>
      </c>
      <c r="N9" s="2">
        <f t="shared" si="6"/>
        <v>4.3569999999999998E-2</v>
      </c>
      <c r="O9">
        <f t="shared" si="7"/>
        <v>1.6302399999999999</v>
      </c>
      <c r="P9" s="2">
        <f t="shared" si="3"/>
        <v>7.1029556799999991E-2</v>
      </c>
    </row>
    <row r="10" spans="2:16" ht="15.75" x14ac:dyDescent="0.25">
      <c r="B10" s="18" t="s">
        <v>4</v>
      </c>
      <c r="C10" s="20">
        <v>612939</v>
      </c>
      <c r="D10" s="21">
        <f t="shared" si="4"/>
        <v>1.8800000000000001E-2</v>
      </c>
      <c r="E10" s="2">
        <v>1.8499999999999999E-2</v>
      </c>
      <c r="F10" s="2">
        <f t="shared" si="0"/>
        <v>3.5E-4</v>
      </c>
      <c r="G10">
        <f>+G15</f>
        <v>1.0013718794748805</v>
      </c>
      <c r="H10" s="2">
        <f t="shared" si="1"/>
        <v>3.5048015781620815E-4</v>
      </c>
      <c r="J10" s="18" t="s">
        <v>4</v>
      </c>
      <c r="K10" s="1">
        <f>+C34</f>
        <v>757738.22538629733</v>
      </c>
      <c r="L10" s="2">
        <f t="shared" si="5"/>
        <v>2.3290000000000002E-2</v>
      </c>
      <c r="M10" s="2">
        <f t="shared" si="2"/>
        <v>1.8499999999999999E-2</v>
      </c>
      <c r="N10" s="2">
        <f t="shared" si="6"/>
        <v>4.2999999999999999E-4</v>
      </c>
      <c r="O10">
        <f t="shared" si="7"/>
        <v>1.0013718794748805</v>
      </c>
      <c r="P10" s="2">
        <f t="shared" si="3"/>
        <v>4.305899081741986E-4</v>
      </c>
    </row>
    <row r="11" spans="2:16" ht="15.75" x14ac:dyDescent="0.25">
      <c r="B11" s="18" t="s">
        <v>5</v>
      </c>
      <c r="C11" s="20">
        <v>7368582</v>
      </c>
      <c r="D11" s="21">
        <f t="shared" si="4"/>
        <v>0.22650000000000001</v>
      </c>
      <c r="E11" s="2">
        <v>0</v>
      </c>
      <c r="F11" s="2">
        <f t="shared" si="0"/>
        <v>0</v>
      </c>
      <c r="G11">
        <v>1</v>
      </c>
      <c r="H11" s="2">
        <f t="shared" si="1"/>
        <v>0</v>
      </c>
      <c r="J11" s="18" t="s">
        <v>5</v>
      </c>
      <c r="K11" s="1">
        <f>+C11</f>
        <v>7368582</v>
      </c>
      <c r="L11" s="2">
        <f t="shared" si="5"/>
        <v>0.22647</v>
      </c>
      <c r="M11" s="2">
        <f t="shared" si="2"/>
        <v>0</v>
      </c>
      <c r="N11" s="2">
        <f t="shared" si="6"/>
        <v>0</v>
      </c>
      <c r="O11">
        <f t="shared" si="7"/>
        <v>1</v>
      </c>
      <c r="P11" s="2">
        <f t="shared" si="3"/>
        <v>0</v>
      </c>
    </row>
    <row r="12" spans="2:16" ht="15.75" x14ac:dyDescent="0.25">
      <c r="B12" s="18" t="s">
        <v>6</v>
      </c>
      <c r="C12" s="20">
        <v>106275</v>
      </c>
      <c r="D12" s="33">
        <f t="shared" si="4"/>
        <v>3.3E-3</v>
      </c>
      <c r="E12" s="2">
        <v>8.8200000000000001E-2</v>
      </c>
      <c r="F12" s="2">
        <f t="shared" si="0"/>
        <v>2.9E-4</v>
      </c>
      <c r="G12">
        <v>1</v>
      </c>
      <c r="H12" s="2">
        <f t="shared" si="1"/>
        <v>2.9E-4</v>
      </c>
      <c r="J12" s="18" t="s">
        <v>6</v>
      </c>
      <c r="K12" s="26">
        <f>+C12</f>
        <v>106275</v>
      </c>
      <c r="L12" s="29">
        <f t="shared" si="5"/>
        <v>3.2699999999999999E-3</v>
      </c>
      <c r="M12" s="30">
        <f t="shared" si="2"/>
        <v>8.8200000000000001E-2</v>
      </c>
      <c r="N12" s="29">
        <f t="shared" si="6"/>
        <v>2.9E-4</v>
      </c>
      <c r="O12">
        <f t="shared" si="7"/>
        <v>1</v>
      </c>
      <c r="P12" s="2">
        <f t="shared" si="3"/>
        <v>2.9E-4</v>
      </c>
    </row>
    <row r="13" spans="2:16" ht="15.75" x14ac:dyDescent="0.25">
      <c r="B13" s="18" t="s">
        <v>7</v>
      </c>
      <c r="C13" s="20">
        <f>SUM(C6:C12)</f>
        <v>32536115</v>
      </c>
      <c r="D13" s="21">
        <f>SUM(D6:D12)</f>
        <v>1.0000000000000002</v>
      </c>
      <c r="F13" s="2">
        <f>SUM(F6:F12)</f>
        <v>6.609000000000001E-2</v>
      </c>
      <c r="H13" s="2">
        <f>SUM(H6:H12)</f>
        <v>9.8818168436037357E-2</v>
      </c>
      <c r="J13" s="18" t="s">
        <v>7</v>
      </c>
      <c r="K13" s="1">
        <f>SUM(K6:K12)</f>
        <v>32536115</v>
      </c>
      <c r="L13" s="21">
        <f>SUM(L6:L12)</f>
        <v>0.99999999999999989</v>
      </c>
      <c r="N13" s="2">
        <f>SUM(N6:N12)</f>
        <v>6.0979999999999993E-2</v>
      </c>
      <c r="P13" s="2">
        <f>SUM(P6:P12)</f>
        <v>8.8462686687946476E-2</v>
      </c>
    </row>
    <row r="14" spans="2:16" ht="15.75" x14ac:dyDescent="0.25">
      <c r="B14" s="18"/>
      <c r="C14" s="18"/>
      <c r="D14" s="18"/>
    </row>
    <row r="15" spans="2:16" ht="15.75" x14ac:dyDescent="0.25">
      <c r="B15" s="18"/>
      <c r="C15" s="18"/>
      <c r="D15" s="18"/>
      <c r="G15">
        <f>1/0.99863</f>
        <v>1.0013718794748805</v>
      </c>
    </row>
    <row r="16" spans="2:16" x14ac:dyDescent="0.25">
      <c r="B16" t="s">
        <v>8</v>
      </c>
      <c r="D16" s="2">
        <f>+H13-P13</f>
        <v>1.0355481748090881E-2</v>
      </c>
      <c r="L16" s="2"/>
    </row>
    <row r="17" spans="2:24" x14ac:dyDescent="0.25">
      <c r="B17" t="s">
        <v>9</v>
      </c>
      <c r="D17" s="1">
        <v>32536118</v>
      </c>
      <c r="L17" s="1"/>
    </row>
    <row r="18" spans="2:24" x14ac:dyDescent="0.25">
      <c r="B18" t="s">
        <v>10</v>
      </c>
      <c r="D18" s="1">
        <f>+D17*D16</f>
        <v>336927.17610273114</v>
      </c>
      <c r="E18" t="s">
        <v>56</v>
      </c>
      <c r="L18" s="1"/>
    </row>
    <row r="19" spans="2:24" ht="15.75" x14ac:dyDescent="0.25">
      <c r="B19" s="18"/>
      <c r="C19" s="18"/>
      <c r="D19" s="20">
        <v>866354</v>
      </c>
      <c r="E19" t="s">
        <v>57</v>
      </c>
      <c r="J19" s="18"/>
      <c r="K19" s="18"/>
      <c r="L19" s="20"/>
    </row>
    <row r="20" spans="2:24" ht="15.75" x14ac:dyDescent="0.25">
      <c r="B20" s="18"/>
      <c r="C20" s="18"/>
      <c r="D20" s="35">
        <f>+D18/D19</f>
        <v>0.38890243030300681</v>
      </c>
      <c r="F20" s="1">
        <f>+D19-D18</f>
        <v>529426.82389726886</v>
      </c>
      <c r="J20" s="18"/>
      <c r="K20" s="18"/>
      <c r="L20" s="35"/>
    </row>
    <row r="21" spans="2:24" ht="16.5" thickBot="1" x14ac:dyDescent="0.3">
      <c r="B21" s="18"/>
      <c r="C21" s="18"/>
      <c r="D21" s="18"/>
    </row>
    <row r="22" spans="2:24" ht="16.5" thickBot="1" x14ac:dyDescent="0.3">
      <c r="B22" s="16" t="s">
        <v>47</v>
      </c>
      <c r="C22" s="16" t="s">
        <v>48</v>
      </c>
      <c r="D22" s="32" t="s">
        <v>44</v>
      </c>
      <c r="J22" s="46"/>
      <c r="K22" s="46"/>
      <c r="L22" s="47"/>
    </row>
    <row r="23" spans="2:24" x14ac:dyDescent="0.25">
      <c r="J23" s="48"/>
      <c r="K23" s="48"/>
      <c r="L23" s="48"/>
    </row>
    <row r="24" spans="2:24" x14ac:dyDescent="0.25">
      <c r="B24" t="s">
        <v>2</v>
      </c>
      <c r="C24" s="1">
        <f>+C6</f>
        <v>9358417</v>
      </c>
      <c r="D24" s="2">
        <f>+C24/$C$27</f>
        <v>0.37959128625740401</v>
      </c>
      <c r="E24" s="2">
        <f>+E6</f>
        <v>4.6199999999999998E-2</v>
      </c>
      <c r="F24" s="2">
        <f>+E24*D24</f>
        <v>1.7537117425092064E-2</v>
      </c>
      <c r="G24">
        <v>0.98</v>
      </c>
      <c r="H24" s="2">
        <f>+F24/G24</f>
        <v>1.7895017780706186E-2</v>
      </c>
      <c r="J24" s="48"/>
      <c r="K24" s="48"/>
      <c r="L24" s="48"/>
    </row>
    <row r="25" spans="2:24" x14ac:dyDescent="0.25">
      <c r="B25" t="s">
        <v>0</v>
      </c>
      <c r="C25" s="1">
        <f>+C9</f>
        <v>14682574</v>
      </c>
      <c r="D25" s="2">
        <f>+C25/$C$27</f>
        <v>0.5955469979836886</v>
      </c>
      <c r="E25" s="2">
        <f>+E9</f>
        <v>0.115</v>
      </c>
      <c r="F25" s="2">
        <f>+E25*D25</f>
        <v>6.8487904768124191E-2</v>
      </c>
      <c r="G25">
        <v>0.59</v>
      </c>
      <c r="H25" s="2">
        <f t="shared" ref="H25:H26" si="8">+F25/G25</f>
        <v>0.1160811945222444</v>
      </c>
      <c r="J25" s="48"/>
      <c r="K25" s="48"/>
      <c r="L25" s="48"/>
    </row>
    <row r="26" spans="2:24" x14ac:dyDescent="0.25">
      <c r="B26" t="s">
        <v>4</v>
      </c>
      <c r="C26" s="26">
        <f>+C10</f>
        <v>612939</v>
      </c>
      <c r="D26" s="29">
        <f>+C26/$C$27</f>
        <v>2.4861715758907402E-2</v>
      </c>
      <c r="E26" s="2">
        <f>+E10</f>
        <v>1.8499999999999999E-2</v>
      </c>
      <c r="F26" s="2">
        <f>+E26*D26</f>
        <v>4.5994174153978688E-4</v>
      </c>
      <c r="G26">
        <v>0.98</v>
      </c>
      <c r="H26" s="2">
        <f t="shared" si="8"/>
        <v>4.6932830769366008E-4</v>
      </c>
      <c r="J26" s="48"/>
      <c r="K26" s="48"/>
      <c r="L26" s="48"/>
    </row>
    <row r="27" spans="2:24" x14ac:dyDescent="0.25">
      <c r="B27" t="s">
        <v>7</v>
      </c>
      <c r="C27" s="1">
        <f>SUM(C24:C26)</f>
        <v>24653930</v>
      </c>
      <c r="D27" s="2">
        <f>SUM(D24:D26)</f>
        <v>1</v>
      </c>
      <c r="F27" s="2">
        <f>SUM(F24:F26)</f>
        <v>8.6484963934756048E-2</v>
      </c>
      <c r="H27" s="2">
        <f>SUM(H24:H26)</f>
        <v>0.13444554061064426</v>
      </c>
      <c r="J27" s="48"/>
      <c r="K27" s="48"/>
      <c r="L27" s="48"/>
    </row>
    <row r="28" spans="2:24" ht="15.75" thickBot="1" x14ac:dyDescent="0.3"/>
    <row r="29" spans="2:24" ht="16.5" thickBot="1" x14ac:dyDescent="0.3">
      <c r="B29" s="43">
        <v>2017</v>
      </c>
      <c r="C29" s="44"/>
      <c r="D29" s="44"/>
      <c r="E29" s="44"/>
      <c r="F29" s="45"/>
    </row>
    <row r="30" spans="2:24" ht="16.5" thickBot="1" x14ac:dyDescent="0.3">
      <c r="B30" s="16" t="s">
        <v>47</v>
      </c>
      <c r="C30" s="16" t="s">
        <v>48</v>
      </c>
      <c r="D30" s="32" t="s">
        <v>44</v>
      </c>
      <c r="E30" s="42" t="s">
        <v>62</v>
      </c>
      <c r="F30" s="42" t="s">
        <v>63</v>
      </c>
    </row>
    <row r="32" spans="2:24" x14ac:dyDescent="0.25">
      <c r="B32" t="s">
        <v>2</v>
      </c>
      <c r="C32" s="1">
        <f>+C27*(0.5*(C24/(C24+C26)))</f>
        <v>11569226.774613703</v>
      </c>
      <c r="D32" s="2">
        <f>+C32/C35</f>
        <v>0.46926501270238469</v>
      </c>
      <c r="E32" s="2">
        <f>+E24</f>
        <v>4.6199999999999998E-2</v>
      </c>
      <c r="F32" s="2">
        <f>+E32*D32</f>
        <v>2.1680043586850172E-2</v>
      </c>
      <c r="G32">
        <v>0.98</v>
      </c>
      <c r="H32" s="2">
        <f>+F32/G32</f>
        <v>2.2122493455969564E-2</v>
      </c>
      <c r="K32" s="1"/>
      <c r="L32" s="2"/>
      <c r="M32" s="2"/>
      <c r="N32" s="2"/>
      <c r="P32" s="2"/>
      <c r="S32" s="1"/>
      <c r="T32" s="2"/>
      <c r="U32" s="2"/>
      <c r="V32" s="2"/>
      <c r="X32" s="2"/>
    </row>
    <row r="33" spans="2:24" x14ac:dyDescent="0.25">
      <c r="B33" t="s">
        <v>0</v>
      </c>
      <c r="C33" s="1">
        <f>0.5*C27</f>
        <v>12326965</v>
      </c>
      <c r="D33" s="2">
        <f>+C33/C35</f>
        <v>0.5</v>
      </c>
      <c r="E33" s="2">
        <v>8.7499999999999994E-2</v>
      </c>
      <c r="F33" s="2">
        <f t="shared" ref="F33:F34" si="9">+E33*D33</f>
        <v>4.3749999999999997E-2</v>
      </c>
      <c r="G33">
        <v>0.59</v>
      </c>
      <c r="H33" s="2">
        <f t="shared" ref="H33:H34" si="10">+F33/G33</f>
        <v>7.4152542372881353E-2</v>
      </c>
      <c r="K33" s="1"/>
      <c r="L33" s="2"/>
      <c r="M33" s="2"/>
      <c r="N33" s="2"/>
      <c r="P33" s="2"/>
      <c r="S33" s="1"/>
      <c r="T33" s="2"/>
      <c r="U33" s="2"/>
      <c r="V33" s="2"/>
      <c r="X33" s="2"/>
    </row>
    <row r="34" spans="2:24" x14ac:dyDescent="0.25">
      <c r="B34" t="s">
        <v>4</v>
      </c>
      <c r="C34" s="1">
        <f>+C33-C32</f>
        <v>757738.22538629733</v>
      </c>
      <c r="D34" s="2">
        <f>+(C34/(C34+C32))*(1-D33)</f>
        <v>3.0734987297615323E-2</v>
      </c>
      <c r="E34" s="2">
        <v>1.8499999999999999E-2</v>
      </c>
      <c r="F34" s="2">
        <f t="shared" si="9"/>
        <v>5.6859726500588345E-4</v>
      </c>
      <c r="G34">
        <v>0.98</v>
      </c>
      <c r="H34" s="2">
        <f t="shared" si="10"/>
        <v>5.8020129082233011E-4</v>
      </c>
      <c r="K34" s="1"/>
      <c r="L34" s="2"/>
      <c r="M34" s="2"/>
      <c r="N34" s="2"/>
      <c r="P34" s="2"/>
      <c r="S34" s="1"/>
      <c r="T34" s="2"/>
      <c r="U34" s="2"/>
      <c r="V34" s="2"/>
      <c r="X34" s="2"/>
    </row>
    <row r="35" spans="2:24" x14ac:dyDescent="0.25">
      <c r="B35" t="s">
        <v>7</v>
      </c>
      <c r="C35" s="1">
        <f>SUM(C32:C34)</f>
        <v>24653930</v>
      </c>
      <c r="D35" s="2">
        <f>+D34+D33+D32</f>
        <v>1</v>
      </c>
      <c r="F35" s="2">
        <f>SUM(F32:F34)</f>
        <v>6.5998640851856055E-2</v>
      </c>
      <c r="H35" s="2">
        <f>SUM(H32:H34)</f>
        <v>9.685523711967324E-2</v>
      </c>
      <c r="K35" s="1"/>
      <c r="L35" s="2"/>
      <c r="N35" s="2"/>
      <c r="P35" s="2"/>
      <c r="S35" s="1"/>
      <c r="T35" s="2"/>
      <c r="V35" s="2"/>
      <c r="X35" s="2"/>
    </row>
    <row r="37" spans="2:24" x14ac:dyDescent="0.25">
      <c r="J37" s="3"/>
      <c r="K37" s="3"/>
      <c r="L37" s="3"/>
      <c r="M37" s="3"/>
      <c r="N37" s="3"/>
      <c r="O37" s="3"/>
      <c r="P37" s="3"/>
      <c r="R37" s="4"/>
      <c r="S37" s="3"/>
      <c r="T37" s="3"/>
      <c r="U37" s="3"/>
      <c r="V37" s="3"/>
      <c r="W37" s="3"/>
      <c r="X37" s="3"/>
    </row>
    <row r="38" spans="2:24" x14ac:dyDescent="0.25">
      <c r="C38" s="1"/>
      <c r="D38" s="2"/>
      <c r="E38" s="2"/>
      <c r="K38" s="1"/>
      <c r="L38" s="2"/>
      <c r="M38" s="2"/>
      <c r="N38" s="2"/>
      <c r="P38" s="2"/>
      <c r="S38" s="1"/>
      <c r="T38" s="2"/>
      <c r="U38" s="2"/>
      <c r="V38" s="2"/>
      <c r="X38" s="2"/>
    </row>
    <row r="39" spans="2:24" x14ac:dyDescent="0.25">
      <c r="C39" s="1"/>
      <c r="D39" s="2"/>
      <c r="E39" s="2"/>
      <c r="K39" s="1"/>
      <c r="L39" s="2"/>
      <c r="M39" s="2"/>
      <c r="N39" s="2"/>
      <c r="P39" s="2"/>
      <c r="S39" s="1"/>
      <c r="T39" s="2"/>
      <c r="U39" s="2"/>
      <c r="V39" s="2"/>
      <c r="X39" s="2"/>
    </row>
    <row r="40" spans="2:24" x14ac:dyDescent="0.25">
      <c r="C40" s="1"/>
      <c r="D40" s="2"/>
      <c r="E40" s="2"/>
      <c r="K40" s="1"/>
      <c r="L40" s="2"/>
      <c r="M40" s="2"/>
      <c r="N40" s="2"/>
      <c r="P40" s="2"/>
      <c r="S40" s="1"/>
      <c r="T40" s="2"/>
      <c r="U40" s="2"/>
      <c r="V40" s="2"/>
      <c r="X40" s="2"/>
    </row>
    <row r="41" spans="2:24" x14ac:dyDescent="0.25">
      <c r="C41" s="1"/>
      <c r="F41" s="2"/>
      <c r="H41" s="2"/>
      <c r="K41" s="1"/>
      <c r="N41" s="2"/>
      <c r="P41" s="2"/>
      <c r="S41" s="1"/>
      <c r="V41" s="2"/>
      <c r="X41" s="2"/>
    </row>
    <row r="44" spans="2:24" x14ac:dyDescent="0.25">
      <c r="P44" s="2"/>
      <c r="X44" s="2"/>
    </row>
    <row r="45" spans="2:24" x14ac:dyDescent="0.25">
      <c r="P45" s="1"/>
      <c r="X45" s="1"/>
    </row>
    <row r="46" spans="2:24" x14ac:dyDescent="0.25">
      <c r="P46" s="1"/>
      <c r="X46" s="1"/>
    </row>
    <row r="48" spans="2:24" x14ac:dyDescent="0.25">
      <c r="X48" s="1"/>
    </row>
    <row r="50" spans="24:24" x14ac:dyDescent="0.25">
      <c r="X5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50"/>
  <sheetViews>
    <sheetView topLeftCell="C1" workbookViewId="0">
      <selection activeCell="I16" sqref="I16"/>
    </sheetView>
  </sheetViews>
  <sheetFormatPr defaultRowHeight="15" x14ac:dyDescent="0.25"/>
  <cols>
    <col min="1" max="1" width="0.85546875" customWidth="1"/>
    <col min="2" max="2" width="19.140625" customWidth="1"/>
    <col min="3" max="3" width="18.42578125" customWidth="1"/>
    <col min="4" max="4" width="12.140625" customWidth="1"/>
    <col min="5" max="5" width="13.42578125" customWidth="1"/>
    <col min="6" max="6" width="12.42578125" customWidth="1"/>
    <col min="9" max="9" width="3.140625" customWidth="1"/>
    <col min="10" max="10" width="19.140625" customWidth="1"/>
    <col min="11" max="11" width="13.140625" customWidth="1"/>
    <col min="12" max="12" width="11.5703125" customWidth="1"/>
    <col min="13" max="13" width="13.42578125" customWidth="1"/>
    <col min="14" max="14" width="11.5703125" customWidth="1"/>
  </cols>
  <sheetData>
    <row r="2" spans="2:16" x14ac:dyDescent="0.25">
      <c r="B2" s="3" t="s">
        <v>53</v>
      </c>
      <c r="C2" s="3"/>
      <c r="D2" s="3"/>
      <c r="E2" s="3"/>
      <c r="F2" s="3"/>
      <c r="J2" s="3" t="s">
        <v>54</v>
      </c>
      <c r="K2" s="31"/>
      <c r="L2" s="31"/>
      <c r="M2" s="31"/>
      <c r="N2" s="31"/>
    </row>
    <row r="3" spans="2:16" ht="15.75" thickBot="1" x14ac:dyDescent="0.3">
      <c r="B3" s="3"/>
      <c r="C3" s="3"/>
      <c r="D3" s="3"/>
      <c r="E3" s="3"/>
      <c r="F3" s="3"/>
    </row>
    <row r="4" spans="2:16" ht="16.5" thickBot="1" x14ac:dyDescent="0.3">
      <c r="B4" s="16" t="s">
        <v>47</v>
      </c>
      <c r="C4" s="16" t="s">
        <v>48</v>
      </c>
      <c r="D4" s="32" t="s">
        <v>44</v>
      </c>
      <c r="E4" s="17" t="s">
        <v>45</v>
      </c>
      <c r="F4" s="28" t="s">
        <v>52</v>
      </c>
      <c r="H4" s="34" t="s">
        <v>55</v>
      </c>
      <c r="J4" s="16" t="s">
        <v>47</v>
      </c>
      <c r="K4" s="16" t="s">
        <v>48</v>
      </c>
      <c r="L4" s="28" t="s">
        <v>44</v>
      </c>
      <c r="M4" s="17" t="s">
        <v>45</v>
      </c>
      <c r="N4" s="28" t="s">
        <v>52</v>
      </c>
      <c r="P4" s="34" t="s">
        <v>55</v>
      </c>
    </row>
    <row r="5" spans="2:16" ht="15.75" x14ac:dyDescent="0.25">
      <c r="B5" s="18"/>
      <c r="C5" s="19" t="s">
        <v>11</v>
      </c>
      <c r="D5" s="18"/>
      <c r="J5" s="18"/>
      <c r="K5" s="19" t="s">
        <v>11</v>
      </c>
      <c r="M5" s="18"/>
    </row>
    <row r="6" spans="2:16" ht="15.75" x14ac:dyDescent="0.25">
      <c r="B6" s="18" t="s">
        <v>2</v>
      </c>
      <c r="C6" s="20">
        <v>10024107</v>
      </c>
      <c r="D6" s="21">
        <f>+ROUND(C6/$C$13,4)</f>
        <v>0.29599999999999999</v>
      </c>
      <c r="E6" s="2">
        <v>4.87E-2</v>
      </c>
      <c r="F6" s="2">
        <f t="shared" ref="F6:F12" si="0">+ROUND(E6*D6,5)</f>
        <v>1.4420000000000001E-2</v>
      </c>
      <c r="G6">
        <v>0.99863000000000002</v>
      </c>
      <c r="H6" s="2">
        <f>+F6/G6</f>
        <v>1.4439782502027779E-2</v>
      </c>
      <c r="J6" s="18" t="s">
        <v>2</v>
      </c>
      <c r="K6" s="1">
        <f>+C32</f>
        <v>12416744.212227706</v>
      </c>
      <c r="L6" s="2">
        <f>+ROUND(K6/$K$13,5)</f>
        <v>0.36659000000000003</v>
      </c>
      <c r="M6" s="2">
        <f t="shared" ref="M6:M12" si="1">+E6</f>
        <v>4.87E-2</v>
      </c>
      <c r="N6" s="2">
        <f>+ROUND(M6*L6,5)</f>
        <v>1.7850000000000001E-2</v>
      </c>
      <c r="O6">
        <v>0.99863000000000002</v>
      </c>
      <c r="P6" s="2">
        <f>+N6/O6</f>
        <v>1.7874488048626621E-2</v>
      </c>
    </row>
    <row r="7" spans="2:16" ht="15.75" x14ac:dyDescent="0.25">
      <c r="B7" s="18" t="s">
        <v>1</v>
      </c>
      <c r="C7" s="20">
        <v>0</v>
      </c>
      <c r="D7" s="21">
        <f t="shared" ref="D7:D12" si="2">+ROUND(C7/$C$13,4)</f>
        <v>0</v>
      </c>
      <c r="E7" s="2">
        <v>0</v>
      </c>
      <c r="F7" s="2">
        <f t="shared" si="0"/>
        <v>0</v>
      </c>
      <c r="G7">
        <v>1.6302399999999999</v>
      </c>
      <c r="H7" s="2">
        <f t="shared" ref="H7:H9" si="3">+G7*F7</f>
        <v>0</v>
      </c>
      <c r="J7" s="18" t="s">
        <v>1</v>
      </c>
      <c r="K7" s="1">
        <v>0</v>
      </c>
      <c r="L7" s="2">
        <f t="shared" ref="L7:L12" si="4">+ROUND(K7/$K$13,5)</f>
        <v>0</v>
      </c>
      <c r="M7" s="2">
        <f t="shared" si="1"/>
        <v>0</v>
      </c>
      <c r="N7" s="2">
        <f t="shared" ref="N7:N12" si="5">+ROUND(M7*L7,5)</f>
        <v>0</v>
      </c>
      <c r="O7">
        <v>1.6302399999999999</v>
      </c>
      <c r="P7" s="2">
        <f t="shared" ref="P7:P9" si="6">+O7*N7</f>
        <v>0</v>
      </c>
    </row>
    <row r="8" spans="2:16" ht="15.75" x14ac:dyDescent="0.25">
      <c r="B8" s="18" t="s">
        <v>3</v>
      </c>
      <c r="C8" s="20">
        <v>386360</v>
      </c>
      <c r="D8" s="21">
        <f t="shared" si="2"/>
        <v>1.14E-2</v>
      </c>
      <c r="E8" s="2">
        <v>2.0400000000000001E-2</v>
      </c>
      <c r="F8" s="2">
        <f t="shared" si="0"/>
        <v>2.3000000000000001E-4</v>
      </c>
      <c r="G8">
        <v>0.99863000000000002</v>
      </c>
      <c r="H8" s="2">
        <f>+F8/G8</f>
        <v>2.3031553227922255E-4</v>
      </c>
      <c r="J8" s="18" t="s">
        <v>3</v>
      </c>
      <c r="K8" s="1">
        <f>+C8</f>
        <v>386360</v>
      </c>
      <c r="L8" s="2">
        <f t="shared" si="4"/>
        <v>1.141E-2</v>
      </c>
      <c r="M8" s="2">
        <f t="shared" si="1"/>
        <v>2.0400000000000001E-2</v>
      </c>
      <c r="N8" s="2">
        <f t="shared" si="5"/>
        <v>2.3000000000000001E-4</v>
      </c>
      <c r="O8">
        <v>0.99863000000000002</v>
      </c>
      <c r="P8" s="2">
        <f>+N8/O8</f>
        <v>2.3031553227922255E-4</v>
      </c>
    </row>
    <row r="9" spans="2:16" ht="15.75" x14ac:dyDescent="0.25">
      <c r="B9" s="18" t="s">
        <v>0</v>
      </c>
      <c r="C9" s="20">
        <v>15284522</v>
      </c>
      <c r="D9" s="21">
        <f t="shared" si="2"/>
        <v>0.45129999999999998</v>
      </c>
      <c r="E9" s="2">
        <v>0.115</v>
      </c>
      <c r="F9" s="2">
        <f t="shared" si="0"/>
        <v>5.1900000000000002E-2</v>
      </c>
      <c r="G9">
        <v>1.6302399999999999</v>
      </c>
      <c r="H9" s="2">
        <f t="shared" si="3"/>
        <v>8.4609456E-2</v>
      </c>
      <c r="J9" s="18" t="s">
        <v>0</v>
      </c>
      <c r="K9" s="1">
        <f>0.5*C27</f>
        <v>12815120</v>
      </c>
      <c r="L9" s="2">
        <f t="shared" si="4"/>
        <v>0.37835000000000002</v>
      </c>
      <c r="M9" s="2">
        <f t="shared" si="1"/>
        <v>0.115</v>
      </c>
      <c r="N9" s="2">
        <f t="shared" si="5"/>
        <v>4.351E-2</v>
      </c>
      <c r="O9">
        <v>1.6302399999999999</v>
      </c>
      <c r="P9" s="2">
        <f t="shared" si="6"/>
        <v>7.0931742399999997E-2</v>
      </c>
    </row>
    <row r="10" spans="2:16" ht="15.75" x14ac:dyDescent="0.25">
      <c r="B10" s="18" t="s">
        <v>4</v>
      </c>
      <c r="C10" s="20">
        <v>321611</v>
      </c>
      <c r="D10" s="21">
        <f t="shared" si="2"/>
        <v>9.4999999999999998E-3</v>
      </c>
      <c r="E10" s="2">
        <v>2.6800000000000001E-2</v>
      </c>
      <c r="F10" s="2">
        <f t="shared" si="0"/>
        <v>2.5000000000000001E-4</v>
      </c>
      <c r="G10">
        <v>0.99863000000000002</v>
      </c>
      <c r="H10" s="2">
        <f t="shared" ref="H10:H12" si="7">+F10/G10</f>
        <v>2.5034296986872014E-4</v>
      </c>
      <c r="J10" s="18" t="s">
        <v>4</v>
      </c>
      <c r="K10" s="1">
        <f>+C34</f>
        <v>398375.78777229413</v>
      </c>
      <c r="L10" s="2">
        <f t="shared" si="4"/>
        <v>1.176E-2</v>
      </c>
      <c r="M10" s="2">
        <f t="shared" si="1"/>
        <v>2.6800000000000001E-2</v>
      </c>
      <c r="N10" s="2">
        <f t="shared" si="5"/>
        <v>3.2000000000000003E-4</v>
      </c>
      <c r="O10">
        <v>0.99863000000000002</v>
      </c>
      <c r="P10" s="2">
        <f t="shared" ref="P10:P12" si="8">+N10/O10</f>
        <v>3.2043900143196181E-4</v>
      </c>
    </row>
    <row r="11" spans="2:16" ht="15.75" x14ac:dyDescent="0.25">
      <c r="B11" s="18" t="s">
        <v>5</v>
      </c>
      <c r="C11" s="20">
        <v>7753738</v>
      </c>
      <c r="D11" s="21">
        <f t="shared" si="2"/>
        <v>0.22889999999999999</v>
      </c>
      <c r="E11" s="2">
        <v>0</v>
      </c>
      <c r="F11" s="2">
        <f t="shared" si="0"/>
        <v>0</v>
      </c>
      <c r="G11">
        <v>0.99863000000000002</v>
      </c>
      <c r="H11" s="2">
        <f t="shared" si="7"/>
        <v>0</v>
      </c>
      <c r="J11" s="18" t="s">
        <v>5</v>
      </c>
      <c r="K11" s="1">
        <f>+C11</f>
        <v>7753738</v>
      </c>
      <c r="L11" s="2">
        <f t="shared" si="4"/>
        <v>0.22892000000000001</v>
      </c>
      <c r="M11" s="2">
        <f t="shared" si="1"/>
        <v>0</v>
      </c>
      <c r="N11" s="2">
        <f t="shared" si="5"/>
        <v>0</v>
      </c>
      <c r="O11">
        <v>0.99863000000000002</v>
      </c>
      <c r="P11" s="2">
        <f t="shared" si="8"/>
        <v>0</v>
      </c>
    </row>
    <row r="12" spans="2:16" ht="15.75" x14ac:dyDescent="0.25">
      <c r="B12" s="18" t="s">
        <v>6</v>
      </c>
      <c r="C12" s="20">
        <v>100559</v>
      </c>
      <c r="D12" s="33">
        <f t="shared" si="2"/>
        <v>3.0000000000000001E-3</v>
      </c>
      <c r="E12" s="2">
        <v>8.8700000000000001E-2</v>
      </c>
      <c r="F12" s="2">
        <f t="shared" si="0"/>
        <v>2.7E-4</v>
      </c>
      <c r="G12">
        <v>0.99863000000000002</v>
      </c>
      <c r="H12" s="2">
        <f t="shared" si="7"/>
        <v>2.7037040745821775E-4</v>
      </c>
      <c r="J12" s="18" t="s">
        <v>6</v>
      </c>
      <c r="K12" s="26">
        <f>+C12</f>
        <v>100559</v>
      </c>
      <c r="L12" s="29">
        <f t="shared" si="4"/>
        <v>2.97E-3</v>
      </c>
      <c r="M12" s="30">
        <f t="shared" si="1"/>
        <v>8.8700000000000001E-2</v>
      </c>
      <c r="N12" s="29">
        <f t="shared" si="5"/>
        <v>2.5999999999999998E-4</v>
      </c>
      <c r="O12">
        <v>0.99863000000000002</v>
      </c>
      <c r="P12" s="2">
        <f t="shared" si="8"/>
        <v>2.6035668866346891E-4</v>
      </c>
    </row>
    <row r="13" spans="2:16" ht="15.75" x14ac:dyDescent="0.25">
      <c r="B13" s="18" t="s">
        <v>7</v>
      </c>
      <c r="C13" s="20">
        <f>SUM(C6:C12)</f>
        <v>33870897</v>
      </c>
      <c r="D13" s="21">
        <f>SUM(D6:D12)</f>
        <v>1.0000999999999998</v>
      </c>
      <c r="F13" s="2">
        <f>SUM(F6:F12)</f>
        <v>6.7070000000000005E-2</v>
      </c>
      <c r="H13" s="2">
        <f>SUM(H6:H12)</f>
        <v>9.9800267411633919E-2</v>
      </c>
      <c r="J13" s="18" t="s">
        <v>7</v>
      </c>
      <c r="K13" s="1">
        <f>SUM(K6:K12)</f>
        <v>33870897</v>
      </c>
      <c r="L13" s="21">
        <f>SUM(L6:L12)</f>
        <v>1</v>
      </c>
      <c r="N13" s="2">
        <f>SUM(N6:N12)</f>
        <v>6.217000000000001E-2</v>
      </c>
      <c r="P13" s="2">
        <f>SUM(P6:P12)</f>
        <v>8.9617341671001258E-2</v>
      </c>
    </row>
    <row r="14" spans="2:16" ht="15.75" x14ac:dyDescent="0.25">
      <c r="B14" s="18"/>
      <c r="C14" s="18"/>
      <c r="D14" s="18"/>
    </row>
    <row r="15" spans="2:16" ht="15.75" x14ac:dyDescent="0.25">
      <c r="B15" s="18"/>
      <c r="C15" s="18"/>
      <c r="D15" s="18"/>
    </row>
    <row r="16" spans="2:16" x14ac:dyDescent="0.25">
      <c r="B16" t="s">
        <v>8</v>
      </c>
      <c r="D16" s="2">
        <f>+H13-P13</f>
        <v>1.0182925740632662E-2</v>
      </c>
      <c r="J16" s="48"/>
      <c r="K16" s="48"/>
      <c r="L16" s="49"/>
      <c r="M16" s="48"/>
      <c r="N16" s="48"/>
      <c r="O16" s="48"/>
      <c r="P16" s="48"/>
    </row>
    <row r="17" spans="2:24" x14ac:dyDescent="0.25">
      <c r="B17" t="s">
        <v>9</v>
      </c>
      <c r="D17" s="1">
        <f>+C13</f>
        <v>33870897</v>
      </c>
      <c r="J17" s="48"/>
      <c r="K17" s="48"/>
      <c r="L17" s="50"/>
      <c r="M17" s="48"/>
      <c r="N17" s="48"/>
      <c r="O17" s="48"/>
      <c r="P17" s="48"/>
    </row>
    <row r="18" spans="2:24" x14ac:dyDescent="0.25">
      <c r="B18" t="s">
        <v>10</v>
      </c>
      <c r="D18" s="1">
        <f>+D17*D16</f>
        <v>344904.82891961758</v>
      </c>
      <c r="E18" t="s">
        <v>56</v>
      </c>
      <c r="J18" s="48"/>
      <c r="K18" s="48"/>
      <c r="L18" s="50"/>
      <c r="M18" s="48"/>
      <c r="N18" s="48"/>
      <c r="O18" s="48"/>
      <c r="P18" s="48"/>
    </row>
    <row r="19" spans="2:24" ht="15.75" x14ac:dyDescent="0.25">
      <c r="B19" s="18"/>
      <c r="C19" s="18"/>
      <c r="D19" s="20">
        <v>866354</v>
      </c>
      <c r="E19" t="s">
        <v>57</v>
      </c>
      <c r="J19" s="51"/>
      <c r="K19" s="51"/>
      <c r="L19" s="52"/>
      <c r="M19" s="48"/>
      <c r="N19" s="48"/>
      <c r="O19" s="48"/>
      <c r="P19" s="48"/>
    </row>
    <row r="20" spans="2:24" ht="15.75" x14ac:dyDescent="0.25">
      <c r="B20" s="18"/>
      <c r="C20" s="18"/>
      <c r="D20" s="35">
        <f>+D18/D19</f>
        <v>0.39811073639599698</v>
      </c>
      <c r="F20" s="1">
        <f>+D19-D18</f>
        <v>521449.17108038242</v>
      </c>
      <c r="J20" s="51"/>
      <c r="K20" s="51"/>
      <c r="L20" s="53"/>
      <c r="M20" s="48"/>
      <c r="N20" s="48"/>
      <c r="O20" s="48"/>
      <c r="P20" s="48"/>
    </row>
    <row r="21" spans="2:24" ht="16.5" thickBot="1" x14ac:dyDescent="0.3">
      <c r="B21" s="18"/>
      <c r="C21" s="18"/>
      <c r="D21" s="18"/>
      <c r="J21" s="48"/>
      <c r="K21" s="48"/>
      <c r="L21" s="48"/>
      <c r="M21" s="48"/>
      <c r="N21" s="48"/>
      <c r="O21" s="48"/>
      <c r="P21" s="48"/>
    </row>
    <row r="22" spans="2:24" ht="16.5" thickBot="1" x14ac:dyDescent="0.3">
      <c r="B22" s="16" t="s">
        <v>47</v>
      </c>
      <c r="C22" s="16" t="s">
        <v>48</v>
      </c>
      <c r="D22" s="32" t="s">
        <v>44</v>
      </c>
      <c r="E22" s="42" t="s">
        <v>62</v>
      </c>
      <c r="F22" s="42" t="s">
        <v>63</v>
      </c>
      <c r="J22" s="46"/>
      <c r="K22" s="46"/>
      <c r="L22" s="47"/>
      <c r="M22" s="48"/>
      <c r="N22" s="48"/>
      <c r="O22" s="48"/>
      <c r="P22" s="48"/>
    </row>
    <row r="24" spans="2:24" x14ac:dyDescent="0.25">
      <c r="B24" t="s">
        <v>2</v>
      </c>
      <c r="C24" s="1">
        <f>+C6</f>
        <v>10024107</v>
      </c>
      <c r="D24" s="2">
        <f>+C24/$C$27</f>
        <v>0.39110468727565562</v>
      </c>
      <c r="E24" s="2">
        <f>+E6</f>
        <v>4.87E-2</v>
      </c>
      <c r="F24" s="2">
        <f>+E24*D24</f>
        <v>1.904679827032443E-2</v>
      </c>
      <c r="G24">
        <v>0.98</v>
      </c>
      <c r="H24" s="2">
        <f>+F24/G24</f>
        <v>1.9435508439106561E-2</v>
      </c>
    </row>
    <row r="25" spans="2:24" x14ac:dyDescent="0.25">
      <c r="B25" t="s">
        <v>0</v>
      </c>
      <c r="C25" s="1">
        <f>+C9</f>
        <v>15284522</v>
      </c>
      <c r="D25" s="2">
        <f>+C25/$C$27</f>
        <v>0.59634720548851672</v>
      </c>
      <c r="E25" s="2">
        <f>+E9</f>
        <v>0.115</v>
      </c>
      <c r="F25" s="2">
        <f>+E25*D25</f>
        <v>6.8579928631179427E-2</v>
      </c>
      <c r="G25">
        <v>0.59</v>
      </c>
      <c r="H25" s="2">
        <f t="shared" ref="H25:H26" si="9">+F25/G25</f>
        <v>0.11623716717149056</v>
      </c>
    </row>
    <row r="26" spans="2:24" x14ac:dyDescent="0.25">
      <c r="B26" t="s">
        <v>4</v>
      </c>
      <c r="C26" s="26">
        <f>+C10</f>
        <v>321611</v>
      </c>
      <c r="D26" s="29">
        <f>+C26/$C$27</f>
        <v>1.2548107235827678E-2</v>
      </c>
      <c r="E26" s="2">
        <f>+E10</f>
        <v>2.6800000000000001E-2</v>
      </c>
      <c r="F26" s="2">
        <f>+E26*D26</f>
        <v>3.3628927392018176E-4</v>
      </c>
      <c r="G26">
        <v>0.98</v>
      </c>
      <c r="H26" s="2">
        <f t="shared" si="9"/>
        <v>3.431523203267161E-4</v>
      </c>
    </row>
    <row r="27" spans="2:24" x14ac:dyDescent="0.25">
      <c r="B27" t="s">
        <v>7</v>
      </c>
      <c r="C27" s="1">
        <f>SUM(C24:C26)</f>
        <v>25630240</v>
      </c>
      <c r="D27" s="2">
        <f>SUM(D24:D26)</f>
        <v>1</v>
      </c>
      <c r="F27" s="2">
        <f>SUM(F24:F26)</f>
        <v>8.7963016175424041E-2</v>
      </c>
      <c r="H27" s="2">
        <f>SUM(H24:H26)</f>
        <v>0.13601582793092384</v>
      </c>
    </row>
    <row r="28" spans="2:24" ht="15.75" thickBot="1" x14ac:dyDescent="0.3"/>
    <row r="29" spans="2:24" ht="16.5" thickBot="1" x14ac:dyDescent="0.3">
      <c r="B29" s="43">
        <v>2018</v>
      </c>
      <c r="C29" s="44"/>
      <c r="D29" s="44"/>
      <c r="E29" s="44"/>
      <c r="F29" s="45"/>
    </row>
    <row r="30" spans="2:24" ht="16.5" thickBot="1" x14ac:dyDescent="0.3">
      <c r="B30" s="16" t="s">
        <v>47</v>
      </c>
      <c r="C30" s="16" t="s">
        <v>48</v>
      </c>
      <c r="D30" s="32" t="s">
        <v>44</v>
      </c>
      <c r="E30" s="42" t="s">
        <v>62</v>
      </c>
      <c r="F30" s="42" t="s">
        <v>63</v>
      </c>
    </row>
    <row r="32" spans="2:24" x14ac:dyDescent="0.25">
      <c r="B32" t="s">
        <v>2</v>
      </c>
      <c r="C32" s="1">
        <f>+C27*(0.5*(C24/(C24+C26)))</f>
        <v>12416744.212227706</v>
      </c>
      <c r="D32" s="2">
        <f>+C32/C35</f>
        <v>0.48445680618783538</v>
      </c>
      <c r="E32" s="2">
        <f>+E24</f>
        <v>4.87E-2</v>
      </c>
      <c r="F32" s="2">
        <f>+E32*D32</f>
        <v>2.3593046461347585E-2</v>
      </c>
      <c r="G32">
        <v>0.98</v>
      </c>
      <c r="H32" s="2">
        <f>+F32/G32</f>
        <v>2.4074537205456721E-2</v>
      </c>
      <c r="K32" s="1"/>
      <c r="L32" s="2"/>
      <c r="M32" s="2"/>
      <c r="N32" s="2"/>
      <c r="P32" s="2"/>
      <c r="S32" s="1"/>
      <c r="T32" s="2"/>
      <c r="U32" s="2"/>
      <c r="V32" s="2"/>
      <c r="X32" s="2"/>
    </row>
    <row r="33" spans="2:24" x14ac:dyDescent="0.25">
      <c r="B33" t="s">
        <v>0</v>
      </c>
      <c r="C33" s="1">
        <f>0.5*C27</f>
        <v>12815120</v>
      </c>
      <c r="D33" s="2">
        <f>+C33/C35</f>
        <v>0.5</v>
      </c>
      <c r="E33" s="2">
        <v>8.7499999999999994E-2</v>
      </c>
      <c r="F33" s="2">
        <f t="shared" ref="F33:F34" si="10">+E33*D33</f>
        <v>4.3749999999999997E-2</v>
      </c>
      <c r="G33">
        <v>0.59</v>
      </c>
      <c r="H33" s="2">
        <f t="shared" ref="H33:H34" si="11">+F33/G33</f>
        <v>7.4152542372881353E-2</v>
      </c>
      <c r="K33" s="1"/>
      <c r="L33" s="2"/>
      <c r="M33" s="2"/>
      <c r="N33" s="2"/>
      <c r="P33" s="2"/>
      <c r="S33" s="1"/>
      <c r="T33" s="2"/>
      <c r="U33" s="2"/>
      <c r="V33" s="2"/>
      <c r="X33" s="2"/>
    </row>
    <row r="34" spans="2:24" x14ac:dyDescent="0.25">
      <c r="B34" t="s">
        <v>4</v>
      </c>
      <c r="C34" s="1">
        <f>+C33-C32</f>
        <v>398375.78777229413</v>
      </c>
      <c r="D34" s="2">
        <f>+(C34/(C34+C32))*(1-D33)</f>
        <v>1.5543193812164621E-2</v>
      </c>
      <c r="E34" s="2">
        <f>+E26</f>
        <v>2.6800000000000001E-2</v>
      </c>
      <c r="F34" s="2">
        <f t="shared" si="10"/>
        <v>4.1655759416601182E-4</v>
      </c>
      <c r="G34">
        <v>0.98</v>
      </c>
      <c r="H34" s="2">
        <f t="shared" si="11"/>
        <v>4.2505876955715495E-4</v>
      </c>
      <c r="K34" s="1"/>
      <c r="L34" s="2"/>
      <c r="M34" s="2"/>
      <c r="N34" s="2"/>
      <c r="P34" s="2"/>
      <c r="S34" s="1"/>
      <c r="T34" s="2"/>
      <c r="U34" s="2"/>
      <c r="V34" s="2"/>
      <c r="X34" s="2"/>
    </row>
    <row r="35" spans="2:24" x14ac:dyDescent="0.25">
      <c r="B35" t="s">
        <v>7</v>
      </c>
      <c r="C35" s="1">
        <f>SUM(C32:C34)</f>
        <v>25630240</v>
      </c>
      <c r="D35" s="2">
        <f>+D34+D33+D32</f>
        <v>1</v>
      </c>
      <c r="F35" s="2">
        <f>SUM(F32:F34)</f>
        <v>6.7759604055513595E-2</v>
      </c>
      <c r="H35" s="2">
        <f>SUM(H32:H34)</f>
        <v>9.8652138347895227E-2</v>
      </c>
      <c r="K35" s="1"/>
      <c r="L35" s="2"/>
      <c r="N35" s="2"/>
      <c r="P35" s="2"/>
      <c r="S35" s="1"/>
      <c r="T35" s="2"/>
      <c r="V35" s="2"/>
      <c r="X35" s="2"/>
    </row>
    <row r="37" spans="2:24" x14ac:dyDescent="0.25">
      <c r="J37" s="3"/>
      <c r="K37" s="3"/>
      <c r="L37" s="3"/>
      <c r="M37" s="3"/>
      <c r="N37" s="3"/>
      <c r="O37" s="3"/>
      <c r="P37" s="3"/>
      <c r="R37" s="4"/>
      <c r="S37" s="3"/>
      <c r="T37" s="3"/>
      <c r="U37" s="3"/>
      <c r="V37" s="3"/>
      <c r="W37" s="3"/>
      <c r="X37" s="3"/>
    </row>
    <row r="38" spans="2:24" x14ac:dyDescent="0.25">
      <c r="C38" s="1"/>
      <c r="D38" s="2"/>
      <c r="E38" s="2"/>
      <c r="K38" s="1"/>
      <c r="L38" s="2"/>
      <c r="M38" s="2"/>
      <c r="N38" s="2"/>
      <c r="P38" s="2"/>
      <c r="S38" s="1"/>
      <c r="T38" s="2"/>
      <c r="U38" s="2"/>
      <c r="V38" s="2"/>
      <c r="X38" s="2"/>
    </row>
    <row r="39" spans="2:24" x14ac:dyDescent="0.25">
      <c r="C39" s="1">
        <f>+C26</f>
        <v>321611</v>
      </c>
      <c r="D39" s="1">
        <f>+C24</f>
        <v>10024107</v>
      </c>
      <c r="E39" s="2"/>
      <c r="K39" s="1"/>
      <c r="L39" s="2"/>
      <c r="M39" s="2"/>
      <c r="N39" s="2"/>
      <c r="P39" s="2"/>
      <c r="S39" s="1"/>
      <c r="T39" s="2"/>
      <c r="U39" s="2"/>
      <c r="V39" s="2"/>
      <c r="X39" s="2"/>
    </row>
    <row r="40" spans="2:24" x14ac:dyDescent="0.25">
      <c r="C40" s="1">
        <f>+C24+C26</f>
        <v>10345718</v>
      </c>
      <c r="D40" s="1">
        <f>+C40</f>
        <v>10345718</v>
      </c>
      <c r="E40" s="2"/>
      <c r="K40" s="1"/>
      <c r="L40" s="2"/>
      <c r="M40" s="2"/>
      <c r="N40" s="2"/>
      <c r="P40" s="2"/>
      <c r="S40" s="1"/>
      <c r="T40" s="2"/>
      <c r="U40" s="2"/>
      <c r="V40" s="2"/>
      <c r="X40" s="2"/>
    </row>
    <row r="41" spans="2:24" x14ac:dyDescent="0.25">
      <c r="C41" s="2">
        <f>+C39/C40</f>
        <v>3.1086387624329217E-2</v>
      </c>
      <c r="D41" s="2">
        <f>+D39/D40</f>
        <v>0.96891361237567075</v>
      </c>
      <c r="F41" s="2"/>
      <c r="H41" s="2"/>
      <c r="K41" s="1"/>
      <c r="N41" s="2"/>
      <c r="P41" s="2"/>
      <c r="S41" s="1"/>
      <c r="V41" s="2"/>
      <c r="X41" s="2"/>
    </row>
    <row r="43" spans="2:24" x14ac:dyDescent="0.25">
      <c r="C43" s="1">
        <f>+C41*C33</f>
        <v>398375.78777229384</v>
      </c>
      <c r="D43" s="1">
        <f>+D41*C33</f>
        <v>12416744.212227706</v>
      </c>
    </row>
    <row r="44" spans="2:24" x14ac:dyDescent="0.25">
      <c r="P44" s="2"/>
      <c r="X44" s="2"/>
    </row>
    <row r="45" spans="2:24" x14ac:dyDescent="0.25">
      <c r="P45" s="1"/>
      <c r="X45" s="1"/>
    </row>
    <row r="46" spans="2:24" x14ac:dyDescent="0.25">
      <c r="P46" s="1"/>
      <c r="X46" s="1"/>
    </row>
    <row r="48" spans="2:24" x14ac:dyDescent="0.25">
      <c r="X48" s="1"/>
    </row>
    <row r="50" spans="24:24" x14ac:dyDescent="0.25">
      <c r="X5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3"/>
  <sheetViews>
    <sheetView tabSelected="1" topLeftCell="A11" workbookViewId="0">
      <selection activeCell="J16" sqref="J16:N20"/>
    </sheetView>
  </sheetViews>
  <sheetFormatPr defaultRowHeight="15" x14ac:dyDescent="0.25"/>
  <cols>
    <col min="1" max="1" width="4.140625" customWidth="1"/>
    <col min="2" max="2" width="18.42578125" customWidth="1"/>
    <col min="3" max="3" width="12.5703125" customWidth="1"/>
    <col min="4" max="4" width="11.7109375" customWidth="1"/>
    <col min="5" max="6" width="13.85546875" customWidth="1"/>
    <col min="10" max="10" width="16.140625" customWidth="1"/>
    <col min="11" max="12" width="13.85546875" customWidth="1"/>
    <col min="13" max="14" width="14" customWidth="1"/>
  </cols>
  <sheetData>
    <row r="2" spans="2:16" x14ac:dyDescent="0.25">
      <c r="B2" s="3" t="s">
        <v>53</v>
      </c>
      <c r="C2" s="3"/>
      <c r="D2" s="3"/>
      <c r="E2" s="3"/>
      <c r="F2" s="3"/>
      <c r="J2" s="3" t="s">
        <v>61</v>
      </c>
      <c r="K2" s="31"/>
      <c r="L2" s="31"/>
      <c r="M2" s="31"/>
      <c r="N2" s="31"/>
    </row>
    <row r="3" spans="2:16" ht="15.75" thickBot="1" x14ac:dyDescent="0.3">
      <c r="B3" s="3"/>
      <c r="C3" s="3"/>
      <c r="D3" s="3"/>
      <c r="E3" s="3"/>
      <c r="F3" s="3"/>
    </row>
    <row r="4" spans="2:16" ht="16.5" thickBot="1" x14ac:dyDescent="0.3">
      <c r="B4" s="16" t="s">
        <v>47</v>
      </c>
      <c r="C4" s="16" t="s">
        <v>48</v>
      </c>
      <c r="D4" s="32" t="s">
        <v>44</v>
      </c>
      <c r="E4" s="17" t="s">
        <v>45</v>
      </c>
      <c r="F4" s="28" t="s">
        <v>52</v>
      </c>
      <c r="G4" s="28" t="s">
        <v>58</v>
      </c>
      <c r="H4" s="36" t="s">
        <v>55</v>
      </c>
      <c r="J4" s="16" t="s">
        <v>47</v>
      </c>
      <c r="K4" s="16" t="s">
        <v>48</v>
      </c>
      <c r="L4" s="28" t="s">
        <v>44</v>
      </c>
      <c r="M4" s="17" t="s">
        <v>45</v>
      </c>
      <c r="N4" s="28" t="s">
        <v>52</v>
      </c>
      <c r="O4" s="28" t="s">
        <v>58</v>
      </c>
      <c r="P4" s="34" t="s">
        <v>55</v>
      </c>
    </row>
    <row r="5" spans="2:16" ht="15.75" x14ac:dyDescent="0.25">
      <c r="B5" s="18"/>
      <c r="C5" s="19" t="s">
        <v>11</v>
      </c>
      <c r="D5" s="18"/>
      <c r="J5" s="18"/>
      <c r="K5" s="19" t="s">
        <v>11</v>
      </c>
      <c r="M5" s="18"/>
    </row>
    <row r="6" spans="2:16" ht="15.75" x14ac:dyDescent="0.25">
      <c r="B6" s="18" t="s">
        <v>2</v>
      </c>
      <c r="C6" s="20">
        <v>9358417</v>
      </c>
      <c r="D6" s="35">
        <f t="shared" ref="D6:D12" si="0">+C6/$C$13</f>
        <v>0.28763166714895128</v>
      </c>
      <c r="E6" s="2">
        <v>4.623E-2</v>
      </c>
      <c r="F6" s="2">
        <f t="shared" ref="F6:F12" si="1">+ROUND(E6*D6,5)</f>
        <v>1.3299999999999999E-2</v>
      </c>
      <c r="G6">
        <v>0.99863000000000002</v>
      </c>
      <c r="H6" s="2">
        <f>+F6/G6</f>
        <v>1.331824599701591E-2</v>
      </c>
      <c r="J6" s="18" t="s">
        <v>2</v>
      </c>
      <c r="K6" s="41">
        <f>+L22*C27</f>
        <v>13485699.710000001</v>
      </c>
      <c r="L6" s="2">
        <f>+ROUND(K6/$K$13,5)</f>
        <v>0.41448000000000002</v>
      </c>
      <c r="M6" s="2">
        <f t="shared" ref="M6:M12" si="2">+E6</f>
        <v>4.623E-2</v>
      </c>
      <c r="N6" s="2">
        <f>+ROUND(M6*L6,5)</f>
        <v>1.916E-2</v>
      </c>
      <c r="O6">
        <v>0.99863000000000002</v>
      </c>
      <c r="P6" s="2">
        <f>+N6/O6</f>
        <v>1.9186285210738712E-2</v>
      </c>
    </row>
    <row r="7" spans="2:16" ht="15.75" x14ac:dyDescent="0.25">
      <c r="B7" s="18" t="s">
        <v>1</v>
      </c>
      <c r="C7" s="20">
        <v>0</v>
      </c>
      <c r="D7" s="35">
        <f t="shared" si="0"/>
        <v>0</v>
      </c>
      <c r="E7" s="2">
        <v>0</v>
      </c>
      <c r="F7" s="2">
        <f t="shared" si="1"/>
        <v>0</v>
      </c>
      <c r="G7">
        <v>1.6302399999999999</v>
      </c>
      <c r="H7" s="2">
        <f t="shared" ref="H7:H9" si="3">+G7*F7</f>
        <v>0</v>
      </c>
      <c r="J7" s="18" t="s">
        <v>1</v>
      </c>
      <c r="K7" s="1">
        <v>0</v>
      </c>
      <c r="L7" s="2">
        <f t="shared" ref="L7:L12" si="4">+ROUND(K7/$K$13,5)</f>
        <v>0</v>
      </c>
      <c r="M7" s="2">
        <f t="shared" si="2"/>
        <v>0</v>
      </c>
      <c r="N7" s="2">
        <f t="shared" ref="N7:N12" si="5">+ROUND(M7*L7,5)</f>
        <v>0</v>
      </c>
      <c r="O7">
        <v>1.6302399999999999</v>
      </c>
      <c r="P7" s="2">
        <f t="shared" ref="P7:P9" si="6">+O7*N7</f>
        <v>0</v>
      </c>
    </row>
    <row r="8" spans="2:16" ht="15.75" x14ac:dyDescent="0.25">
      <c r="B8" s="18" t="s">
        <v>3</v>
      </c>
      <c r="C8" s="20">
        <v>407328</v>
      </c>
      <c r="D8" s="35">
        <f t="shared" si="0"/>
        <v>1.2519257446686551E-2</v>
      </c>
      <c r="E8" s="2">
        <v>2.0500000000000001E-2</v>
      </c>
      <c r="F8" s="2">
        <f t="shared" si="1"/>
        <v>2.5999999999999998E-4</v>
      </c>
      <c r="G8">
        <v>0.99863000000000002</v>
      </c>
      <c r="H8" s="2">
        <f>+F8/G8</f>
        <v>2.6035668866346891E-4</v>
      </c>
      <c r="J8" s="18" t="s">
        <v>3</v>
      </c>
      <c r="K8" s="1">
        <f>+C8</f>
        <v>407328</v>
      </c>
      <c r="L8" s="2">
        <f t="shared" si="4"/>
        <v>1.252E-2</v>
      </c>
      <c r="M8" s="2">
        <f t="shared" si="2"/>
        <v>2.0500000000000001E-2</v>
      </c>
      <c r="N8" s="2">
        <f t="shared" si="5"/>
        <v>2.5999999999999998E-4</v>
      </c>
      <c r="O8">
        <v>0.99863000000000002</v>
      </c>
      <c r="P8" s="2">
        <f>+N8/O8</f>
        <v>2.6035668866346891E-4</v>
      </c>
    </row>
    <row r="9" spans="2:16" ht="15.75" x14ac:dyDescent="0.25">
      <c r="B9" s="18" t="s">
        <v>0</v>
      </c>
      <c r="C9" s="20">
        <v>14682574</v>
      </c>
      <c r="D9" s="35">
        <f t="shared" si="0"/>
        <v>0.45127004253580982</v>
      </c>
      <c r="E9" s="2">
        <v>0.115</v>
      </c>
      <c r="F9" s="2">
        <f t="shared" si="1"/>
        <v>5.1900000000000002E-2</v>
      </c>
      <c r="G9">
        <v>1.6302399999999999</v>
      </c>
      <c r="H9" s="2">
        <f t="shared" si="3"/>
        <v>8.4609456E-2</v>
      </c>
      <c r="J9" s="18" t="s">
        <v>0</v>
      </c>
      <c r="K9" s="41">
        <f>+L23*C27</f>
        <v>10798421.34</v>
      </c>
      <c r="L9" s="2">
        <f t="shared" si="4"/>
        <v>0.33189000000000002</v>
      </c>
      <c r="M9" s="2">
        <f t="shared" si="2"/>
        <v>0.115</v>
      </c>
      <c r="N9" s="2">
        <f t="shared" si="5"/>
        <v>3.8170000000000003E-2</v>
      </c>
      <c r="O9">
        <v>1.6302399999999999</v>
      </c>
      <c r="P9" s="2">
        <f t="shared" si="6"/>
        <v>6.2226260800000002E-2</v>
      </c>
    </row>
    <row r="10" spans="2:16" ht="15.75" x14ac:dyDescent="0.25">
      <c r="B10" s="18" t="s">
        <v>4</v>
      </c>
      <c r="C10" s="20">
        <v>612939</v>
      </c>
      <c r="D10" s="35">
        <f t="shared" si="0"/>
        <v>1.8838727364960443E-2</v>
      </c>
      <c r="E10" s="2">
        <v>1.8499999999999999E-2</v>
      </c>
      <c r="F10" s="2">
        <f t="shared" si="1"/>
        <v>3.5E-4</v>
      </c>
      <c r="G10">
        <v>0.99863000000000002</v>
      </c>
      <c r="H10" s="2">
        <f t="shared" ref="H10:H12" si="7">+F10/G10</f>
        <v>3.504801578162082E-4</v>
      </c>
      <c r="J10" s="18" t="s">
        <v>4</v>
      </c>
      <c r="K10" s="41">
        <f>+L24*C27</f>
        <v>369808.95</v>
      </c>
      <c r="L10" s="2">
        <f t="shared" si="4"/>
        <v>1.137E-2</v>
      </c>
      <c r="M10" s="2">
        <f t="shared" si="2"/>
        <v>1.8499999999999999E-2</v>
      </c>
      <c r="N10" s="2">
        <f t="shared" si="5"/>
        <v>2.1000000000000001E-4</v>
      </c>
      <c r="O10">
        <v>0.99863000000000002</v>
      </c>
      <c r="P10" s="2">
        <f t="shared" ref="P10:P12" si="8">+N10/O10</f>
        <v>2.1028809468972494E-4</v>
      </c>
    </row>
    <row r="11" spans="2:16" ht="15.75" x14ac:dyDescent="0.25">
      <c r="B11" s="18" t="s">
        <v>5</v>
      </c>
      <c r="C11" s="20">
        <v>7368582</v>
      </c>
      <c r="D11" s="35">
        <f t="shared" si="0"/>
        <v>0.22647393519478279</v>
      </c>
      <c r="E11" s="2">
        <v>0</v>
      </c>
      <c r="F11" s="2">
        <f t="shared" si="1"/>
        <v>0</v>
      </c>
      <c r="G11">
        <v>0.99863000000000002</v>
      </c>
      <c r="H11" s="2">
        <f t="shared" si="7"/>
        <v>0</v>
      </c>
      <c r="J11" s="18" t="s">
        <v>5</v>
      </c>
      <c r="K11" s="1">
        <f>+C11</f>
        <v>7368582</v>
      </c>
      <c r="L11" s="2">
        <f t="shared" si="4"/>
        <v>0.22647</v>
      </c>
      <c r="M11" s="2">
        <f t="shared" si="2"/>
        <v>0</v>
      </c>
      <c r="N11" s="2">
        <f t="shared" si="5"/>
        <v>0</v>
      </c>
      <c r="O11">
        <v>0.99863000000000002</v>
      </c>
      <c r="P11" s="2">
        <f t="shared" si="8"/>
        <v>0</v>
      </c>
    </row>
    <row r="12" spans="2:16" ht="15.75" x14ac:dyDescent="0.25">
      <c r="B12" s="18" t="s">
        <v>6</v>
      </c>
      <c r="C12" s="27">
        <v>106275</v>
      </c>
      <c r="D12" s="40">
        <f t="shared" si="0"/>
        <v>3.2663703088091495E-3</v>
      </c>
      <c r="E12" s="2">
        <v>8.8200000000000001E-2</v>
      </c>
      <c r="F12" s="2">
        <f t="shared" si="1"/>
        <v>2.9E-4</v>
      </c>
      <c r="G12">
        <v>0.99863000000000002</v>
      </c>
      <c r="H12" s="2">
        <f t="shared" si="7"/>
        <v>2.9039784504771536E-4</v>
      </c>
      <c r="J12" s="18" t="s">
        <v>6</v>
      </c>
      <c r="K12" s="26">
        <f>+C12</f>
        <v>106275</v>
      </c>
      <c r="L12" s="29">
        <f t="shared" si="4"/>
        <v>3.2699999999999999E-3</v>
      </c>
      <c r="M12" s="30">
        <f t="shared" si="2"/>
        <v>8.8200000000000001E-2</v>
      </c>
      <c r="N12" s="29">
        <f t="shared" si="5"/>
        <v>2.9E-4</v>
      </c>
      <c r="O12">
        <v>0.99863000000000002</v>
      </c>
      <c r="P12" s="2">
        <f t="shared" si="8"/>
        <v>2.9039784504771536E-4</v>
      </c>
    </row>
    <row r="13" spans="2:16" ht="15.75" x14ac:dyDescent="0.25">
      <c r="B13" s="18" t="s">
        <v>7</v>
      </c>
      <c r="C13" s="20">
        <f>SUM(C6:C12)</f>
        <v>32536115</v>
      </c>
      <c r="D13" s="35">
        <f>SUM(D6:D12)</f>
        <v>0.99999999999999989</v>
      </c>
      <c r="F13" s="2">
        <f>SUM(F6:F12)</f>
        <v>6.6100000000000006E-2</v>
      </c>
      <c r="H13" s="2">
        <f>SUM(H6:H12)</f>
        <v>9.8828936688543298E-2</v>
      </c>
      <c r="J13" s="18" t="s">
        <v>7</v>
      </c>
      <c r="K13" s="1">
        <f>SUM(K6:K12)</f>
        <v>32536115</v>
      </c>
      <c r="L13" s="21">
        <f>SUM(L6:L12)</f>
        <v>1.0000000000000002</v>
      </c>
      <c r="N13" s="2">
        <f>SUM(N6:N12)</f>
        <v>5.8090000000000003E-2</v>
      </c>
      <c r="P13" s="2">
        <f>SUM(P6:P12)</f>
        <v>8.2173588639139622E-2</v>
      </c>
    </row>
    <row r="14" spans="2:16" ht="15.75" x14ac:dyDescent="0.25">
      <c r="B14" s="18"/>
      <c r="C14" s="18"/>
      <c r="D14" s="18"/>
    </row>
    <row r="15" spans="2:16" ht="15.75" x14ac:dyDescent="0.25">
      <c r="B15" s="18"/>
      <c r="C15" s="18"/>
      <c r="D15" s="18"/>
    </row>
    <row r="16" spans="2:16" x14ac:dyDescent="0.25">
      <c r="B16" t="s">
        <v>8</v>
      </c>
      <c r="D16" s="2">
        <f>+H13-P13</f>
        <v>1.6655348049403676E-2</v>
      </c>
      <c r="L16" s="2"/>
    </row>
    <row r="17" spans="2:24" x14ac:dyDescent="0.25">
      <c r="B17" t="s">
        <v>9</v>
      </c>
      <c r="D17" s="1">
        <v>32536118</v>
      </c>
      <c r="L17" s="1"/>
    </row>
    <row r="18" spans="2:24" x14ac:dyDescent="0.25">
      <c r="B18" t="s">
        <v>10</v>
      </c>
      <c r="D18" s="1">
        <f>+D17*D16</f>
        <v>541900.36946646788</v>
      </c>
      <c r="E18" t="s">
        <v>59</v>
      </c>
      <c r="L18" s="1"/>
    </row>
    <row r="19" spans="2:24" ht="15.75" x14ac:dyDescent="0.25">
      <c r="B19" s="18"/>
      <c r="C19" s="18"/>
      <c r="D19" s="20">
        <v>866354</v>
      </c>
      <c r="E19" t="s">
        <v>57</v>
      </c>
      <c r="J19" s="18"/>
      <c r="K19" s="18"/>
      <c r="L19" s="20"/>
    </row>
    <row r="20" spans="2:24" ht="15.75" x14ac:dyDescent="0.25">
      <c r="B20" s="18"/>
      <c r="C20" s="18"/>
      <c r="D20" s="35">
        <f>+D18/D19</f>
        <v>0.62549531654089197</v>
      </c>
      <c r="F20" s="37">
        <f>+D19-D18</f>
        <v>324453.63053353212</v>
      </c>
      <c r="G20" s="38" t="s">
        <v>60</v>
      </c>
      <c r="J20" s="18"/>
      <c r="K20" s="18"/>
      <c r="L20" s="35"/>
    </row>
    <row r="21" spans="2:24" ht="16.5" thickBot="1" x14ac:dyDescent="0.3">
      <c r="B21" s="18"/>
      <c r="C21" s="18"/>
      <c r="D21" s="18"/>
    </row>
    <row r="22" spans="2:24" ht="16.5" thickBot="1" x14ac:dyDescent="0.3">
      <c r="B22" s="16" t="s">
        <v>47</v>
      </c>
      <c r="C22" s="16" t="s">
        <v>48</v>
      </c>
      <c r="D22" s="32" t="s">
        <v>44</v>
      </c>
      <c r="J22" t="s">
        <v>2</v>
      </c>
      <c r="K22" s="1"/>
      <c r="L22" s="2">
        <v>0.54700000000000004</v>
      </c>
    </row>
    <row r="23" spans="2:24" x14ac:dyDescent="0.25">
      <c r="J23" t="s">
        <v>0</v>
      </c>
      <c r="K23" s="1"/>
      <c r="L23" s="2">
        <v>0.438</v>
      </c>
    </row>
    <row r="24" spans="2:24" x14ac:dyDescent="0.25">
      <c r="B24" t="s">
        <v>2</v>
      </c>
      <c r="C24" s="1">
        <f>+C6</f>
        <v>9358417</v>
      </c>
      <c r="D24" s="15">
        <f>+ROUND(C24/$C$27,6)</f>
        <v>0.37959100000000001</v>
      </c>
      <c r="E24" s="2">
        <f>+E6</f>
        <v>4.623E-2</v>
      </c>
      <c r="F24" s="2">
        <f>+E24*D24</f>
        <v>1.754849193E-2</v>
      </c>
      <c r="G24">
        <v>0.98</v>
      </c>
      <c r="H24" s="2">
        <f>+F24/G24</f>
        <v>1.7906624418367347E-2</v>
      </c>
      <c r="J24" t="s">
        <v>4</v>
      </c>
      <c r="K24" s="1"/>
      <c r="L24" s="2">
        <v>1.4999999999999999E-2</v>
      </c>
    </row>
    <row r="25" spans="2:24" x14ac:dyDescent="0.25">
      <c r="B25" t="s">
        <v>0</v>
      </c>
      <c r="C25" s="1">
        <f>+C9</f>
        <v>14682574</v>
      </c>
      <c r="D25" s="15">
        <f>+ROUND(C25/$C$27,6)</f>
        <v>0.59554700000000005</v>
      </c>
      <c r="E25" s="2">
        <f>+E9</f>
        <v>0.115</v>
      </c>
      <c r="F25" s="2">
        <f>+E25*D25</f>
        <v>6.8487905000000002E-2</v>
      </c>
      <c r="G25">
        <v>0.59</v>
      </c>
      <c r="H25" s="2">
        <f t="shared" ref="H25:H26" si="9">+F25/G25</f>
        <v>0.11608119491525425</v>
      </c>
      <c r="J25" t="s">
        <v>7</v>
      </c>
      <c r="K25" s="1"/>
    </row>
    <row r="26" spans="2:24" x14ac:dyDescent="0.25">
      <c r="B26" t="s">
        <v>4</v>
      </c>
      <c r="C26" s="26">
        <f>+C10</f>
        <v>612939</v>
      </c>
      <c r="D26" s="39">
        <f>+ROUND(C26/$C$27,4)</f>
        <v>2.4899999999999999E-2</v>
      </c>
      <c r="E26" s="2">
        <f>+E10</f>
        <v>1.8499999999999999E-2</v>
      </c>
      <c r="F26" s="2">
        <f>+E26*D26</f>
        <v>4.6064999999999995E-4</v>
      </c>
      <c r="G26">
        <v>0.98</v>
      </c>
      <c r="H26" s="2">
        <f t="shared" si="9"/>
        <v>4.700510204081632E-4</v>
      </c>
    </row>
    <row r="27" spans="2:24" x14ac:dyDescent="0.25">
      <c r="B27" t="s">
        <v>7</v>
      </c>
      <c r="C27" s="1">
        <f>SUM(C24:C26)</f>
        <v>24653930</v>
      </c>
      <c r="D27" s="2">
        <f>SUM(D24:D26)</f>
        <v>1.000038</v>
      </c>
      <c r="F27" s="2">
        <f>SUM(F24:F26)</f>
        <v>8.6497046930000016E-2</v>
      </c>
      <c r="H27" s="2">
        <f>SUM(H24:H26)</f>
        <v>0.13445787035402976</v>
      </c>
    </row>
    <row r="30" spans="2:24" x14ac:dyDescent="0.25">
      <c r="J30" s="3"/>
      <c r="K30" s="3"/>
      <c r="L30" s="3"/>
      <c r="M30" s="3"/>
      <c r="N30" s="3"/>
      <c r="O30" s="3"/>
      <c r="P30" s="3"/>
      <c r="R30" s="4"/>
      <c r="S30" s="3"/>
      <c r="T30" s="3"/>
      <c r="U30" s="3"/>
      <c r="V30" s="3"/>
      <c r="W30" s="3"/>
      <c r="X30" s="3"/>
    </row>
    <row r="31" spans="2:24" x14ac:dyDescent="0.25">
      <c r="C31" s="1"/>
      <c r="D31" s="2"/>
      <c r="E31" s="2"/>
      <c r="M31" s="2"/>
      <c r="N31" s="2"/>
      <c r="P31" s="2"/>
      <c r="S31" s="1"/>
      <c r="T31" s="2"/>
      <c r="U31" s="2"/>
      <c r="V31" s="2"/>
      <c r="X31" s="2"/>
    </row>
    <row r="32" spans="2:24" x14ac:dyDescent="0.25">
      <c r="C32" s="1"/>
      <c r="D32" s="2"/>
      <c r="E32" s="2"/>
      <c r="M32" s="2"/>
      <c r="N32" s="2"/>
      <c r="P32" s="2"/>
      <c r="S32" s="1"/>
      <c r="T32" s="2"/>
      <c r="U32" s="2"/>
      <c r="V32" s="2"/>
      <c r="X32" s="2"/>
    </row>
    <row r="33" spans="3:24" x14ac:dyDescent="0.25">
      <c r="C33" s="1"/>
      <c r="D33" s="2"/>
      <c r="E33" s="2"/>
      <c r="M33" s="2"/>
      <c r="N33" s="2"/>
      <c r="P33" s="2"/>
      <c r="S33" s="1"/>
      <c r="T33" s="2"/>
      <c r="U33" s="2"/>
      <c r="V33" s="2"/>
      <c r="X33" s="2"/>
    </row>
    <row r="34" spans="3:24" x14ac:dyDescent="0.25">
      <c r="C34" s="1"/>
      <c r="F34" s="2"/>
      <c r="H34" s="2"/>
      <c r="N34" s="2"/>
      <c r="P34" s="2"/>
      <c r="S34" s="1"/>
      <c r="V34" s="2"/>
      <c r="X34" s="2"/>
    </row>
    <row r="37" spans="3:24" x14ac:dyDescent="0.25">
      <c r="P37" s="2"/>
      <c r="X37" s="2"/>
    </row>
    <row r="38" spans="3:24" x14ac:dyDescent="0.25">
      <c r="P38" s="1"/>
      <c r="X38" s="1"/>
    </row>
    <row r="39" spans="3:24" x14ac:dyDescent="0.25">
      <c r="P39" s="1"/>
      <c r="X39" s="1"/>
    </row>
    <row r="41" spans="3:24" x14ac:dyDescent="0.25">
      <c r="X41" s="1"/>
    </row>
    <row r="43" spans="3:24" x14ac:dyDescent="0.25">
      <c r="X43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17"/>
  <sheetViews>
    <sheetView workbookViewId="0">
      <selection activeCell="K2" sqref="K2:O12"/>
    </sheetView>
  </sheetViews>
  <sheetFormatPr defaultRowHeight="15" x14ac:dyDescent="0.25"/>
  <cols>
    <col min="5" max="6" width="12.5703125" customWidth="1"/>
    <col min="7" max="7" width="13.140625" customWidth="1"/>
    <col min="11" max="11" width="9.28515625" bestFit="1" customWidth="1"/>
    <col min="12" max="12" width="10.140625" bestFit="1" customWidth="1"/>
    <col min="13" max="13" width="13" customWidth="1"/>
    <col min="14" max="14" width="13.140625" customWidth="1"/>
    <col min="15" max="15" width="13.85546875" customWidth="1"/>
  </cols>
  <sheetData>
    <row r="2" spans="4:16" ht="15.75" x14ac:dyDescent="0.25">
      <c r="K2" s="6"/>
      <c r="L2" s="6"/>
      <c r="M2" s="6" t="s">
        <v>14</v>
      </c>
      <c r="N2" s="6" t="s">
        <v>16</v>
      </c>
      <c r="O2" s="6" t="s">
        <v>16</v>
      </c>
      <c r="P2" s="10"/>
    </row>
    <row r="3" spans="4:16" ht="15.75" x14ac:dyDescent="0.25">
      <c r="K3" s="7"/>
      <c r="L3" s="7"/>
      <c r="M3" s="7" t="s">
        <v>15</v>
      </c>
      <c r="N3" s="7" t="s">
        <v>15</v>
      </c>
      <c r="O3" s="7" t="s">
        <v>20</v>
      </c>
      <c r="P3" s="10"/>
    </row>
    <row r="4" spans="4:16" ht="15.75" x14ac:dyDescent="0.25">
      <c r="D4" s="6"/>
      <c r="E4" s="6" t="s">
        <v>14</v>
      </c>
      <c r="F4" s="6" t="s">
        <v>16</v>
      </c>
      <c r="G4" s="6" t="s">
        <v>16</v>
      </c>
      <c r="K4" s="7"/>
      <c r="L4" s="7"/>
      <c r="M4" s="7" t="s">
        <v>17</v>
      </c>
      <c r="N4" s="7" t="s">
        <v>17</v>
      </c>
      <c r="O4" s="7" t="s">
        <v>19</v>
      </c>
      <c r="P4" s="10"/>
    </row>
    <row r="5" spans="4:16" ht="15.75" x14ac:dyDescent="0.25">
      <c r="D5" s="7"/>
      <c r="E5" s="7" t="s">
        <v>15</v>
      </c>
      <c r="F5" s="7" t="s">
        <v>15</v>
      </c>
      <c r="G5" s="7" t="s">
        <v>20</v>
      </c>
      <c r="K5" s="8" t="s">
        <v>21</v>
      </c>
      <c r="L5" s="8" t="s">
        <v>12</v>
      </c>
      <c r="M5" s="8" t="s">
        <v>18</v>
      </c>
      <c r="N5" s="8" t="s">
        <v>18</v>
      </c>
      <c r="O5" s="8" t="s">
        <v>18</v>
      </c>
      <c r="P5" s="10"/>
    </row>
    <row r="6" spans="4:16" ht="15.75" x14ac:dyDescent="0.25">
      <c r="D6" s="7" t="s">
        <v>13</v>
      </c>
      <c r="E6" s="7" t="s">
        <v>17</v>
      </c>
      <c r="F6" s="7" t="s">
        <v>17</v>
      </c>
      <c r="G6" s="7" t="s">
        <v>19</v>
      </c>
      <c r="K6" s="10" t="s">
        <v>22</v>
      </c>
      <c r="L6" s="10" t="s">
        <v>22</v>
      </c>
      <c r="M6" s="10" t="s">
        <v>22</v>
      </c>
      <c r="N6" s="10"/>
      <c r="O6" s="10"/>
      <c r="P6" s="10"/>
    </row>
    <row r="7" spans="4:16" ht="15.75" x14ac:dyDescent="0.25">
      <c r="D7" s="8" t="s">
        <v>12</v>
      </c>
      <c r="E7" s="8" t="s">
        <v>18</v>
      </c>
      <c r="F7" s="8" t="s">
        <v>18</v>
      </c>
      <c r="G7" s="8" t="s">
        <v>18</v>
      </c>
      <c r="K7" s="12">
        <v>2000</v>
      </c>
      <c r="L7" s="12">
        <v>548000</v>
      </c>
      <c r="M7" s="13">
        <v>8285</v>
      </c>
      <c r="N7" s="13">
        <f>+M7*12</f>
        <v>99420</v>
      </c>
      <c r="O7" s="13">
        <f>+N7*'2017'!$D$20</f>
        <v>38664.679620724935</v>
      </c>
      <c r="P7" s="10"/>
    </row>
    <row r="8" spans="4:16" ht="15.75" x14ac:dyDescent="0.25">
      <c r="D8" s="10" t="s">
        <v>22</v>
      </c>
      <c r="E8" s="10" t="s">
        <v>22</v>
      </c>
      <c r="F8" s="9"/>
      <c r="G8" s="9"/>
      <c r="K8" s="12">
        <f>+K7</f>
        <v>2000</v>
      </c>
      <c r="L8" s="12">
        <v>876000</v>
      </c>
      <c r="M8" s="13">
        <v>9417</v>
      </c>
      <c r="N8" s="13">
        <f t="shared" ref="N8:N10" si="0">+M8*12</f>
        <v>113004</v>
      </c>
      <c r="O8" s="13">
        <f>+N8*'2017'!$D$20</f>
        <v>43947.530233960984</v>
      </c>
      <c r="P8" s="10"/>
    </row>
    <row r="9" spans="4:16" ht="15.75" x14ac:dyDescent="0.25">
      <c r="D9" s="10">
        <v>500</v>
      </c>
      <c r="E9" s="11">
        <v>5.48</v>
      </c>
      <c r="F9" s="11">
        <f>+E9*12</f>
        <v>65.760000000000005</v>
      </c>
      <c r="G9" s="11">
        <f>+F9*'2017'!$D$20</f>
        <v>25.574223816725731</v>
      </c>
      <c r="K9" s="12">
        <f>+K8</f>
        <v>2000</v>
      </c>
      <c r="L9" s="12">
        <v>1095000</v>
      </c>
      <c r="M9" s="13">
        <v>10257</v>
      </c>
      <c r="N9" s="13">
        <f t="shared" si="0"/>
        <v>123084</v>
      </c>
      <c r="O9" s="13">
        <f>+N9*'2017'!$D$20</f>
        <v>47867.666731415287</v>
      </c>
      <c r="P9" s="10"/>
    </row>
    <row r="10" spans="4:16" ht="15.75" x14ac:dyDescent="0.25">
      <c r="D10" s="10">
        <v>1000</v>
      </c>
      <c r="E10" s="11">
        <v>8.7799999999999994</v>
      </c>
      <c r="F10" s="11">
        <f t="shared" ref="F10:F11" si="1">+E10*12</f>
        <v>105.35999999999999</v>
      </c>
      <c r="G10" s="11">
        <f>+F10*'2017'!$D$20</f>
        <v>40.97476005672479</v>
      </c>
      <c r="K10" s="12">
        <f>+K9</f>
        <v>2000</v>
      </c>
      <c r="L10" s="12">
        <v>1314000</v>
      </c>
      <c r="M10" s="13">
        <v>11115</v>
      </c>
      <c r="N10" s="13">
        <f t="shared" si="0"/>
        <v>133380</v>
      </c>
      <c r="O10" s="13">
        <f>+N10*'2017'!$D$20</f>
        <v>51871.80615381505</v>
      </c>
      <c r="P10" s="10"/>
    </row>
    <row r="11" spans="4:16" ht="15.75" x14ac:dyDescent="0.25">
      <c r="D11" s="10">
        <v>1500</v>
      </c>
      <c r="E11" s="11">
        <v>11.44</v>
      </c>
      <c r="F11" s="11">
        <f t="shared" si="1"/>
        <v>137.28</v>
      </c>
      <c r="G11" s="11">
        <f>+F11*'2017'!$D$20</f>
        <v>53.388525631996778</v>
      </c>
      <c r="K11" s="10"/>
      <c r="L11" s="10"/>
      <c r="M11" s="10"/>
      <c r="N11" s="10"/>
      <c r="O11" s="10"/>
      <c r="P11" s="10"/>
    </row>
    <row r="12" spans="4:16" ht="15.75" x14ac:dyDescent="0.25">
      <c r="D12" s="10">
        <f>+D10+1000</f>
        <v>2000</v>
      </c>
      <c r="E12" s="11">
        <v>14.09</v>
      </c>
      <c r="F12" s="11">
        <f>+E12*12</f>
        <v>169.07999999999998</v>
      </c>
      <c r="G12" s="11">
        <f>+F12*'2017'!$D$20</f>
        <v>65.755622915632387</v>
      </c>
      <c r="K12" s="14" t="s">
        <v>23</v>
      </c>
      <c r="L12" s="10"/>
      <c r="M12" s="10"/>
      <c r="N12" s="10"/>
      <c r="O12" s="10"/>
      <c r="P12" s="10"/>
    </row>
    <row r="13" spans="4:16" ht="15.75" x14ac:dyDescent="0.25">
      <c r="D13" s="10">
        <v>2500</v>
      </c>
      <c r="E13" s="11">
        <v>16.75</v>
      </c>
      <c r="F13" s="11">
        <f>+E13*12</f>
        <v>201</v>
      </c>
      <c r="G13" s="11">
        <f>+F13*'2017'!$D$20</f>
        <v>78.169388490904367</v>
      </c>
      <c r="K13" s="14"/>
      <c r="L13" s="10"/>
      <c r="M13" s="10"/>
      <c r="N13" s="10"/>
      <c r="O13" s="10"/>
      <c r="P13" s="10"/>
    </row>
    <row r="14" spans="4:16" ht="15.75" x14ac:dyDescent="0.25">
      <c r="D14" s="10">
        <f>+D12+1000</f>
        <v>3000</v>
      </c>
      <c r="E14" s="11">
        <v>19.399999999999999</v>
      </c>
      <c r="F14" s="11">
        <f>+E14*12</f>
        <v>232.79999999999998</v>
      </c>
      <c r="G14" s="11">
        <f>+F14*'2017'!$D$20</f>
        <v>90.536485774539983</v>
      </c>
      <c r="K14" s="10"/>
      <c r="L14" s="10"/>
      <c r="M14" s="10"/>
      <c r="N14" s="10"/>
      <c r="O14" s="10"/>
      <c r="P14" s="10"/>
    </row>
    <row r="15" spans="4:16" ht="15.75" x14ac:dyDescent="0.25">
      <c r="D15" s="10"/>
      <c r="E15" s="11"/>
      <c r="F15" s="11"/>
      <c r="G15" s="11"/>
      <c r="K15" s="10"/>
      <c r="L15" s="10"/>
      <c r="M15" s="10"/>
      <c r="N15" s="10"/>
      <c r="O15" s="10"/>
      <c r="P15" s="10"/>
    </row>
    <row r="16" spans="4:16" ht="15.75" x14ac:dyDescent="0.25">
      <c r="D16" s="14" t="s">
        <v>46</v>
      </c>
      <c r="E16" s="10"/>
      <c r="F16" s="10"/>
      <c r="G16" s="10"/>
      <c r="K16" s="10"/>
      <c r="L16" s="10"/>
      <c r="M16" s="10"/>
      <c r="N16" s="10"/>
      <c r="O16" s="10"/>
      <c r="P16" s="10"/>
    </row>
    <row r="17" spans="11:16" x14ac:dyDescent="0.25">
      <c r="K17" s="5"/>
      <c r="L17" s="5"/>
      <c r="M17" s="5"/>
      <c r="N17" s="5"/>
      <c r="O17" s="5"/>
      <c r="P17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21"/>
  <sheetViews>
    <sheetView workbookViewId="0">
      <selection activeCell="C20" sqref="C20"/>
    </sheetView>
  </sheetViews>
  <sheetFormatPr defaultRowHeight="15" x14ac:dyDescent="0.25"/>
  <cols>
    <col min="3" max="3" width="13.85546875" bestFit="1" customWidth="1"/>
    <col min="5" max="5" width="15.5703125" customWidth="1"/>
  </cols>
  <sheetData>
    <row r="5" spans="3:5" x14ac:dyDescent="0.25">
      <c r="C5" s="1">
        <v>8000000000</v>
      </c>
    </row>
    <row r="6" spans="3:5" x14ac:dyDescent="0.25">
      <c r="C6">
        <v>2.5000000000000001E-3</v>
      </c>
      <c r="D6" t="s">
        <v>64</v>
      </c>
    </row>
    <row r="7" spans="3:5" x14ac:dyDescent="0.25">
      <c r="C7" s="1">
        <f>+C6*C5</f>
        <v>20000000</v>
      </c>
    </row>
    <row r="13" spans="3:5" x14ac:dyDescent="0.25">
      <c r="E13" s="1"/>
    </row>
    <row r="14" spans="3:5" x14ac:dyDescent="0.25">
      <c r="E14" s="1"/>
    </row>
    <row r="15" spans="3:5" x14ac:dyDescent="0.25">
      <c r="E15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1" spans="5:5" x14ac:dyDescent="0.25">
      <c r="E21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38"/>
  <sheetViews>
    <sheetView topLeftCell="A22" workbookViewId="0">
      <selection activeCell="C25" sqref="C25"/>
    </sheetView>
  </sheetViews>
  <sheetFormatPr defaultRowHeight="15" x14ac:dyDescent="0.25"/>
  <cols>
    <col min="2" max="2" width="26.7109375" customWidth="1"/>
  </cols>
  <sheetData>
    <row r="3" spans="1:5" ht="15.75" x14ac:dyDescent="0.25">
      <c r="A3" s="9"/>
      <c r="B3" s="22" t="s">
        <v>49</v>
      </c>
      <c r="C3" s="22"/>
      <c r="D3" s="9"/>
      <c r="E3" s="9"/>
    </row>
    <row r="4" spans="1:5" ht="15.75" x14ac:dyDescent="0.25">
      <c r="A4" s="9"/>
      <c r="B4" s="22" t="s">
        <v>50</v>
      </c>
      <c r="C4" s="23"/>
      <c r="D4" s="9"/>
      <c r="E4" s="9"/>
    </row>
    <row r="5" spans="1:5" ht="15.75" x14ac:dyDescent="0.25">
      <c r="A5" s="9"/>
      <c r="B5" s="22"/>
      <c r="C5" s="23"/>
      <c r="D5" s="9"/>
      <c r="E5" s="9"/>
    </row>
    <row r="6" spans="1:5" ht="15.75" x14ac:dyDescent="0.25">
      <c r="A6" s="9"/>
      <c r="B6" s="9" t="s">
        <v>24</v>
      </c>
      <c r="C6" s="24">
        <v>0.53700000000000003</v>
      </c>
      <c r="D6" s="9"/>
      <c r="E6" s="9"/>
    </row>
    <row r="7" spans="1:5" ht="15.75" x14ac:dyDescent="0.25">
      <c r="A7" s="9"/>
      <c r="B7" s="9" t="s">
        <v>25</v>
      </c>
      <c r="C7" s="24">
        <v>0.51400000000000001</v>
      </c>
      <c r="D7" s="9"/>
      <c r="E7" s="9"/>
    </row>
    <row r="8" spans="1:5" ht="15.75" x14ac:dyDescent="0.25">
      <c r="A8" s="9"/>
      <c r="B8" s="9" t="s">
        <v>26</v>
      </c>
      <c r="C8" s="24">
        <v>0.497</v>
      </c>
      <c r="D8" s="9"/>
      <c r="E8" s="9"/>
    </row>
    <row r="9" spans="1:5" ht="15.75" x14ac:dyDescent="0.25">
      <c r="A9" s="9"/>
      <c r="B9" s="9" t="s">
        <v>27</v>
      </c>
      <c r="C9" s="24">
        <v>0.502</v>
      </c>
      <c r="D9" s="9"/>
      <c r="E9" s="9"/>
    </row>
    <row r="10" spans="1:5" ht="15.75" x14ac:dyDescent="0.25">
      <c r="A10" s="9"/>
      <c r="B10" s="9" t="s">
        <v>28</v>
      </c>
      <c r="C10" s="24">
        <v>0.5</v>
      </c>
      <c r="D10" s="9"/>
      <c r="E10" s="9"/>
    </row>
    <row r="11" spans="1:5" ht="15.75" x14ac:dyDescent="0.25">
      <c r="A11" s="9"/>
      <c r="B11" s="9" t="s">
        <v>29</v>
      </c>
      <c r="C11" s="24">
        <v>0.314</v>
      </c>
      <c r="D11" s="9"/>
      <c r="E11" s="9"/>
    </row>
    <row r="12" spans="1:5" ht="15.75" x14ac:dyDescent="0.25">
      <c r="A12" s="9"/>
      <c r="B12" s="9" t="s">
        <v>30</v>
      </c>
      <c r="C12" s="24">
        <v>0.34899999999999998</v>
      </c>
      <c r="D12" s="9"/>
      <c r="E12" s="9"/>
    </row>
    <row r="13" spans="1:5" ht="15.75" x14ac:dyDescent="0.25">
      <c r="A13" s="9"/>
      <c r="B13" s="9" t="s">
        <v>31</v>
      </c>
      <c r="C13" s="24">
        <v>0.498</v>
      </c>
      <c r="D13" s="9"/>
      <c r="E13" s="9"/>
    </row>
    <row r="14" spans="1:5" ht="15.75" x14ac:dyDescent="0.25">
      <c r="A14" s="9"/>
      <c r="B14" s="9" t="s">
        <v>32</v>
      </c>
      <c r="C14" s="24">
        <v>0.49099999999999999</v>
      </c>
      <c r="D14" s="9"/>
      <c r="E14" s="9"/>
    </row>
    <row r="15" spans="1:5" ht="15.75" x14ac:dyDescent="0.25">
      <c r="A15" s="9"/>
      <c r="B15" s="9" t="s">
        <v>33</v>
      </c>
      <c r="C15" s="24">
        <v>0.54400000000000004</v>
      </c>
      <c r="D15" s="9"/>
      <c r="E15" s="9"/>
    </row>
    <row r="16" spans="1:5" ht="15.75" x14ac:dyDescent="0.25">
      <c r="A16" s="9"/>
      <c r="B16" s="9" t="s">
        <v>34</v>
      </c>
      <c r="C16" s="24">
        <v>0.46899999999999997</v>
      </c>
      <c r="D16" s="9"/>
      <c r="E16" s="9"/>
    </row>
    <row r="17" spans="1:5" ht="15.75" x14ac:dyDescent="0.25">
      <c r="A17" s="9"/>
      <c r="B17" s="9" t="s">
        <v>35</v>
      </c>
      <c r="C17" s="24">
        <v>0.55700000000000005</v>
      </c>
      <c r="D17" s="9"/>
      <c r="E17" s="9"/>
    </row>
    <row r="18" spans="1:5" ht="15.75" x14ac:dyDescent="0.25">
      <c r="A18" s="9"/>
      <c r="B18" s="9" t="s">
        <v>36</v>
      </c>
      <c r="C18" s="24">
        <v>0.57599999999999996</v>
      </c>
      <c r="D18" s="9"/>
      <c r="E18" s="9"/>
    </row>
    <row r="19" spans="1:5" ht="15.75" x14ac:dyDescent="0.25">
      <c r="A19" s="9"/>
      <c r="B19" s="9" t="s">
        <v>37</v>
      </c>
      <c r="C19" s="24">
        <v>0.56999999999999995</v>
      </c>
      <c r="D19" s="9"/>
      <c r="E19" s="9"/>
    </row>
    <row r="20" spans="1:5" ht="15.75" x14ac:dyDescent="0.25">
      <c r="A20" s="9"/>
      <c r="B20" s="9" t="s">
        <v>38</v>
      </c>
      <c r="C20" s="24">
        <v>0.45600000000000002</v>
      </c>
      <c r="D20" s="9"/>
      <c r="E20" s="9"/>
    </row>
    <row r="21" spans="1:5" ht="15.75" x14ac:dyDescent="0.25">
      <c r="A21" s="9"/>
      <c r="B21" s="9" t="s">
        <v>39</v>
      </c>
      <c r="C21" s="24">
        <v>0.52200000000000002</v>
      </c>
      <c r="D21" s="9"/>
      <c r="E21" s="9"/>
    </row>
    <row r="22" spans="1:5" ht="15.75" x14ac:dyDescent="0.25">
      <c r="A22" s="9"/>
      <c r="B22" s="9" t="s">
        <v>40</v>
      </c>
      <c r="C22" s="24">
        <v>0.48099999999999998</v>
      </c>
      <c r="D22" s="9"/>
      <c r="E22" s="9"/>
    </row>
    <row r="23" spans="1:5" ht="15.75" x14ac:dyDescent="0.25">
      <c r="A23" s="9"/>
      <c r="B23" s="9" t="s">
        <v>41</v>
      </c>
      <c r="C23" s="24">
        <v>0.52500000000000002</v>
      </c>
      <c r="D23" s="9"/>
      <c r="E23" s="9"/>
    </row>
    <row r="24" spans="1:5" ht="15.75" x14ac:dyDescent="0.25">
      <c r="A24" s="9"/>
      <c r="B24" s="9" t="s">
        <v>42</v>
      </c>
      <c r="C24" s="25">
        <v>0.45900000000000002</v>
      </c>
      <c r="D24" s="9"/>
      <c r="E24" s="9"/>
    </row>
    <row r="25" spans="1:5" ht="15.75" x14ac:dyDescent="0.25">
      <c r="A25" s="9"/>
      <c r="B25" s="10" t="s">
        <v>43</v>
      </c>
      <c r="C25" s="24">
        <f>AVERAGE(C6:C24)</f>
        <v>0.49268421052631589</v>
      </c>
      <c r="D25" s="9"/>
      <c r="E25" s="9"/>
    </row>
    <row r="26" spans="1:5" ht="15.75" x14ac:dyDescent="0.25">
      <c r="A26" s="9"/>
      <c r="B26" s="9"/>
      <c r="C26" s="24"/>
      <c r="D26" s="9"/>
      <c r="E26" s="9"/>
    </row>
    <row r="27" spans="1:5" ht="15.75" x14ac:dyDescent="0.25">
      <c r="B27" s="9" t="s">
        <v>51</v>
      </c>
      <c r="C27" s="15">
        <v>0.59599999999999997</v>
      </c>
    </row>
    <row r="28" spans="1:5" x14ac:dyDescent="0.25">
      <c r="C28" s="15"/>
    </row>
    <row r="29" spans="1:5" x14ac:dyDescent="0.25">
      <c r="C29" s="15"/>
    </row>
    <row r="30" spans="1:5" x14ac:dyDescent="0.25">
      <c r="C30" s="15"/>
    </row>
    <row r="31" spans="1:5" x14ac:dyDescent="0.25">
      <c r="C31" s="15"/>
    </row>
    <row r="32" spans="1:5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2017</vt:lpstr>
      <vt:lpstr>2018</vt:lpstr>
      <vt:lpstr>Cap Stru Impact - NextEra</vt:lpstr>
      <vt:lpstr>Res and Ind. Impact</vt:lpstr>
      <vt:lpstr>Credit Downgrade</vt:lpstr>
      <vt:lpstr>Hevert</vt:lpstr>
      <vt:lpstr>'2017'!Print_Area</vt:lpstr>
      <vt:lpstr>'2018'!Print_Area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O'Donnell</dc:creator>
  <cp:lastModifiedBy>Kevin O'Donnell</cp:lastModifiedBy>
  <cp:lastPrinted>2016-07-06T13:50:07Z</cp:lastPrinted>
  <dcterms:created xsi:type="dcterms:W3CDTF">2016-06-11T17:49:55Z</dcterms:created>
  <dcterms:modified xsi:type="dcterms:W3CDTF">2016-07-12T17:38:50Z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{62DDADC6-C78A-49B0-8647-C7559A762D38}</vt:lpwstr>
  </property>
</Properties>
</file>