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drawings/drawing3.xml" ContentType="application/vnd.openxmlformats-officedocument.drawing+xml"/>
  <Override PartName="/xl/ctrlProps/ctrlProp5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480" yWindow="120" windowWidth="18195" windowHeight="12330" tabRatio="865"/>
  </bookViews>
  <sheets>
    <sheet name="RAP-NATURAL GAS PRICES" sheetId="1" r:id="rId1"/>
    <sheet name="RAP TEMPLATE-GAS AVAILABILITY" sheetId="2" r:id="rId2"/>
    <sheet name="RAP-HEAVY &amp; LIGHT OIL &amp; WTI" sheetId="3" r:id="rId3"/>
    <sheet name="RAP-SOLID FUEL PRICES" sheetId="4" r:id="rId4"/>
    <sheet name="CONTROL" sheetId="5" r:id="rId5"/>
  </sheets>
  <externalReferences>
    <externalReference r:id="rId6"/>
    <externalReference r:id="rId7"/>
    <externalReference r:id="rId8"/>
    <externalReference r:id="rId9"/>
    <externalReference r:id="rId10"/>
  </externalReferences>
  <definedNames>
    <definedName name="\a">[1]HISTORY!#REF!</definedName>
    <definedName name="__123Graph_A" localSheetId="1" hidden="1">'[2]FPL MOST LIKELY GAS BACKUP 1'!#REF!</definedName>
    <definedName name="__123Graph_A" hidden="1">'[2]FPL MOST LIKELY GAS BACKUP 1'!#REF!</definedName>
    <definedName name="__123Graph_B" localSheetId="1" hidden="1">'[2]FPL MOST LIKELY GAS BACKUP 1'!#REF!</definedName>
    <definedName name="__123Graph_B" hidden="1">'[2]FPL MOST LIKELY GAS BACKUP 1'!#REF!</definedName>
    <definedName name="__123Graph_X" localSheetId="1" hidden="1">'[2]FPL MOST LIKELY GAS BACKUP 1'!#REF!</definedName>
    <definedName name="__123Graph_X" hidden="1">'[2]FPL MOST LIKELY GAS BACKUP 1'!#REF!</definedName>
    <definedName name="_1" localSheetId="1">#REF!</definedName>
    <definedName name="_1">#REF!</definedName>
    <definedName name="_1A" localSheetId="1">#REF!</definedName>
    <definedName name="_1A">#REF!</definedName>
    <definedName name="_2" localSheetId="1">#REF!</definedName>
    <definedName name="_2">#REF!</definedName>
    <definedName name="_3" localSheetId="1">#REF!</definedName>
    <definedName name="_3">#REF!</definedName>
    <definedName name="_4" localSheetId="1">#REF!</definedName>
    <definedName name="_4">#REF!</definedName>
    <definedName name="_5" localSheetId="1">#REF!</definedName>
    <definedName name="_5">#REF!</definedName>
    <definedName name="_6" localSheetId="1">#REF!</definedName>
    <definedName name="_6">#REF!</definedName>
    <definedName name="_7" localSheetId="1">#REF!</definedName>
    <definedName name="_7">#REF!</definedName>
    <definedName name="_8" localSheetId="1">#REF!</definedName>
    <definedName name="_8">#REF!</definedName>
    <definedName name="_9394GAS" localSheetId="1">#REF!</definedName>
    <definedName name="_9394GAS">#REF!</definedName>
    <definedName name="_9394OIL" localSheetId="1">#REF!</definedName>
    <definedName name="_9394OIL">#REF!</definedName>
    <definedName name="_C1" localSheetId="1">#REF!</definedName>
    <definedName name="_C1">#REF!</definedName>
    <definedName name="_GIP1" localSheetId="1">#REF!</definedName>
    <definedName name="_GIP1">#REF!</definedName>
    <definedName name="_SYP1" localSheetId="1">#REF!</definedName>
    <definedName name="_SYP1">#REF!</definedName>
    <definedName name="C_" localSheetId="1">#REF!</definedName>
    <definedName name="C_">#REF!</definedName>
    <definedName name="CC1_" localSheetId="1">#REF!</definedName>
    <definedName name="CC1_">#REF!</definedName>
    <definedName name="COMPET" localSheetId="1">#REF!</definedName>
    <definedName name="COMPET">#REF!</definedName>
    <definedName name="CopyXC" localSheetId="1">#REF!</definedName>
    <definedName name="CopyXC">#REF!</definedName>
    <definedName name="DatabaseNameCopy" localSheetId="1">#REF!</definedName>
    <definedName name="DatabaseNameCopy">#REF!</definedName>
    <definedName name="DatabaseNameDG" localSheetId="1">#REF!</definedName>
    <definedName name="DatabaseNameDG">#REF!</definedName>
    <definedName name="DateColumn" localSheetId="1">[3]_Setup_!#REF!</definedName>
    <definedName name="DateColumn">[3]_Setup_!#REF!</definedName>
    <definedName name="DestColRowXC" localSheetId="1">#REF!</definedName>
    <definedName name="DestColRowXC">#REF!</definedName>
    <definedName name="DestDBname" localSheetId="1">#REF!</definedName>
    <definedName name="DestDBname">#REF!</definedName>
    <definedName name="DestHdrRowColXC" localSheetId="1">#REF!</definedName>
    <definedName name="DestHdrRowColXC">#REF!</definedName>
    <definedName name="DestLayoutXC" localSheetId="1">#REF!</definedName>
    <definedName name="DestLayoutXC">#REF!</definedName>
    <definedName name="DestRowColXC" localSheetId="1">#REF!</definedName>
    <definedName name="DestRowColXC">#REF!</definedName>
    <definedName name="DestStudyName" localSheetId="1">#REF!</definedName>
    <definedName name="DestStudyName">#REF!</definedName>
    <definedName name="DestStudyNameCopy" localSheetId="1">#REF!</definedName>
    <definedName name="DestStudyNameCopy">#REF!</definedName>
    <definedName name="DestUserName" localSheetId="1">#REF!</definedName>
    <definedName name="DestUserName">#REF!</definedName>
    <definedName name="DestWorksheetXC" localSheetId="1">#REF!</definedName>
    <definedName name="DestWorksheetXC">#REF!</definedName>
    <definedName name="EffectiveDate" localSheetId="1">[3]_Setup_!#REF!</definedName>
    <definedName name="EffectiveDate">[3]_Setup_!#REF!</definedName>
    <definedName name="FIRM" localSheetId="1">#REF!</definedName>
    <definedName name="FIRM">#REF!</definedName>
    <definedName name="FIRM1" localSheetId="1">#REF!</definedName>
    <definedName name="FIRM1">#REF!</definedName>
    <definedName name="GAS" localSheetId="1">#REF!</definedName>
    <definedName name="GAS">#REF!</definedName>
    <definedName name="GASAVAIL" localSheetId="1">#REF!</definedName>
    <definedName name="GASAVAIL">#REF!</definedName>
    <definedName name="GIP" localSheetId="1">#REF!</definedName>
    <definedName name="GIP">#REF!</definedName>
    <definedName name="HeaderXC" localSheetId="1">#REF!</definedName>
    <definedName name="HeaderXC">#REF!</definedName>
    <definedName name="I5_" localSheetId="1">#REF!</definedName>
    <definedName name="I5_">#REF!</definedName>
    <definedName name="I6_" localSheetId="1">#REF!</definedName>
    <definedName name="I6_">#REF!</definedName>
    <definedName name="I7_" localSheetId="1">#REF!</definedName>
    <definedName name="I7_">#REF!</definedName>
    <definedName name="ImportListDG" localSheetId="1">#REF!</definedName>
    <definedName name="ImportListDG">#REF!</definedName>
    <definedName name="INDEXDATA">'[4]Index-Data'!$A$2:$CG$68</definedName>
    <definedName name="INFLAT" localSheetId="1">#REF!</definedName>
    <definedName name="INFLAT">#REF!</definedName>
    <definedName name="LayoutXC" localSheetId="1">#REF!</definedName>
    <definedName name="LayoutXC">#REF!</definedName>
    <definedName name="Messages" localSheetId="1">[5]_UnregulatedCurves_!#REF!</definedName>
    <definedName name="Messages">[5]_UnregulatedCurves_!#REF!</definedName>
    <definedName name="MessagesDG" localSheetId="1">#REF!</definedName>
    <definedName name="MessagesDG">#REF!</definedName>
    <definedName name="MessagesDW" localSheetId="1">[5]_UnregulatedCurves_!#REF!</definedName>
    <definedName name="MessagesDW">[5]_UnregulatedCurves_!#REF!</definedName>
    <definedName name="MONTH" localSheetId="1">#REF!</definedName>
    <definedName name="MONTH">#REF!</definedName>
    <definedName name="MONTH1" localSheetId="1">#REF!</definedName>
    <definedName name="MONTH1">#REF!</definedName>
    <definedName name="MONTHID">'[4]Misc-Data'!$A$2:$F$85</definedName>
    <definedName name="MONTHS2" localSheetId="1">#REF!</definedName>
    <definedName name="MONTHS2">#REF!</definedName>
    <definedName name="MONTHS3" localSheetId="1">#REF!</definedName>
    <definedName name="MONTHS3">#REF!</definedName>
    <definedName name="MONTHS4" localSheetId="1">#REF!</definedName>
    <definedName name="MONTHS4">#REF!</definedName>
    <definedName name="MONTHS5" localSheetId="1">#REF!</definedName>
    <definedName name="MONTHS5">#REF!</definedName>
    <definedName name="MONTHS6" localSheetId="1">#REF!</definedName>
    <definedName name="MONTHS6">#REF!</definedName>
    <definedName name="MONTHS7" localSheetId="1">#REF!</definedName>
    <definedName name="MONTHS7">#REF!</definedName>
    <definedName name="OIPBBL" localSheetId="1">#REF!</definedName>
    <definedName name="OIPBBL">#REF!</definedName>
    <definedName name="OIPBBL1" localSheetId="1">#REF!</definedName>
    <definedName name="OIPBBL1">#REF!</definedName>
    <definedName name="PasswordCopy" localSheetId="1">#REF!</definedName>
    <definedName name="PasswordCopy">#REF!</definedName>
    <definedName name="PasswordDG" localSheetId="1">#REF!</definedName>
    <definedName name="PasswordDG">#REF!</definedName>
    <definedName name="PHASEII" localSheetId="1">#REF!</definedName>
    <definedName name="PHASEII">#REF!</definedName>
    <definedName name="PHASEII1" localSheetId="1">#REF!</definedName>
    <definedName name="PHASEII1">#REF!</definedName>
    <definedName name="PHASEIII" localSheetId="1">#REF!</definedName>
    <definedName name="PHASEIII">#REF!</definedName>
    <definedName name="PHASEIII1" localSheetId="1">#REF!</definedName>
    <definedName name="PHASEIII1">#REF!</definedName>
    <definedName name="pipedes">'[4]Misc-Data'!$D$2:$F$69</definedName>
    <definedName name="PRINT">#N/A</definedName>
    <definedName name="_xlnm.Print_Area" localSheetId="1">'RAP TEMPLATE-GAS AVAILABILITY'!$A$17:$J$1149</definedName>
    <definedName name="_xlnm.Print_Area" localSheetId="2">'RAP-HEAVY &amp; LIGHT OIL &amp; WTI'!$A$17:$I$1149</definedName>
    <definedName name="_xlnm.Print_Area" localSheetId="0">'RAP-NATURAL GAS PRICES'!$A$17:$S$1148</definedName>
    <definedName name="_xlnm.Print_Area" localSheetId="3">'RAP-SOLID FUEL PRICES'!$A$17:$K$1149</definedName>
    <definedName name="_xlnm.Print_Titles" localSheetId="1">'RAP TEMPLATE-GAS AVAILABILITY'!$1:$16</definedName>
    <definedName name="_xlnm.Print_Titles" localSheetId="2">'RAP-HEAVY &amp; LIGHT OIL &amp; WTI'!$1:$16</definedName>
    <definedName name="_xlnm.Print_Titles" localSheetId="0">'RAP-NATURAL GAS PRICES'!$1:$16</definedName>
    <definedName name="_xlnm.Print_Titles" localSheetId="3">'RAP-SOLID FUEL PRICES'!$1:$16</definedName>
    <definedName name="RESULTS" localSheetId="1">#REF!</definedName>
    <definedName name="RESULTS">#REF!</definedName>
    <definedName name="RESULTS1" localSheetId="1">#REF!</definedName>
    <definedName name="RESULTS1">#REF!</definedName>
    <definedName name="RESULTS2" localSheetId="1">#REF!</definedName>
    <definedName name="RESULTS2">#REF!</definedName>
    <definedName name="RESULTS3" localSheetId="1">#REF!</definedName>
    <definedName name="RESULTS3">#REF!</definedName>
    <definedName name="RESULTS4" localSheetId="1">#REF!</definedName>
    <definedName name="RESULTS4">#REF!</definedName>
    <definedName name="RESULTSA" localSheetId="1">#REF!</definedName>
    <definedName name="RESULTSA">#REF!</definedName>
    <definedName name="RowStart" localSheetId="1">[3]_Setup_!#REF!</definedName>
    <definedName name="RowStart">[3]_Setup_!#REF!</definedName>
    <definedName name="SelectListCopy" localSheetId="1">#REF!</definedName>
    <definedName name="SelectListCopy">#REF!</definedName>
    <definedName name="SFOR" localSheetId="1">#REF!</definedName>
    <definedName name="SFOR">#REF!</definedName>
    <definedName name="SFOR1" localSheetId="1">#REF!</definedName>
    <definedName name="SFOR1">#REF!</definedName>
    <definedName name="SourceDBname" localSheetId="1">#REF!</definedName>
    <definedName name="SourceDBname">#REF!</definedName>
    <definedName name="SourceStudyName" localSheetId="1">#REF!</definedName>
    <definedName name="SourceStudyName">#REF!</definedName>
    <definedName name="SourceStudyNameCopy" localSheetId="1">#REF!</definedName>
    <definedName name="SourceStudyNameCopy">#REF!</definedName>
    <definedName name="SourceUserName" localSheetId="1">#REF!</definedName>
    <definedName name="SourceUserName">#REF!</definedName>
    <definedName name="SrcColRowXC" localSheetId="1">#REF!</definedName>
    <definedName name="SrcColRowXC">#REF!</definedName>
    <definedName name="SrcFileXC" localSheetId="1">#REF!</definedName>
    <definedName name="SrcFileXC">#REF!</definedName>
    <definedName name="SrcStartRowColXC" localSheetId="1">#REF!</definedName>
    <definedName name="SrcStartRowColXC">#REF!</definedName>
    <definedName name="SrcWorksheetXC" localSheetId="1">#REF!</definedName>
    <definedName name="SrcWorksheetXC">#REF!</definedName>
    <definedName name="StatusCopy" localSheetId="1">#REF!</definedName>
    <definedName name="StatusCopy">#REF!</definedName>
    <definedName name="StatusDG" localSheetId="1">#REF!</definedName>
    <definedName name="StatusDG">#REF!</definedName>
    <definedName name="StatusXC" localSheetId="1">#REF!</definedName>
    <definedName name="StatusXC">#REF!</definedName>
    <definedName name="StudyNameDG" localSheetId="1">#REF!</definedName>
    <definedName name="StudyNameDG">#REF!</definedName>
    <definedName name="SYP" localSheetId="1">#REF!</definedName>
    <definedName name="SYP">#REF!</definedName>
    <definedName name="SYSGAS" localSheetId="1">#REF!</definedName>
    <definedName name="SYSGAS">#REF!</definedName>
    <definedName name="test" hidden="1">'[2]FPL MOST LIKELY GAS BACKUP 1'!#REF!</definedName>
    <definedName name="TITLES" localSheetId="1">#REF!</definedName>
    <definedName name="TITLES">#REF!</definedName>
    <definedName name="TOBBL" localSheetId="1">#REF!</definedName>
    <definedName name="TOBBL">#REF!</definedName>
    <definedName name="TotalRowColXC" localSheetId="1">#REF!</definedName>
    <definedName name="TotalRowColXC">#REF!</definedName>
    <definedName name="TransferListDG" localSheetId="1">#REF!</definedName>
    <definedName name="TransferListDG">#REF!</definedName>
    <definedName name="TTG" localSheetId="1">#REF!</definedName>
    <definedName name="TTG">#REF!</definedName>
    <definedName name="UserNameCopy" localSheetId="1">#REF!</definedName>
    <definedName name="UserNameCopy">#REF!</definedName>
    <definedName name="UserNameDG" localSheetId="1">#REF!</definedName>
    <definedName name="UserNameDG">#REF!</definedName>
    <definedName name="VOLUMES" localSheetId="1">#REF!</definedName>
    <definedName name="VOLUMES">#REF!</definedName>
    <definedName name="VOLUMES1" localSheetId="1">#REF!</definedName>
    <definedName name="VOLUMES1">#REF!</definedName>
    <definedName name="YEAR" localSheetId="1">#REF!</definedName>
    <definedName name="YEAR">#REF!</definedName>
    <definedName name="YEARS" localSheetId="1">#REF!</definedName>
    <definedName name="YEARS">#REF!</definedName>
  </definedNames>
  <calcPr calcId="145621" calcMode="manual"/>
</workbook>
</file>

<file path=xl/calcChain.xml><?xml version="1.0" encoding="utf-8"?>
<calcChain xmlns="http://schemas.openxmlformats.org/spreadsheetml/2006/main">
  <c r="C13" i="4" l="1"/>
  <c r="E13" i="4"/>
  <c r="B17" i="4"/>
  <c r="C17" i="4"/>
  <c r="D17" i="4"/>
  <c r="E17" i="4"/>
  <c r="F17" i="4"/>
  <c r="G17" i="4"/>
  <c r="H17" i="4"/>
  <c r="I17" i="4"/>
  <c r="J17" i="4"/>
  <c r="K17" i="4"/>
  <c r="B18" i="4"/>
  <c r="C18" i="4"/>
  <c r="D18" i="4"/>
  <c r="E18" i="4"/>
  <c r="F18" i="4"/>
  <c r="G18" i="4"/>
  <c r="H18" i="4"/>
  <c r="I18" i="4"/>
  <c r="J18" i="4"/>
  <c r="K18" i="4"/>
  <c r="B19" i="4"/>
  <c r="C19" i="4"/>
  <c r="D19" i="4"/>
  <c r="E19" i="4"/>
  <c r="F19" i="4"/>
  <c r="G19" i="4"/>
  <c r="H19" i="4"/>
  <c r="I19" i="4"/>
  <c r="J19" i="4"/>
  <c r="K19" i="4"/>
  <c r="B20" i="4"/>
  <c r="C20" i="4"/>
  <c r="D20" i="4"/>
  <c r="E20" i="4"/>
  <c r="F20" i="4"/>
  <c r="G20" i="4"/>
  <c r="H20" i="4"/>
  <c r="I20" i="4"/>
  <c r="J20" i="4"/>
  <c r="K20" i="4"/>
  <c r="B21" i="4"/>
  <c r="C21" i="4"/>
  <c r="D21" i="4"/>
  <c r="E21" i="4"/>
  <c r="F21" i="4"/>
  <c r="G21" i="4"/>
  <c r="H21" i="4"/>
  <c r="I21" i="4"/>
  <c r="J21" i="4"/>
  <c r="K21" i="4"/>
  <c r="B22" i="4"/>
  <c r="C22" i="4"/>
  <c r="D22" i="4"/>
  <c r="E22" i="4"/>
  <c r="F22" i="4"/>
  <c r="G22" i="4"/>
  <c r="H22" i="4"/>
  <c r="I22" i="4"/>
  <c r="J22" i="4"/>
  <c r="K22" i="4"/>
  <c r="B23" i="4"/>
  <c r="C23" i="4"/>
  <c r="D23" i="4"/>
  <c r="E23" i="4"/>
  <c r="F23" i="4"/>
  <c r="G23" i="4"/>
  <c r="H23" i="4"/>
  <c r="I23" i="4"/>
  <c r="J23" i="4"/>
  <c r="K23" i="4"/>
  <c r="B24" i="4"/>
  <c r="C24" i="4"/>
  <c r="D24" i="4"/>
  <c r="E24" i="4"/>
  <c r="F24" i="4"/>
  <c r="G24" i="4"/>
  <c r="H24" i="4"/>
  <c r="I24" i="4"/>
  <c r="J24" i="4"/>
  <c r="K24" i="4"/>
  <c r="B25" i="4"/>
  <c r="C25" i="4"/>
  <c r="D25" i="4"/>
  <c r="E25" i="4"/>
  <c r="F25" i="4"/>
  <c r="G25" i="4"/>
  <c r="H25" i="4"/>
  <c r="I25" i="4"/>
  <c r="J25" i="4"/>
  <c r="K25" i="4"/>
  <c r="B26" i="4"/>
  <c r="C26" i="4"/>
  <c r="D26" i="4"/>
  <c r="E26" i="4"/>
  <c r="F26" i="4"/>
  <c r="G26" i="4"/>
  <c r="H26" i="4"/>
  <c r="I26" i="4"/>
  <c r="J26" i="4"/>
  <c r="K26" i="4"/>
  <c r="B27" i="4"/>
  <c r="C27" i="4"/>
  <c r="D27" i="4"/>
  <c r="E27" i="4"/>
  <c r="F27" i="4"/>
  <c r="G27" i="4"/>
  <c r="H27" i="4"/>
  <c r="I27" i="4"/>
  <c r="J27" i="4"/>
  <c r="K27" i="4"/>
  <c r="B28" i="4"/>
  <c r="C28" i="4"/>
  <c r="D28" i="4"/>
  <c r="E28" i="4"/>
  <c r="F28" i="4"/>
  <c r="G28" i="4"/>
  <c r="H28" i="4"/>
  <c r="I28" i="4"/>
  <c r="J28" i="4"/>
  <c r="K28" i="4"/>
  <c r="B29" i="4"/>
  <c r="C29" i="4"/>
  <c r="D29" i="4"/>
  <c r="E29" i="4"/>
  <c r="F29" i="4"/>
  <c r="G29" i="4"/>
  <c r="H29" i="4"/>
  <c r="I29" i="4"/>
  <c r="J29" i="4"/>
  <c r="K29" i="4"/>
  <c r="B30" i="4"/>
  <c r="C30" i="4"/>
  <c r="D30" i="4"/>
  <c r="E30" i="4"/>
  <c r="F30" i="4"/>
  <c r="G30" i="4"/>
  <c r="H30" i="4"/>
  <c r="I30" i="4"/>
  <c r="J30" i="4"/>
  <c r="K30" i="4"/>
  <c r="B31" i="4"/>
  <c r="C31" i="4"/>
  <c r="D31" i="4"/>
  <c r="E31" i="4"/>
  <c r="F31" i="4"/>
  <c r="G31" i="4"/>
  <c r="H31" i="4"/>
  <c r="I31" i="4"/>
  <c r="J31" i="4"/>
  <c r="K31" i="4"/>
  <c r="B32" i="4"/>
  <c r="C32" i="4"/>
  <c r="D32" i="4"/>
  <c r="E32" i="4"/>
  <c r="F32" i="4"/>
  <c r="G32" i="4"/>
  <c r="H32" i="4"/>
  <c r="I32" i="4"/>
  <c r="J32" i="4"/>
  <c r="K32" i="4"/>
  <c r="B33" i="4"/>
  <c r="C33" i="4"/>
  <c r="D33" i="4"/>
  <c r="E33" i="4"/>
  <c r="F33" i="4"/>
  <c r="G33" i="4"/>
  <c r="H33" i="4"/>
  <c r="I33" i="4"/>
  <c r="J33" i="4"/>
  <c r="K33" i="4"/>
  <c r="B34" i="4"/>
  <c r="C34" i="4"/>
  <c r="D34" i="4"/>
  <c r="E34" i="4"/>
  <c r="F34" i="4"/>
  <c r="G34" i="4"/>
  <c r="H34" i="4"/>
  <c r="I34" i="4"/>
  <c r="J34" i="4"/>
  <c r="K34" i="4"/>
  <c r="B35" i="4"/>
  <c r="C35" i="4"/>
  <c r="D35" i="4"/>
  <c r="E35" i="4"/>
  <c r="F35" i="4"/>
  <c r="G35" i="4"/>
  <c r="H35" i="4"/>
  <c r="I35" i="4"/>
  <c r="J35" i="4"/>
  <c r="K35" i="4"/>
  <c r="B36" i="4"/>
  <c r="C36" i="4"/>
  <c r="D36" i="4"/>
  <c r="E36" i="4"/>
  <c r="F36" i="4"/>
  <c r="G36" i="4"/>
  <c r="H36" i="4"/>
  <c r="I36" i="4"/>
  <c r="J36" i="4"/>
  <c r="K36" i="4"/>
  <c r="B37" i="4"/>
  <c r="C37" i="4"/>
  <c r="D37" i="4"/>
  <c r="E37" i="4"/>
  <c r="F37" i="4"/>
  <c r="G37" i="4"/>
  <c r="H37" i="4"/>
  <c r="I37" i="4"/>
  <c r="J37" i="4"/>
  <c r="K37" i="4"/>
  <c r="B38" i="4"/>
  <c r="C38" i="4"/>
  <c r="D38" i="4"/>
  <c r="E38" i="4"/>
  <c r="F38" i="4"/>
  <c r="G38" i="4"/>
  <c r="H38" i="4"/>
  <c r="I38" i="4"/>
  <c r="J38" i="4"/>
  <c r="K38" i="4"/>
  <c r="B39" i="4"/>
  <c r="C39" i="4"/>
  <c r="D39" i="4"/>
  <c r="E39" i="4"/>
  <c r="F39" i="4"/>
  <c r="G39" i="4"/>
  <c r="H39" i="4"/>
  <c r="I39" i="4"/>
  <c r="J39" i="4"/>
  <c r="K39" i="4"/>
  <c r="B40" i="4"/>
  <c r="C40" i="4"/>
  <c r="D40" i="4"/>
  <c r="E40" i="4"/>
  <c r="F40" i="4"/>
  <c r="G40" i="4"/>
  <c r="H40" i="4"/>
  <c r="I40" i="4"/>
  <c r="J40" i="4"/>
  <c r="K40" i="4"/>
  <c r="B41" i="4"/>
  <c r="C41" i="4"/>
  <c r="D41" i="4"/>
  <c r="E41" i="4"/>
  <c r="F41" i="4"/>
  <c r="G41" i="4"/>
  <c r="H41" i="4"/>
  <c r="I41" i="4"/>
  <c r="J41" i="4"/>
  <c r="K41" i="4"/>
  <c r="B42" i="4"/>
  <c r="C42" i="4"/>
  <c r="D42" i="4"/>
  <c r="E42" i="4"/>
  <c r="F42" i="4"/>
  <c r="G42" i="4"/>
  <c r="H42" i="4"/>
  <c r="I42" i="4"/>
  <c r="J42" i="4"/>
  <c r="K42" i="4"/>
  <c r="B43" i="4"/>
  <c r="C43" i="4"/>
  <c r="D43" i="4"/>
  <c r="E43" i="4"/>
  <c r="F43" i="4"/>
  <c r="G43" i="4"/>
  <c r="H43" i="4"/>
  <c r="I43" i="4"/>
  <c r="J43" i="4"/>
  <c r="K43" i="4"/>
  <c r="B44" i="4"/>
  <c r="C44" i="4"/>
  <c r="D44" i="4"/>
  <c r="E44" i="4"/>
  <c r="F44" i="4"/>
  <c r="G44" i="4"/>
  <c r="H44" i="4"/>
  <c r="I44" i="4"/>
  <c r="J44" i="4"/>
  <c r="K44" i="4"/>
  <c r="B45" i="4"/>
  <c r="C45" i="4"/>
  <c r="D45" i="4"/>
  <c r="E45" i="4"/>
  <c r="F45" i="4"/>
  <c r="G45" i="4"/>
  <c r="H45" i="4"/>
  <c r="I45" i="4"/>
  <c r="J45" i="4"/>
  <c r="K45" i="4"/>
  <c r="B46" i="4"/>
  <c r="C46" i="4"/>
  <c r="D46" i="4"/>
  <c r="E46" i="4"/>
  <c r="F46" i="4"/>
  <c r="G46" i="4"/>
  <c r="H46" i="4"/>
  <c r="I46" i="4"/>
  <c r="J46" i="4"/>
  <c r="K46" i="4"/>
  <c r="B47" i="4"/>
  <c r="C47" i="4"/>
  <c r="D47" i="4"/>
  <c r="E47" i="4"/>
  <c r="F47" i="4"/>
  <c r="G47" i="4"/>
  <c r="H47" i="4"/>
  <c r="I47" i="4"/>
  <c r="J47" i="4"/>
  <c r="K47" i="4"/>
  <c r="B48" i="4"/>
  <c r="C48" i="4"/>
  <c r="D48" i="4"/>
  <c r="E48" i="4"/>
  <c r="F48" i="4"/>
  <c r="G48" i="4"/>
  <c r="H48" i="4"/>
  <c r="I48" i="4"/>
  <c r="J48" i="4"/>
  <c r="K48" i="4"/>
  <c r="B49" i="4"/>
  <c r="C49" i="4"/>
  <c r="D49" i="4"/>
  <c r="E49" i="4"/>
  <c r="F49" i="4"/>
  <c r="G49" i="4"/>
  <c r="H49" i="4"/>
  <c r="I49" i="4"/>
  <c r="J49" i="4"/>
  <c r="K49" i="4"/>
  <c r="B50" i="4"/>
  <c r="C50" i="4"/>
  <c r="D50" i="4"/>
  <c r="E50" i="4"/>
  <c r="F50" i="4"/>
  <c r="G50" i="4"/>
  <c r="H50" i="4"/>
  <c r="I50" i="4"/>
  <c r="J50" i="4"/>
  <c r="K50" i="4"/>
  <c r="B51" i="4"/>
  <c r="C51" i="4"/>
  <c r="D51" i="4"/>
  <c r="E51" i="4"/>
  <c r="F51" i="4"/>
  <c r="G51" i="4"/>
  <c r="H51" i="4"/>
  <c r="I51" i="4"/>
  <c r="J51" i="4"/>
  <c r="K51" i="4"/>
  <c r="B52" i="4"/>
  <c r="C52" i="4"/>
  <c r="D52" i="4"/>
  <c r="E52" i="4"/>
  <c r="F52" i="4"/>
  <c r="G52" i="4"/>
  <c r="H52" i="4"/>
  <c r="I52" i="4"/>
  <c r="J52" i="4"/>
  <c r="K52" i="4"/>
  <c r="B53" i="4"/>
  <c r="C53" i="4"/>
  <c r="D53" i="4"/>
  <c r="E53" i="4"/>
  <c r="F53" i="4"/>
  <c r="G53" i="4"/>
  <c r="H53" i="4"/>
  <c r="I53" i="4"/>
  <c r="J53" i="4"/>
  <c r="K53" i="4"/>
  <c r="B54" i="4"/>
  <c r="C54" i="4"/>
  <c r="D54" i="4"/>
  <c r="E54" i="4"/>
  <c r="F54" i="4"/>
  <c r="G54" i="4"/>
  <c r="H54" i="4"/>
  <c r="I54" i="4"/>
  <c r="J54" i="4"/>
  <c r="K54" i="4"/>
  <c r="B55" i="4"/>
  <c r="C55" i="4"/>
  <c r="D55" i="4"/>
  <c r="E55" i="4"/>
  <c r="F55" i="4"/>
  <c r="G55" i="4"/>
  <c r="H55" i="4"/>
  <c r="I55" i="4"/>
  <c r="J55" i="4"/>
  <c r="K55" i="4"/>
  <c r="B56" i="4"/>
  <c r="C56" i="4"/>
  <c r="D56" i="4"/>
  <c r="E56" i="4"/>
  <c r="F56" i="4"/>
  <c r="G56" i="4"/>
  <c r="H56" i="4"/>
  <c r="I56" i="4"/>
  <c r="J56" i="4"/>
  <c r="K56" i="4"/>
  <c r="B57" i="4"/>
  <c r="C57" i="4"/>
  <c r="D57" i="4"/>
  <c r="E57" i="4"/>
  <c r="F57" i="4"/>
  <c r="G57" i="4"/>
  <c r="H57" i="4"/>
  <c r="I57" i="4"/>
  <c r="J57" i="4"/>
  <c r="K57" i="4"/>
  <c r="B58" i="4"/>
  <c r="C58" i="4"/>
  <c r="D58" i="4"/>
  <c r="E58" i="4"/>
  <c r="F58" i="4"/>
  <c r="G58" i="4"/>
  <c r="H58" i="4"/>
  <c r="I58" i="4"/>
  <c r="J58" i="4"/>
  <c r="K58" i="4"/>
  <c r="B59" i="4"/>
  <c r="C59" i="4"/>
  <c r="D59" i="4"/>
  <c r="E59" i="4"/>
  <c r="F59" i="4"/>
  <c r="G59" i="4"/>
  <c r="H59" i="4"/>
  <c r="I59" i="4"/>
  <c r="J59" i="4"/>
  <c r="K59" i="4"/>
  <c r="B60" i="4"/>
  <c r="C60" i="4"/>
  <c r="D60" i="4"/>
  <c r="E60" i="4"/>
  <c r="F60" i="4"/>
  <c r="G60" i="4"/>
  <c r="H60" i="4"/>
  <c r="I60" i="4"/>
  <c r="J60" i="4"/>
  <c r="K60" i="4"/>
  <c r="B61" i="4"/>
  <c r="C61" i="4"/>
  <c r="D61" i="4"/>
  <c r="E61" i="4"/>
  <c r="F61" i="4"/>
  <c r="G61" i="4"/>
  <c r="H61" i="4"/>
  <c r="I61" i="4"/>
  <c r="J61" i="4"/>
  <c r="K61" i="4"/>
  <c r="B62" i="4"/>
  <c r="C62" i="4"/>
  <c r="D62" i="4"/>
  <c r="E62" i="4"/>
  <c r="F62" i="4"/>
  <c r="G62" i="4"/>
  <c r="H62" i="4"/>
  <c r="I62" i="4"/>
  <c r="J62" i="4"/>
  <c r="K62" i="4"/>
  <c r="B63" i="4"/>
  <c r="C63" i="4"/>
  <c r="D63" i="4"/>
  <c r="E63" i="4"/>
  <c r="F63" i="4"/>
  <c r="G63" i="4"/>
  <c r="H63" i="4"/>
  <c r="I63" i="4"/>
  <c r="J63" i="4"/>
  <c r="K63" i="4"/>
  <c r="B64" i="4"/>
  <c r="C64" i="4"/>
  <c r="D64" i="4"/>
  <c r="E64" i="4"/>
  <c r="F64" i="4"/>
  <c r="G64" i="4"/>
  <c r="H64" i="4"/>
  <c r="I64" i="4"/>
  <c r="J64" i="4"/>
  <c r="K64" i="4"/>
  <c r="B65" i="4"/>
  <c r="C65" i="4"/>
  <c r="D65" i="4"/>
  <c r="E65" i="4"/>
  <c r="F65" i="4"/>
  <c r="G65" i="4"/>
  <c r="H65" i="4"/>
  <c r="I65" i="4"/>
  <c r="J65" i="4"/>
  <c r="K65" i="4"/>
  <c r="B66" i="4"/>
  <c r="C66" i="4"/>
  <c r="D66" i="4"/>
  <c r="E66" i="4"/>
  <c r="F66" i="4"/>
  <c r="G66" i="4"/>
  <c r="H66" i="4"/>
  <c r="I66" i="4"/>
  <c r="J66" i="4"/>
  <c r="K66" i="4"/>
  <c r="B67" i="4"/>
  <c r="C67" i="4"/>
  <c r="D67" i="4"/>
  <c r="E67" i="4"/>
  <c r="F67" i="4"/>
  <c r="G67" i="4"/>
  <c r="H67" i="4"/>
  <c r="I67" i="4"/>
  <c r="J67" i="4"/>
  <c r="K67" i="4"/>
  <c r="B68" i="4"/>
  <c r="C68" i="4"/>
  <c r="D68" i="4"/>
  <c r="E68" i="4"/>
  <c r="F68" i="4"/>
  <c r="G68" i="4"/>
  <c r="H68" i="4"/>
  <c r="I68" i="4"/>
  <c r="J68" i="4"/>
  <c r="K68" i="4"/>
  <c r="B69" i="4"/>
  <c r="C69" i="4"/>
  <c r="D69" i="4"/>
  <c r="E69" i="4"/>
  <c r="F69" i="4"/>
  <c r="G69" i="4"/>
  <c r="H69" i="4"/>
  <c r="I69" i="4"/>
  <c r="J69" i="4"/>
  <c r="K69" i="4"/>
  <c r="B70" i="4"/>
  <c r="C70" i="4"/>
  <c r="D70" i="4"/>
  <c r="E70" i="4"/>
  <c r="F70" i="4"/>
  <c r="G70" i="4"/>
  <c r="H70" i="4"/>
  <c r="I70" i="4"/>
  <c r="J70" i="4"/>
  <c r="K70" i="4"/>
  <c r="B71" i="4"/>
  <c r="C71" i="4"/>
  <c r="D71" i="4"/>
  <c r="E71" i="4"/>
  <c r="F71" i="4"/>
  <c r="G71" i="4"/>
  <c r="H71" i="4"/>
  <c r="I71" i="4"/>
  <c r="J71" i="4"/>
  <c r="K71" i="4"/>
  <c r="B72" i="4"/>
  <c r="C72" i="4"/>
  <c r="D72" i="4"/>
  <c r="E72" i="4"/>
  <c r="F72" i="4"/>
  <c r="G72" i="4"/>
  <c r="H72" i="4"/>
  <c r="I72" i="4"/>
  <c r="J72" i="4"/>
  <c r="K72" i="4"/>
  <c r="B73" i="4"/>
  <c r="C73" i="4"/>
  <c r="D73" i="4"/>
  <c r="E73" i="4"/>
  <c r="F73" i="4"/>
  <c r="G73" i="4"/>
  <c r="H73" i="4"/>
  <c r="I73" i="4"/>
  <c r="J73" i="4"/>
  <c r="K73" i="4"/>
  <c r="B74" i="4"/>
  <c r="C74" i="4"/>
  <c r="D74" i="4"/>
  <c r="E74" i="4"/>
  <c r="F74" i="4"/>
  <c r="G74" i="4"/>
  <c r="H74" i="4"/>
  <c r="I74" i="4"/>
  <c r="J74" i="4"/>
  <c r="K74" i="4"/>
  <c r="B75" i="4"/>
  <c r="C75" i="4"/>
  <c r="D75" i="4"/>
  <c r="E75" i="4"/>
  <c r="F75" i="4"/>
  <c r="G75" i="4"/>
  <c r="H75" i="4"/>
  <c r="I75" i="4"/>
  <c r="J75" i="4"/>
  <c r="K75" i="4"/>
  <c r="B76" i="4"/>
  <c r="C76" i="4"/>
  <c r="D76" i="4"/>
  <c r="E76" i="4"/>
  <c r="F76" i="4"/>
  <c r="G76" i="4"/>
  <c r="H76" i="4"/>
  <c r="I76" i="4"/>
  <c r="J76" i="4"/>
  <c r="K76" i="4"/>
  <c r="B77" i="4"/>
  <c r="C77" i="4"/>
  <c r="D77" i="4"/>
  <c r="E77" i="4"/>
  <c r="F77" i="4"/>
  <c r="G77" i="4"/>
  <c r="H77" i="4"/>
  <c r="I77" i="4"/>
  <c r="J77" i="4"/>
  <c r="K77" i="4"/>
  <c r="B78" i="4"/>
  <c r="C78" i="4"/>
  <c r="D78" i="4"/>
  <c r="E78" i="4"/>
  <c r="F78" i="4"/>
  <c r="G78" i="4"/>
  <c r="H78" i="4"/>
  <c r="I78" i="4"/>
  <c r="J78" i="4"/>
  <c r="K78" i="4"/>
  <c r="B79" i="4"/>
  <c r="C79" i="4"/>
  <c r="D79" i="4"/>
  <c r="E79" i="4"/>
  <c r="F79" i="4"/>
  <c r="G79" i="4"/>
  <c r="H79" i="4"/>
  <c r="I79" i="4"/>
  <c r="J79" i="4"/>
  <c r="K79" i="4"/>
  <c r="B80" i="4"/>
  <c r="C80" i="4"/>
  <c r="D80" i="4"/>
  <c r="E80" i="4"/>
  <c r="F80" i="4"/>
  <c r="G80" i="4"/>
  <c r="H80" i="4"/>
  <c r="I80" i="4"/>
  <c r="J80" i="4"/>
  <c r="K80" i="4"/>
  <c r="B81" i="4"/>
  <c r="C81" i="4"/>
  <c r="D81" i="4"/>
  <c r="E81" i="4"/>
  <c r="F81" i="4"/>
  <c r="G81" i="4"/>
  <c r="H81" i="4"/>
  <c r="I81" i="4"/>
  <c r="J81" i="4"/>
  <c r="K81" i="4"/>
  <c r="B82" i="4"/>
  <c r="C82" i="4"/>
  <c r="D82" i="4"/>
  <c r="E82" i="4"/>
  <c r="F82" i="4"/>
  <c r="G82" i="4"/>
  <c r="H82" i="4"/>
  <c r="I82" i="4"/>
  <c r="J82" i="4"/>
  <c r="K82" i="4"/>
  <c r="B83" i="4"/>
  <c r="C83" i="4"/>
  <c r="D83" i="4"/>
  <c r="E83" i="4"/>
  <c r="F83" i="4"/>
  <c r="G83" i="4"/>
  <c r="H83" i="4"/>
  <c r="I83" i="4"/>
  <c r="J83" i="4"/>
  <c r="K83" i="4"/>
  <c r="B84" i="4"/>
  <c r="C84" i="4"/>
  <c r="D84" i="4"/>
  <c r="E84" i="4"/>
  <c r="F84" i="4"/>
  <c r="G84" i="4"/>
  <c r="H84" i="4"/>
  <c r="I84" i="4"/>
  <c r="J84" i="4"/>
  <c r="K84" i="4"/>
  <c r="B85" i="4"/>
  <c r="C85" i="4"/>
  <c r="D85" i="4"/>
  <c r="E85" i="4"/>
  <c r="F85" i="4"/>
  <c r="G85" i="4"/>
  <c r="H85" i="4"/>
  <c r="I85" i="4"/>
  <c r="J85" i="4"/>
  <c r="K85" i="4"/>
  <c r="B86" i="4"/>
  <c r="C86" i="4"/>
  <c r="D86" i="4"/>
  <c r="E86" i="4"/>
  <c r="F86" i="4"/>
  <c r="G86" i="4"/>
  <c r="H86" i="4"/>
  <c r="I86" i="4"/>
  <c r="J86" i="4"/>
  <c r="K86" i="4"/>
  <c r="B87" i="4"/>
  <c r="C87" i="4"/>
  <c r="D87" i="4"/>
  <c r="E87" i="4"/>
  <c r="F87" i="4"/>
  <c r="G87" i="4"/>
  <c r="H87" i="4"/>
  <c r="I87" i="4"/>
  <c r="J87" i="4"/>
  <c r="K87" i="4"/>
  <c r="B88" i="4"/>
  <c r="C88" i="4"/>
  <c r="D88" i="4"/>
  <c r="E88" i="4"/>
  <c r="F88" i="4"/>
  <c r="G88" i="4"/>
  <c r="H88" i="4"/>
  <c r="I88" i="4"/>
  <c r="J88" i="4"/>
  <c r="K88" i="4"/>
  <c r="B89" i="4"/>
  <c r="C89" i="4"/>
  <c r="D89" i="4"/>
  <c r="E89" i="4"/>
  <c r="F89" i="4"/>
  <c r="G89" i="4"/>
  <c r="H89" i="4"/>
  <c r="I89" i="4"/>
  <c r="J89" i="4"/>
  <c r="K89" i="4"/>
  <c r="B90" i="4"/>
  <c r="C90" i="4"/>
  <c r="D90" i="4"/>
  <c r="E90" i="4"/>
  <c r="F90" i="4"/>
  <c r="G90" i="4"/>
  <c r="H90" i="4"/>
  <c r="I90" i="4"/>
  <c r="J90" i="4"/>
  <c r="K90" i="4"/>
  <c r="B91" i="4"/>
  <c r="C91" i="4"/>
  <c r="D91" i="4"/>
  <c r="E91" i="4"/>
  <c r="F91" i="4"/>
  <c r="G91" i="4"/>
  <c r="H91" i="4"/>
  <c r="I91" i="4"/>
  <c r="J91" i="4"/>
  <c r="K91" i="4"/>
  <c r="B92" i="4"/>
  <c r="C92" i="4"/>
  <c r="D92" i="4"/>
  <c r="E92" i="4"/>
  <c r="F92" i="4"/>
  <c r="G92" i="4"/>
  <c r="H92" i="4"/>
  <c r="I92" i="4"/>
  <c r="J92" i="4"/>
  <c r="K92" i="4"/>
  <c r="B93" i="4"/>
  <c r="C93" i="4"/>
  <c r="D93" i="4"/>
  <c r="E93" i="4"/>
  <c r="F93" i="4"/>
  <c r="G93" i="4"/>
  <c r="H93" i="4"/>
  <c r="I93" i="4"/>
  <c r="J93" i="4"/>
  <c r="K93" i="4"/>
  <c r="B94" i="4"/>
  <c r="C94" i="4"/>
  <c r="D94" i="4"/>
  <c r="E94" i="4"/>
  <c r="F94" i="4"/>
  <c r="G94" i="4"/>
  <c r="H94" i="4"/>
  <c r="I94" i="4"/>
  <c r="J94" i="4"/>
  <c r="K94" i="4"/>
  <c r="B95" i="4"/>
  <c r="C95" i="4"/>
  <c r="D95" i="4"/>
  <c r="E95" i="4"/>
  <c r="F95" i="4"/>
  <c r="G95" i="4"/>
  <c r="H95" i="4"/>
  <c r="I95" i="4"/>
  <c r="J95" i="4"/>
  <c r="K95" i="4"/>
  <c r="B96" i="4"/>
  <c r="C96" i="4"/>
  <c r="D96" i="4"/>
  <c r="E96" i="4"/>
  <c r="F96" i="4"/>
  <c r="G96" i="4"/>
  <c r="H96" i="4"/>
  <c r="I96" i="4"/>
  <c r="J96" i="4"/>
  <c r="K96" i="4"/>
  <c r="B97" i="4"/>
  <c r="C97" i="4"/>
  <c r="D97" i="4"/>
  <c r="E97" i="4"/>
  <c r="F97" i="4"/>
  <c r="G97" i="4"/>
  <c r="H97" i="4"/>
  <c r="I97" i="4"/>
  <c r="J97" i="4"/>
  <c r="K97" i="4"/>
  <c r="B98" i="4"/>
  <c r="C98" i="4"/>
  <c r="D98" i="4"/>
  <c r="E98" i="4"/>
  <c r="F98" i="4"/>
  <c r="G98" i="4"/>
  <c r="H98" i="4"/>
  <c r="I98" i="4"/>
  <c r="J98" i="4"/>
  <c r="K98" i="4"/>
  <c r="B99" i="4"/>
  <c r="C99" i="4"/>
  <c r="D99" i="4"/>
  <c r="E99" i="4"/>
  <c r="F99" i="4"/>
  <c r="G99" i="4"/>
  <c r="H99" i="4"/>
  <c r="I99" i="4"/>
  <c r="J99" i="4"/>
  <c r="K99" i="4"/>
  <c r="B100" i="4"/>
  <c r="C100" i="4"/>
  <c r="D100" i="4"/>
  <c r="E100" i="4"/>
  <c r="F100" i="4"/>
  <c r="G100" i="4"/>
  <c r="H100" i="4"/>
  <c r="I100" i="4"/>
  <c r="J100" i="4"/>
  <c r="K100" i="4"/>
  <c r="B101" i="4"/>
  <c r="C101" i="4"/>
  <c r="D101" i="4"/>
  <c r="E101" i="4"/>
  <c r="F101" i="4"/>
  <c r="G101" i="4"/>
  <c r="H101" i="4"/>
  <c r="I101" i="4"/>
  <c r="J101" i="4"/>
  <c r="K101" i="4"/>
  <c r="B102" i="4"/>
  <c r="C102" i="4"/>
  <c r="D102" i="4"/>
  <c r="E102" i="4"/>
  <c r="F102" i="4"/>
  <c r="G102" i="4"/>
  <c r="H102" i="4"/>
  <c r="I102" i="4"/>
  <c r="J102" i="4"/>
  <c r="K102" i="4"/>
  <c r="B103" i="4"/>
  <c r="C103" i="4"/>
  <c r="D103" i="4"/>
  <c r="E103" i="4"/>
  <c r="F103" i="4"/>
  <c r="G103" i="4"/>
  <c r="H103" i="4"/>
  <c r="I103" i="4"/>
  <c r="J103" i="4"/>
  <c r="K103" i="4"/>
  <c r="B104" i="4"/>
  <c r="C104" i="4"/>
  <c r="D104" i="4"/>
  <c r="E104" i="4"/>
  <c r="F104" i="4"/>
  <c r="G104" i="4"/>
  <c r="H104" i="4"/>
  <c r="I104" i="4"/>
  <c r="J104" i="4"/>
  <c r="K104" i="4"/>
  <c r="B105" i="4"/>
  <c r="C105" i="4"/>
  <c r="D105" i="4"/>
  <c r="E105" i="4"/>
  <c r="F105" i="4"/>
  <c r="G105" i="4"/>
  <c r="H105" i="4"/>
  <c r="I105" i="4"/>
  <c r="J105" i="4"/>
  <c r="K105" i="4"/>
  <c r="B106" i="4"/>
  <c r="C106" i="4"/>
  <c r="D106" i="4"/>
  <c r="E106" i="4"/>
  <c r="F106" i="4"/>
  <c r="G106" i="4"/>
  <c r="H106" i="4"/>
  <c r="I106" i="4"/>
  <c r="J106" i="4"/>
  <c r="K106" i="4"/>
  <c r="B107" i="4"/>
  <c r="C107" i="4"/>
  <c r="D107" i="4"/>
  <c r="E107" i="4"/>
  <c r="F107" i="4"/>
  <c r="G107" i="4"/>
  <c r="H107" i="4"/>
  <c r="I107" i="4"/>
  <c r="J107" i="4"/>
  <c r="K107" i="4"/>
  <c r="B108" i="4"/>
  <c r="C108" i="4"/>
  <c r="D108" i="4"/>
  <c r="E108" i="4"/>
  <c r="F108" i="4"/>
  <c r="G108" i="4"/>
  <c r="H108" i="4"/>
  <c r="I108" i="4"/>
  <c r="J108" i="4"/>
  <c r="K108" i="4"/>
  <c r="B109" i="4"/>
  <c r="C109" i="4"/>
  <c r="D109" i="4"/>
  <c r="E109" i="4"/>
  <c r="F109" i="4"/>
  <c r="G109" i="4"/>
  <c r="H109" i="4"/>
  <c r="I109" i="4"/>
  <c r="J109" i="4"/>
  <c r="K109" i="4"/>
  <c r="B110" i="4"/>
  <c r="C110" i="4"/>
  <c r="D110" i="4"/>
  <c r="E110" i="4"/>
  <c r="F110" i="4"/>
  <c r="G110" i="4"/>
  <c r="H110" i="4"/>
  <c r="I110" i="4"/>
  <c r="J110" i="4"/>
  <c r="K110" i="4"/>
  <c r="B111" i="4"/>
  <c r="C111" i="4"/>
  <c r="D111" i="4"/>
  <c r="E111" i="4"/>
  <c r="F111" i="4"/>
  <c r="G111" i="4"/>
  <c r="H111" i="4"/>
  <c r="I111" i="4"/>
  <c r="J111" i="4"/>
  <c r="K111" i="4"/>
  <c r="B112" i="4"/>
  <c r="C112" i="4"/>
  <c r="D112" i="4"/>
  <c r="E112" i="4"/>
  <c r="F112" i="4"/>
  <c r="G112" i="4"/>
  <c r="H112" i="4"/>
  <c r="I112" i="4"/>
  <c r="J112" i="4"/>
  <c r="K112" i="4"/>
  <c r="B113" i="4"/>
  <c r="C113" i="4"/>
  <c r="D113" i="4"/>
  <c r="E113" i="4"/>
  <c r="F113" i="4"/>
  <c r="G113" i="4"/>
  <c r="H113" i="4"/>
  <c r="I113" i="4"/>
  <c r="J113" i="4"/>
  <c r="K113" i="4"/>
  <c r="B114" i="4"/>
  <c r="C114" i="4"/>
  <c r="D114" i="4"/>
  <c r="E114" i="4"/>
  <c r="F114" i="4"/>
  <c r="G114" i="4"/>
  <c r="H114" i="4"/>
  <c r="I114" i="4"/>
  <c r="J114" i="4"/>
  <c r="K114" i="4"/>
  <c r="B115" i="4"/>
  <c r="C115" i="4"/>
  <c r="D115" i="4"/>
  <c r="E115" i="4"/>
  <c r="F115" i="4"/>
  <c r="G115" i="4"/>
  <c r="H115" i="4"/>
  <c r="I115" i="4"/>
  <c r="J115" i="4"/>
  <c r="K115" i="4"/>
  <c r="B116" i="4"/>
  <c r="C116" i="4"/>
  <c r="D116" i="4"/>
  <c r="E116" i="4"/>
  <c r="F116" i="4"/>
  <c r="G116" i="4"/>
  <c r="H116" i="4"/>
  <c r="I116" i="4"/>
  <c r="J116" i="4"/>
  <c r="K116" i="4"/>
  <c r="B117" i="4"/>
  <c r="C117" i="4"/>
  <c r="D117" i="4"/>
  <c r="E117" i="4"/>
  <c r="F117" i="4"/>
  <c r="G117" i="4"/>
  <c r="H117" i="4"/>
  <c r="I117" i="4"/>
  <c r="J117" i="4"/>
  <c r="K117" i="4"/>
  <c r="B118" i="4"/>
  <c r="C118" i="4"/>
  <c r="D118" i="4"/>
  <c r="E118" i="4"/>
  <c r="F118" i="4"/>
  <c r="G118" i="4"/>
  <c r="H118" i="4"/>
  <c r="I118" i="4"/>
  <c r="J118" i="4"/>
  <c r="K118" i="4"/>
  <c r="B119" i="4"/>
  <c r="C119" i="4"/>
  <c r="D119" i="4"/>
  <c r="E119" i="4"/>
  <c r="F119" i="4"/>
  <c r="G119" i="4"/>
  <c r="H119" i="4"/>
  <c r="I119" i="4"/>
  <c r="J119" i="4"/>
  <c r="K119" i="4"/>
  <c r="B120" i="4"/>
  <c r="C120" i="4"/>
  <c r="D120" i="4"/>
  <c r="E120" i="4"/>
  <c r="F120" i="4"/>
  <c r="G120" i="4"/>
  <c r="H120" i="4"/>
  <c r="I120" i="4"/>
  <c r="J120" i="4"/>
  <c r="K120" i="4"/>
  <c r="B121" i="4"/>
  <c r="C121" i="4"/>
  <c r="D121" i="4"/>
  <c r="E121" i="4"/>
  <c r="F121" i="4"/>
  <c r="G121" i="4"/>
  <c r="H121" i="4"/>
  <c r="I121" i="4"/>
  <c r="J121" i="4"/>
  <c r="K121" i="4"/>
  <c r="B122" i="4"/>
  <c r="C122" i="4"/>
  <c r="D122" i="4"/>
  <c r="E122" i="4"/>
  <c r="F122" i="4"/>
  <c r="G122" i="4"/>
  <c r="H122" i="4"/>
  <c r="I122" i="4"/>
  <c r="J122" i="4"/>
  <c r="K122" i="4"/>
  <c r="B123" i="4"/>
  <c r="C123" i="4"/>
  <c r="D123" i="4"/>
  <c r="E123" i="4"/>
  <c r="F123" i="4"/>
  <c r="G123" i="4"/>
  <c r="H123" i="4"/>
  <c r="I123" i="4"/>
  <c r="J123" i="4"/>
  <c r="K123" i="4"/>
  <c r="B124" i="4"/>
  <c r="C124" i="4"/>
  <c r="D124" i="4"/>
  <c r="E124" i="4"/>
  <c r="F124" i="4"/>
  <c r="G124" i="4"/>
  <c r="H124" i="4"/>
  <c r="I124" i="4"/>
  <c r="J124" i="4"/>
  <c r="K124" i="4"/>
  <c r="B125" i="4"/>
  <c r="C125" i="4"/>
  <c r="D125" i="4"/>
  <c r="E125" i="4"/>
  <c r="F125" i="4"/>
  <c r="G125" i="4"/>
  <c r="H125" i="4"/>
  <c r="I125" i="4"/>
  <c r="J125" i="4"/>
  <c r="K125" i="4"/>
  <c r="B126" i="4"/>
  <c r="C126" i="4"/>
  <c r="D126" i="4"/>
  <c r="E126" i="4"/>
  <c r="F126" i="4"/>
  <c r="G126" i="4"/>
  <c r="H126" i="4"/>
  <c r="I126" i="4"/>
  <c r="J126" i="4"/>
  <c r="K126" i="4"/>
  <c r="B127" i="4"/>
  <c r="C127" i="4"/>
  <c r="D127" i="4"/>
  <c r="E127" i="4"/>
  <c r="F127" i="4"/>
  <c r="G127" i="4"/>
  <c r="H127" i="4"/>
  <c r="I127" i="4"/>
  <c r="J127" i="4"/>
  <c r="K127" i="4"/>
  <c r="B128" i="4"/>
  <c r="C128" i="4"/>
  <c r="D128" i="4"/>
  <c r="E128" i="4"/>
  <c r="F128" i="4"/>
  <c r="G128" i="4"/>
  <c r="H128" i="4"/>
  <c r="I128" i="4"/>
  <c r="J128" i="4"/>
  <c r="K128" i="4"/>
  <c r="B129" i="4"/>
  <c r="C129" i="4"/>
  <c r="D129" i="4"/>
  <c r="E129" i="4"/>
  <c r="F129" i="4"/>
  <c r="G129" i="4"/>
  <c r="H129" i="4"/>
  <c r="I129" i="4"/>
  <c r="J129" i="4"/>
  <c r="K129" i="4"/>
  <c r="B130" i="4"/>
  <c r="C130" i="4"/>
  <c r="D130" i="4"/>
  <c r="E130" i="4"/>
  <c r="F130" i="4"/>
  <c r="G130" i="4"/>
  <c r="H130" i="4"/>
  <c r="I130" i="4"/>
  <c r="J130" i="4"/>
  <c r="K130" i="4"/>
  <c r="B131" i="4"/>
  <c r="C131" i="4"/>
  <c r="D131" i="4"/>
  <c r="E131" i="4"/>
  <c r="F131" i="4"/>
  <c r="G131" i="4"/>
  <c r="H131" i="4"/>
  <c r="I131" i="4"/>
  <c r="J131" i="4"/>
  <c r="K131" i="4"/>
  <c r="B132" i="4"/>
  <c r="C132" i="4"/>
  <c r="D132" i="4"/>
  <c r="E132" i="4"/>
  <c r="F132" i="4"/>
  <c r="G132" i="4"/>
  <c r="H132" i="4"/>
  <c r="I132" i="4"/>
  <c r="J132" i="4"/>
  <c r="K132" i="4"/>
  <c r="B133" i="4"/>
  <c r="C133" i="4"/>
  <c r="D133" i="4"/>
  <c r="E133" i="4"/>
  <c r="F133" i="4"/>
  <c r="G133" i="4"/>
  <c r="H133" i="4"/>
  <c r="I133" i="4"/>
  <c r="J133" i="4"/>
  <c r="K133" i="4"/>
  <c r="B134" i="4"/>
  <c r="C134" i="4"/>
  <c r="D134" i="4"/>
  <c r="E134" i="4"/>
  <c r="F134" i="4"/>
  <c r="G134" i="4"/>
  <c r="H134" i="4"/>
  <c r="I134" i="4"/>
  <c r="J134" i="4"/>
  <c r="K134" i="4"/>
  <c r="B135" i="4"/>
  <c r="C135" i="4"/>
  <c r="D135" i="4"/>
  <c r="E135" i="4"/>
  <c r="F135" i="4"/>
  <c r="G135" i="4"/>
  <c r="H135" i="4"/>
  <c r="I135" i="4"/>
  <c r="J135" i="4"/>
  <c r="K135" i="4"/>
  <c r="B136" i="4"/>
  <c r="C136" i="4"/>
  <c r="D136" i="4"/>
  <c r="E136" i="4"/>
  <c r="F136" i="4"/>
  <c r="G136" i="4"/>
  <c r="H136" i="4"/>
  <c r="I136" i="4"/>
  <c r="J136" i="4"/>
  <c r="K136" i="4"/>
  <c r="B137" i="4"/>
  <c r="C137" i="4"/>
  <c r="D137" i="4"/>
  <c r="E137" i="4"/>
  <c r="F137" i="4"/>
  <c r="G137" i="4"/>
  <c r="H137" i="4"/>
  <c r="I137" i="4"/>
  <c r="J137" i="4"/>
  <c r="K137" i="4"/>
  <c r="B138" i="4"/>
  <c r="C138" i="4"/>
  <c r="D138" i="4"/>
  <c r="E138" i="4"/>
  <c r="F138" i="4"/>
  <c r="G138" i="4"/>
  <c r="H138" i="4"/>
  <c r="I138" i="4"/>
  <c r="J138" i="4"/>
  <c r="K138" i="4"/>
  <c r="B139" i="4"/>
  <c r="C139" i="4"/>
  <c r="D139" i="4"/>
  <c r="E139" i="4"/>
  <c r="F139" i="4"/>
  <c r="G139" i="4"/>
  <c r="H139" i="4"/>
  <c r="I139" i="4"/>
  <c r="J139" i="4"/>
  <c r="K139" i="4"/>
  <c r="B140" i="4"/>
  <c r="C140" i="4"/>
  <c r="D140" i="4"/>
  <c r="E140" i="4"/>
  <c r="F140" i="4"/>
  <c r="G140" i="4"/>
  <c r="H140" i="4"/>
  <c r="I140" i="4"/>
  <c r="J140" i="4"/>
  <c r="K140" i="4"/>
  <c r="B141" i="4"/>
  <c r="C141" i="4"/>
  <c r="D141" i="4"/>
  <c r="E141" i="4"/>
  <c r="F141" i="4"/>
  <c r="G141" i="4"/>
  <c r="H141" i="4"/>
  <c r="I141" i="4"/>
  <c r="J141" i="4"/>
  <c r="K141" i="4"/>
  <c r="B142" i="4"/>
  <c r="C142" i="4"/>
  <c r="D142" i="4"/>
  <c r="E142" i="4"/>
  <c r="F142" i="4"/>
  <c r="G142" i="4"/>
  <c r="H142" i="4"/>
  <c r="I142" i="4"/>
  <c r="J142" i="4"/>
  <c r="K142" i="4"/>
  <c r="B143" i="4"/>
  <c r="C143" i="4"/>
  <c r="D143" i="4"/>
  <c r="E143" i="4"/>
  <c r="F143" i="4"/>
  <c r="G143" i="4"/>
  <c r="H143" i="4"/>
  <c r="I143" i="4"/>
  <c r="J143" i="4"/>
  <c r="K143" i="4"/>
  <c r="B144" i="4"/>
  <c r="C144" i="4"/>
  <c r="D144" i="4"/>
  <c r="E144" i="4"/>
  <c r="F144" i="4"/>
  <c r="G144" i="4"/>
  <c r="H144" i="4"/>
  <c r="I144" i="4"/>
  <c r="J144" i="4"/>
  <c r="K144" i="4"/>
  <c r="B145" i="4"/>
  <c r="C145" i="4"/>
  <c r="D145" i="4"/>
  <c r="E145" i="4"/>
  <c r="F145" i="4"/>
  <c r="G145" i="4"/>
  <c r="H145" i="4"/>
  <c r="I145" i="4"/>
  <c r="J145" i="4"/>
  <c r="K145" i="4"/>
  <c r="B146" i="4"/>
  <c r="C146" i="4"/>
  <c r="D146" i="4"/>
  <c r="E146" i="4"/>
  <c r="F146" i="4"/>
  <c r="G146" i="4"/>
  <c r="H146" i="4"/>
  <c r="I146" i="4"/>
  <c r="J146" i="4"/>
  <c r="K146" i="4"/>
  <c r="B147" i="4"/>
  <c r="C147" i="4"/>
  <c r="D147" i="4"/>
  <c r="E147" i="4"/>
  <c r="F147" i="4"/>
  <c r="G147" i="4"/>
  <c r="H147" i="4"/>
  <c r="I147" i="4"/>
  <c r="J147" i="4"/>
  <c r="K147" i="4"/>
  <c r="B148" i="4"/>
  <c r="C148" i="4"/>
  <c r="D148" i="4"/>
  <c r="E148" i="4"/>
  <c r="F148" i="4"/>
  <c r="G148" i="4"/>
  <c r="H148" i="4"/>
  <c r="I148" i="4"/>
  <c r="J148" i="4"/>
  <c r="K148" i="4"/>
  <c r="B149" i="4"/>
  <c r="C149" i="4"/>
  <c r="D149" i="4"/>
  <c r="E149" i="4"/>
  <c r="F149" i="4"/>
  <c r="G149" i="4"/>
  <c r="H149" i="4"/>
  <c r="I149" i="4"/>
  <c r="J149" i="4"/>
  <c r="K149" i="4"/>
  <c r="B150" i="4"/>
  <c r="C150" i="4"/>
  <c r="D150" i="4"/>
  <c r="E150" i="4"/>
  <c r="F150" i="4"/>
  <c r="G150" i="4"/>
  <c r="H150" i="4"/>
  <c r="I150" i="4"/>
  <c r="J150" i="4"/>
  <c r="K150" i="4"/>
  <c r="B151" i="4"/>
  <c r="C151" i="4"/>
  <c r="D151" i="4"/>
  <c r="E151" i="4"/>
  <c r="F151" i="4"/>
  <c r="G151" i="4"/>
  <c r="H151" i="4"/>
  <c r="I151" i="4"/>
  <c r="J151" i="4"/>
  <c r="K151" i="4"/>
  <c r="B152" i="4"/>
  <c r="C152" i="4"/>
  <c r="D152" i="4"/>
  <c r="E152" i="4"/>
  <c r="F152" i="4"/>
  <c r="G152" i="4"/>
  <c r="H152" i="4"/>
  <c r="I152" i="4"/>
  <c r="J152" i="4"/>
  <c r="K152" i="4"/>
  <c r="B153" i="4"/>
  <c r="C153" i="4"/>
  <c r="D153" i="4"/>
  <c r="E153" i="4"/>
  <c r="F153" i="4"/>
  <c r="G153" i="4"/>
  <c r="H153" i="4"/>
  <c r="I153" i="4"/>
  <c r="J153" i="4"/>
  <c r="K153" i="4"/>
  <c r="B154" i="4"/>
  <c r="C154" i="4"/>
  <c r="D154" i="4"/>
  <c r="E154" i="4"/>
  <c r="F154" i="4"/>
  <c r="G154" i="4"/>
  <c r="H154" i="4"/>
  <c r="I154" i="4"/>
  <c r="J154" i="4"/>
  <c r="K154" i="4"/>
  <c r="B155" i="4"/>
  <c r="C155" i="4"/>
  <c r="D155" i="4"/>
  <c r="E155" i="4"/>
  <c r="F155" i="4"/>
  <c r="G155" i="4"/>
  <c r="H155" i="4"/>
  <c r="I155" i="4"/>
  <c r="J155" i="4"/>
  <c r="K155" i="4"/>
  <c r="B156" i="4"/>
  <c r="C156" i="4"/>
  <c r="D156" i="4"/>
  <c r="E156" i="4"/>
  <c r="F156" i="4"/>
  <c r="G156" i="4"/>
  <c r="H156" i="4"/>
  <c r="I156" i="4"/>
  <c r="J156" i="4"/>
  <c r="K156" i="4"/>
  <c r="B157" i="4"/>
  <c r="C157" i="4"/>
  <c r="D157" i="4"/>
  <c r="E157" i="4"/>
  <c r="F157" i="4"/>
  <c r="G157" i="4"/>
  <c r="H157" i="4"/>
  <c r="I157" i="4"/>
  <c r="J157" i="4"/>
  <c r="K157" i="4"/>
  <c r="B158" i="4"/>
  <c r="C158" i="4"/>
  <c r="D158" i="4"/>
  <c r="E158" i="4"/>
  <c r="F158" i="4"/>
  <c r="G158" i="4"/>
  <c r="H158" i="4"/>
  <c r="I158" i="4"/>
  <c r="J158" i="4"/>
  <c r="K158" i="4"/>
  <c r="B159" i="4"/>
  <c r="C159" i="4"/>
  <c r="D159" i="4"/>
  <c r="E159" i="4"/>
  <c r="F159" i="4"/>
  <c r="G159" i="4"/>
  <c r="H159" i="4"/>
  <c r="I159" i="4"/>
  <c r="J159" i="4"/>
  <c r="K159" i="4"/>
  <c r="B160" i="4"/>
  <c r="C160" i="4"/>
  <c r="D160" i="4"/>
  <c r="E160" i="4"/>
  <c r="F160" i="4"/>
  <c r="G160" i="4"/>
  <c r="H160" i="4"/>
  <c r="I160" i="4"/>
  <c r="J160" i="4"/>
  <c r="K160" i="4"/>
  <c r="B161" i="4"/>
  <c r="C161" i="4"/>
  <c r="D161" i="4"/>
  <c r="E161" i="4"/>
  <c r="F161" i="4"/>
  <c r="G161" i="4"/>
  <c r="H161" i="4"/>
  <c r="I161" i="4"/>
  <c r="J161" i="4"/>
  <c r="K161" i="4"/>
  <c r="B162" i="4"/>
  <c r="C162" i="4"/>
  <c r="D162" i="4"/>
  <c r="E162" i="4"/>
  <c r="F162" i="4"/>
  <c r="G162" i="4"/>
  <c r="H162" i="4"/>
  <c r="I162" i="4"/>
  <c r="J162" i="4"/>
  <c r="K162" i="4"/>
  <c r="B163" i="4"/>
  <c r="C163" i="4"/>
  <c r="D163" i="4"/>
  <c r="E163" i="4"/>
  <c r="F163" i="4"/>
  <c r="G163" i="4"/>
  <c r="H163" i="4"/>
  <c r="I163" i="4"/>
  <c r="J163" i="4"/>
  <c r="K163" i="4"/>
  <c r="B164" i="4"/>
  <c r="C164" i="4"/>
  <c r="D164" i="4"/>
  <c r="E164" i="4"/>
  <c r="F164" i="4"/>
  <c r="G164" i="4"/>
  <c r="H164" i="4"/>
  <c r="I164" i="4"/>
  <c r="J164" i="4"/>
  <c r="K164" i="4"/>
  <c r="B165" i="4"/>
  <c r="C165" i="4"/>
  <c r="D165" i="4"/>
  <c r="E165" i="4"/>
  <c r="F165" i="4"/>
  <c r="G165" i="4"/>
  <c r="H165" i="4"/>
  <c r="I165" i="4"/>
  <c r="J165" i="4"/>
  <c r="K165" i="4"/>
  <c r="B166" i="4"/>
  <c r="C166" i="4"/>
  <c r="D166" i="4"/>
  <c r="E166" i="4"/>
  <c r="F166" i="4"/>
  <c r="G166" i="4"/>
  <c r="H166" i="4"/>
  <c r="I166" i="4"/>
  <c r="J166" i="4"/>
  <c r="K166" i="4"/>
  <c r="B167" i="4"/>
  <c r="C167" i="4"/>
  <c r="D167" i="4"/>
  <c r="E167" i="4"/>
  <c r="F167" i="4"/>
  <c r="G167" i="4"/>
  <c r="H167" i="4"/>
  <c r="I167" i="4"/>
  <c r="J167" i="4"/>
  <c r="K167" i="4"/>
  <c r="B168" i="4"/>
  <c r="C168" i="4"/>
  <c r="D168" i="4"/>
  <c r="E168" i="4"/>
  <c r="F168" i="4"/>
  <c r="G168" i="4"/>
  <c r="H168" i="4"/>
  <c r="I168" i="4"/>
  <c r="J168" i="4"/>
  <c r="K168" i="4"/>
  <c r="B169" i="4"/>
  <c r="C169" i="4"/>
  <c r="D169" i="4"/>
  <c r="E169" i="4"/>
  <c r="F169" i="4"/>
  <c r="G169" i="4"/>
  <c r="H169" i="4"/>
  <c r="I169" i="4"/>
  <c r="J169" i="4"/>
  <c r="K169" i="4"/>
  <c r="B170" i="4"/>
  <c r="C170" i="4"/>
  <c r="D170" i="4"/>
  <c r="E170" i="4"/>
  <c r="F170" i="4"/>
  <c r="G170" i="4"/>
  <c r="H170" i="4"/>
  <c r="I170" i="4"/>
  <c r="J170" i="4"/>
  <c r="K170" i="4"/>
  <c r="B171" i="4"/>
  <c r="C171" i="4"/>
  <c r="D171" i="4"/>
  <c r="E171" i="4"/>
  <c r="F171" i="4"/>
  <c r="G171" i="4"/>
  <c r="H171" i="4"/>
  <c r="I171" i="4"/>
  <c r="J171" i="4"/>
  <c r="K171" i="4"/>
  <c r="B172" i="4"/>
  <c r="C172" i="4"/>
  <c r="D172" i="4"/>
  <c r="E172" i="4"/>
  <c r="F172" i="4"/>
  <c r="G172" i="4"/>
  <c r="H172" i="4"/>
  <c r="I172" i="4"/>
  <c r="J172" i="4"/>
  <c r="K172" i="4"/>
  <c r="B173" i="4"/>
  <c r="C173" i="4"/>
  <c r="D173" i="4"/>
  <c r="E173" i="4"/>
  <c r="F173" i="4"/>
  <c r="G173" i="4"/>
  <c r="H173" i="4"/>
  <c r="I173" i="4"/>
  <c r="J173" i="4"/>
  <c r="K173" i="4"/>
  <c r="B174" i="4"/>
  <c r="C174" i="4"/>
  <c r="D174" i="4"/>
  <c r="E174" i="4"/>
  <c r="F174" i="4"/>
  <c r="G174" i="4"/>
  <c r="H174" i="4"/>
  <c r="I174" i="4"/>
  <c r="J174" i="4"/>
  <c r="K174" i="4"/>
  <c r="B175" i="4"/>
  <c r="C175" i="4"/>
  <c r="D175" i="4"/>
  <c r="E175" i="4"/>
  <c r="F175" i="4"/>
  <c r="G175" i="4"/>
  <c r="H175" i="4"/>
  <c r="I175" i="4"/>
  <c r="J175" i="4"/>
  <c r="K175" i="4"/>
  <c r="B176" i="4"/>
  <c r="C176" i="4"/>
  <c r="D176" i="4"/>
  <c r="E176" i="4"/>
  <c r="F176" i="4"/>
  <c r="G176" i="4"/>
  <c r="H176" i="4"/>
  <c r="I176" i="4"/>
  <c r="J176" i="4"/>
  <c r="K176" i="4"/>
  <c r="B177" i="4"/>
  <c r="C177" i="4"/>
  <c r="D177" i="4"/>
  <c r="E177" i="4"/>
  <c r="F177" i="4"/>
  <c r="G177" i="4"/>
  <c r="H177" i="4"/>
  <c r="I177" i="4"/>
  <c r="J177" i="4"/>
  <c r="K177" i="4"/>
  <c r="B178" i="4"/>
  <c r="C178" i="4"/>
  <c r="D178" i="4"/>
  <c r="E178" i="4"/>
  <c r="F178" i="4"/>
  <c r="G178" i="4"/>
  <c r="H178" i="4"/>
  <c r="I178" i="4"/>
  <c r="J178" i="4"/>
  <c r="K178" i="4"/>
  <c r="B179" i="4"/>
  <c r="C179" i="4"/>
  <c r="D179" i="4"/>
  <c r="E179" i="4"/>
  <c r="F179" i="4"/>
  <c r="G179" i="4"/>
  <c r="H179" i="4"/>
  <c r="I179" i="4"/>
  <c r="J179" i="4"/>
  <c r="K179" i="4"/>
  <c r="B180" i="4"/>
  <c r="C180" i="4"/>
  <c r="D180" i="4"/>
  <c r="E180" i="4"/>
  <c r="F180" i="4"/>
  <c r="G180" i="4"/>
  <c r="H180" i="4"/>
  <c r="I180" i="4"/>
  <c r="J180" i="4"/>
  <c r="K180" i="4"/>
  <c r="B181" i="4"/>
  <c r="C181" i="4"/>
  <c r="D181" i="4"/>
  <c r="E181" i="4"/>
  <c r="F181" i="4"/>
  <c r="G181" i="4"/>
  <c r="H181" i="4"/>
  <c r="I181" i="4"/>
  <c r="J181" i="4"/>
  <c r="K181" i="4"/>
  <c r="B182" i="4"/>
  <c r="C182" i="4"/>
  <c r="D182" i="4"/>
  <c r="E182" i="4"/>
  <c r="F182" i="4"/>
  <c r="G182" i="4"/>
  <c r="H182" i="4"/>
  <c r="I182" i="4"/>
  <c r="J182" i="4"/>
  <c r="K182" i="4"/>
  <c r="B183" i="4"/>
  <c r="C183" i="4"/>
  <c r="D183" i="4"/>
  <c r="E183" i="4"/>
  <c r="F183" i="4"/>
  <c r="G183" i="4"/>
  <c r="H183" i="4"/>
  <c r="I183" i="4"/>
  <c r="J183" i="4"/>
  <c r="K183" i="4"/>
  <c r="B184" i="4"/>
  <c r="C184" i="4"/>
  <c r="D184" i="4"/>
  <c r="E184" i="4"/>
  <c r="F184" i="4"/>
  <c r="G184" i="4"/>
  <c r="H184" i="4"/>
  <c r="I184" i="4"/>
  <c r="J184" i="4"/>
  <c r="K184" i="4"/>
  <c r="B185" i="4"/>
  <c r="C185" i="4"/>
  <c r="D185" i="4"/>
  <c r="E185" i="4"/>
  <c r="F185" i="4"/>
  <c r="G185" i="4"/>
  <c r="H185" i="4"/>
  <c r="I185" i="4"/>
  <c r="J185" i="4"/>
  <c r="K185" i="4"/>
  <c r="B186" i="4"/>
  <c r="C186" i="4"/>
  <c r="D186" i="4"/>
  <c r="E186" i="4"/>
  <c r="F186" i="4"/>
  <c r="G186" i="4"/>
  <c r="H186" i="4"/>
  <c r="I186" i="4"/>
  <c r="J186" i="4"/>
  <c r="K186" i="4"/>
  <c r="B187" i="4"/>
  <c r="C187" i="4"/>
  <c r="D187" i="4"/>
  <c r="E187" i="4"/>
  <c r="F187" i="4"/>
  <c r="G187" i="4"/>
  <c r="H187" i="4"/>
  <c r="I187" i="4"/>
  <c r="J187" i="4"/>
  <c r="K187" i="4"/>
  <c r="B188" i="4"/>
  <c r="C188" i="4"/>
  <c r="D188" i="4"/>
  <c r="E188" i="4"/>
  <c r="F188" i="4"/>
  <c r="G188" i="4"/>
  <c r="H188" i="4"/>
  <c r="I188" i="4"/>
  <c r="J188" i="4"/>
  <c r="K188" i="4"/>
  <c r="B189" i="4"/>
  <c r="C189" i="4"/>
  <c r="D189" i="4"/>
  <c r="E189" i="4"/>
  <c r="F189" i="4"/>
  <c r="G189" i="4"/>
  <c r="H189" i="4"/>
  <c r="I189" i="4"/>
  <c r="J189" i="4"/>
  <c r="K189" i="4"/>
  <c r="B190" i="4"/>
  <c r="C190" i="4"/>
  <c r="D190" i="4"/>
  <c r="E190" i="4"/>
  <c r="F190" i="4"/>
  <c r="G190" i="4"/>
  <c r="H190" i="4"/>
  <c r="I190" i="4"/>
  <c r="J190" i="4"/>
  <c r="K190" i="4"/>
  <c r="B191" i="4"/>
  <c r="C191" i="4"/>
  <c r="D191" i="4"/>
  <c r="E191" i="4"/>
  <c r="F191" i="4"/>
  <c r="G191" i="4"/>
  <c r="H191" i="4"/>
  <c r="I191" i="4"/>
  <c r="J191" i="4"/>
  <c r="K191" i="4"/>
  <c r="B192" i="4"/>
  <c r="C192" i="4"/>
  <c r="D192" i="4"/>
  <c r="E192" i="4"/>
  <c r="F192" i="4"/>
  <c r="G192" i="4"/>
  <c r="H192" i="4"/>
  <c r="I192" i="4"/>
  <c r="J192" i="4"/>
  <c r="K192" i="4"/>
  <c r="B193" i="4"/>
  <c r="C193" i="4"/>
  <c r="D193" i="4"/>
  <c r="E193" i="4"/>
  <c r="F193" i="4"/>
  <c r="G193" i="4"/>
  <c r="H193" i="4"/>
  <c r="I193" i="4"/>
  <c r="J193" i="4"/>
  <c r="K193" i="4"/>
  <c r="B194" i="4"/>
  <c r="C194" i="4"/>
  <c r="D194" i="4"/>
  <c r="E194" i="4"/>
  <c r="F194" i="4"/>
  <c r="G194" i="4"/>
  <c r="H194" i="4"/>
  <c r="I194" i="4"/>
  <c r="J194" i="4"/>
  <c r="K194" i="4"/>
  <c r="B195" i="4"/>
  <c r="C195" i="4"/>
  <c r="D195" i="4"/>
  <c r="E195" i="4"/>
  <c r="F195" i="4"/>
  <c r="G195" i="4"/>
  <c r="H195" i="4"/>
  <c r="I195" i="4"/>
  <c r="J195" i="4"/>
  <c r="K195" i="4"/>
  <c r="B196" i="4"/>
  <c r="C196" i="4"/>
  <c r="D196" i="4"/>
  <c r="E196" i="4"/>
  <c r="F196" i="4"/>
  <c r="G196" i="4"/>
  <c r="H196" i="4"/>
  <c r="I196" i="4"/>
  <c r="J196" i="4"/>
  <c r="K196" i="4"/>
  <c r="B197" i="4"/>
  <c r="C197" i="4"/>
  <c r="D197" i="4"/>
  <c r="E197" i="4"/>
  <c r="F197" i="4"/>
  <c r="G197" i="4"/>
  <c r="H197" i="4"/>
  <c r="I197" i="4"/>
  <c r="J197" i="4"/>
  <c r="K197" i="4"/>
  <c r="B198" i="4"/>
  <c r="C198" i="4"/>
  <c r="D198" i="4"/>
  <c r="E198" i="4"/>
  <c r="F198" i="4"/>
  <c r="G198" i="4"/>
  <c r="H198" i="4"/>
  <c r="I198" i="4"/>
  <c r="J198" i="4"/>
  <c r="K198" i="4"/>
  <c r="B199" i="4"/>
  <c r="C199" i="4"/>
  <c r="D199" i="4"/>
  <c r="E199" i="4"/>
  <c r="F199" i="4"/>
  <c r="G199" i="4"/>
  <c r="H199" i="4"/>
  <c r="I199" i="4"/>
  <c r="J199" i="4"/>
  <c r="K199" i="4"/>
  <c r="B200" i="4"/>
  <c r="C200" i="4"/>
  <c r="D200" i="4"/>
  <c r="E200" i="4"/>
  <c r="F200" i="4"/>
  <c r="G200" i="4"/>
  <c r="H200" i="4"/>
  <c r="I200" i="4"/>
  <c r="J200" i="4"/>
  <c r="K200" i="4"/>
  <c r="B201" i="4"/>
  <c r="C201" i="4"/>
  <c r="D201" i="4"/>
  <c r="E201" i="4"/>
  <c r="F201" i="4"/>
  <c r="G201" i="4"/>
  <c r="H201" i="4"/>
  <c r="I201" i="4"/>
  <c r="J201" i="4"/>
  <c r="K201" i="4"/>
  <c r="B202" i="4"/>
  <c r="C202" i="4"/>
  <c r="D202" i="4"/>
  <c r="E202" i="4"/>
  <c r="F202" i="4"/>
  <c r="G202" i="4"/>
  <c r="H202" i="4"/>
  <c r="I202" i="4"/>
  <c r="J202" i="4"/>
  <c r="K202" i="4"/>
  <c r="B203" i="4"/>
  <c r="C203" i="4"/>
  <c r="D203" i="4"/>
  <c r="E203" i="4"/>
  <c r="F203" i="4"/>
  <c r="G203" i="4"/>
  <c r="H203" i="4"/>
  <c r="I203" i="4"/>
  <c r="J203" i="4"/>
  <c r="K203" i="4"/>
  <c r="B204" i="4"/>
  <c r="C204" i="4"/>
  <c r="D204" i="4"/>
  <c r="E204" i="4"/>
  <c r="F204" i="4"/>
  <c r="G204" i="4"/>
  <c r="H204" i="4"/>
  <c r="I204" i="4"/>
  <c r="J204" i="4"/>
  <c r="K204" i="4"/>
  <c r="B205" i="4"/>
  <c r="C205" i="4"/>
  <c r="D205" i="4"/>
  <c r="E205" i="4"/>
  <c r="F205" i="4"/>
  <c r="G205" i="4"/>
  <c r="H205" i="4"/>
  <c r="I205" i="4"/>
  <c r="J205" i="4"/>
  <c r="K205" i="4"/>
  <c r="B206" i="4"/>
  <c r="C206" i="4"/>
  <c r="D206" i="4"/>
  <c r="E206" i="4"/>
  <c r="F206" i="4"/>
  <c r="G206" i="4"/>
  <c r="H206" i="4"/>
  <c r="I206" i="4"/>
  <c r="J206" i="4"/>
  <c r="K206" i="4"/>
  <c r="B207" i="4"/>
  <c r="C207" i="4"/>
  <c r="D207" i="4"/>
  <c r="E207" i="4"/>
  <c r="F207" i="4"/>
  <c r="G207" i="4"/>
  <c r="H207" i="4"/>
  <c r="I207" i="4"/>
  <c r="J207" i="4"/>
  <c r="K207" i="4"/>
  <c r="B208" i="4"/>
  <c r="C208" i="4"/>
  <c r="D208" i="4"/>
  <c r="E208" i="4"/>
  <c r="F208" i="4"/>
  <c r="G208" i="4"/>
  <c r="H208" i="4"/>
  <c r="I208" i="4"/>
  <c r="J208" i="4"/>
  <c r="K208" i="4"/>
  <c r="B209" i="4"/>
  <c r="C209" i="4"/>
  <c r="D209" i="4"/>
  <c r="E209" i="4"/>
  <c r="F209" i="4"/>
  <c r="G209" i="4"/>
  <c r="H209" i="4"/>
  <c r="I209" i="4"/>
  <c r="J209" i="4"/>
  <c r="K209" i="4"/>
  <c r="B210" i="4"/>
  <c r="C210" i="4"/>
  <c r="D210" i="4"/>
  <c r="E210" i="4"/>
  <c r="F210" i="4"/>
  <c r="G210" i="4"/>
  <c r="H210" i="4"/>
  <c r="I210" i="4"/>
  <c r="J210" i="4"/>
  <c r="K210" i="4"/>
  <c r="B211" i="4"/>
  <c r="C211" i="4"/>
  <c r="D211" i="4"/>
  <c r="E211" i="4"/>
  <c r="F211" i="4"/>
  <c r="G211" i="4"/>
  <c r="H211" i="4"/>
  <c r="I211" i="4"/>
  <c r="J211" i="4"/>
  <c r="K211" i="4"/>
  <c r="B212" i="4"/>
  <c r="C212" i="4"/>
  <c r="D212" i="4"/>
  <c r="E212" i="4"/>
  <c r="F212" i="4"/>
  <c r="G212" i="4"/>
  <c r="H212" i="4"/>
  <c r="I212" i="4"/>
  <c r="J212" i="4"/>
  <c r="K212" i="4"/>
  <c r="B213" i="4"/>
  <c r="C213" i="4"/>
  <c r="D213" i="4"/>
  <c r="E213" i="4"/>
  <c r="F213" i="4"/>
  <c r="G213" i="4"/>
  <c r="H213" i="4"/>
  <c r="I213" i="4"/>
  <c r="J213" i="4"/>
  <c r="K213" i="4"/>
  <c r="B214" i="4"/>
  <c r="C214" i="4"/>
  <c r="D214" i="4"/>
  <c r="E214" i="4"/>
  <c r="F214" i="4"/>
  <c r="G214" i="4"/>
  <c r="H214" i="4"/>
  <c r="I214" i="4"/>
  <c r="J214" i="4"/>
  <c r="K214" i="4"/>
  <c r="B215" i="4"/>
  <c r="C215" i="4"/>
  <c r="D215" i="4"/>
  <c r="E215" i="4"/>
  <c r="F215" i="4"/>
  <c r="G215" i="4"/>
  <c r="H215" i="4"/>
  <c r="I215" i="4"/>
  <c r="J215" i="4"/>
  <c r="K215" i="4"/>
  <c r="B216" i="4"/>
  <c r="C216" i="4"/>
  <c r="D216" i="4"/>
  <c r="E216" i="4"/>
  <c r="F216" i="4"/>
  <c r="G216" i="4"/>
  <c r="H216" i="4"/>
  <c r="I216" i="4"/>
  <c r="J216" i="4"/>
  <c r="K216" i="4"/>
  <c r="B217" i="4"/>
  <c r="C217" i="4"/>
  <c r="D217" i="4"/>
  <c r="E217" i="4"/>
  <c r="F217" i="4"/>
  <c r="G217" i="4"/>
  <c r="H217" i="4"/>
  <c r="I217" i="4"/>
  <c r="J217" i="4"/>
  <c r="K217" i="4"/>
  <c r="B218" i="4"/>
  <c r="C218" i="4"/>
  <c r="D218" i="4"/>
  <c r="E218" i="4"/>
  <c r="F218" i="4"/>
  <c r="G218" i="4"/>
  <c r="H218" i="4"/>
  <c r="I218" i="4"/>
  <c r="J218" i="4"/>
  <c r="K218" i="4"/>
  <c r="B219" i="4"/>
  <c r="C219" i="4"/>
  <c r="D219" i="4"/>
  <c r="E219" i="4"/>
  <c r="F219" i="4"/>
  <c r="G219" i="4"/>
  <c r="H219" i="4"/>
  <c r="I219" i="4"/>
  <c r="J219" i="4"/>
  <c r="K219" i="4"/>
  <c r="B220" i="4"/>
  <c r="C220" i="4"/>
  <c r="D220" i="4"/>
  <c r="E220" i="4"/>
  <c r="F220" i="4"/>
  <c r="G220" i="4"/>
  <c r="H220" i="4"/>
  <c r="I220" i="4"/>
  <c r="J220" i="4"/>
  <c r="K220" i="4"/>
  <c r="B221" i="4"/>
  <c r="C221" i="4"/>
  <c r="D221" i="4"/>
  <c r="E221" i="4"/>
  <c r="F221" i="4"/>
  <c r="G221" i="4"/>
  <c r="H221" i="4"/>
  <c r="I221" i="4"/>
  <c r="J221" i="4"/>
  <c r="K221" i="4"/>
  <c r="B222" i="4"/>
  <c r="C222" i="4"/>
  <c r="D222" i="4"/>
  <c r="E222" i="4"/>
  <c r="F222" i="4"/>
  <c r="G222" i="4"/>
  <c r="H222" i="4"/>
  <c r="I222" i="4"/>
  <c r="J222" i="4"/>
  <c r="K222" i="4"/>
  <c r="B223" i="4"/>
  <c r="C223" i="4"/>
  <c r="D223" i="4"/>
  <c r="E223" i="4"/>
  <c r="F223" i="4"/>
  <c r="G223" i="4"/>
  <c r="H223" i="4"/>
  <c r="I223" i="4"/>
  <c r="J223" i="4"/>
  <c r="K223" i="4"/>
  <c r="B224" i="4"/>
  <c r="C224" i="4"/>
  <c r="D224" i="4"/>
  <c r="E224" i="4"/>
  <c r="F224" i="4"/>
  <c r="G224" i="4"/>
  <c r="H224" i="4"/>
  <c r="I224" i="4"/>
  <c r="J224" i="4"/>
  <c r="K224" i="4"/>
  <c r="B225" i="4"/>
  <c r="C225" i="4"/>
  <c r="D225" i="4"/>
  <c r="E225" i="4"/>
  <c r="F225" i="4"/>
  <c r="G225" i="4"/>
  <c r="H225" i="4"/>
  <c r="I225" i="4"/>
  <c r="J225" i="4"/>
  <c r="K225" i="4"/>
  <c r="B226" i="4"/>
  <c r="C226" i="4"/>
  <c r="D226" i="4"/>
  <c r="E226" i="4"/>
  <c r="F226" i="4"/>
  <c r="G226" i="4"/>
  <c r="H226" i="4"/>
  <c r="I226" i="4"/>
  <c r="J226" i="4"/>
  <c r="K226" i="4"/>
  <c r="B227" i="4"/>
  <c r="C227" i="4"/>
  <c r="D227" i="4"/>
  <c r="E227" i="4"/>
  <c r="F227" i="4"/>
  <c r="G227" i="4"/>
  <c r="H227" i="4"/>
  <c r="I227" i="4"/>
  <c r="J227" i="4"/>
  <c r="K227" i="4"/>
  <c r="B228" i="4"/>
  <c r="C228" i="4"/>
  <c r="D228" i="4"/>
  <c r="E228" i="4"/>
  <c r="F228" i="4"/>
  <c r="G228" i="4"/>
  <c r="H228" i="4"/>
  <c r="I228" i="4"/>
  <c r="J228" i="4"/>
  <c r="K228" i="4"/>
  <c r="B229" i="4"/>
  <c r="C229" i="4"/>
  <c r="D229" i="4"/>
  <c r="E229" i="4"/>
  <c r="F229" i="4"/>
  <c r="G229" i="4"/>
  <c r="H229" i="4"/>
  <c r="I229" i="4"/>
  <c r="J229" i="4"/>
  <c r="K229" i="4"/>
  <c r="B230" i="4"/>
  <c r="C230" i="4"/>
  <c r="D230" i="4"/>
  <c r="E230" i="4"/>
  <c r="F230" i="4"/>
  <c r="G230" i="4"/>
  <c r="H230" i="4"/>
  <c r="I230" i="4"/>
  <c r="J230" i="4"/>
  <c r="K230" i="4"/>
  <c r="B231" i="4"/>
  <c r="C231" i="4"/>
  <c r="D231" i="4"/>
  <c r="E231" i="4"/>
  <c r="F231" i="4"/>
  <c r="G231" i="4"/>
  <c r="H231" i="4"/>
  <c r="I231" i="4"/>
  <c r="J231" i="4"/>
  <c r="K231" i="4"/>
  <c r="B232" i="4"/>
  <c r="C232" i="4"/>
  <c r="D232" i="4"/>
  <c r="E232" i="4"/>
  <c r="F232" i="4"/>
  <c r="G232" i="4"/>
  <c r="H232" i="4"/>
  <c r="I232" i="4"/>
  <c r="J232" i="4"/>
  <c r="K232" i="4"/>
  <c r="B233" i="4"/>
  <c r="C233" i="4"/>
  <c r="D233" i="4"/>
  <c r="E233" i="4"/>
  <c r="F233" i="4"/>
  <c r="G233" i="4"/>
  <c r="H233" i="4"/>
  <c r="I233" i="4"/>
  <c r="J233" i="4"/>
  <c r="K233" i="4"/>
  <c r="B234" i="4"/>
  <c r="C234" i="4"/>
  <c r="D234" i="4"/>
  <c r="E234" i="4"/>
  <c r="F234" i="4"/>
  <c r="G234" i="4"/>
  <c r="H234" i="4"/>
  <c r="I234" i="4"/>
  <c r="J234" i="4"/>
  <c r="K234" i="4"/>
  <c r="B235" i="4"/>
  <c r="C235" i="4"/>
  <c r="D235" i="4"/>
  <c r="E235" i="4"/>
  <c r="F235" i="4"/>
  <c r="G235" i="4"/>
  <c r="H235" i="4"/>
  <c r="I235" i="4"/>
  <c r="J235" i="4"/>
  <c r="K235" i="4"/>
  <c r="B236" i="4"/>
  <c r="C236" i="4"/>
  <c r="D236" i="4"/>
  <c r="E236" i="4"/>
  <c r="F236" i="4"/>
  <c r="G236" i="4"/>
  <c r="H236" i="4"/>
  <c r="I236" i="4"/>
  <c r="J236" i="4"/>
  <c r="K236" i="4"/>
  <c r="B237" i="4"/>
  <c r="C237" i="4"/>
  <c r="D237" i="4"/>
  <c r="E237" i="4"/>
  <c r="F237" i="4"/>
  <c r="G237" i="4"/>
  <c r="H237" i="4"/>
  <c r="I237" i="4"/>
  <c r="J237" i="4"/>
  <c r="K237" i="4"/>
  <c r="B238" i="4"/>
  <c r="C238" i="4"/>
  <c r="D238" i="4"/>
  <c r="E238" i="4"/>
  <c r="F238" i="4"/>
  <c r="G238" i="4"/>
  <c r="H238" i="4"/>
  <c r="I238" i="4"/>
  <c r="J238" i="4"/>
  <c r="K238" i="4"/>
  <c r="B239" i="4"/>
  <c r="C239" i="4"/>
  <c r="D239" i="4"/>
  <c r="E239" i="4"/>
  <c r="F239" i="4"/>
  <c r="G239" i="4"/>
  <c r="H239" i="4"/>
  <c r="I239" i="4"/>
  <c r="J239" i="4"/>
  <c r="K239" i="4"/>
  <c r="B240" i="4"/>
  <c r="C240" i="4"/>
  <c r="D240" i="4"/>
  <c r="E240" i="4"/>
  <c r="F240" i="4"/>
  <c r="G240" i="4"/>
  <c r="H240" i="4"/>
  <c r="I240" i="4"/>
  <c r="J240" i="4"/>
  <c r="K240" i="4"/>
  <c r="B241" i="4"/>
  <c r="C241" i="4"/>
  <c r="D241" i="4"/>
  <c r="E241" i="4"/>
  <c r="F241" i="4"/>
  <c r="G241" i="4"/>
  <c r="H241" i="4"/>
  <c r="I241" i="4"/>
  <c r="J241" i="4"/>
  <c r="K241" i="4"/>
  <c r="B242" i="4"/>
  <c r="C242" i="4"/>
  <c r="D242" i="4"/>
  <c r="E242" i="4"/>
  <c r="F242" i="4"/>
  <c r="G242" i="4"/>
  <c r="H242" i="4"/>
  <c r="I242" i="4"/>
  <c r="J242" i="4"/>
  <c r="K242" i="4"/>
  <c r="B243" i="4"/>
  <c r="C243" i="4"/>
  <c r="D243" i="4"/>
  <c r="E243" i="4"/>
  <c r="F243" i="4"/>
  <c r="G243" i="4"/>
  <c r="H243" i="4"/>
  <c r="I243" i="4"/>
  <c r="J243" i="4"/>
  <c r="K243" i="4"/>
  <c r="B244" i="4"/>
  <c r="C244" i="4"/>
  <c r="D244" i="4"/>
  <c r="E244" i="4"/>
  <c r="F244" i="4"/>
  <c r="G244" i="4"/>
  <c r="H244" i="4"/>
  <c r="I244" i="4"/>
  <c r="J244" i="4"/>
  <c r="K244" i="4"/>
  <c r="B245" i="4"/>
  <c r="C245" i="4"/>
  <c r="D245" i="4"/>
  <c r="E245" i="4"/>
  <c r="F245" i="4"/>
  <c r="G245" i="4"/>
  <c r="H245" i="4"/>
  <c r="I245" i="4"/>
  <c r="J245" i="4"/>
  <c r="K245" i="4"/>
  <c r="B246" i="4"/>
  <c r="C246" i="4"/>
  <c r="D246" i="4"/>
  <c r="E246" i="4"/>
  <c r="F246" i="4"/>
  <c r="G246" i="4"/>
  <c r="H246" i="4"/>
  <c r="I246" i="4"/>
  <c r="J246" i="4"/>
  <c r="K246" i="4"/>
  <c r="B247" i="4"/>
  <c r="C247" i="4"/>
  <c r="D247" i="4"/>
  <c r="E247" i="4"/>
  <c r="F247" i="4"/>
  <c r="G247" i="4"/>
  <c r="H247" i="4"/>
  <c r="I247" i="4"/>
  <c r="J247" i="4"/>
  <c r="K247" i="4"/>
  <c r="B248" i="4"/>
  <c r="C248" i="4"/>
  <c r="D248" i="4"/>
  <c r="E248" i="4"/>
  <c r="F248" i="4"/>
  <c r="G248" i="4"/>
  <c r="H248" i="4"/>
  <c r="I248" i="4"/>
  <c r="J248" i="4"/>
  <c r="K248" i="4"/>
  <c r="B249" i="4"/>
  <c r="C249" i="4"/>
  <c r="D249" i="4"/>
  <c r="E249" i="4"/>
  <c r="F249" i="4"/>
  <c r="G249" i="4"/>
  <c r="H249" i="4"/>
  <c r="I249" i="4"/>
  <c r="J249" i="4"/>
  <c r="K249" i="4"/>
  <c r="B250" i="4"/>
  <c r="C250" i="4"/>
  <c r="D250" i="4"/>
  <c r="E250" i="4"/>
  <c r="F250" i="4"/>
  <c r="G250" i="4"/>
  <c r="H250" i="4"/>
  <c r="I250" i="4"/>
  <c r="J250" i="4"/>
  <c r="K250" i="4"/>
  <c r="B251" i="4"/>
  <c r="C251" i="4"/>
  <c r="D251" i="4"/>
  <c r="E251" i="4"/>
  <c r="F251" i="4"/>
  <c r="G251" i="4"/>
  <c r="H251" i="4"/>
  <c r="I251" i="4"/>
  <c r="J251" i="4"/>
  <c r="K251" i="4"/>
  <c r="B252" i="4"/>
  <c r="C252" i="4"/>
  <c r="D252" i="4"/>
  <c r="E252" i="4"/>
  <c r="F252" i="4"/>
  <c r="G252" i="4"/>
  <c r="H252" i="4"/>
  <c r="I252" i="4"/>
  <c r="J252" i="4"/>
  <c r="K252" i="4"/>
  <c r="B253" i="4"/>
  <c r="C253" i="4"/>
  <c r="D253" i="4"/>
  <c r="E253" i="4"/>
  <c r="F253" i="4"/>
  <c r="G253" i="4"/>
  <c r="H253" i="4"/>
  <c r="I253" i="4"/>
  <c r="J253" i="4"/>
  <c r="K253" i="4"/>
  <c r="B254" i="4"/>
  <c r="C254" i="4"/>
  <c r="D254" i="4"/>
  <c r="E254" i="4"/>
  <c r="F254" i="4"/>
  <c r="G254" i="4"/>
  <c r="H254" i="4"/>
  <c r="I254" i="4"/>
  <c r="J254" i="4"/>
  <c r="K254" i="4"/>
  <c r="B255" i="4"/>
  <c r="C255" i="4"/>
  <c r="D255" i="4"/>
  <c r="E255" i="4"/>
  <c r="F255" i="4"/>
  <c r="G255" i="4"/>
  <c r="H255" i="4"/>
  <c r="I255" i="4"/>
  <c r="J255" i="4"/>
  <c r="K255" i="4"/>
  <c r="B256" i="4"/>
  <c r="C256" i="4"/>
  <c r="D256" i="4"/>
  <c r="E256" i="4"/>
  <c r="F256" i="4"/>
  <c r="G256" i="4"/>
  <c r="H256" i="4"/>
  <c r="I256" i="4"/>
  <c r="J256" i="4"/>
  <c r="K256" i="4"/>
  <c r="B257" i="4"/>
  <c r="C257" i="4"/>
  <c r="D257" i="4"/>
  <c r="E257" i="4"/>
  <c r="F257" i="4"/>
  <c r="G257" i="4"/>
  <c r="H257" i="4"/>
  <c r="I257" i="4"/>
  <c r="J257" i="4"/>
  <c r="K257" i="4"/>
  <c r="B258" i="4"/>
  <c r="C258" i="4"/>
  <c r="D258" i="4"/>
  <c r="E258" i="4"/>
  <c r="F258" i="4"/>
  <c r="G258" i="4"/>
  <c r="H258" i="4"/>
  <c r="I258" i="4"/>
  <c r="J258" i="4"/>
  <c r="K258" i="4"/>
  <c r="B259" i="4"/>
  <c r="C259" i="4"/>
  <c r="D259" i="4"/>
  <c r="E259" i="4"/>
  <c r="F259" i="4"/>
  <c r="G259" i="4"/>
  <c r="H259" i="4"/>
  <c r="I259" i="4"/>
  <c r="J259" i="4"/>
  <c r="K259" i="4"/>
  <c r="B260" i="4"/>
  <c r="C260" i="4"/>
  <c r="D260" i="4"/>
  <c r="E260" i="4"/>
  <c r="F260" i="4"/>
  <c r="G260" i="4"/>
  <c r="H260" i="4"/>
  <c r="I260" i="4"/>
  <c r="J260" i="4"/>
  <c r="K260" i="4"/>
  <c r="B261" i="4"/>
  <c r="C261" i="4"/>
  <c r="D261" i="4"/>
  <c r="E261" i="4"/>
  <c r="F261" i="4"/>
  <c r="G261" i="4"/>
  <c r="H261" i="4"/>
  <c r="I261" i="4"/>
  <c r="J261" i="4"/>
  <c r="K261" i="4"/>
  <c r="B262" i="4"/>
  <c r="C262" i="4"/>
  <c r="D262" i="4"/>
  <c r="E262" i="4"/>
  <c r="F262" i="4"/>
  <c r="G262" i="4"/>
  <c r="H262" i="4"/>
  <c r="I262" i="4"/>
  <c r="J262" i="4"/>
  <c r="K262" i="4"/>
  <c r="B263" i="4"/>
  <c r="C263" i="4"/>
  <c r="D263" i="4"/>
  <c r="E263" i="4"/>
  <c r="F263" i="4"/>
  <c r="G263" i="4"/>
  <c r="H263" i="4"/>
  <c r="I263" i="4"/>
  <c r="J263" i="4"/>
  <c r="K263" i="4"/>
  <c r="B264" i="4"/>
  <c r="C264" i="4"/>
  <c r="D264" i="4"/>
  <c r="E264" i="4"/>
  <c r="F264" i="4"/>
  <c r="G264" i="4"/>
  <c r="H264" i="4"/>
  <c r="I264" i="4"/>
  <c r="J264" i="4"/>
  <c r="K264" i="4"/>
  <c r="B265" i="4"/>
  <c r="C265" i="4"/>
  <c r="D265" i="4"/>
  <c r="E265" i="4"/>
  <c r="F265" i="4"/>
  <c r="G265" i="4"/>
  <c r="H265" i="4"/>
  <c r="I265" i="4"/>
  <c r="J265" i="4"/>
  <c r="K265" i="4"/>
  <c r="B266" i="4"/>
  <c r="C266" i="4"/>
  <c r="D266" i="4"/>
  <c r="E266" i="4"/>
  <c r="F266" i="4"/>
  <c r="G266" i="4"/>
  <c r="H266" i="4"/>
  <c r="I266" i="4"/>
  <c r="J266" i="4"/>
  <c r="K266" i="4"/>
  <c r="B267" i="4"/>
  <c r="C267" i="4"/>
  <c r="D267" i="4"/>
  <c r="E267" i="4"/>
  <c r="F267" i="4"/>
  <c r="G267" i="4"/>
  <c r="H267" i="4"/>
  <c r="I267" i="4"/>
  <c r="J267" i="4"/>
  <c r="K267" i="4"/>
  <c r="B268" i="4"/>
  <c r="C268" i="4"/>
  <c r="D268" i="4"/>
  <c r="E268" i="4"/>
  <c r="F268" i="4"/>
  <c r="G268" i="4"/>
  <c r="H268" i="4"/>
  <c r="I268" i="4"/>
  <c r="J268" i="4"/>
  <c r="K268" i="4"/>
  <c r="B269" i="4"/>
  <c r="C269" i="4"/>
  <c r="D269" i="4"/>
  <c r="E269" i="4"/>
  <c r="F269" i="4"/>
  <c r="G269" i="4"/>
  <c r="H269" i="4"/>
  <c r="I269" i="4"/>
  <c r="J269" i="4"/>
  <c r="K269" i="4"/>
  <c r="B270" i="4"/>
  <c r="C270" i="4"/>
  <c r="D270" i="4"/>
  <c r="E270" i="4"/>
  <c r="F270" i="4"/>
  <c r="G270" i="4"/>
  <c r="H270" i="4"/>
  <c r="I270" i="4"/>
  <c r="J270" i="4"/>
  <c r="K270" i="4"/>
  <c r="B271" i="4"/>
  <c r="C271" i="4"/>
  <c r="D271" i="4"/>
  <c r="E271" i="4"/>
  <c r="F271" i="4"/>
  <c r="G271" i="4"/>
  <c r="H271" i="4"/>
  <c r="I271" i="4"/>
  <c r="J271" i="4"/>
  <c r="K271" i="4"/>
  <c r="B272" i="4"/>
  <c r="C272" i="4"/>
  <c r="D272" i="4"/>
  <c r="E272" i="4"/>
  <c r="F272" i="4"/>
  <c r="G272" i="4"/>
  <c r="H272" i="4"/>
  <c r="I272" i="4"/>
  <c r="J272" i="4"/>
  <c r="K272" i="4"/>
  <c r="B273" i="4"/>
  <c r="C273" i="4"/>
  <c r="D273" i="4"/>
  <c r="E273" i="4"/>
  <c r="F273" i="4"/>
  <c r="G273" i="4"/>
  <c r="H273" i="4"/>
  <c r="I273" i="4"/>
  <c r="J273" i="4"/>
  <c r="K273" i="4"/>
  <c r="B274" i="4"/>
  <c r="C274" i="4"/>
  <c r="D274" i="4"/>
  <c r="E274" i="4"/>
  <c r="F274" i="4"/>
  <c r="G274" i="4"/>
  <c r="H274" i="4"/>
  <c r="I274" i="4"/>
  <c r="J274" i="4"/>
  <c r="K274" i="4"/>
  <c r="B275" i="4"/>
  <c r="C275" i="4"/>
  <c r="D275" i="4"/>
  <c r="E275" i="4"/>
  <c r="F275" i="4"/>
  <c r="G275" i="4"/>
  <c r="H275" i="4"/>
  <c r="I275" i="4"/>
  <c r="J275" i="4"/>
  <c r="K275" i="4"/>
  <c r="B276" i="4"/>
  <c r="C276" i="4"/>
  <c r="D276" i="4"/>
  <c r="E276" i="4"/>
  <c r="F276" i="4"/>
  <c r="G276" i="4"/>
  <c r="H276" i="4"/>
  <c r="I276" i="4"/>
  <c r="J276" i="4"/>
  <c r="K276" i="4"/>
  <c r="B277" i="4"/>
  <c r="C277" i="4"/>
  <c r="D277" i="4"/>
  <c r="E277" i="4"/>
  <c r="F277" i="4"/>
  <c r="G277" i="4"/>
  <c r="H277" i="4"/>
  <c r="I277" i="4"/>
  <c r="J277" i="4"/>
  <c r="K277" i="4"/>
  <c r="B278" i="4"/>
  <c r="C278" i="4"/>
  <c r="D278" i="4"/>
  <c r="E278" i="4"/>
  <c r="F278" i="4"/>
  <c r="G278" i="4"/>
  <c r="H278" i="4"/>
  <c r="I278" i="4"/>
  <c r="J278" i="4"/>
  <c r="K278" i="4"/>
  <c r="B279" i="4"/>
  <c r="C279" i="4"/>
  <c r="D279" i="4"/>
  <c r="E279" i="4"/>
  <c r="F279" i="4"/>
  <c r="G279" i="4"/>
  <c r="H279" i="4"/>
  <c r="I279" i="4"/>
  <c r="J279" i="4"/>
  <c r="K279" i="4"/>
  <c r="B280" i="4"/>
  <c r="C280" i="4"/>
  <c r="D280" i="4"/>
  <c r="E280" i="4"/>
  <c r="F280" i="4"/>
  <c r="G280" i="4"/>
  <c r="H280" i="4"/>
  <c r="I280" i="4"/>
  <c r="J280" i="4"/>
  <c r="K280" i="4"/>
  <c r="B281" i="4"/>
  <c r="C281" i="4"/>
  <c r="D281" i="4"/>
  <c r="E281" i="4"/>
  <c r="F281" i="4"/>
  <c r="G281" i="4"/>
  <c r="H281" i="4"/>
  <c r="I281" i="4"/>
  <c r="J281" i="4"/>
  <c r="K281" i="4"/>
  <c r="B282" i="4"/>
  <c r="C282" i="4"/>
  <c r="D282" i="4"/>
  <c r="E282" i="4"/>
  <c r="F282" i="4"/>
  <c r="G282" i="4"/>
  <c r="H282" i="4"/>
  <c r="I282" i="4"/>
  <c r="J282" i="4"/>
  <c r="K282" i="4"/>
  <c r="B283" i="4"/>
  <c r="C283" i="4"/>
  <c r="D283" i="4"/>
  <c r="E283" i="4"/>
  <c r="F283" i="4"/>
  <c r="G283" i="4"/>
  <c r="H283" i="4"/>
  <c r="I283" i="4"/>
  <c r="J283" i="4"/>
  <c r="K283" i="4"/>
  <c r="B284" i="4"/>
  <c r="C284" i="4"/>
  <c r="D284" i="4"/>
  <c r="E284" i="4"/>
  <c r="F284" i="4"/>
  <c r="G284" i="4"/>
  <c r="H284" i="4"/>
  <c r="I284" i="4"/>
  <c r="J284" i="4"/>
  <c r="K284" i="4"/>
  <c r="B285" i="4"/>
  <c r="C285" i="4"/>
  <c r="D285" i="4"/>
  <c r="E285" i="4"/>
  <c r="F285" i="4"/>
  <c r="G285" i="4"/>
  <c r="H285" i="4"/>
  <c r="I285" i="4"/>
  <c r="J285" i="4"/>
  <c r="K285" i="4"/>
  <c r="B286" i="4"/>
  <c r="C286" i="4"/>
  <c r="D286" i="4"/>
  <c r="E286" i="4"/>
  <c r="F286" i="4"/>
  <c r="G286" i="4"/>
  <c r="H286" i="4"/>
  <c r="I286" i="4"/>
  <c r="J286" i="4"/>
  <c r="K286" i="4"/>
  <c r="B287" i="4"/>
  <c r="C287" i="4"/>
  <c r="D287" i="4"/>
  <c r="E287" i="4"/>
  <c r="F287" i="4"/>
  <c r="G287" i="4"/>
  <c r="H287" i="4"/>
  <c r="I287" i="4"/>
  <c r="J287" i="4"/>
  <c r="K287" i="4"/>
  <c r="B288" i="4"/>
  <c r="C288" i="4"/>
  <c r="D288" i="4"/>
  <c r="E288" i="4"/>
  <c r="F288" i="4"/>
  <c r="G288" i="4"/>
  <c r="H288" i="4"/>
  <c r="I288" i="4"/>
  <c r="J288" i="4"/>
  <c r="K288" i="4"/>
  <c r="B289" i="4"/>
  <c r="C289" i="4"/>
  <c r="D289" i="4"/>
  <c r="E289" i="4"/>
  <c r="F289" i="4"/>
  <c r="G289" i="4"/>
  <c r="H289" i="4"/>
  <c r="I289" i="4"/>
  <c r="J289" i="4"/>
  <c r="K289" i="4"/>
  <c r="B290" i="4"/>
  <c r="C290" i="4"/>
  <c r="D290" i="4"/>
  <c r="E290" i="4"/>
  <c r="F290" i="4"/>
  <c r="G290" i="4"/>
  <c r="H290" i="4"/>
  <c r="I290" i="4"/>
  <c r="J290" i="4"/>
  <c r="K290" i="4"/>
  <c r="B291" i="4"/>
  <c r="C291" i="4"/>
  <c r="D291" i="4"/>
  <c r="E291" i="4"/>
  <c r="F291" i="4"/>
  <c r="G291" i="4"/>
  <c r="H291" i="4"/>
  <c r="I291" i="4"/>
  <c r="J291" i="4"/>
  <c r="K291" i="4"/>
  <c r="B292" i="4"/>
  <c r="C292" i="4"/>
  <c r="D292" i="4"/>
  <c r="E292" i="4"/>
  <c r="F292" i="4"/>
  <c r="G292" i="4"/>
  <c r="H292" i="4"/>
  <c r="I292" i="4"/>
  <c r="J292" i="4"/>
  <c r="K292" i="4"/>
  <c r="B293" i="4"/>
  <c r="C293" i="4"/>
  <c r="D293" i="4"/>
  <c r="E293" i="4"/>
  <c r="F293" i="4"/>
  <c r="G293" i="4"/>
  <c r="H293" i="4"/>
  <c r="I293" i="4"/>
  <c r="J293" i="4"/>
  <c r="K293" i="4"/>
  <c r="B294" i="4"/>
  <c r="C294" i="4"/>
  <c r="D294" i="4"/>
  <c r="E294" i="4"/>
  <c r="F294" i="4"/>
  <c r="G294" i="4"/>
  <c r="H294" i="4"/>
  <c r="I294" i="4"/>
  <c r="J294" i="4"/>
  <c r="K294" i="4"/>
  <c r="B295" i="4"/>
  <c r="C295" i="4"/>
  <c r="D295" i="4"/>
  <c r="E295" i="4"/>
  <c r="F295" i="4"/>
  <c r="G295" i="4"/>
  <c r="H295" i="4"/>
  <c r="I295" i="4"/>
  <c r="J295" i="4"/>
  <c r="K295" i="4"/>
  <c r="B296" i="4"/>
  <c r="C296" i="4"/>
  <c r="D296" i="4"/>
  <c r="E296" i="4"/>
  <c r="F296" i="4"/>
  <c r="G296" i="4"/>
  <c r="H296" i="4"/>
  <c r="I296" i="4"/>
  <c r="J296" i="4"/>
  <c r="K296" i="4"/>
  <c r="B297" i="4"/>
  <c r="C297" i="4"/>
  <c r="D297" i="4"/>
  <c r="E297" i="4"/>
  <c r="F297" i="4"/>
  <c r="G297" i="4"/>
  <c r="H297" i="4"/>
  <c r="I297" i="4"/>
  <c r="J297" i="4"/>
  <c r="K297" i="4"/>
  <c r="B298" i="4"/>
  <c r="C298" i="4"/>
  <c r="D298" i="4"/>
  <c r="E298" i="4"/>
  <c r="F298" i="4"/>
  <c r="G298" i="4"/>
  <c r="H298" i="4"/>
  <c r="I298" i="4"/>
  <c r="J298" i="4"/>
  <c r="K298" i="4"/>
  <c r="B299" i="4"/>
  <c r="C299" i="4"/>
  <c r="D299" i="4"/>
  <c r="E299" i="4"/>
  <c r="F299" i="4"/>
  <c r="G299" i="4"/>
  <c r="H299" i="4"/>
  <c r="I299" i="4"/>
  <c r="J299" i="4"/>
  <c r="K299" i="4"/>
  <c r="B300" i="4"/>
  <c r="C300" i="4"/>
  <c r="D300" i="4"/>
  <c r="E300" i="4"/>
  <c r="F300" i="4"/>
  <c r="G300" i="4"/>
  <c r="H300" i="4"/>
  <c r="I300" i="4"/>
  <c r="J300" i="4"/>
  <c r="K300" i="4"/>
  <c r="B301" i="4"/>
  <c r="C301" i="4"/>
  <c r="D301" i="4"/>
  <c r="E301" i="4"/>
  <c r="F301" i="4"/>
  <c r="G301" i="4"/>
  <c r="H301" i="4"/>
  <c r="I301" i="4"/>
  <c r="J301" i="4"/>
  <c r="K301" i="4"/>
  <c r="B302" i="4"/>
  <c r="C302" i="4"/>
  <c r="D302" i="4"/>
  <c r="E302" i="4"/>
  <c r="F302" i="4"/>
  <c r="G302" i="4"/>
  <c r="H302" i="4"/>
  <c r="I302" i="4"/>
  <c r="J302" i="4"/>
  <c r="K302" i="4"/>
  <c r="B303" i="4"/>
  <c r="C303" i="4"/>
  <c r="D303" i="4"/>
  <c r="E303" i="4"/>
  <c r="F303" i="4"/>
  <c r="G303" i="4"/>
  <c r="H303" i="4"/>
  <c r="I303" i="4"/>
  <c r="J303" i="4"/>
  <c r="K303" i="4"/>
  <c r="B304" i="4"/>
  <c r="C304" i="4"/>
  <c r="D304" i="4"/>
  <c r="E304" i="4"/>
  <c r="F304" i="4"/>
  <c r="G304" i="4"/>
  <c r="H304" i="4"/>
  <c r="I304" i="4"/>
  <c r="J304" i="4"/>
  <c r="K304" i="4"/>
  <c r="B305" i="4"/>
  <c r="C305" i="4"/>
  <c r="D305" i="4"/>
  <c r="E305" i="4"/>
  <c r="F305" i="4"/>
  <c r="G305" i="4"/>
  <c r="H305" i="4"/>
  <c r="I305" i="4"/>
  <c r="J305" i="4"/>
  <c r="K305" i="4"/>
  <c r="B306" i="4"/>
  <c r="C306" i="4"/>
  <c r="D306" i="4"/>
  <c r="E306" i="4"/>
  <c r="F306" i="4"/>
  <c r="G306" i="4"/>
  <c r="H306" i="4"/>
  <c r="I306" i="4"/>
  <c r="J306" i="4"/>
  <c r="K306" i="4"/>
  <c r="B307" i="4"/>
  <c r="C307" i="4"/>
  <c r="D307" i="4"/>
  <c r="E307" i="4"/>
  <c r="F307" i="4"/>
  <c r="G307" i="4"/>
  <c r="H307" i="4"/>
  <c r="I307" i="4"/>
  <c r="J307" i="4"/>
  <c r="K307" i="4"/>
  <c r="B308" i="4"/>
  <c r="C308" i="4"/>
  <c r="D308" i="4"/>
  <c r="E308" i="4"/>
  <c r="F308" i="4"/>
  <c r="G308" i="4"/>
  <c r="H308" i="4"/>
  <c r="I308" i="4"/>
  <c r="J308" i="4"/>
  <c r="K308" i="4"/>
  <c r="B309" i="4"/>
  <c r="C309" i="4"/>
  <c r="D309" i="4"/>
  <c r="E309" i="4"/>
  <c r="F309" i="4"/>
  <c r="G309" i="4"/>
  <c r="H309" i="4"/>
  <c r="I309" i="4"/>
  <c r="J309" i="4"/>
  <c r="K309" i="4"/>
  <c r="B310" i="4"/>
  <c r="C310" i="4"/>
  <c r="D310" i="4"/>
  <c r="E310" i="4"/>
  <c r="F310" i="4"/>
  <c r="G310" i="4"/>
  <c r="H310" i="4"/>
  <c r="I310" i="4"/>
  <c r="J310" i="4"/>
  <c r="K310" i="4"/>
  <c r="B311" i="4"/>
  <c r="C311" i="4"/>
  <c r="D311" i="4"/>
  <c r="E311" i="4"/>
  <c r="F311" i="4"/>
  <c r="G311" i="4"/>
  <c r="H311" i="4"/>
  <c r="I311" i="4"/>
  <c r="J311" i="4"/>
  <c r="K311" i="4"/>
  <c r="B312" i="4"/>
  <c r="C312" i="4"/>
  <c r="D312" i="4"/>
  <c r="E312" i="4"/>
  <c r="F312" i="4"/>
  <c r="G312" i="4"/>
  <c r="H312" i="4"/>
  <c r="I312" i="4"/>
  <c r="J312" i="4"/>
  <c r="K312" i="4"/>
  <c r="B313" i="4"/>
  <c r="C313" i="4"/>
  <c r="D313" i="4"/>
  <c r="E313" i="4"/>
  <c r="F313" i="4"/>
  <c r="G313" i="4"/>
  <c r="H313" i="4"/>
  <c r="I313" i="4"/>
  <c r="J313" i="4"/>
  <c r="K313" i="4"/>
  <c r="B314" i="4"/>
  <c r="C314" i="4"/>
  <c r="D314" i="4"/>
  <c r="E314" i="4"/>
  <c r="F314" i="4"/>
  <c r="G314" i="4"/>
  <c r="H314" i="4"/>
  <c r="I314" i="4"/>
  <c r="J314" i="4"/>
  <c r="K314" i="4"/>
  <c r="B315" i="4"/>
  <c r="C315" i="4"/>
  <c r="D315" i="4"/>
  <c r="E315" i="4"/>
  <c r="F315" i="4"/>
  <c r="G315" i="4"/>
  <c r="H315" i="4"/>
  <c r="I315" i="4"/>
  <c r="J315" i="4"/>
  <c r="K315" i="4"/>
  <c r="B316" i="4"/>
  <c r="C316" i="4"/>
  <c r="D316" i="4"/>
  <c r="E316" i="4"/>
  <c r="F316" i="4"/>
  <c r="G316" i="4"/>
  <c r="H316" i="4"/>
  <c r="I316" i="4"/>
  <c r="J316" i="4"/>
  <c r="K316" i="4"/>
  <c r="B317" i="4"/>
  <c r="C317" i="4"/>
  <c r="D317" i="4"/>
  <c r="E317" i="4"/>
  <c r="F317" i="4"/>
  <c r="G317" i="4"/>
  <c r="H317" i="4"/>
  <c r="I317" i="4"/>
  <c r="J317" i="4"/>
  <c r="K317" i="4"/>
  <c r="B318" i="4"/>
  <c r="C318" i="4"/>
  <c r="D318" i="4"/>
  <c r="E318" i="4"/>
  <c r="F318" i="4"/>
  <c r="G318" i="4"/>
  <c r="H318" i="4"/>
  <c r="I318" i="4"/>
  <c r="J318" i="4"/>
  <c r="K318" i="4"/>
  <c r="B319" i="4"/>
  <c r="C319" i="4"/>
  <c r="D319" i="4"/>
  <c r="E319" i="4"/>
  <c r="F319" i="4"/>
  <c r="G319" i="4"/>
  <c r="H319" i="4"/>
  <c r="I319" i="4"/>
  <c r="J319" i="4"/>
  <c r="K319" i="4"/>
  <c r="B320" i="4"/>
  <c r="C320" i="4"/>
  <c r="D320" i="4"/>
  <c r="E320" i="4"/>
  <c r="F320" i="4"/>
  <c r="G320" i="4"/>
  <c r="H320" i="4"/>
  <c r="I320" i="4"/>
  <c r="J320" i="4"/>
  <c r="K320" i="4"/>
  <c r="B321" i="4"/>
  <c r="C321" i="4"/>
  <c r="D321" i="4"/>
  <c r="E321" i="4"/>
  <c r="F321" i="4"/>
  <c r="G321" i="4"/>
  <c r="H321" i="4"/>
  <c r="I321" i="4"/>
  <c r="J321" i="4"/>
  <c r="K321" i="4"/>
  <c r="B322" i="4"/>
  <c r="C322" i="4"/>
  <c r="D322" i="4"/>
  <c r="E322" i="4"/>
  <c r="F322" i="4"/>
  <c r="G322" i="4"/>
  <c r="H322" i="4"/>
  <c r="I322" i="4"/>
  <c r="J322" i="4"/>
  <c r="K322" i="4"/>
  <c r="B323" i="4"/>
  <c r="C323" i="4"/>
  <c r="D323" i="4"/>
  <c r="E323" i="4"/>
  <c r="F323" i="4"/>
  <c r="G323" i="4"/>
  <c r="H323" i="4"/>
  <c r="I323" i="4"/>
  <c r="J323" i="4"/>
  <c r="K323" i="4"/>
  <c r="B324" i="4"/>
  <c r="C324" i="4"/>
  <c r="D324" i="4"/>
  <c r="E324" i="4"/>
  <c r="F324" i="4"/>
  <c r="G324" i="4"/>
  <c r="H324" i="4"/>
  <c r="I324" i="4"/>
  <c r="J324" i="4"/>
  <c r="K324" i="4"/>
  <c r="B325" i="4"/>
  <c r="C325" i="4"/>
  <c r="D325" i="4"/>
  <c r="E325" i="4"/>
  <c r="F325" i="4"/>
  <c r="G325" i="4"/>
  <c r="H325" i="4"/>
  <c r="I325" i="4"/>
  <c r="J325" i="4"/>
  <c r="K325" i="4"/>
  <c r="B326" i="4"/>
  <c r="C326" i="4"/>
  <c r="D326" i="4"/>
  <c r="E326" i="4"/>
  <c r="F326" i="4"/>
  <c r="G326" i="4"/>
  <c r="H326" i="4"/>
  <c r="I326" i="4"/>
  <c r="J326" i="4"/>
  <c r="K326" i="4"/>
  <c r="B327" i="4"/>
  <c r="C327" i="4"/>
  <c r="D327" i="4"/>
  <c r="E327" i="4"/>
  <c r="F327" i="4"/>
  <c r="G327" i="4"/>
  <c r="H327" i="4"/>
  <c r="I327" i="4"/>
  <c r="J327" i="4"/>
  <c r="K327" i="4"/>
  <c r="B328" i="4"/>
  <c r="C328" i="4"/>
  <c r="D328" i="4"/>
  <c r="E328" i="4"/>
  <c r="F328" i="4"/>
  <c r="G328" i="4"/>
  <c r="H328" i="4"/>
  <c r="I328" i="4"/>
  <c r="J328" i="4"/>
  <c r="K328" i="4"/>
  <c r="B329" i="4"/>
  <c r="C329" i="4"/>
  <c r="D329" i="4"/>
  <c r="E329" i="4"/>
  <c r="F329" i="4"/>
  <c r="G329" i="4"/>
  <c r="H329" i="4"/>
  <c r="I329" i="4"/>
  <c r="J329" i="4"/>
  <c r="K329" i="4"/>
  <c r="B330" i="4"/>
  <c r="C330" i="4"/>
  <c r="D330" i="4"/>
  <c r="E330" i="4"/>
  <c r="F330" i="4"/>
  <c r="G330" i="4"/>
  <c r="H330" i="4"/>
  <c r="I330" i="4"/>
  <c r="J330" i="4"/>
  <c r="K330" i="4"/>
  <c r="B331" i="4"/>
  <c r="C331" i="4"/>
  <c r="D331" i="4"/>
  <c r="E331" i="4"/>
  <c r="F331" i="4"/>
  <c r="G331" i="4"/>
  <c r="H331" i="4"/>
  <c r="I331" i="4"/>
  <c r="J331" i="4"/>
  <c r="K331" i="4"/>
  <c r="B332" i="4"/>
  <c r="C332" i="4"/>
  <c r="D332" i="4"/>
  <c r="E332" i="4"/>
  <c r="F332" i="4"/>
  <c r="G332" i="4"/>
  <c r="H332" i="4"/>
  <c r="I332" i="4"/>
  <c r="J332" i="4"/>
  <c r="K332" i="4"/>
  <c r="B333" i="4"/>
  <c r="C333" i="4"/>
  <c r="D333" i="4"/>
  <c r="E333" i="4"/>
  <c r="F333" i="4"/>
  <c r="G333" i="4"/>
  <c r="H333" i="4"/>
  <c r="I333" i="4"/>
  <c r="J333" i="4"/>
  <c r="K333" i="4"/>
  <c r="B334" i="4"/>
  <c r="C334" i="4"/>
  <c r="D334" i="4"/>
  <c r="E334" i="4"/>
  <c r="F334" i="4"/>
  <c r="G334" i="4"/>
  <c r="H334" i="4"/>
  <c r="I334" i="4"/>
  <c r="J334" i="4"/>
  <c r="K334" i="4"/>
  <c r="B335" i="4"/>
  <c r="C335" i="4"/>
  <c r="D335" i="4"/>
  <c r="E335" i="4"/>
  <c r="F335" i="4"/>
  <c r="G335" i="4"/>
  <c r="H335" i="4"/>
  <c r="I335" i="4"/>
  <c r="J335" i="4"/>
  <c r="K335" i="4"/>
  <c r="B336" i="4"/>
  <c r="C336" i="4"/>
  <c r="D336" i="4"/>
  <c r="E336" i="4"/>
  <c r="F336" i="4"/>
  <c r="G336" i="4"/>
  <c r="H336" i="4"/>
  <c r="I336" i="4"/>
  <c r="J336" i="4"/>
  <c r="K336" i="4"/>
  <c r="B337" i="4"/>
  <c r="C337" i="4"/>
  <c r="D337" i="4"/>
  <c r="E337" i="4"/>
  <c r="F337" i="4"/>
  <c r="G337" i="4"/>
  <c r="H337" i="4"/>
  <c r="I337" i="4"/>
  <c r="J337" i="4"/>
  <c r="K337" i="4"/>
  <c r="B338" i="4"/>
  <c r="C338" i="4"/>
  <c r="D338" i="4"/>
  <c r="E338" i="4"/>
  <c r="F338" i="4"/>
  <c r="G338" i="4"/>
  <c r="H338" i="4"/>
  <c r="I338" i="4"/>
  <c r="J338" i="4"/>
  <c r="K338" i="4"/>
  <c r="B339" i="4"/>
  <c r="C339" i="4"/>
  <c r="D339" i="4"/>
  <c r="E339" i="4"/>
  <c r="F339" i="4"/>
  <c r="G339" i="4"/>
  <c r="H339" i="4"/>
  <c r="I339" i="4"/>
  <c r="J339" i="4"/>
  <c r="K339" i="4"/>
  <c r="B340" i="4"/>
  <c r="C340" i="4"/>
  <c r="D340" i="4"/>
  <c r="E340" i="4"/>
  <c r="F340" i="4"/>
  <c r="G340" i="4"/>
  <c r="H340" i="4"/>
  <c r="I340" i="4"/>
  <c r="J340" i="4"/>
  <c r="K340" i="4"/>
  <c r="B341" i="4"/>
  <c r="C341" i="4"/>
  <c r="D341" i="4"/>
  <c r="E341" i="4"/>
  <c r="F341" i="4"/>
  <c r="G341" i="4"/>
  <c r="H341" i="4"/>
  <c r="I341" i="4"/>
  <c r="J341" i="4"/>
  <c r="K341" i="4"/>
  <c r="B342" i="4"/>
  <c r="C342" i="4"/>
  <c r="D342" i="4"/>
  <c r="E342" i="4"/>
  <c r="F342" i="4"/>
  <c r="G342" i="4"/>
  <c r="H342" i="4"/>
  <c r="I342" i="4"/>
  <c r="J342" i="4"/>
  <c r="K342" i="4"/>
  <c r="B343" i="4"/>
  <c r="C343" i="4"/>
  <c r="D343" i="4"/>
  <c r="E343" i="4"/>
  <c r="F343" i="4"/>
  <c r="G343" i="4"/>
  <c r="H343" i="4"/>
  <c r="I343" i="4"/>
  <c r="J343" i="4"/>
  <c r="K343" i="4"/>
  <c r="B344" i="4"/>
  <c r="C344" i="4"/>
  <c r="D344" i="4"/>
  <c r="E344" i="4"/>
  <c r="F344" i="4"/>
  <c r="G344" i="4"/>
  <c r="H344" i="4"/>
  <c r="I344" i="4"/>
  <c r="J344" i="4"/>
  <c r="K344" i="4"/>
  <c r="B345" i="4"/>
  <c r="C345" i="4"/>
  <c r="D345" i="4"/>
  <c r="E345" i="4"/>
  <c r="F345" i="4"/>
  <c r="G345" i="4"/>
  <c r="H345" i="4"/>
  <c r="I345" i="4"/>
  <c r="J345" i="4"/>
  <c r="K345" i="4"/>
  <c r="B346" i="4"/>
  <c r="C346" i="4"/>
  <c r="D346" i="4"/>
  <c r="E346" i="4"/>
  <c r="F346" i="4"/>
  <c r="G346" i="4"/>
  <c r="H346" i="4"/>
  <c r="I346" i="4"/>
  <c r="J346" i="4"/>
  <c r="K346" i="4"/>
  <c r="B347" i="4"/>
  <c r="C347" i="4"/>
  <c r="D347" i="4"/>
  <c r="E347" i="4"/>
  <c r="F347" i="4"/>
  <c r="G347" i="4"/>
  <c r="H347" i="4"/>
  <c r="I347" i="4"/>
  <c r="J347" i="4"/>
  <c r="K347" i="4"/>
  <c r="B348" i="4"/>
  <c r="C348" i="4"/>
  <c r="D348" i="4"/>
  <c r="E348" i="4"/>
  <c r="F348" i="4"/>
  <c r="G348" i="4"/>
  <c r="H348" i="4"/>
  <c r="I348" i="4"/>
  <c r="J348" i="4"/>
  <c r="K348" i="4"/>
  <c r="B349" i="4"/>
  <c r="C349" i="4"/>
  <c r="D349" i="4"/>
  <c r="E349" i="4"/>
  <c r="F349" i="4"/>
  <c r="G349" i="4"/>
  <c r="H349" i="4"/>
  <c r="I349" i="4"/>
  <c r="J349" i="4"/>
  <c r="K349" i="4"/>
  <c r="B350" i="4"/>
  <c r="C350" i="4"/>
  <c r="D350" i="4"/>
  <c r="E350" i="4"/>
  <c r="F350" i="4"/>
  <c r="G350" i="4"/>
  <c r="H350" i="4"/>
  <c r="I350" i="4"/>
  <c r="J350" i="4"/>
  <c r="K350" i="4"/>
  <c r="B351" i="4"/>
  <c r="C351" i="4"/>
  <c r="D351" i="4"/>
  <c r="E351" i="4"/>
  <c r="F351" i="4"/>
  <c r="G351" i="4"/>
  <c r="H351" i="4"/>
  <c r="I351" i="4"/>
  <c r="J351" i="4"/>
  <c r="K351" i="4"/>
  <c r="B352" i="4"/>
  <c r="C352" i="4"/>
  <c r="D352" i="4"/>
  <c r="E352" i="4"/>
  <c r="F352" i="4"/>
  <c r="G352" i="4"/>
  <c r="H352" i="4"/>
  <c r="I352" i="4"/>
  <c r="J352" i="4"/>
  <c r="K352" i="4"/>
  <c r="B353" i="4"/>
  <c r="C353" i="4"/>
  <c r="D353" i="4"/>
  <c r="E353" i="4"/>
  <c r="F353" i="4"/>
  <c r="G353" i="4"/>
  <c r="H353" i="4"/>
  <c r="I353" i="4"/>
  <c r="J353" i="4"/>
  <c r="K353" i="4"/>
  <c r="B354" i="4"/>
  <c r="C354" i="4"/>
  <c r="D354" i="4"/>
  <c r="E354" i="4"/>
  <c r="F354" i="4"/>
  <c r="G354" i="4"/>
  <c r="H354" i="4"/>
  <c r="I354" i="4"/>
  <c r="J354" i="4"/>
  <c r="K354" i="4"/>
  <c r="B355" i="4"/>
  <c r="C355" i="4"/>
  <c r="D355" i="4"/>
  <c r="E355" i="4"/>
  <c r="F355" i="4"/>
  <c r="G355" i="4"/>
  <c r="H355" i="4"/>
  <c r="I355" i="4"/>
  <c r="J355" i="4"/>
  <c r="K355" i="4"/>
  <c r="B356" i="4"/>
  <c r="C356" i="4"/>
  <c r="D356" i="4"/>
  <c r="E356" i="4"/>
  <c r="F356" i="4"/>
  <c r="G356" i="4"/>
  <c r="H356" i="4"/>
  <c r="I356" i="4"/>
  <c r="J356" i="4"/>
  <c r="K356" i="4"/>
  <c r="B357" i="4"/>
  <c r="C357" i="4"/>
  <c r="D357" i="4"/>
  <c r="E357" i="4"/>
  <c r="F357" i="4"/>
  <c r="G357" i="4"/>
  <c r="H357" i="4"/>
  <c r="I357" i="4"/>
  <c r="J357" i="4"/>
  <c r="K357" i="4"/>
  <c r="B358" i="4"/>
  <c r="C358" i="4"/>
  <c r="D358" i="4"/>
  <c r="E358" i="4"/>
  <c r="F358" i="4"/>
  <c r="G358" i="4"/>
  <c r="H358" i="4"/>
  <c r="I358" i="4"/>
  <c r="J358" i="4"/>
  <c r="K358" i="4"/>
  <c r="B359" i="4"/>
  <c r="C359" i="4"/>
  <c r="D359" i="4"/>
  <c r="E359" i="4"/>
  <c r="F359" i="4"/>
  <c r="G359" i="4"/>
  <c r="H359" i="4"/>
  <c r="I359" i="4"/>
  <c r="J359" i="4"/>
  <c r="K359" i="4"/>
  <c r="B360" i="4"/>
  <c r="C360" i="4"/>
  <c r="D360" i="4"/>
  <c r="E360" i="4"/>
  <c r="F360" i="4"/>
  <c r="G360" i="4"/>
  <c r="H360" i="4"/>
  <c r="I360" i="4"/>
  <c r="J360" i="4"/>
  <c r="K360" i="4"/>
  <c r="B361" i="4"/>
  <c r="C361" i="4"/>
  <c r="D361" i="4"/>
  <c r="E361" i="4"/>
  <c r="F361" i="4"/>
  <c r="G361" i="4"/>
  <c r="H361" i="4"/>
  <c r="I361" i="4"/>
  <c r="J361" i="4"/>
  <c r="K361" i="4"/>
  <c r="B362" i="4"/>
  <c r="C362" i="4"/>
  <c r="D362" i="4"/>
  <c r="E362" i="4"/>
  <c r="F362" i="4"/>
  <c r="G362" i="4"/>
  <c r="H362" i="4"/>
  <c r="I362" i="4"/>
  <c r="J362" i="4"/>
  <c r="K362" i="4"/>
  <c r="B363" i="4"/>
  <c r="C363" i="4"/>
  <c r="D363" i="4"/>
  <c r="E363" i="4"/>
  <c r="F363" i="4"/>
  <c r="G363" i="4"/>
  <c r="H363" i="4"/>
  <c r="I363" i="4"/>
  <c r="J363" i="4"/>
  <c r="K363" i="4"/>
  <c r="B364" i="4"/>
  <c r="C364" i="4"/>
  <c r="D364" i="4"/>
  <c r="E364" i="4"/>
  <c r="F364" i="4"/>
  <c r="G364" i="4"/>
  <c r="H364" i="4"/>
  <c r="I364" i="4"/>
  <c r="J364" i="4"/>
  <c r="K364" i="4"/>
  <c r="B365" i="4"/>
  <c r="C365" i="4"/>
  <c r="D365" i="4"/>
  <c r="E365" i="4"/>
  <c r="F365" i="4"/>
  <c r="G365" i="4"/>
  <c r="H365" i="4"/>
  <c r="I365" i="4"/>
  <c r="J365" i="4"/>
  <c r="K365" i="4"/>
  <c r="B366" i="4"/>
  <c r="C366" i="4"/>
  <c r="D366" i="4"/>
  <c r="E366" i="4"/>
  <c r="F366" i="4"/>
  <c r="G366" i="4"/>
  <c r="H366" i="4"/>
  <c r="I366" i="4"/>
  <c r="J366" i="4"/>
  <c r="K366" i="4"/>
  <c r="B367" i="4"/>
  <c r="C367" i="4"/>
  <c r="D367" i="4"/>
  <c r="E367" i="4"/>
  <c r="F367" i="4"/>
  <c r="G367" i="4"/>
  <c r="H367" i="4"/>
  <c r="I367" i="4"/>
  <c r="J367" i="4"/>
  <c r="K367" i="4"/>
  <c r="B368" i="4"/>
  <c r="C368" i="4"/>
  <c r="D368" i="4"/>
  <c r="E368" i="4"/>
  <c r="F368" i="4"/>
  <c r="G368" i="4"/>
  <c r="H368" i="4"/>
  <c r="I368" i="4"/>
  <c r="J368" i="4"/>
  <c r="K368" i="4"/>
  <c r="B369" i="4"/>
  <c r="C369" i="4"/>
  <c r="D369" i="4"/>
  <c r="E369" i="4"/>
  <c r="F369" i="4"/>
  <c r="G369" i="4"/>
  <c r="H369" i="4"/>
  <c r="I369" i="4"/>
  <c r="J369" i="4"/>
  <c r="K369" i="4"/>
  <c r="B370" i="4"/>
  <c r="C370" i="4"/>
  <c r="D370" i="4"/>
  <c r="E370" i="4"/>
  <c r="F370" i="4"/>
  <c r="G370" i="4"/>
  <c r="H370" i="4"/>
  <c r="I370" i="4"/>
  <c r="J370" i="4"/>
  <c r="K370" i="4"/>
  <c r="B371" i="4"/>
  <c r="C371" i="4"/>
  <c r="D371" i="4"/>
  <c r="E371" i="4"/>
  <c r="F371" i="4"/>
  <c r="G371" i="4"/>
  <c r="H371" i="4"/>
  <c r="I371" i="4"/>
  <c r="J371" i="4"/>
  <c r="K371" i="4"/>
  <c r="B372" i="4"/>
  <c r="C372" i="4"/>
  <c r="D372" i="4"/>
  <c r="E372" i="4"/>
  <c r="F372" i="4"/>
  <c r="G372" i="4"/>
  <c r="H372" i="4"/>
  <c r="I372" i="4"/>
  <c r="J372" i="4"/>
  <c r="K372" i="4"/>
  <c r="B373" i="4"/>
  <c r="C373" i="4"/>
  <c r="D373" i="4"/>
  <c r="E373" i="4"/>
  <c r="F373" i="4"/>
  <c r="G373" i="4"/>
  <c r="H373" i="4"/>
  <c r="I373" i="4"/>
  <c r="J373" i="4"/>
  <c r="K373" i="4"/>
  <c r="B374" i="4"/>
  <c r="C374" i="4"/>
  <c r="D374" i="4"/>
  <c r="E374" i="4"/>
  <c r="F374" i="4"/>
  <c r="G374" i="4"/>
  <c r="H374" i="4"/>
  <c r="I374" i="4"/>
  <c r="J374" i="4"/>
  <c r="K374" i="4"/>
  <c r="B375" i="4"/>
  <c r="C375" i="4"/>
  <c r="D375" i="4"/>
  <c r="E375" i="4"/>
  <c r="F375" i="4"/>
  <c r="G375" i="4"/>
  <c r="H375" i="4"/>
  <c r="I375" i="4"/>
  <c r="J375" i="4"/>
  <c r="K375" i="4"/>
  <c r="B376" i="4"/>
  <c r="C376" i="4"/>
  <c r="D376" i="4"/>
  <c r="E376" i="4"/>
  <c r="F376" i="4"/>
  <c r="G376" i="4"/>
  <c r="H376" i="4"/>
  <c r="I376" i="4"/>
  <c r="J376" i="4"/>
  <c r="K376" i="4"/>
  <c r="B377" i="4"/>
  <c r="C377" i="4"/>
  <c r="D377" i="4"/>
  <c r="E377" i="4"/>
  <c r="F377" i="4"/>
  <c r="G377" i="4"/>
  <c r="H377" i="4"/>
  <c r="I377" i="4"/>
  <c r="J377" i="4"/>
  <c r="K377" i="4"/>
  <c r="B378" i="4"/>
  <c r="C378" i="4"/>
  <c r="D378" i="4"/>
  <c r="E378" i="4"/>
  <c r="F378" i="4"/>
  <c r="G378" i="4"/>
  <c r="H378" i="4"/>
  <c r="I378" i="4"/>
  <c r="J378" i="4"/>
  <c r="K378" i="4"/>
  <c r="B379" i="4"/>
  <c r="C379" i="4"/>
  <c r="D379" i="4"/>
  <c r="E379" i="4"/>
  <c r="F379" i="4"/>
  <c r="G379" i="4"/>
  <c r="H379" i="4"/>
  <c r="I379" i="4"/>
  <c r="J379" i="4"/>
  <c r="K379" i="4"/>
  <c r="B380" i="4"/>
  <c r="C380" i="4"/>
  <c r="D380" i="4"/>
  <c r="E380" i="4"/>
  <c r="F380" i="4"/>
  <c r="G380" i="4"/>
  <c r="H380" i="4"/>
  <c r="I380" i="4"/>
  <c r="J380" i="4"/>
  <c r="K380" i="4"/>
  <c r="B381" i="4"/>
  <c r="C381" i="4"/>
  <c r="D381" i="4"/>
  <c r="E381" i="4"/>
  <c r="F381" i="4"/>
  <c r="G381" i="4"/>
  <c r="H381" i="4"/>
  <c r="I381" i="4"/>
  <c r="J381" i="4"/>
  <c r="K381" i="4"/>
  <c r="B382" i="4"/>
  <c r="C382" i="4"/>
  <c r="D382" i="4"/>
  <c r="E382" i="4"/>
  <c r="F382" i="4"/>
  <c r="G382" i="4"/>
  <c r="H382" i="4"/>
  <c r="I382" i="4"/>
  <c r="J382" i="4"/>
  <c r="K382" i="4"/>
  <c r="B383" i="4"/>
  <c r="C383" i="4"/>
  <c r="D383" i="4"/>
  <c r="E383" i="4"/>
  <c r="F383" i="4"/>
  <c r="G383" i="4"/>
  <c r="H383" i="4"/>
  <c r="I383" i="4"/>
  <c r="J383" i="4"/>
  <c r="K383" i="4"/>
  <c r="B384" i="4"/>
  <c r="C384" i="4"/>
  <c r="D384" i="4"/>
  <c r="E384" i="4"/>
  <c r="F384" i="4"/>
  <c r="G384" i="4"/>
  <c r="H384" i="4"/>
  <c r="I384" i="4"/>
  <c r="J384" i="4"/>
  <c r="K384" i="4"/>
  <c r="B385" i="4"/>
  <c r="C385" i="4"/>
  <c r="D385" i="4"/>
  <c r="E385" i="4"/>
  <c r="F385" i="4"/>
  <c r="G385" i="4"/>
  <c r="H385" i="4"/>
  <c r="I385" i="4"/>
  <c r="J385" i="4"/>
  <c r="K385" i="4"/>
  <c r="B386" i="4"/>
  <c r="C386" i="4"/>
  <c r="D386" i="4"/>
  <c r="E386" i="4"/>
  <c r="F386" i="4"/>
  <c r="G386" i="4"/>
  <c r="H386" i="4"/>
  <c r="I386" i="4"/>
  <c r="J386" i="4"/>
  <c r="K386" i="4"/>
  <c r="B387" i="4"/>
  <c r="C387" i="4"/>
  <c r="D387" i="4"/>
  <c r="E387" i="4"/>
  <c r="F387" i="4"/>
  <c r="G387" i="4"/>
  <c r="H387" i="4"/>
  <c r="I387" i="4"/>
  <c r="J387" i="4"/>
  <c r="K387" i="4"/>
  <c r="B388" i="4"/>
  <c r="C388" i="4"/>
  <c r="D388" i="4"/>
  <c r="E388" i="4"/>
  <c r="F388" i="4"/>
  <c r="G388" i="4"/>
  <c r="H388" i="4"/>
  <c r="I388" i="4"/>
  <c r="J388" i="4"/>
  <c r="K388" i="4"/>
  <c r="B389" i="4"/>
  <c r="C389" i="4"/>
  <c r="D389" i="4"/>
  <c r="E389" i="4"/>
  <c r="F389" i="4"/>
  <c r="G389" i="4"/>
  <c r="H389" i="4"/>
  <c r="I389" i="4"/>
  <c r="J389" i="4"/>
  <c r="K389" i="4"/>
  <c r="B390" i="4"/>
  <c r="C390" i="4"/>
  <c r="D390" i="4"/>
  <c r="E390" i="4"/>
  <c r="F390" i="4"/>
  <c r="G390" i="4"/>
  <c r="H390" i="4"/>
  <c r="I390" i="4"/>
  <c r="J390" i="4"/>
  <c r="K390" i="4"/>
  <c r="B391" i="4"/>
  <c r="C391" i="4"/>
  <c r="D391" i="4"/>
  <c r="E391" i="4"/>
  <c r="F391" i="4"/>
  <c r="G391" i="4"/>
  <c r="H391" i="4"/>
  <c r="I391" i="4"/>
  <c r="J391" i="4"/>
  <c r="K391" i="4"/>
  <c r="B392" i="4"/>
  <c r="C392" i="4"/>
  <c r="D392" i="4"/>
  <c r="E392" i="4"/>
  <c r="F392" i="4"/>
  <c r="G392" i="4"/>
  <c r="H392" i="4"/>
  <c r="I392" i="4"/>
  <c r="J392" i="4"/>
  <c r="K392" i="4"/>
  <c r="B393" i="4"/>
  <c r="C393" i="4"/>
  <c r="D393" i="4"/>
  <c r="E393" i="4"/>
  <c r="F393" i="4"/>
  <c r="G393" i="4"/>
  <c r="H393" i="4"/>
  <c r="I393" i="4"/>
  <c r="J393" i="4"/>
  <c r="K393" i="4"/>
  <c r="B394" i="4"/>
  <c r="C394" i="4"/>
  <c r="D394" i="4"/>
  <c r="E394" i="4"/>
  <c r="F394" i="4"/>
  <c r="G394" i="4"/>
  <c r="H394" i="4"/>
  <c r="I394" i="4"/>
  <c r="J394" i="4"/>
  <c r="K394" i="4"/>
  <c r="B395" i="4"/>
  <c r="C395" i="4"/>
  <c r="D395" i="4"/>
  <c r="E395" i="4"/>
  <c r="F395" i="4"/>
  <c r="G395" i="4"/>
  <c r="H395" i="4"/>
  <c r="I395" i="4"/>
  <c r="J395" i="4"/>
  <c r="K395" i="4"/>
  <c r="B396" i="4"/>
  <c r="C396" i="4"/>
  <c r="D396" i="4"/>
  <c r="E396" i="4"/>
  <c r="F396" i="4"/>
  <c r="G396" i="4"/>
  <c r="H396" i="4"/>
  <c r="I396" i="4"/>
  <c r="J396" i="4"/>
  <c r="K396" i="4"/>
  <c r="B397" i="4"/>
  <c r="C397" i="4"/>
  <c r="D397" i="4"/>
  <c r="E397" i="4"/>
  <c r="F397" i="4"/>
  <c r="G397" i="4"/>
  <c r="H397" i="4"/>
  <c r="I397" i="4"/>
  <c r="J397" i="4"/>
  <c r="K397" i="4"/>
  <c r="B398" i="4"/>
  <c r="C398" i="4"/>
  <c r="D398" i="4"/>
  <c r="E398" i="4"/>
  <c r="F398" i="4"/>
  <c r="G398" i="4"/>
  <c r="H398" i="4"/>
  <c r="I398" i="4"/>
  <c r="J398" i="4"/>
  <c r="K398" i="4"/>
  <c r="B399" i="4"/>
  <c r="C399" i="4"/>
  <c r="D399" i="4"/>
  <c r="E399" i="4"/>
  <c r="F399" i="4"/>
  <c r="G399" i="4"/>
  <c r="H399" i="4"/>
  <c r="I399" i="4"/>
  <c r="J399" i="4"/>
  <c r="K399" i="4"/>
  <c r="B400" i="4"/>
  <c r="C400" i="4"/>
  <c r="D400" i="4"/>
  <c r="E400" i="4"/>
  <c r="F400" i="4"/>
  <c r="G400" i="4"/>
  <c r="H400" i="4"/>
  <c r="I400" i="4"/>
  <c r="J400" i="4"/>
  <c r="K400" i="4"/>
  <c r="B401" i="4"/>
  <c r="C401" i="4"/>
  <c r="D401" i="4"/>
  <c r="E401" i="4"/>
  <c r="F401" i="4"/>
  <c r="G401" i="4"/>
  <c r="H401" i="4"/>
  <c r="I401" i="4"/>
  <c r="J401" i="4"/>
  <c r="K401" i="4"/>
  <c r="B402" i="4"/>
  <c r="C402" i="4"/>
  <c r="D402" i="4"/>
  <c r="E402" i="4"/>
  <c r="F402" i="4"/>
  <c r="G402" i="4"/>
  <c r="H402" i="4"/>
  <c r="I402" i="4"/>
  <c r="J402" i="4"/>
  <c r="K402" i="4"/>
  <c r="B403" i="4"/>
  <c r="C403" i="4"/>
  <c r="D403" i="4"/>
  <c r="E403" i="4"/>
  <c r="F403" i="4"/>
  <c r="G403" i="4"/>
  <c r="H403" i="4"/>
  <c r="I403" i="4"/>
  <c r="J403" i="4"/>
  <c r="K403" i="4"/>
  <c r="B404" i="4"/>
  <c r="C404" i="4"/>
  <c r="D404" i="4"/>
  <c r="E404" i="4"/>
  <c r="F404" i="4"/>
  <c r="G404" i="4"/>
  <c r="H404" i="4"/>
  <c r="I404" i="4"/>
  <c r="J404" i="4"/>
  <c r="K404" i="4"/>
  <c r="B405" i="4"/>
  <c r="C405" i="4"/>
  <c r="D405" i="4"/>
  <c r="E405" i="4"/>
  <c r="F405" i="4"/>
  <c r="G405" i="4"/>
  <c r="H405" i="4"/>
  <c r="I405" i="4"/>
  <c r="J405" i="4"/>
  <c r="K405" i="4"/>
  <c r="B406" i="4"/>
  <c r="C406" i="4"/>
  <c r="D406" i="4"/>
  <c r="E406" i="4"/>
  <c r="F406" i="4"/>
  <c r="G406" i="4"/>
  <c r="H406" i="4"/>
  <c r="I406" i="4"/>
  <c r="J406" i="4"/>
  <c r="K406" i="4"/>
  <c r="B407" i="4"/>
  <c r="C407" i="4"/>
  <c r="D407" i="4"/>
  <c r="E407" i="4"/>
  <c r="F407" i="4"/>
  <c r="G407" i="4"/>
  <c r="H407" i="4"/>
  <c r="I407" i="4"/>
  <c r="J407" i="4"/>
  <c r="K407" i="4"/>
  <c r="B408" i="4"/>
  <c r="C408" i="4"/>
  <c r="D408" i="4"/>
  <c r="E408" i="4"/>
  <c r="F408" i="4"/>
  <c r="G408" i="4"/>
  <c r="H408" i="4"/>
  <c r="I408" i="4"/>
  <c r="J408" i="4"/>
  <c r="K408" i="4"/>
  <c r="B409" i="4"/>
  <c r="C409" i="4"/>
  <c r="D409" i="4"/>
  <c r="E409" i="4"/>
  <c r="F409" i="4"/>
  <c r="G409" i="4"/>
  <c r="H409" i="4"/>
  <c r="I409" i="4"/>
  <c r="J409" i="4"/>
  <c r="K409" i="4"/>
  <c r="B410" i="4"/>
  <c r="C410" i="4"/>
  <c r="D410" i="4"/>
  <c r="E410" i="4"/>
  <c r="F410" i="4"/>
  <c r="G410" i="4"/>
  <c r="H410" i="4"/>
  <c r="I410" i="4"/>
  <c r="J410" i="4"/>
  <c r="K410" i="4"/>
  <c r="B411" i="4"/>
  <c r="C411" i="4"/>
  <c r="D411" i="4"/>
  <c r="E411" i="4"/>
  <c r="F411" i="4"/>
  <c r="G411" i="4"/>
  <c r="H411" i="4"/>
  <c r="I411" i="4"/>
  <c r="J411" i="4"/>
  <c r="K411" i="4"/>
  <c r="B412" i="4"/>
  <c r="C412" i="4"/>
  <c r="D412" i="4"/>
  <c r="E412" i="4"/>
  <c r="F412" i="4"/>
  <c r="G412" i="4"/>
  <c r="H412" i="4"/>
  <c r="I412" i="4"/>
  <c r="J412" i="4"/>
  <c r="K412" i="4"/>
  <c r="B413" i="4"/>
  <c r="C413" i="4"/>
  <c r="D413" i="4"/>
  <c r="E413" i="4"/>
  <c r="F413" i="4"/>
  <c r="G413" i="4"/>
  <c r="H413" i="4"/>
  <c r="I413" i="4"/>
  <c r="J413" i="4"/>
  <c r="K413" i="4"/>
  <c r="B414" i="4"/>
  <c r="C414" i="4"/>
  <c r="D414" i="4"/>
  <c r="E414" i="4"/>
  <c r="F414" i="4"/>
  <c r="G414" i="4"/>
  <c r="H414" i="4"/>
  <c r="I414" i="4"/>
  <c r="J414" i="4"/>
  <c r="K414" i="4"/>
  <c r="B415" i="4"/>
  <c r="C415" i="4"/>
  <c r="D415" i="4"/>
  <c r="E415" i="4"/>
  <c r="F415" i="4"/>
  <c r="G415" i="4"/>
  <c r="H415" i="4"/>
  <c r="I415" i="4"/>
  <c r="J415" i="4"/>
  <c r="K415" i="4"/>
  <c r="B416" i="4"/>
  <c r="C416" i="4"/>
  <c r="D416" i="4"/>
  <c r="E416" i="4"/>
  <c r="F416" i="4"/>
  <c r="G416" i="4"/>
  <c r="H416" i="4"/>
  <c r="I416" i="4"/>
  <c r="J416" i="4"/>
  <c r="K416" i="4"/>
  <c r="B417" i="4"/>
  <c r="C417" i="4"/>
  <c r="D417" i="4"/>
  <c r="E417" i="4"/>
  <c r="F417" i="4"/>
  <c r="G417" i="4"/>
  <c r="H417" i="4"/>
  <c r="I417" i="4"/>
  <c r="J417" i="4"/>
  <c r="K417" i="4"/>
  <c r="B418" i="4"/>
  <c r="C418" i="4"/>
  <c r="D418" i="4"/>
  <c r="E418" i="4"/>
  <c r="F418" i="4"/>
  <c r="G418" i="4"/>
  <c r="H418" i="4"/>
  <c r="I418" i="4"/>
  <c r="J418" i="4"/>
  <c r="K418" i="4"/>
  <c r="B419" i="4"/>
  <c r="C419" i="4"/>
  <c r="D419" i="4"/>
  <c r="E419" i="4"/>
  <c r="F419" i="4"/>
  <c r="G419" i="4"/>
  <c r="H419" i="4"/>
  <c r="I419" i="4"/>
  <c r="J419" i="4"/>
  <c r="K419" i="4"/>
  <c r="B420" i="4"/>
  <c r="C420" i="4"/>
  <c r="D420" i="4"/>
  <c r="E420" i="4"/>
  <c r="F420" i="4"/>
  <c r="G420" i="4"/>
  <c r="H420" i="4"/>
  <c r="I420" i="4"/>
  <c r="J420" i="4"/>
  <c r="K420" i="4"/>
  <c r="B421" i="4"/>
  <c r="C421" i="4"/>
  <c r="D421" i="4"/>
  <c r="E421" i="4"/>
  <c r="F421" i="4"/>
  <c r="G421" i="4"/>
  <c r="H421" i="4"/>
  <c r="I421" i="4"/>
  <c r="J421" i="4"/>
  <c r="K421" i="4"/>
  <c r="B422" i="4"/>
  <c r="C422" i="4"/>
  <c r="D422" i="4"/>
  <c r="E422" i="4"/>
  <c r="F422" i="4"/>
  <c r="G422" i="4"/>
  <c r="H422" i="4"/>
  <c r="I422" i="4"/>
  <c r="J422" i="4"/>
  <c r="K422" i="4"/>
  <c r="B423" i="4"/>
  <c r="C423" i="4"/>
  <c r="D423" i="4"/>
  <c r="E423" i="4"/>
  <c r="F423" i="4"/>
  <c r="G423" i="4"/>
  <c r="H423" i="4"/>
  <c r="I423" i="4"/>
  <c r="J423" i="4"/>
  <c r="K423" i="4"/>
  <c r="B424" i="4"/>
  <c r="C424" i="4"/>
  <c r="D424" i="4"/>
  <c r="E424" i="4"/>
  <c r="F424" i="4"/>
  <c r="G424" i="4"/>
  <c r="H424" i="4"/>
  <c r="I424" i="4"/>
  <c r="J424" i="4"/>
  <c r="K424" i="4"/>
  <c r="B425" i="4"/>
  <c r="C425" i="4"/>
  <c r="D425" i="4"/>
  <c r="E425" i="4"/>
  <c r="F425" i="4"/>
  <c r="G425" i="4"/>
  <c r="H425" i="4"/>
  <c r="I425" i="4"/>
  <c r="J425" i="4"/>
  <c r="K425" i="4"/>
  <c r="B426" i="4"/>
  <c r="C426" i="4"/>
  <c r="D426" i="4"/>
  <c r="E426" i="4"/>
  <c r="F426" i="4"/>
  <c r="G426" i="4"/>
  <c r="H426" i="4"/>
  <c r="I426" i="4"/>
  <c r="J426" i="4"/>
  <c r="K426" i="4"/>
  <c r="B427" i="4"/>
  <c r="C427" i="4"/>
  <c r="D427" i="4"/>
  <c r="E427" i="4"/>
  <c r="F427" i="4"/>
  <c r="G427" i="4"/>
  <c r="H427" i="4"/>
  <c r="I427" i="4"/>
  <c r="J427" i="4"/>
  <c r="K427" i="4"/>
  <c r="B428" i="4"/>
  <c r="C428" i="4"/>
  <c r="D428" i="4"/>
  <c r="E428" i="4"/>
  <c r="F428" i="4"/>
  <c r="G428" i="4"/>
  <c r="H428" i="4"/>
  <c r="I428" i="4"/>
  <c r="J428" i="4"/>
  <c r="K428" i="4"/>
  <c r="B429" i="4"/>
  <c r="C429" i="4"/>
  <c r="D429" i="4"/>
  <c r="E429" i="4"/>
  <c r="F429" i="4"/>
  <c r="G429" i="4"/>
  <c r="H429" i="4"/>
  <c r="I429" i="4"/>
  <c r="J429" i="4"/>
  <c r="K429" i="4"/>
  <c r="B430" i="4"/>
  <c r="C430" i="4"/>
  <c r="D430" i="4"/>
  <c r="E430" i="4"/>
  <c r="F430" i="4"/>
  <c r="G430" i="4"/>
  <c r="H430" i="4"/>
  <c r="I430" i="4"/>
  <c r="J430" i="4"/>
  <c r="K430" i="4"/>
  <c r="B431" i="4"/>
  <c r="C431" i="4"/>
  <c r="D431" i="4"/>
  <c r="E431" i="4"/>
  <c r="F431" i="4"/>
  <c r="G431" i="4"/>
  <c r="H431" i="4"/>
  <c r="I431" i="4"/>
  <c r="J431" i="4"/>
  <c r="K431" i="4"/>
  <c r="B432" i="4"/>
  <c r="C432" i="4"/>
  <c r="D432" i="4"/>
  <c r="E432" i="4"/>
  <c r="F432" i="4"/>
  <c r="G432" i="4"/>
  <c r="H432" i="4"/>
  <c r="I432" i="4"/>
  <c r="J432" i="4"/>
  <c r="K432" i="4"/>
  <c r="B433" i="4"/>
  <c r="C433" i="4"/>
  <c r="D433" i="4"/>
  <c r="E433" i="4"/>
  <c r="F433" i="4"/>
  <c r="G433" i="4"/>
  <c r="H433" i="4"/>
  <c r="I433" i="4"/>
  <c r="J433" i="4"/>
  <c r="K433" i="4"/>
  <c r="B434" i="4"/>
  <c r="C434" i="4"/>
  <c r="D434" i="4"/>
  <c r="E434" i="4"/>
  <c r="F434" i="4"/>
  <c r="G434" i="4"/>
  <c r="H434" i="4"/>
  <c r="I434" i="4"/>
  <c r="J434" i="4"/>
  <c r="K434" i="4"/>
  <c r="B435" i="4"/>
  <c r="C435" i="4"/>
  <c r="D435" i="4"/>
  <c r="E435" i="4"/>
  <c r="F435" i="4"/>
  <c r="G435" i="4"/>
  <c r="H435" i="4"/>
  <c r="I435" i="4"/>
  <c r="J435" i="4"/>
  <c r="K435" i="4"/>
  <c r="B436" i="4"/>
  <c r="C436" i="4"/>
  <c r="D436" i="4"/>
  <c r="E436" i="4"/>
  <c r="F436" i="4"/>
  <c r="G436" i="4"/>
  <c r="H436" i="4"/>
  <c r="I436" i="4"/>
  <c r="J436" i="4"/>
  <c r="K436" i="4"/>
  <c r="B437" i="4"/>
  <c r="C437" i="4"/>
  <c r="D437" i="4"/>
  <c r="E437" i="4"/>
  <c r="F437" i="4"/>
  <c r="G437" i="4"/>
  <c r="H437" i="4"/>
  <c r="I437" i="4"/>
  <c r="J437" i="4"/>
  <c r="K437" i="4"/>
  <c r="B438" i="4"/>
  <c r="C438" i="4"/>
  <c r="D438" i="4"/>
  <c r="E438" i="4"/>
  <c r="F438" i="4"/>
  <c r="G438" i="4"/>
  <c r="H438" i="4"/>
  <c r="I438" i="4"/>
  <c r="J438" i="4"/>
  <c r="K438" i="4"/>
  <c r="B439" i="4"/>
  <c r="C439" i="4"/>
  <c r="D439" i="4"/>
  <c r="E439" i="4"/>
  <c r="F439" i="4"/>
  <c r="G439" i="4"/>
  <c r="H439" i="4"/>
  <c r="I439" i="4"/>
  <c r="J439" i="4"/>
  <c r="K439" i="4"/>
  <c r="B440" i="4"/>
  <c r="C440" i="4"/>
  <c r="D440" i="4"/>
  <c r="E440" i="4"/>
  <c r="F440" i="4"/>
  <c r="G440" i="4"/>
  <c r="H440" i="4"/>
  <c r="I440" i="4"/>
  <c r="J440" i="4"/>
  <c r="K440" i="4"/>
  <c r="B441" i="4"/>
  <c r="C441" i="4"/>
  <c r="D441" i="4"/>
  <c r="E441" i="4"/>
  <c r="F441" i="4"/>
  <c r="G441" i="4"/>
  <c r="H441" i="4"/>
  <c r="I441" i="4"/>
  <c r="J441" i="4"/>
  <c r="K441" i="4"/>
  <c r="B442" i="4"/>
  <c r="C442" i="4"/>
  <c r="D442" i="4"/>
  <c r="E442" i="4"/>
  <c r="F442" i="4"/>
  <c r="G442" i="4"/>
  <c r="H442" i="4"/>
  <c r="I442" i="4"/>
  <c r="J442" i="4"/>
  <c r="K442" i="4"/>
  <c r="B443" i="4"/>
  <c r="C443" i="4"/>
  <c r="D443" i="4"/>
  <c r="E443" i="4"/>
  <c r="F443" i="4"/>
  <c r="G443" i="4"/>
  <c r="H443" i="4"/>
  <c r="I443" i="4"/>
  <c r="J443" i="4"/>
  <c r="K443" i="4"/>
  <c r="B444" i="4"/>
  <c r="C444" i="4"/>
  <c r="D444" i="4"/>
  <c r="E444" i="4"/>
  <c r="F444" i="4"/>
  <c r="G444" i="4"/>
  <c r="H444" i="4"/>
  <c r="I444" i="4"/>
  <c r="J444" i="4"/>
  <c r="K444" i="4"/>
  <c r="B445" i="4"/>
  <c r="C445" i="4"/>
  <c r="D445" i="4"/>
  <c r="E445" i="4"/>
  <c r="F445" i="4"/>
  <c r="G445" i="4"/>
  <c r="H445" i="4"/>
  <c r="I445" i="4"/>
  <c r="J445" i="4"/>
  <c r="K445" i="4"/>
  <c r="B446" i="4"/>
  <c r="C446" i="4"/>
  <c r="D446" i="4"/>
  <c r="E446" i="4"/>
  <c r="F446" i="4"/>
  <c r="G446" i="4"/>
  <c r="H446" i="4"/>
  <c r="I446" i="4"/>
  <c r="J446" i="4"/>
  <c r="K446" i="4"/>
  <c r="B447" i="4"/>
  <c r="C447" i="4"/>
  <c r="D447" i="4"/>
  <c r="E447" i="4"/>
  <c r="F447" i="4"/>
  <c r="G447" i="4"/>
  <c r="H447" i="4"/>
  <c r="I447" i="4"/>
  <c r="J447" i="4"/>
  <c r="K447" i="4"/>
  <c r="B448" i="4"/>
  <c r="C448" i="4"/>
  <c r="D448" i="4"/>
  <c r="E448" i="4"/>
  <c r="F448" i="4"/>
  <c r="G448" i="4"/>
  <c r="H448" i="4"/>
  <c r="I448" i="4"/>
  <c r="J448" i="4"/>
  <c r="K448" i="4"/>
  <c r="B449" i="4"/>
  <c r="C449" i="4"/>
  <c r="D449" i="4"/>
  <c r="E449" i="4"/>
  <c r="F449" i="4"/>
  <c r="G449" i="4"/>
  <c r="H449" i="4"/>
  <c r="I449" i="4"/>
  <c r="J449" i="4"/>
  <c r="K449" i="4"/>
  <c r="B450" i="4"/>
  <c r="C450" i="4"/>
  <c r="D450" i="4"/>
  <c r="E450" i="4"/>
  <c r="F450" i="4"/>
  <c r="G450" i="4"/>
  <c r="H450" i="4"/>
  <c r="I450" i="4"/>
  <c r="J450" i="4"/>
  <c r="K450" i="4"/>
  <c r="B451" i="4"/>
  <c r="C451" i="4"/>
  <c r="D451" i="4"/>
  <c r="E451" i="4"/>
  <c r="F451" i="4"/>
  <c r="G451" i="4"/>
  <c r="H451" i="4"/>
  <c r="I451" i="4"/>
  <c r="J451" i="4"/>
  <c r="K451" i="4"/>
  <c r="B452" i="4"/>
  <c r="C452" i="4"/>
  <c r="D452" i="4"/>
  <c r="E452" i="4"/>
  <c r="F452" i="4"/>
  <c r="G452" i="4"/>
  <c r="H452" i="4"/>
  <c r="I452" i="4"/>
  <c r="J452" i="4"/>
  <c r="K452" i="4"/>
  <c r="B453" i="4"/>
  <c r="C453" i="4"/>
  <c r="D453" i="4"/>
  <c r="E453" i="4"/>
  <c r="F453" i="4"/>
  <c r="G453" i="4"/>
  <c r="H453" i="4"/>
  <c r="I453" i="4"/>
  <c r="J453" i="4"/>
  <c r="K453" i="4"/>
  <c r="B454" i="4"/>
  <c r="C454" i="4"/>
  <c r="D454" i="4"/>
  <c r="E454" i="4"/>
  <c r="F454" i="4"/>
  <c r="G454" i="4"/>
  <c r="H454" i="4"/>
  <c r="I454" i="4"/>
  <c r="J454" i="4"/>
  <c r="K454" i="4"/>
  <c r="B455" i="4"/>
  <c r="C455" i="4"/>
  <c r="D455" i="4"/>
  <c r="E455" i="4"/>
  <c r="F455" i="4"/>
  <c r="G455" i="4"/>
  <c r="H455" i="4"/>
  <c r="I455" i="4"/>
  <c r="J455" i="4"/>
  <c r="K455" i="4"/>
  <c r="B456" i="4"/>
  <c r="C456" i="4"/>
  <c r="D456" i="4"/>
  <c r="E456" i="4"/>
  <c r="F456" i="4"/>
  <c r="G456" i="4"/>
  <c r="H456" i="4"/>
  <c r="I456" i="4"/>
  <c r="J456" i="4"/>
  <c r="K456" i="4"/>
  <c r="B457" i="4"/>
  <c r="C457" i="4"/>
  <c r="D457" i="4"/>
  <c r="E457" i="4"/>
  <c r="F457" i="4"/>
  <c r="G457" i="4"/>
  <c r="H457" i="4"/>
  <c r="I457" i="4"/>
  <c r="J457" i="4"/>
  <c r="K457" i="4"/>
  <c r="B458" i="4"/>
  <c r="C458" i="4"/>
  <c r="D458" i="4"/>
  <c r="E458" i="4"/>
  <c r="F458" i="4"/>
  <c r="G458" i="4"/>
  <c r="H458" i="4"/>
  <c r="I458" i="4"/>
  <c r="J458" i="4"/>
  <c r="K458" i="4"/>
  <c r="B459" i="4"/>
  <c r="C459" i="4"/>
  <c r="D459" i="4"/>
  <c r="E459" i="4"/>
  <c r="F459" i="4"/>
  <c r="G459" i="4"/>
  <c r="H459" i="4"/>
  <c r="I459" i="4"/>
  <c r="J459" i="4"/>
  <c r="K459" i="4"/>
  <c r="B460" i="4"/>
  <c r="C460" i="4"/>
  <c r="D460" i="4"/>
  <c r="E460" i="4"/>
  <c r="F460" i="4"/>
  <c r="G460" i="4"/>
  <c r="H460" i="4"/>
  <c r="I460" i="4"/>
  <c r="J460" i="4"/>
  <c r="K460" i="4"/>
  <c r="B461" i="4"/>
  <c r="C461" i="4"/>
  <c r="D461" i="4"/>
  <c r="E461" i="4"/>
  <c r="F461" i="4"/>
  <c r="G461" i="4"/>
  <c r="H461" i="4"/>
  <c r="I461" i="4"/>
  <c r="J461" i="4"/>
  <c r="K461" i="4"/>
  <c r="B462" i="4"/>
  <c r="C462" i="4"/>
  <c r="D462" i="4"/>
  <c r="E462" i="4"/>
  <c r="F462" i="4"/>
  <c r="G462" i="4"/>
  <c r="H462" i="4"/>
  <c r="I462" i="4"/>
  <c r="J462" i="4"/>
  <c r="K462" i="4"/>
  <c r="B463" i="4"/>
  <c r="C463" i="4"/>
  <c r="D463" i="4"/>
  <c r="E463" i="4"/>
  <c r="F463" i="4"/>
  <c r="G463" i="4"/>
  <c r="H463" i="4"/>
  <c r="I463" i="4"/>
  <c r="J463" i="4"/>
  <c r="K463" i="4"/>
  <c r="B464" i="4"/>
  <c r="C464" i="4"/>
  <c r="D464" i="4"/>
  <c r="E464" i="4"/>
  <c r="F464" i="4"/>
  <c r="G464" i="4"/>
  <c r="H464" i="4"/>
  <c r="I464" i="4"/>
  <c r="J464" i="4"/>
  <c r="K464" i="4"/>
  <c r="B465" i="4"/>
  <c r="C465" i="4"/>
  <c r="D465" i="4"/>
  <c r="E465" i="4"/>
  <c r="F465" i="4"/>
  <c r="G465" i="4"/>
  <c r="H465" i="4"/>
  <c r="I465" i="4"/>
  <c r="J465" i="4"/>
  <c r="K465" i="4"/>
  <c r="B466" i="4"/>
  <c r="C466" i="4"/>
  <c r="D466" i="4"/>
  <c r="E466" i="4"/>
  <c r="F466" i="4"/>
  <c r="G466" i="4"/>
  <c r="H466" i="4"/>
  <c r="I466" i="4"/>
  <c r="J466" i="4"/>
  <c r="K466" i="4"/>
  <c r="B467" i="4"/>
  <c r="C467" i="4"/>
  <c r="D467" i="4"/>
  <c r="E467" i="4"/>
  <c r="F467" i="4"/>
  <c r="G467" i="4"/>
  <c r="H467" i="4"/>
  <c r="I467" i="4"/>
  <c r="J467" i="4"/>
  <c r="K467" i="4"/>
  <c r="B468" i="4"/>
  <c r="C468" i="4"/>
  <c r="D468" i="4"/>
  <c r="E468" i="4"/>
  <c r="F468" i="4"/>
  <c r="G468" i="4"/>
  <c r="H468" i="4"/>
  <c r="I468" i="4"/>
  <c r="J468" i="4"/>
  <c r="K468" i="4"/>
  <c r="B469" i="4"/>
  <c r="C469" i="4"/>
  <c r="D469" i="4"/>
  <c r="E469" i="4"/>
  <c r="F469" i="4"/>
  <c r="G469" i="4"/>
  <c r="H469" i="4"/>
  <c r="I469" i="4"/>
  <c r="J469" i="4"/>
  <c r="K469" i="4"/>
  <c r="B470" i="4"/>
  <c r="C470" i="4"/>
  <c r="D470" i="4"/>
  <c r="E470" i="4"/>
  <c r="F470" i="4"/>
  <c r="G470" i="4"/>
  <c r="H470" i="4"/>
  <c r="I470" i="4"/>
  <c r="J470" i="4"/>
  <c r="K470" i="4"/>
  <c r="B471" i="4"/>
  <c r="C471" i="4"/>
  <c r="D471" i="4"/>
  <c r="E471" i="4"/>
  <c r="F471" i="4"/>
  <c r="G471" i="4"/>
  <c r="H471" i="4"/>
  <c r="I471" i="4"/>
  <c r="J471" i="4"/>
  <c r="K471" i="4"/>
  <c r="B472" i="4"/>
  <c r="C472" i="4"/>
  <c r="D472" i="4"/>
  <c r="E472" i="4"/>
  <c r="F472" i="4"/>
  <c r="G472" i="4"/>
  <c r="H472" i="4"/>
  <c r="I472" i="4"/>
  <c r="J472" i="4"/>
  <c r="K472" i="4"/>
  <c r="B473" i="4"/>
  <c r="C473" i="4"/>
  <c r="D473" i="4"/>
  <c r="E473" i="4"/>
  <c r="F473" i="4"/>
  <c r="G473" i="4"/>
  <c r="H473" i="4"/>
  <c r="I473" i="4"/>
  <c r="J473" i="4"/>
  <c r="K473" i="4"/>
  <c r="B474" i="4"/>
  <c r="C474" i="4"/>
  <c r="D474" i="4"/>
  <c r="E474" i="4"/>
  <c r="F474" i="4"/>
  <c r="G474" i="4"/>
  <c r="H474" i="4"/>
  <c r="I474" i="4"/>
  <c r="J474" i="4"/>
  <c r="K474" i="4"/>
  <c r="B475" i="4"/>
  <c r="C475" i="4"/>
  <c r="D475" i="4"/>
  <c r="E475" i="4"/>
  <c r="F475" i="4"/>
  <c r="G475" i="4"/>
  <c r="H475" i="4"/>
  <c r="I475" i="4"/>
  <c r="J475" i="4"/>
  <c r="K475" i="4"/>
  <c r="B476" i="4"/>
  <c r="C476" i="4"/>
  <c r="D476" i="4"/>
  <c r="E476" i="4"/>
  <c r="F476" i="4"/>
  <c r="G476" i="4"/>
  <c r="H476" i="4"/>
  <c r="I476" i="4"/>
  <c r="J476" i="4"/>
  <c r="K476" i="4"/>
  <c r="B477" i="4"/>
  <c r="C477" i="4"/>
  <c r="D477" i="4"/>
  <c r="E477" i="4"/>
  <c r="F477" i="4"/>
  <c r="G477" i="4"/>
  <c r="H477" i="4"/>
  <c r="I477" i="4"/>
  <c r="J477" i="4"/>
  <c r="K477" i="4"/>
  <c r="B478" i="4"/>
  <c r="C478" i="4"/>
  <c r="D478" i="4"/>
  <c r="E478" i="4"/>
  <c r="F478" i="4"/>
  <c r="G478" i="4"/>
  <c r="H478" i="4"/>
  <c r="I478" i="4"/>
  <c r="J478" i="4"/>
  <c r="K478" i="4"/>
  <c r="B479" i="4"/>
  <c r="C479" i="4"/>
  <c r="D479" i="4"/>
  <c r="E479" i="4"/>
  <c r="F479" i="4"/>
  <c r="G479" i="4"/>
  <c r="H479" i="4"/>
  <c r="I479" i="4"/>
  <c r="J479" i="4"/>
  <c r="K479" i="4"/>
  <c r="B480" i="4"/>
  <c r="C480" i="4"/>
  <c r="D480" i="4"/>
  <c r="E480" i="4"/>
  <c r="F480" i="4"/>
  <c r="G480" i="4"/>
  <c r="H480" i="4"/>
  <c r="I480" i="4"/>
  <c r="J480" i="4"/>
  <c r="K480" i="4"/>
  <c r="B481" i="4"/>
  <c r="C481" i="4"/>
  <c r="D481" i="4"/>
  <c r="E481" i="4"/>
  <c r="F481" i="4"/>
  <c r="G481" i="4"/>
  <c r="H481" i="4"/>
  <c r="I481" i="4"/>
  <c r="J481" i="4"/>
  <c r="K481" i="4"/>
  <c r="B482" i="4"/>
  <c r="C482" i="4"/>
  <c r="D482" i="4"/>
  <c r="E482" i="4"/>
  <c r="F482" i="4"/>
  <c r="G482" i="4"/>
  <c r="H482" i="4"/>
  <c r="I482" i="4"/>
  <c r="J482" i="4"/>
  <c r="K482" i="4"/>
  <c r="B483" i="4"/>
  <c r="C483" i="4"/>
  <c r="D483" i="4"/>
  <c r="E483" i="4"/>
  <c r="F483" i="4"/>
  <c r="G483" i="4"/>
  <c r="H483" i="4"/>
  <c r="I483" i="4"/>
  <c r="J483" i="4"/>
  <c r="K483" i="4"/>
  <c r="B484" i="4"/>
  <c r="C484" i="4"/>
  <c r="D484" i="4"/>
  <c r="E484" i="4"/>
  <c r="F484" i="4"/>
  <c r="G484" i="4"/>
  <c r="H484" i="4"/>
  <c r="I484" i="4"/>
  <c r="J484" i="4"/>
  <c r="K484" i="4"/>
  <c r="B485" i="4"/>
  <c r="C485" i="4"/>
  <c r="D485" i="4"/>
  <c r="E485" i="4"/>
  <c r="F485" i="4"/>
  <c r="G485" i="4"/>
  <c r="H485" i="4"/>
  <c r="I485" i="4"/>
  <c r="J485" i="4"/>
  <c r="K485" i="4"/>
  <c r="B486" i="4"/>
  <c r="C486" i="4"/>
  <c r="D486" i="4"/>
  <c r="E486" i="4"/>
  <c r="F486" i="4"/>
  <c r="G486" i="4"/>
  <c r="H486" i="4"/>
  <c r="I486" i="4"/>
  <c r="J486" i="4"/>
  <c r="K486" i="4"/>
  <c r="B487" i="4"/>
  <c r="C487" i="4"/>
  <c r="D487" i="4"/>
  <c r="E487" i="4"/>
  <c r="F487" i="4"/>
  <c r="G487" i="4"/>
  <c r="H487" i="4"/>
  <c r="I487" i="4"/>
  <c r="J487" i="4"/>
  <c r="K487" i="4"/>
  <c r="B488" i="4"/>
  <c r="C488" i="4"/>
  <c r="D488" i="4"/>
  <c r="E488" i="4"/>
  <c r="F488" i="4"/>
  <c r="G488" i="4"/>
  <c r="H488" i="4"/>
  <c r="I488" i="4"/>
  <c r="J488" i="4"/>
  <c r="K488" i="4"/>
  <c r="B489" i="4"/>
  <c r="C489" i="4"/>
  <c r="D489" i="4"/>
  <c r="E489" i="4"/>
  <c r="F489" i="4"/>
  <c r="G489" i="4"/>
  <c r="H489" i="4"/>
  <c r="I489" i="4"/>
  <c r="J489" i="4"/>
  <c r="K489" i="4"/>
  <c r="B490" i="4"/>
  <c r="C490" i="4"/>
  <c r="D490" i="4"/>
  <c r="E490" i="4"/>
  <c r="F490" i="4"/>
  <c r="G490" i="4"/>
  <c r="H490" i="4"/>
  <c r="I490" i="4"/>
  <c r="J490" i="4"/>
  <c r="K490" i="4"/>
  <c r="B491" i="4"/>
  <c r="C491" i="4"/>
  <c r="D491" i="4"/>
  <c r="E491" i="4"/>
  <c r="F491" i="4"/>
  <c r="G491" i="4"/>
  <c r="H491" i="4"/>
  <c r="I491" i="4"/>
  <c r="J491" i="4"/>
  <c r="K491" i="4"/>
  <c r="B492" i="4"/>
  <c r="C492" i="4"/>
  <c r="D492" i="4"/>
  <c r="E492" i="4"/>
  <c r="F492" i="4"/>
  <c r="G492" i="4"/>
  <c r="H492" i="4"/>
  <c r="I492" i="4"/>
  <c r="J492" i="4"/>
  <c r="K492" i="4"/>
  <c r="B493" i="4"/>
  <c r="C493" i="4"/>
  <c r="D493" i="4"/>
  <c r="E493" i="4"/>
  <c r="F493" i="4"/>
  <c r="G493" i="4"/>
  <c r="H493" i="4"/>
  <c r="I493" i="4"/>
  <c r="J493" i="4"/>
  <c r="K493" i="4"/>
  <c r="B494" i="4"/>
  <c r="C494" i="4"/>
  <c r="D494" i="4"/>
  <c r="E494" i="4"/>
  <c r="F494" i="4"/>
  <c r="G494" i="4"/>
  <c r="H494" i="4"/>
  <c r="I494" i="4"/>
  <c r="J494" i="4"/>
  <c r="K494" i="4"/>
  <c r="B495" i="4"/>
  <c r="C495" i="4"/>
  <c r="D495" i="4"/>
  <c r="E495" i="4"/>
  <c r="F495" i="4"/>
  <c r="G495" i="4"/>
  <c r="H495" i="4"/>
  <c r="I495" i="4"/>
  <c r="J495" i="4"/>
  <c r="K495" i="4"/>
  <c r="B496" i="4"/>
  <c r="C496" i="4"/>
  <c r="D496" i="4"/>
  <c r="E496" i="4"/>
  <c r="F496" i="4"/>
  <c r="G496" i="4"/>
  <c r="H496" i="4"/>
  <c r="I496" i="4"/>
  <c r="J496" i="4"/>
  <c r="K496" i="4"/>
  <c r="B497" i="4"/>
  <c r="C497" i="4"/>
  <c r="D497" i="4"/>
  <c r="E497" i="4"/>
  <c r="F497" i="4"/>
  <c r="G497" i="4"/>
  <c r="H497" i="4"/>
  <c r="I497" i="4"/>
  <c r="J497" i="4"/>
  <c r="K497" i="4"/>
  <c r="B498" i="4"/>
  <c r="C498" i="4"/>
  <c r="D498" i="4"/>
  <c r="E498" i="4"/>
  <c r="F498" i="4"/>
  <c r="G498" i="4"/>
  <c r="H498" i="4"/>
  <c r="I498" i="4"/>
  <c r="J498" i="4"/>
  <c r="K498" i="4"/>
  <c r="B499" i="4"/>
  <c r="C499" i="4"/>
  <c r="D499" i="4"/>
  <c r="E499" i="4"/>
  <c r="F499" i="4"/>
  <c r="G499" i="4"/>
  <c r="H499" i="4"/>
  <c r="I499" i="4"/>
  <c r="J499" i="4"/>
  <c r="K499" i="4"/>
  <c r="B500" i="4"/>
  <c r="C500" i="4"/>
  <c r="D500" i="4"/>
  <c r="E500" i="4"/>
  <c r="F500" i="4"/>
  <c r="G500" i="4"/>
  <c r="H500" i="4"/>
  <c r="I500" i="4"/>
  <c r="J500" i="4"/>
  <c r="K500" i="4"/>
  <c r="B501" i="4"/>
  <c r="C501" i="4"/>
  <c r="D501" i="4"/>
  <c r="E501" i="4"/>
  <c r="F501" i="4"/>
  <c r="G501" i="4"/>
  <c r="H501" i="4"/>
  <c r="I501" i="4"/>
  <c r="J501" i="4"/>
  <c r="K501" i="4"/>
  <c r="B502" i="4"/>
  <c r="C502" i="4"/>
  <c r="D502" i="4"/>
  <c r="E502" i="4"/>
  <c r="F502" i="4"/>
  <c r="G502" i="4"/>
  <c r="H502" i="4"/>
  <c r="I502" i="4"/>
  <c r="J502" i="4"/>
  <c r="K502" i="4"/>
  <c r="B503" i="4"/>
  <c r="C503" i="4"/>
  <c r="D503" i="4"/>
  <c r="E503" i="4"/>
  <c r="F503" i="4"/>
  <c r="G503" i="4"/>
  <c r="H503" i="4"/>
  <c r="I503" i="4"/>
  <c r="J503" i="4"/>
  <c r="K503" i="4"/>
  <c r="B504" i="4"/>
  <c r="C504" i="4"/>
  <c r="D504" i="4"/>
  <c r="E504" i="4"/>
  <c r="F504" i="4"/>
  <c r="G504" i="4"/>
  <c r="H504" i="4"/>
  <c r="I504" i="4"/>
  <c r="J504" i="4"/>
  <c r="K504" i="4"/>
  <c r="B505" i="4"/>
  <c r="C505" i="4"/>
  <c r="D505" i="4"/>
  <c r="E505" i="4"/>
  <c r="F505" i="4"/>
  <c r="G505" i="4"/>
  <c r="H505" i="4"/>
  <c r="I505" i="4"/>
  <c r="J505" i="4"/>
  <c r="K505" i="4"/>
  <c r="B506" i="4"/>
  <c r="C506" i="4"/>
  <c r="D506" i="4"/>
  <c r="E506" i="4"/>
  <c r="F506" i="4"/>
  <c r="G506" i="4"/>
  <c r="H506" i="4"/>
  <c r="I506" i="4"/>
  <c r="J506" i="4"/>
  <c r="K506" i="4"/>
  <c r="B507" i="4"/>
  <c r="C507" i="4"/>
  <c r="D507" i="4"/>
  <c r="E507" i="4"/>
  <c r="F507" i="4"/>
  <c r="G507" i="4"/>
  <c r="H507" i="4"/>
  <c r="I507" i="4"/>
  <c r="J507" i="4"/>
  <c r="K507" i="4"/>
  <c r="B508" i="4"/>
  <c r="C508" i="4"/>
  <c r="D508" i="4"/>
  <c r="E508" i="4"/>
  <c r="F508" i="4"/>
  <c r="G508" i="4"/>
  <c r="H508" i="4"/>
  <c r="I508" i="4"/>
  <c r="J508" i="4"/>
  <c r="K508" i="4"/>
  <c r="B509" i="4"/>
  <c r="C509" i="4"/>
  <c r="D509" i="4"/>
  <c r="E509" i="4"/>
  <c r="F509" i="4"/>
  <c r="G509" i="4"/>
  <c r="H509" i="4"/>
  <c r="I509" i="4"/>
  <c r="J509" i="4"/>
  <c r="K509" i="4"/>
  <c r="B510" i="4"/>
  <c r="C510" i="4"/>
  <c r="D510" i="4"/>
  <c r="E510" i="4"/>
  <c r="F510" i="4"/>
  <c r="G510" i="4"/>
  <c r="H510" i="4"/>
  <c r="I510" i="4"/>
  <c r="J510" i="4"/>
  <c r="K510" i="4"/>
  <c r="B511" i="4"/>
  <c r="C511" i="4"/>
  <c r="D511" i="4"/>
  <c r="E511" i="4"/>
  <c r="F511" i="4"/>
  <c r="G511" i="4"/>
  <c r="H511" i="4"/>
  <c r="I511" i="4"/>
  <c r="J511" i="4"/>
  <c r="K511" i="4"/>
  <c r="B512" i="4"/>
  <c r="C512" i="4"/>
  <c r="D512" i="4"/>
  <c r="E512" i="4"/>
  <c r="F512" i="4"/>
  <c r="G512" i="4"/>
  <c r="H512" i="4"/>
  <c r="I512" i="4"/>
  <c r="J512" i="4"/>
  <c r="K512" i="4"/>
  <c r="B513" i="4"/>
  <c r="C513" i="4"/>
  <c r="D513" i="4"/>
  <c r="E513" i="4"/>
  <c r="F513" i="4"/>
  <c r="G513" i="4"/>
  <c r="H513" i="4"/>
  <c r="I513" i="4"/>
  <c r="J513" i="4"/>
  <c r="K513" i="4"/>
  <c r="B514" i="4"/>
  <c r="C514" i="4"/>
  <c r="D514" i="4"/>
  <c r="E514" i="4"/>
  <c r="F514" i="4"/>
  <c r="G514" i="4"/>
  <c r="H514" i="4"/>
  <c r="I514" i="4"/>
  <c r="J514" i="4"/>
  <c r="K514" i="4"/>
  <c r="B515" i="4"/>
  <c r="C515" i="4"/>
  <c r="D515" i="4"/>
  <c r="E515" i="4"/>
  <c r="F515" i="4"/>
  <c r="G515" i="4"/>
  <c r="H515" i="4"/>
  <c r="I515" i="4"/>
  <c r="J515" i="4"/>
  <c r="K515" i="4"/>
  <c r="B516" i="4"/>
  <c r="C516" i="4"/>
  <c r="D516" i="4"/>
  <c r="E516" i="4"/>
  <c r="F516" i="4"/>
  <c r="G516" i="4"/>
  <c r="H516" i="4"/>
  <c r="I516" i="4"/>
  <c r="J516" i="4"/>
  <c r="K516" i="4"/>
  <c r="B517" i="4"/>
  <c r="C517" i="4"/>
  <c r="D517" i="4"/>
  <c r="E517" i="4"/>
  <c r="F517" i="4"/>
  <c r="G517" i="4"/>
  <c r="H517" i="4"/>
  <c r="I517" i="4"/>
  <c r="J517" i="4"/>
  <c r="K517" i="4"/>
  <c r="B518" i="4"/>
  <c r="C518" i="4"/>
  <c r="D518" i="4"/>
  <c r="E518" i="4"/>
  <c r="F518" i="4"/>
  <c r="G518" i="4"/>
  <c r="H518" i="4"/>
  <c r="I518" i="4"/>
  <c r="J518" i="4"/>
  <c r="K518" i="4"/>
  <c r="B519" i="4"/>
  <c r="C519" i="4"/>
  <c r="D519" i="4"/>
  <c r="E519" i="4"/>
  <c r="F519" i="4"/>
  <c r="G519" i="4"/>
  <c r="H519" i="4"/>
  <c r="I519" i="4"/>
  <c r="J519" i="4"/>
  <c r="K519" i="4"/>
  <c r="B520" i="4"/>
  <c r="C520" i="4"/>
  <c r="D520" i="4"/>
  <c r="E520" i="4"/>
  <c r="F520" i="4"/>
  <c r="G520" i="4"/>
  <c r="H520" i="4"/>
  <c r="I520" i="4"/>
  <c r="J520" i="4"/>
  <c r="K520" i="4"/>
  <c r="B521" i="4"/>
  <c r="C521" i="4"/>
  <c r="D521" i="4"/>
  <c r="E521" i="4"/>
  <c r="F521" i="4"/>
  <c r="G521" i="4"/>
  <c r="H521" i="4"/>
  <c r="I521" i="4"/>
  <c r="J521" i="4"/>
  <c r="K521" i="4"/>
  <c r="B522" i="4"/>
  <c r="C522" i="4"/>
  <c r="D522" i="4"/>
  <c r="E522" i="4"/>
  <c r="F522" i="4"/>
  <c r="G522" i="4"/>
  <c r="H522" i="4"/>
  <c r="I522" i="4"/>
  <c r="J522" i="4"/>
  <c r="K522" i="4"/>
  <c r="B523" i="4"/>
  <c r="C523" i="4"/>
  <c r="D523" i="4"/>
  <c r="E523" i="4"/>
  <c r="F523" i="4"/>
  <c r="G523" i="4"/>
  <c r="H523" i="4"/>
  <c r="I523" i="4"/>
  <c r="J523" i="4"/>
  <c r="K523" i="4"/>
  <c r="B524" i="4"/>
  <c r="C524" i="4"/>
  <c r="D524" i="4"/>
  <c r="E524" i="4"/>
  <c r="F524" i="4"/>
  <c r="G524" i="4"/>
  <c r="H524" i="4"/>
  <c r="I524" i="4"/>
  <c r="J524" i="4"/>
  <c r="K524" i="4"/>
  <c r="B525" i="4"/>
  <c r="C525" i="4"/>
  <c r="D525" i="4"/>
  <c r="E525" i="4"/>
  <c r="F525" i="4"/>
  <c r="G525" i="4"/>
  <c r="H525" i="4"/>
  <c r="I525" i="4"/>
  <c r="J525" i="4"/>
  <c r="K525" i="4"/>
  <c r="B526" i="4"/>
  <c r="C526" i="4"/>
  <c r="D526" i="4"/>
  <c r="E526" i="4"/>
  <c r="F526" i="4"/>
  <c r="G526" i="4"/>
  <c r="H526" i="4"/>
  <c r="I526" i="4"/>
  <c r="J526" i="4"/>
  <c r="K526" i="4"/>
  <c r="B527" i="4"/>
  <c r="C527" i="4"/>
  <c r="D527" i="4"/>
  <c r="E527" i="4"/>
  <c r="F527" i="4"/>
  <c r="G527" i="4"/>
  <c r="H527" i="4"/>
  <c r="I527" i="4"/>
  <c r="J527" i="4"/>
  <c r="K527" i="4"/>
  <c r="B528" i="4"/>
  <c r="C528" i="4"/>
  <c r="D528" i="4"/>
  <c r="E528" i="4"/>
  <c r="F528" i="4"/>
  <c r="G528" i="4"/>
  <c r="H528" i="4"/>
  <c r="I528" i="4"/>
  <c r="J528" i="4"/>
  <c r="K528" i="4"/>
  <c r="B529" i="4"/>
  <c r="C529" i="4"/>
  <c r="D529" i="4"/>
  <c r="E529" i="4"/>
  <c r="F529" i="4"/>
  <c r="G529" i="4"/>
  <c r="H529" i="4"/>
  <c r="I529" i="4"/>
  <c r="J529" i="4"/>
  <c r="K529" i="4"/>
  <c r="B530" i="4"/>
  <c r="C530" i="4"/>
  <c r="D530" i="4"/>
  <c r="E530" i="4"/>
  <c r="F530" i="4"/>
  <c r="G530" i="4"/>
  <c r="H530" i="4"/>
  <c r="I530" i="4"/>
  <c r="J530" i="4"/>
  <c r="K530" i="4"/>
  <c r="B531" i="4"/>
  <c r="C531" i="4"/>
  <c r="D531" i="4"/>
  <c r="E531" i="4"/>
  <c r="F531" i="4"/>
  <c r="G531" i="4"/>
  <c r="H531" i="4"/>
  <c r="I531" i="4"/>
  <c r="J531" i="4"/>
  <c r="K531" i="4"/>
  <c r="B532" i="4"/>
  <c r="C532" i="4"/>
  <c r="D532" i="4"/>
  <c r="E532" i="4"/>
  <c r="F532" i="4"/>
  <c r="G532" i="4"/>
  <c r="H532" i="4"/>
  <c r="I532" i="4"/>
  <c r="J532" i="4"/>
  <c r="K532" i="4"/>
  <c r="B533" i="4"/>
  <c r="C533" i="4"/>
  <c r="D533" i="4"/>
  <c r="E533" i="4"/>
  <c r="F533" i="4"/>
  <c r="G533" i="4"/>
  <c r="H533" i="4"/>
  <c r="I533" i="4"/>
  <c r="J533" i="4"/>
  <c r="K533" i="4"/>
  <c r="B534" i="4"/>
  <c r="C534" i="4"/>
  <c r="D534" i="4"/>
  <c r="E534" i="4"/>
  <c r="F534" i="4"/>
  <c r="G534" i="4"/>
  <c r="H534" i="4"/>
  <c r="I534" i="4"/>
  <c r="J534" i="4"/>
  <c r="K534" i="4"/>
  <c r="B535" i="4"/>
  <c r="C535" i="4"/>
  <c r="D535" i="4"/>
  <c r="E535" i="4"/>
  <c r="F535" i="4"/>
  <c r="G535" i="4"/>
  <c r="H535" i="4"/>
  <c r="I535" i="4"/>
  <c r="J535" i="4"/>
  <c r="K535" i="4"/>
  <c r="B536" i="4"/>
  <c r="C536" i="4"/>
  <c r="D536" i="4"/>
  <c r="E536" i="4"/>
  <c r="F536" i="4"/>
  <c r="G536" i="4"/>
  <c r="H536" i="4"/>
  <c r="I536" i="4"/>
  <c r="J536" i="4"/>
  <c r="K536" i="4"/>
  <c r="B537" i="4"/>
  <c r="C537" i="4"/>
  <c r="D537" i="4"/>
  <c r="E537" i="4"/>
  <c r="F537" i="4"/>
  <c r="G537" i="4"/>
  <c r="H537" i="4"/>
  <c r="I537" i="4"/>
  <c r="J537" i="4"/>
  <c r="K537" i="4"/>
  <c r="B538" i="4"/>
  <c r="C538" i="4"/>
  <c r="D538" i="4"/>
  <c r="E538" i="4"/>
  <c r="F538" i="4"/>
  <c r="G538" i="4"/>
  <c r="H538" i="4"/>
  <c r="I538" i="4"/>
  <c r="J538" i="4"/>
  <c r="K538" i="4"/>
  <c r="B539" i="4"/>
  <c r="C539" i="4"/>
  <c r="D539" i="4"/>
  <c r="E539" i="4"/>
  <c r="F539" i="4"/>
  <c r="G539" i="4"/>
  <c r="H539" i="4"/>
  <c r="I539" i="4"/>
  <c r="J539" i="4"/>
  <c r="K539" i="4"/>
  <c r="B540" i="4"/>
  <c r="C540" i="4"/>
  <c r="D540" i="4"/>
  <c r="E540" i="4"/>
  <c r="F540" i="4"/>
  <c r="G540" i="4"/>
  <c r="H540" i="4"/>
  <c r="I540" i="4"/>
  <c r="J540" i="4"/>
  <c r="K540" i="4"/>
  <c r="B541" i="4"/>
  <c r="C541" i="4"/>
  <c r="D541" i="4"/>
  <c r="E541" i="4"/>
  <c r="F541" i="4"/>
  <c r="G541" i="4"/>
  <c r="H541" i="4"/>
  <c r="I541" i="4"/>
  <c r="J541" i="4"/>
  <c r="K541" i="4"/>
  <c r="B542" i="4"/>
  <c r="C542" i="4"/>
  <c r="D542" i="4"/>
  <c r="E542" i="4"/>
  <c r="F542" i="4"/>
  <c r="G542" i="4"/>
  <c r="H542" i="4"/>
  <c r="I542" i="4"/>
  <c r="J542" i="4"/>
  <c r="K542" i="4"/>
  <c r="B543" i="4"/>
  <c r="C543" i="4"/>
  <c r="D543" i="4"/>
  <c r="E543" i="4"/>
  <c r="F543" i="4"/>
  <c r="G543" i="4"/>
  <c r="H543" i="4"/>
  <c r="I543" i="4"/>
  <c r="J543" i="4"/>
  <c r="K543" i="4"/>
  <c r="B544" i="4"/>
  <c r="C544" i="4"/>
  <c r="D544" i="4"/>
  <c r="E544" i="4"/>
  <c r="F544" i="4"/>
  <c r="G544" i="4"/>
  <c r="H544" i="4"/>
  <c r="I544" i="4"/>
  <c r="J544" i="4"/>
  <c r="K544" i="4"/>
  <c r="B545" i="4"/>
  <c r="C545" i="4"/>
  <c r="D545" i="4"/>
  <c r="E545" i="4"/>
  <c r="F545" i="4"/>
  <c r="G545" i="4"/>
  <c r="H545" i="4"/>
  <c r="I545" i="4"/>
  <c r="J545" i="4"/>
  <c r="K545" i="4"/>
  <c r="B546" i="4"/>
  <c r="C546" i="4"/>
  <c r="D546" i="4"/>
  <c r="E546" i="4"/>
  <c r="F546" i="4"/>
  <c r="G546" i="4"/>
  <c r="H546" i="4"/>
  <c r="I546" i="4"/>
  <c r="J546" i="4"/>
  <c r="K546" i="4"/>
  <c r="B547" i="4"/>
  <c r="C547" i="4"/>
  <c r="D547" i="4"/>
  <c r="E547" i="4"/>
  <c r="F547" i="4"/>
  <c r="G547" i="4"/>
  <c r="H547" i="4"/>
  <c r="I547" i="4"/>
  <c r="J547" i="4"/>
  <c r="K547" i="4"/>
  <c r="B548" i="4"/>
  <c r="C548" i="4"/>
  <c r="D548" i="4"/>
  <c r="E548" i="4"/>
  <c r="F548" i="4"/>
  <c r="G548" i="4"/>
  <c r="H548" i="4"/>
  <c r="I548" i="4"/>
  <c r="J548" i="4"/>
  <c r="K548" i="4"/>
  <c r="B549" i="4"/>
  <c r="C549" i="4"/>
  <c r="D549" i="4"/>
  <c r="E549" i="4"/>
  <c r="F549" i="4"/>
  <c r="G549" i="4"/>
  <c r="H549" i="4"/>
  <c r="I549" i="4"/>
  <c r="J549" i="4"/>
  <c r="K549" i="4"/>
  <c r="B550" i="4"/>
  <c r="C550" i="4"/>
  <c r="D550" i="4"/>
  <c r="E550" i="4"/>
  <c r="F550" i="4"/>
  <c r="G550" i="4"/>
  <c r="H550" i="4"/>
  <c r="I550" i="4"/>
  <c r="J550" i="4"/>
  <c r="K550" i="4"/>
  <c r="B551" i="4"/>
  <c r="C551" i="4"/>
  <c r="D551" i="4"/>
  <c r="E551" i="4"/>
  <c r="F551" i="4"/>
  <c r="G551" i="4"/>
  <c r="H551" i="4"/>
  <c r="I551" i="4"/>
  <c r="J551" i="4"/>
  <c r="K551" i="4"/>
  <c r="B552" i="4"/>
  <c r="C552" i="4"/>
  <c r="D552" i="4"/>
  <c r="E552" i="4"/>
  <c r="F552" i="4"/>
  <c r="G552" i="4"/>
  <c r="H552" i="4"/>
  <c r="I552" i="4"/>
  <c r="J552" i="4"/>
  <c r="K552" i="4"/>
  <c r="B553" i="4"/>
  <c r="C553" i="4"/>
  <c r="D553" i="4"/>
  <c r="E553" i="4"/>
  <c r="F553" i="4"/>
  <c r="G553" i="4"/>
  <c r="H553" i="4"/>
  <c r="I553" i="4"/>
  <c r="J553" i="4"/>
  <c r="K553" i="4"/>
  <c r="B554" i="4"/>
  <c r="C554" i="4"/>
  <c r="D554" i="4"/>
  <c r="E554" i="4"/>
  <c r="F554" i="4"/>
  <c r="G554" i="4"/>
  <c r="H554" i="4"/>
  <c r="I554" i="4"/>
  <c r="J554" i="4"/>
  <c r="K554" i="4"/>
  <c r="B555" i="4"/>
  <c r="C555" i="4"/>
  <c r="D555" i="4"/>
  <c r="E555" i="4"/>
  <c r="F555" i="4"/>
  <c r="G555" i="4"/>
  <c r="H555" i="4"/>
  <c r="I555" i="4"/>
  <c r="J555" i="4"/>
  <c r="K555" i="4"/>
  <c r="B556" i="4"/>
  <c r="C556" i="4"/>
  <c r="D556" i="4"/>
  <c r="E556" i="4"/>
  <c r="F556" i="4"/>
  <c r="G556" i="4"/>
  <c r="H556" i="4"/>
  <c r="I556" i="4"/>
  <c r="J556" i="4"/>
  <c r="K556" i="4"/>
  <c r="B557" i="4"/>
  <c r="C557" i="4"/>
  <c r="D557" i="4"/>
  <c r="E557" i="4"/>
  <c r="F557" i="4"/>
  <c r="G557" i="4"/>
  <c r="H557" i="4"/>
  <c r="I557" i="4"/>
  <c r="J557" i="4"/>
  <c r="K557" i="4"/>
  <c r="B558" i="4"/>
  <c r="C558" i="4"/>
  <c r="D558" i="4"/>
  <c r="E558" i="4"/>
  <c r="F558" i="4"/>
  <c r="G558" i="4"/>
  <c r="H558" i="4"/>
  <c r="I558" i="4"/>
  <c r="J558" i="4"/>
  <c r="K558" i="4"/>
  <c r="B559" i="4"/>
  <c r="C559" i="4"/>
  <c r="D559" i="4"/>
  <c r="E559" i="4"/>
  <c r="F559" i="4"/>
  <c r="G559" i="4"/>
  <c r="H559" i="4"/>
  <c r="I559" i="4"/>
  <c r="J559" i="4"/>
  <c r="K559" i="4"/>
  <c r="B560" i="4"/>
  <c r="C560" i="4"/>
  <c r="D560" i="4"/>
  <c r="E560" i="4"/>
  <c r="F560" i="4"/>
  <c r="G560" i="4"/>
  <c r="H560" i="4"/>
  <c r="I560" i="4"/>
  <c r="J560" i="4"/>
  <c r="K560" i="4"/>
  <c r="B561" i="4"/>
  <c r="C561" i="4"/>
  <c r="D561" i="4"/>
  <c r="E561" i="4"/>
  <c r="F561" i="4"/>
  <c r="G561" i="4"/>
  <c r="H561" i="4"/>
  <c r="I561" i="4"/>
  <c r="J561" i="4"/>
  <c r="K561" i="4"/>
  <c r="B562" i="4"/>
  <c r="C562" i="4"/>
  <c r="D562" i="4"/>
  <c r="E562" i="4"/>
  <c r="F562" i="4"/>
  <c r="G562" i="4"/>
  <c r="H562" i="4"/>
  <c r="I562" i="4"/>
  <c r="J562" i="4"/>
  <c r="K562" i="4"/>
  <c r="B563" i="4"/>
  <c r="C563" i="4"/>
  <c r="D563" i="4"/>
  <c r="E563" i="4"/>
  <c r="F563" i="4"/>
  <c r="G563" i="4"/>
  <c r="H563" i="4"/>
  <c r="I563" i="4"/>
  <c r="J563" i="4"/>
  <c r="K563" i="4"/>
  <c r="B564" i="4"/>
  <c r="C564" i="4"/>
  <c r="D564" i="4"/>
  <c r="E564" i="4"/>
  <c r="F564" i="4"/>
  <c r="G564" i="4"/>
  <c r="H564" i="4"/>
  <c r="I564" i="4"/>
  <c r="J564" i="4"/>
  <c r="K564" i="4"/>
  <c r="B565" i="4"/>
  <c r="C565" i="4"/>
  <c r="D565" i="4"/>
  <c r="E565" i="4"/>
  <c r="F565" i="4"/>
  <c r="G565" i="4"/>
  <c r="H565" i="4"/>
  <c r="I565" i="4"/>
  <c r="J565" i="4"/>
  <c r="K565" i="4"/>
  <c r="B566" i="4"/>
  <c r="C566" i="4"/>
  <c r="D566" i="4"/>
  <c r="E566" i="4"/>
  <c r="F566" i="4"/>
  <c r="G566" i="4"/>
  <c r="H566" i="4"/>
  <c r="I566" i="4"/>
  <c r="J566" i="4"/>
  <c r="K566" i="4"/>
  <c r="B567" i="4"/>
  <c r="C567" i="4"/>
  <c r="D567" i="4"/>
  <c r="E567" i="4"/>
  <c r="F567" i="4"/>
  <c r="G567" i="4"/>
  <c r="H567" i="4"/>
  <c r="I567" i="4"/>
  <c r="J567" i="4"/>
  <c r="K567" i="4"/>
  <c r="B568" i="4"/>
  <c r="C568" i="4"/>
  <c r="D568" i="4"/>
  <c r="E568" i="4"/>
  <c r="F568" i="4"/>
  <c r="G568" i="4"/>
  <c r="H568" i="4"/>
  <c r="I568" i="4"/>
  <c r="J568" i="4"/>
  <c r="K568" i="4"/>
  <c r="B569" i="4"/>
  <c r="C569" i="4"/>
  <c r="D569" i="4"/>
  <c r="E569" i="4"/>
  <c r="F569" i="4"/>
  <c r="G569" i="4"/>
  <c r="H569" i="4"/>
  <c r="I569" i="4"/>
  <c r="J569" i="4"/>
  <c r="K569" i="4"/>
  <c r="B570" i="4"/>
  <c r="C570" i="4"/>
  <c r="D570" i="4"/>
  <c r="E570" i="4"/>
  <c r="F570" i="4"/>
  <c r="G570" i="4"/>
  <c r="H570" i="4"/>
  <c r="I570" i="4"/>
  <c r="J570" i="4"/>
  <c r="K570" i="4"/>
  <c r="B571" i="4"/>
  <c r="C571" i="4"/>
  <c r="D571" i="4"/>
  <c r="E571" i="4"/>
  <c r="F571" i="4"/>
  <c r="G571" i="4"/>
  <c r="H571" i="4"/>
  <c r="I571" i="4"/>
  <c r="J571" i="4"/>
  <c r="K571" i="4"/>
  <c r="B572" i="4"/>
  <c r="C572" i="4"/>
  <c r="D572" i="4"/>
  <c r="E572" i="4"/>
  <c r="F572" i="4"/>
  <c r="G572" i="4"/>
  <c r="H572" i="4"/>
  <c r="I572" i="4"/>
  <c r="J572" i="4"/>
  <c r="K572" i="4"/>
  <c r="B573" i="4"/>
  <c r="C573" i="4"/>
  <c r="D573" i="4"/>
  <c r="E573" i="4"/>
  <c r="F573" i="4"/>
  <c r="G573" i="4"/>
  <c r="H573" i="4"/>
  <c r="I573" i="4"/>
  <c r="J573" i="4"/>
  <c r="K573" i="4"/>
  <c r="B574" i="4"/>
  <c r="C574" i="4"/>
  <c r="D574" i="4"/>
  <c r="E574" i="4"/>
  <c r="F574" i="4"/>
  <c r="G574" i="4"/>
  <c r="H574" i="4"/>
  <c r="I574" i="4"/>
  <c r="J574" i="4"/>
  <c r="K574" i="4"/>
  <c r="B575" i="4"/>
  <c r="C575" i="4"/>
  <c r="D575" i="4"/>
  <c r="E575" i="4"/>
  <c r="F575" i="4"/>
  <c r="G575" i="4"/>
  <c r="H575" i="4"/>
  <c r="I575" i="4"/>
  <c r="J575" i="4"/>
  <c r="K575" i="4"/>
  <c r="B576" i="4"/>
  <c r="C576" i="4"/>
  <c r="D576" i="4"/>
  <c r="E576" i="4"/>
  <c r="F576" i="4"/>
  <c r="G576" i="4"/>
  <c r="H576" i="4"/>
  <c r="I576" i="4"/>
  <c r="J576" i="4"/>
  <c r="K576" i="4"/>
  <c r="B577" i="4"/>
  <c r="C577" i="4"/>
  <c r="D577" i="4"/>
  <c r="E577" i="4"/>
  <c r="F577" i="4"/>
  <c r="G577" i="4"/>
  <c r="H577" i="4"/>
  <c r="I577" i="4"/>
  <c r="J577" i="4"/>
  <c r="K577" i="4"/>
  <c r="B578" i="4"/>
  <c r="C578" i="4"/>
  <c r="D578" i="4"/>
  <c r="E578" i="4"/>
  <c r="F578" i="4"/>
  <c r="G578" i="4"/>
  <c r="H578" i="4"/>
  <c r="I578" i="4"/>
  <c r="J578" i="4"/>
  <c r="K578" i="4"/>
  <c r="B579" i="4"/>
  <c r="C579" i="4"/>
  <c r="D579" i="4"/>
  <c r="E579" i="4"/>
  <c r="F579" i="4"/>
  <c r="G579" i="4"/>
  <c r="H579" i="4"/>
  <c r="I579" i="4"/>
  <c r="J579" i="4"/>
  <c r="K579" i="4"/>
  <c r="B580" i="4"/>
  <c r="C580" i="4"/>
  <c r="D580" i="4"/>
  <c r="E580" i="4"/>
  <c r="F580" i="4"/>
  <c r="G580" i="4"/>
  <c r="H580" i="4"/>
  <c r="I580" i="4"/>
  <c r="J580" i="4"/>
  <c r="K580" i="4"/>
  <c r="B581" i="4"/>
  <c r="C581" i="4"/>
  <c r="D581" i="4"/>
  <c r="E581" i="4"/>
  <c r="F581" i="4"/>
  <c r="G581" i="4"/>
  <c r="H581" i="4"/>
  <c r="I581" i="4"/>
  <c r="J581" i="4"/>
  <c r="K581" i="4"/>
  <c r="B582" i="4"/>
  <c r="C582" i="4"/>
  <c r="D582" i="4"/>
  <c r="E582" i="4"/>
  <c r="F582" i="4"/>
  <c r="G582" i="4"/>
  <c r="H582" i="4"/>
  <c r="I582" i="4"/>
  <c r="J582" i="4"/>
  <c r="K582" i="4"/>
  <c r="B583" i="4"/>
  <c r="C583" i="4"/>
  <c r="D583" i="4"/>
  <c r="E583" i="4"/>
  <c r="F583" i="4"/>
  <c r="G583" i="4"/>
  <c r="H583" i="4"/>
  <c r="I583" i="4"/>
  <c r="J583" i="4"/>
  <c r="K583" i="4"/>
  <c r="B584" i="4"/>
  <c r="C584" i="4"/>
  <c r="D584" i="4"/>
  <c r="E584" i="4"/>
  <c r="F584" i="4"/>
  <c r="G584" i="4"/>
  <c r="H584" i="4"/>
  <c r="I584" i="4"/>
  <c r="J584" i="4"/>
  <c r="K584" i="4"/>
  <c r="B585" i="4"/>
  <c r="C585" i="4"/>
  <c r="D585" i="4"/>
  <c r="E585" i="4"/>
  <c r="F585" i="4"/>
  <c r="G585" i="4"/>
  <c r="H585" i="4"/>
  <c r="I585" i="4"/>
  <c r="J585" i="4"/>
  <c r="K585" i="4"/>
  <c r="B586" i="4"/>
  <c r="C586" i="4"/>
  <c r="D586" i="4"/>
  <c r="E586" i="4"/>
  <c r="F586" i="4"/>
  <c r="G586" i="4"/>
  <c r="H586" i="4"/>
  <c r="I586" i="4"/>
  <c r="J586" i="4"/>
  <c r="K586" i="4"/>
  <c r="B587" i="4"/>
  <c r="C587" i="4"/>
  <c r="D587" i="4"/>
  <c r="E587" i="4"/>
  <c r="F587" i="4"/>
  <c r="G587" i="4"/>
  <c r="H587" i="4"/>
  <c r="I587" i="4"/>
  <c r="J587" i="4"/>
  <c r="K587" i="4"/>
  <c r="B588" i="4"/>
  <c r="C588" i="4"/>
  <c r="D588" i="4"/>
  <c r="E588" i="4"/>
  <c r="F588" i="4"/>
  <c r="G588" i="4"/>
  <c r="H588" i="4"/>
  <c r="I588" i="4"/>
  <c r="J588" i="4"/>
  <c r="K588" i="4"/>
  <c r="B589" i="4"/>
  <c r="C589" i="4"/>
  <c r="D589" i="4"/>
  <c r="E589" i="4"/>
  <c r="F589" i="4"/>
  <c r="G589" i="4"/>
  <c r="H589" i="4"/>
  <c r="I589" i="4"/>
  <c r="J589" i="4"/>
  <c r="K589" i="4"/>
  <c r="B590" i="4"/>
  <c r="C590" i="4"/>
  <c r="D590" i="4"/>
  <c r="E590" i="4"/>
  <c r="F590" i="4"/>
  <c r="G590" i="4"/>
  <c r="H590" i="4"/>
  <c r="I590" i="4"/>
  <c r="J590" i="4"/>
  <c r="K590" i="4"/>
  <c r="B591" i="4"/>
  <c r="C591" i="4"/>
  <c r="D591" i="4"/>
  <c r="E591" i="4"/>
  <c r="F591" i="4"/>
  <c r="G591" i="4"/>
  <c r="H591" i="4"/>
  <c r="I591" i="4"/>
  <c r="J591" i="4"/>
  <c r="K591" i="4"/>
  <c r="B592" i="4"/>
  <c r="C592" i="4"/>
  <c r="D592" i="4"/>
  <c r="E592" i="4"/>
  <c r="F592" i="4"/>
  <c r="G592" i="4"/>
  <c r="H592" i="4"/>
  <c r="I592" i="4"/>
  <c r="J592" i="4"/>
  <c r="K592" i="4"/>
  <c r="B593" i="4"/>
  <c r="C593" i="4"/>
  <c r="D593" i="4"/>
  <c r="E593" i="4"/>
  <c r="F593" i="4"/>
  <c r="G593" i="4"/>
  <c r="H593" i="4"/>
  <c r="I593" i="4"/>
  <c r="J593" i="4"/>
  <c r="K593" i="4"/>
  <c r="B594" i="4"/>
  <c r="C594" i="4"/>
  <c r="D594" i="4"/>
  <c r="E594" i="4"/>
  <c r="F594" i="4"/>
  <c r="G594" i="4"/>
  <c r="H594" i="4"/>
  <c r="I594" i="4"/>
  <c r="J594" i="4"/>
  <c r="K594" i="4"/>
  <c r="B595" i="4"/>
  <c r="C595" i="4"/>
  <c r="D595" i="4"/>
  <c r="E595" i="4"/>
  <c r="F595" i="4"/>
  <c r="G595" i="4"/>
  <c r="H595" i="4"/>
  <c r="I595" i="4"/>
  <c r="J595" i="4"/>
  <c r="K595" i="4"/>
  <c r="B596" i="4"/>
  <c r="C596" i="4"/>
  <c r="D596" i="4"/>
  <c r="E596" i="4"/>
  <c r="F596" i="4"/>
  <c r="G596" i="4"/>
  <c r="H596" i="4"/>
  <c r="I596" i="4"/>
  <c r="J596" i="4"/>
  <c r="K596" i="4"/>
  <c r="B597" i="4"/>
  <c r="C597" i="4"/>
  <c r="D597" i="4"/>
  <c r="E597" i="4"/>
  <c r="F597" i="4"/>
  <c r="G597" i="4"/>
  <c r="H597" i="4"/>
  <c r="I597" i="4"/>
  <c r="J597" i="4"/>
  <c r="K597" i="4"/>
  <c r="B598" i="4"/>
  <c r="C598" i="4"/>
  <c r="D598" i="4"/>
  <c r="E598" i="4"/>
  <c r="F598" i="4"/>
  <c r="G598" i="4"/>
  <c r="H598" i="4"/>
  <c r="I598" i="4"/>
  <c r="J598" i="4"/>
  <c r="K598" i="4"/>
  <c r="B599" i="4"/>
  <c r="C599" i="4"/>
  <c r="D599" i="4"/>
  <c r="E599" i="4"/>
  <c r="F599" i="4"/>
  <c r="G599" i="4"/>
  <c r="H599" i="4"/>
  <c r="I599" i="4"/>
  <c r="J599" i="4"/>
  <c r="K599" i="4"/>
  <c r="B600" i="4"/>
  <c r="C600" i="4"/>
  <c r="D600" i="4"/>
  <c r="E600" i="4"/>
  <c r="F600" i="4"/>
  <c r="G600" i="4"/>
  <c r="H600" i="4"/>
  <c r="I600" i="4"/>
  <c r="J600" i="4"/>
  <c r="K600" i="4"/>
  <c r="B601" i="4"/>
  <c r="C601" i="4"/>
  <c r="D601" i="4"/>
  <c r="E601" i="4"/>
  <c r="F601" i="4"/>
  <c r="G601" i="4"/>
  <c r="H601" i="4"/>
  <c r="I601" i="4"/>
  <c r="J601" i="4"/>
  <c r="K601" i="4"/>
  <c r="B602" i="4"/>
  <c r="C602" i="4"/>
  <c r="D602" i="4"/>
  <c r="E602" i="4"/>
  <c r="F602" i="4"/>
  <c r="G602" i="4"/>
  <c r="H602" i="4"/>
  <c r="I602" i="4"/>
  <c r="J602" i="4"/>
  <c r="K602" i="4"/>
  <c r="B603" i="4"/>
  <c r="C603" i="4"/>
  <c r="D603" i="4"/>
  <c r="E603" i="4"/>
  <c r="F603" i="4"/>
  <c r="G603" i="4"/>
  <c r="H603" i="4"/>
  <c r="I603" i="4"/>
  <c r="J603" i="4"/>
  <c r="K603" i="4"/>
  <c r="B604" i="4"/>
  <c r="C604" i="4"/>
  <c r="D604" i="4"/>
  <c r="E604" i="4"/>
  <c r="F604" i="4"/>
  <c r="G604" i="4"/>
  <c r="H604" i="4"/>
  <c r="I604" i="4"/>
  <c r="J604" i="4"/>
  <c r="K604" i="4"/>
  <c r="B605" i="4"/>
  <c r="C605" i="4"/>
  <c r="D605" i="4"/>
  <c r="E605" i="4"/>
  <c r="F605" i="4"/>
  <c r="G605" i="4"/>
  <c r="H605" i="4"/>
  <c r="I605" i="4"/>
  <c r="J605" i="4"/>
  <c r="K605" i="4"/>
  <c r="B606" i="4"/>
  <c r="C606" i="4"/>
  <c r="D606" i="4"/>
  <c r="E606" i="4"/>
  <c r="F606" i="4"/>
  <c r="G606" i="4"/>
  <c r="H606" i="4"/>
  <c r="I606" i="4"/>
  <c r="J606" i="4"/>
  <c r="K606" i="4"/>
  <c r="B607" i="4"/>
  <c r="C607" i="4"/>
  <c r="D607" i="4"/>
  <c r="E607" i="4"/>
  <c r="F607" i="4"/>
  <c r="G607" i="4"/>
  <c r="H607" i="4"/>
  <c r="I607" i="4"/>
  <c r="J607" i="4"/>
  <c r="K607" i="4"/>
  <c r="B608" i="4"/>
  <c r="C608" i="4"/>
  <c r="D608" i="4"/>
  <c r="E608" i="4"/>
  <c r="F608" i="4"/>
  <c r="G608" i="4"/>
  <c r="H608" i="4"/>
  <c r="I608" i="4"/>
  <c r="J608" i="4"/>
  <c r="K608" i="4"/>
  <c r="B609" i="4"/>
  <c r="C609" i="4"/>
  <c r="D609" i="4"/>
  <c r="E609" i="4"/>
  <c r="F609" i="4"/>
  <c r="G609" i="4"/>
  <c r="H609" i="4"/>
  <c r="I609" i="4"/>
  <c r="J609" i="4"/>
  <c r="K609" i="4"/>
  <c r="B610" i="4"/>
  <c r="C610" i="4"/>
  <c r="D610" i="4"/>
  <c r="E610" i="4"/>
  <c r="F610" i="4"/>
  <c r="G610" i="4"/>
  <c r="H610" i="4"/>
  <c r="I610" i="4"/>
  <c r="J610" i="4"/>
  <c r="K610" i="4"/>
  <c r="B611" i="4"/>
  <c r="C611" i="4"/>
  <c r="D611" i="4"/>
  <c r="E611" i="4"/>
  <c r="F611" i="4"/>
  <c r="G611" i="4"/>
  <c r="H611" i="4"/>
  <c r="I611" i="4"/>
  <c r="J611" i="4"/>
  <c r="K611" i="4"/>
  <c r="B612" i="4"/>
  <c r="C612" i="4"/>
  <c r="D612" i="4"/>
  <c r="E612" i="4"/>
  <c r="F612" i="4"/>
  <c r="G612" i="4"/>
  <c r="H612" i="4"/>
  <c r="I612" i="4"/>
  <c r="J612" i="4"/>
  <c r="K612" i="4"/>
  <c r="B613" i="4"/>
  <c r="C613" i="4"/>
  <c r="D613" i="4"/>
  <c r="E613" i="4"/>
  <c r="F613" i="4"/>
  <c r="G613" i="4"/>
  <c r="H613" i="4"/>
  <c r="I613" i="4"/>
  <c r="J613" i="4"/>
  <c r="K613" i="4"/>
  <c r="B614" i="4"/>
  <c r="C614" i="4"/>
  <c r="D614" i="4"/>
  <c r="E614" i="4"/>
  <c r="F614" i="4"/>
  <c r="G614" i="4"/>
  <c r="H614" i="4"/>
  <c r="I614" i="4"/>
  <c r="J614" i="4"/>
  <c r="K614" i="4"/>
  <c r="B615" i="4"/>
  <c r="C615" i="4"/>
  <c r="D615" i="4"/>
  <c r="E615" i="4"/>
  <c r="F615" i="4"/>
  <c r="G615" i="4"/>
  <c r="H615" i="4"/>
  <c r="I615" i="4"/>
  <c r="J615" i="4"/>
  <c r="K615" i="4"/>
  <c r="B616" i="4"/>
  <c r="C616" i="4"/>
  <c r="D616" i="4"/>
  <c r="E616" i="4"/>
  <c r="F616" i="4"/>
  <c r="G616" i="4"/>
  <c r="H616" i="4"/>
  <c r="I616" i="4"/>
  <c r="J616" i="4"/>
  <c r="K616" i="4"/>
  <c r="B617" i="4"/>
  <c r="C617" i="4"/>
  <c r="D617" i="4"/>
  <c r="E617" i="4"/>
  <c r="F617" i="4"/>
  <c r="G617" i="4"/>
  <c r="H617" i="4"/>
  <c r="I617" i="4"/>
  <c r="J617" i="4"/>
  <c r="K617" i="4"/>
  <c r="B618" i="4"/>
  <c r="C618" i="4"/>
  <c r="D618" i="4"/>
  <c r="E618" i="4"/>
  <c r="F618" i="4"/>
  <c r="G618" i="4"/>
  <c r="H618" i="4"/>
  <c r="I618" i="4"/>
  <c r="J618" i="4"/>
  <c r="K618" i="4"/>
  <c r="B619" i="4"/>
  <c r="C619" i="4"/>
  <c r="D619" i="4"/>
  <c r="E619" i="4"/>
  <c r="F619" i="4"/>
  <c r="G619" i="4"/>
  <c r="H619" i="4"/>
  <c r="I619" i="4"/>
  <c r="J619" i="4"/>
  <c r="K619" i="4"/>
  <c r="B620" i="4"/>
  <c r="C620" i="4"/>
  <c r="D620" i="4"/>
  <c r="E620" i="4"/>
  <c r="F620" i="4"/>
  <c r="G620" i="4"/>
  <c r="H620" i="4"/>
  <c r="I620" i="4"/>
  <c r="J620" i="4"/>
  <c r="K620" i="4"/>
  <c r="B621" i="4"/>
  <c r="C621" i="4"/>
  <c r="D621" i="4"/>
  <c r="E621" i="4"/>
  <c r="F621" i="4"/>
  <c r="G621" i="4"/>
  <c r="H621" i="4"/>
  <c r="I621" i="4"/>
  <c r="J621" i="4"/>
  <c r="K621" i="4"/>
  <c r="B622" i="4"/>
  <c r="C622" i="4"/>
  <c r="D622" i="4"/>
  <c r="E622" i="4"/>
  <c r="F622" i="4"/>
  <c r="G622" i="4"/>
  <c r="H622" i="4"/>
  <c r="I622" i="4"/>
  <c r="J622" i="4"/>
  <c r="K622" i="4"/>
  <c r="B623" i="4"/>
  <c r="C623" i="4"/>
  <c r="D623" i="4"/>
  <c r="E623" i="4"/>
  <c r="F623" i="4"/>
  <c r="G623" i="4"/>
  <c r="H623" i="4"/>
  <c r="I623" i="4"/>
  <c r="J623" i="4"/>
  <c r="K623" i="4"/>
  <c r="B624" i="4"/>
  <c r="C624" i="4"/>
  <c r="D624" i="4"/>
  <c r="E624" i="4"/>
  <c r="F624" i="4"/>
  <c r="G624" i="4"/>
  <c r="H624" i="4"/>
  <c r="I624" i="4"/>
  <c r="J624" i="4"/>
  <c r="K624" i="4"/>
  <c r="B625" i="4"/>
  <c r="C625" i="4"/>
  <c r="D625" i="4"/>
  <c r="E625" i="4"/>
  <c r="F625" i="4"/>
  <c r="G625" i="4"/>
  <c r="H625" i="4"/>
  <c r="I625" i="4"/>
  <c r="J625" i="4"/>
  <c r="K625" i="4"/>
  <c r="B626" i="4"/>
  <c r="C626" i="4"/>
  <c r="D626" i="4"/>
  <c r="E626" i="4"/>
  <c r="F626" i="4"/>
  <c r="G626" i="4"/>
  <c r="H626" i="4"/>
  <c r="I626" i="4"/>
  <c r="J626" i="4"/>
  <c r="K626" i="4"/>
  <c r="B627" i="4"/>
  <c r="C627" i="4"/>
  <c r="D627" i="4"/>
  <c r="E627" i="4"/>
  <c r="F627" i="4"/>
  <c r="G627" i="4"/>
  <c r="H627" i="4"/>
  <c r="I627" i="4"/>
  <c r="J627" i="4"/>
  <c r="K627" i="4"/>
  <c r="B628" i="4"/>
  <c r="C628" i="4"/>
  <c r="D628" i="4"/>
  <c r="E628" i="4"/>
  <c r="F628" i="4"/>
  <c r="G628" i="4"/>
  <c r="H628" i="4"/>
  <c r="I628" i="4"/>
  <c r="J628" i="4"/>
  <c r="K628" i="4"/>
  <c r="B629" i="4"/>
  <c r="C629" i="4"/>
  <c r="D629" i="4"/>
  <c r="E629" i="4"/>
  <c r="F629" i="4"/>
  <c r="G629" i="4"/>
  <c r="H629" i="4"/>
  <c r="I629" i="4"/>
  <c r="J629" i="4"/>
  <c r="K629" i="4"/>
  <c r="B630" i="4"/>
  <c r="C630" i="4"/>
  <c r="D630" i="4"/>
  <c r="E630" i="4"/>
  <c r="F630" i="4"/>
  <c r="G630" i="4"/>
  <c r="H630" i="4"/>
  <c r="I630" i="4"/>
  <c r="J630" i="4"/>
  <c r="K630" i="4"/>
  <c r="B631" i="4"/>
  <c r="C631" i="4"/>
  <c r="D631" i="4"/>
  <c r="E631" i="4"/>
  <c r="F631" i="4"/>
  <c r="G631" i="4"/>
  <c r="H631" i="4"/>
  <c r="I631" i="4"/>
  <c r="J631" i="4"/>
  <c r="K631" i="4"/>
  <c r="B632" i="4"/>
  <c r="C632" i="4"/>
  <c r="D632" i="4"/>
  <c r="E632" i="4"/>
  <c r="F632" i="4"/>
  <c r="G632" i="4"/>
  <c r="H632" i="4"/>
  <c r="I632" i="4"/>
  <c r="J632" i="4"/>
  <c r="K632" i="4"/>
  <c r="B633" i="4"/>
  <c r="C633" i="4"/>
  <c r="D633" i="4"/>
  <c r="E633" i="4"/>
  <c r="F633" i="4"/>
  <c r="G633" i="4"/>
  <c r="H633" i="4"/>
  <c r="I633" i="4"/>
  <c r="J633" i="4"/>
  <c r="K633" i="4"/>
  <c r="B634" i="4"/>
  <c r="C634" i="4"/>
  <c r="D634" i="4"/>
  <c r="E634" i="4"/>
  <c r="F634" i="4"/>
  <c r="G634" i="4"/>
  <c r="H634" i="4"/>
  <c r="I634" i="4"/>
  <c r="J634" i="4"/>
  <c r="K634" i="4"/>
  <c r="B635" i="4"/>
  <c r="C635" i="4"/>
  <c r="D635" i="4"/>
  <c r="E635" i="4"/>
  <c r="F635" i="4"/>
  <c r="G635" i="4"/>
  <c r="H635" i="4"/>
  <c r="I635" i="4"/>
  <c r="J635" i="4"/>
  <c r="K635" i="4"/>
  <c r="B636" i="4"/>
  <c r="C636" i="4"/>
  <c r="D636" i="4"/>
  <c r="E636" i="4"/>
  <c r="F636" i="4"/>
  <c r="G636" i="4"/>
  <c r="H636" i="4"/>
  <c r="I636" i="4"/>
  <c r="J636" i="4"/>
  <c r="K636" i="4"/>
  <c r="B637" i="4"/>
  <c r="C637" i="4"/>
  <c r="D637" i="4"/>
  <c r="E637" i="4"/>
  <c r="F637" i="4"/>
  <c r="G637" i="4"/>
  <c r="H637" i="4"/>
  <c r="I637" i="4"/>
  <c r="J637" i="4"/>
  <c r="K637" i="4"/>
  <c r="B638" i="4"/>
  <c r="C638" i="4"/>
  <c r="D638" i="4"/>
  <c r="E638" i="4"/>
  <c r="F638" i="4"/>
  <c r="G638" i="4"/>
  <c r="H638" i="4"/>
  <c r="I638" i="4"/>
  <c r="J638" i="4"/>
  <c r="K638" i="4"/>
  <c r="B639" i="4"/>
  <c r="C639" i="4"/>
  <c r="D639" i="4"/>
  <c r="E639" i="4"/>
  <c r="F639" i="4"/>
  <c r="G639" i="4"/>
  <c r="H639" i="4"/>
  <c r="I639" i="4"/>
  <c r="J639" i="4"/>
  <c r="K639" i="4"/>
  <c r="B640" i="4"/>
  <c r="C640" i="4"/>
  <c r="D640" i="4"/>
  <c r="E640" i="4"/>
  <c r="F640" i="4"/>
  <c r="G640" i="4"/>
  <c r="H640" i="4"/>
  <c r="I640" i="4"/>
  <c r="J640" i="4"/>
  <c r="K640" i="4"/>
  <c r="B641" i="4"/>
  <c r="C641" i="4"/>
  <c r="D641" i="4"/>
  <c r="E641" i="4"/>
  <c r="F641" i="4"/>
  <c r="G641" i="4"/>
  <c r="H641" i="4"/>
  <c r="I641" i="4"/>
  <c r="J641" i="4"/>
  <c r="K641" i="4"/>
  <c r="B642" i="4"/>
  <c r="C642" i="4"/>
  <c r="D642" i="4"/>
  <c r="E642" i="4"/>
  <c r="F642" i="4"/>
  <c r="G642" i="4"/>
  <c r="H642" i="4"/>
  <c r="I642" i="4"/>
  <c r="J642" i="4"/>
  <c r="K642" i="4"/>
  <c r="B643" i="4"/>
  <c r="C643" i="4"/>
  <c r="D643" i="4"/>
  <c r="E643" i="4"/>
  <c r="F643" i="4"/>
  <c r="G643" i="4"/>
  <c r="H643" i="4"/>
  <c r="I643" i="4"/>
  <c r="J643" i="4"/>
  <c r="K643" i="4"/>
  <c r="B644" i="4"/>
  <c r="C644" i="4"/>
  <c r="D644" i="4"/>
  <c r="E644" i="4"/>
  <c r="F644" i="4"/>
  <c r="G644" i="4"/>
  <c r="H644" i="4"/>
  <c r="I644" i="4"/>
  <c r="J644" i="4"/>
  <c r="K644" i="4"/>
  <c r="B645" i="4"/>
  <c r="C645" i="4"/>
  <c r="D645" i="4"/>
  <c r="E645" i="4"/>
  <c r="F645" i="4"/>
  <c r="G645" i="4"/>
  <c r="H645" i="4"/>
  <c r="I645" i="4"/>
  <c r="J645" i="4"/>
  <c r="K645" i="4"/>
  <c r="B646" i="4"/>
  <c r="C646" i="4"/>
  <c r="D646" i="4"/>
  <c r="E646" i="4"/>
  <c r="F646" i="4"/>
  <c r="G646" i="4"/>
  <c r="H646" i="4"/>
  <c r="I646" i="4"/>
  <c r="J646" i="4"/>
  <c r="K646" i="4"/>
  <c r="B647" i="4"/>
  <c r="C647" i="4"/>
  <c r="D647" i="4"/>
  <c r="E647" i="4"/>
  <c r="F647" i="4"/>
  <c r="G647" i="4"/>
  <c r="H647" i="4"/>
  <c r="I647" i="4"/>
  <c r="J647" i="4"/>
  <c r="K647" i="4"/>
  <c r="B648" i="4"/>
  <c r="C648" i="4"/>
  <c r="D648" i="4"/>
  <c r="E648" i="4"/>
  <c r="F648" i="4"/>
  <c r="G648" i="4"/>
  <c r="H648" i="4"/>
  <c r="I648" i="4"/>
  <c r="J648" i="4"/>
  <c r="K648" i="4"/>
  <c r="B649" i="4"/>
  <c r="C649" i="4"/>
  <c r="D649" i="4"/>
  <c r="E649" i="4"/>
  <c r="F649" i="4"/>
  <c r="G649" i="4"/>
  <c r="H649" i="4"/>
  <c r="I649" i="4"/>
  <c r="J649" i="4"/>
  <c r="K649" i="4"/>
  <c r="B650" i="4"/>
  <c r="C650" i="4"/>
  <c r="D650" i="4"/>
  <c r="E650" i="4"/>
  <c r="F650" i="4"/>
  <c r="G650" i="4"/>
  <c r="H650" i="4"/>
  <c r="I650" i="4"/>
  <c r="J650" i="4"/>
  <c r="K650" i="4"/>
  <c r="B651" i="4"/>
  <c r="C651" i="4"/>
  <c r="D651" i="4"/>
  <c r="E651" i="4"/>
  <c r="F651" i="4"/>
  <c r="G651" i="4"/>
  <c r="H651" i="4"/>
  <c r="I651" i="4"/>
  <c r="J651" i="4"/>
  <c r="K651" i="4"/>
  <c r="B652" i="4"/>
  <c r="C652" i="4"/>
  <c r="D652" i="4"/>
  <c r="E652" i="4"/>
  <c r="F652" i="4"/>
  <c r="G652" i="4"/>
  <c r="H652" i="4"/>
  <c r="I652" i="4"/>
  <c r="J652" i="4"/>
  <c r="K652" i="4"/>
  <c r="B653" i="4"/>
  <c r="C653" i="4"/>
  <c r="D653" i="4"/>
  <c r="E653" i="4"/>
  <c r="F653" i="4"/>
  <c r="G653" i="4"/>
  <c r="H653" i="4"/>
  <c r="I653" i="4"/>
  <c r="J653" i="4"/>
  <c r="K653" i="4"/>
  <c r="B654" i="4"/>
  <c r="C654" i="4"/>
  <c r="D654" i="4"/>
  <c r="E654" i="4"/>
  <c r="F654" i="4"/>
  <c r="G654" i="4"/>
  <c r="H654" i="4"/>
  <c r="I654" i="4"/>
  <c r="J654" i="4"/>
  <c r="K654" i="4"/>
  <c r="B655" i="4"/>
  <c r="C655" i="4"/>
  <c r="D655" i="4"/>
  <c r="E655" i="4"/>
  <c r="F655" i="4"/>
  <c r="G655" i="4"/>
  <c r="H655" i="4"/>
  <c r="I655" i="4"/>
  <c r="J655" i="4"/>
  <c r="K655" i="4"/>
  <c r="B656" i="4"/>
  <c r="C656" i="4"/>
  <c r="D656" i="4"/>
  <c r="E656" i="4"/>
  <c r="F656" i="4"/>
  <c r="G656" i="4"/>
  <c r="H656" i="4"/>
  <c r="I656" i="4"/>
  <c r="J656" i="4"/>
  <c r="K656" i="4"/>
  <c r="B657" i="4"/>
  <c r="C657" i="4"/>
  <c r="D657" i="4"/>
  <c r="E657" i="4"/>
  <c r="F657" i="4"/>
  <c r="G657" i="4"/>
  <c r="H657" i="4"/>
  <c r="I657" i="4"/>
  <c r="J657" i="4"/>
  <c r="K657" i="4"/>
  <c r="B658" i="4"/>
  <c r="C658" i="4"/>
  <c r="D658" i="4"/>
  <c r="E658" i="4"/>
  <c r="F658" i="4"/>
  <c r="G658" i="4"/>
  <c r="H658" i="4"/>
  <c r="I658" i="4"/>
  <c r="J658" i="4"/>
  <c r="K658" i="4"/>
  <c r="B659" i="4"/>
  <c r="C659" i="4"/>
  <c r="D659" i="4"/>
  <c r="E659" i="4"/>
  <c r="F659" i="4"/>
  <c r="G659" i="4"/>
  <c r="H659" i="4"/>
  <c r="I659" i="4"/>
  <c r="J659" i="4"/>
  <c r="K659" i="4"/>
  <c r="B660" i="4"/>
  <c r="C660" i="4"/>
  <c r="D660" i="4"/>
  <c r="E660" i="4"/>
  <c r="F660" i="4"/>
  <c r="G660" i="4"/>
  <c r="H660" i="4"/>
  <c r="I660" i="4"/>
  <c r="J660" i="4"/>
  <c r="K660" i="4"/>
  <c r="B661" i="4"/>
  <c r="C661" i="4"/>
  <c r="D661" i="4"/>
  <c r="E661" i="4"/>
  <c r="F661" i="4"/>
  <c r="G661" i="4"/>
  <c r="H661" i="4"/>
  <c r="I661" i="4"/>
  <c r="J661" i="4"/>
  <c r="K661" i="4"/>
  <c r="B662" i="4"/>
  <c r="C662" i="4"/>
  <c r="D662" i="4"/>
  <c r="E662" i="4"/>
  <c r="F662" i="4"/>
  <c r="G662" i="4"/>
  <c r="H662" i="4"/>
  <c r="I662" i="4"/>
  <c r="J662" i="4"/>
  <c r="K662" i="4"/>
  <c r="B663" i="4"/>
  <c r="C663" i="4"/>
  <c r="D663" i="4"/>
  <c r="E663" i="4"/>
  <c r="F663" i="4"/>
  <c r="G663" i="4"/>
  <c r="H663" i="4"/>
  <c r="I663" i="4"/>
  <c r="J663" i="4"/>
  <c r="K663" i="4"/>
  <c r="B664" i="4"/>
  <c r="C664" i="4"/>
  <c r="D664" i="4"/>
  <c r="E664" i="4"/>
  <c r="F664" i="4"/>
  <c r="G664" i="4"/>
  <c r="H664" i="4"/>
  <c r="I664" i="4"/>
  <c r="J664" i="4"/>
  <c r="K664" i="4"/>
  <c r="B665" i="4"/>
  <c r="C665" i="4"/>
  <c r="D665" i="4"/>
  <c r="E665" i="4"/>
  <c r="F665" i="4"/>
  <c r="G665" i="4"/>
  <c r="H665" i="4"/>
  <c r="I665" i="4"/>
  <c r="J665" i="4"/>
  <c r="K665" i="4"/>
  <c r="B666" i="4"/>
  <c r="C666" i="4"/>
  <c r="D666" i="4"/>
  <c r="E666" i="4"/>
  <c r="F666" i="4"/>
  <c r="G666" i="4"/>
  <c r="H666" i="4"/>
  <c r="I666" i="4"/>
  <c r="J666" i="4"/>
  <c r="K666" i="4"/>
  <c r="B667" i="4"/>
  <c r="C667" i="4"/>
  <c r="D667" i="4"/>
  <c r="E667" i="4"/>
  <c r="F667" i="4"/>
  <c r="G667" i="4"/>
  <c r="H667" i="4"/>
  <c r="I667" i="4"/>
  <c r="J667" i="4"/>
  <c r="K667" i="4"/>
  <c r="B668" i="4"/>
  <c r="C668" i="4"/>
  <c r="D668" i="4"/>
  <c r="E668" i="4"/>
  <c r="F668" i="4"/>
  <c r="G668" i="4"/>
  <c r="H668" i="4"/>
  <c r="I668" i="4"/>
  <c r="J668" i="4"/>
  <c r="K668" i="4"/>
  <c r="B669" i="4"/>
  <c r="C669" i="4"/>
  <c r="D669" i="4"/>
  <c r="E669" i="4"/>
  <c r="F669" i="4"/>
  <c r="G669" i="4"/>
  <c r="H669" i="4"/>
  <c r="I669" i="4"/>
  <c r="J669" i="4"/>
  <c r="K669" i="4"/>
  <c r="B670" i="4"/>
  <c r="C670" i="4"/>
  <c r="D670" i="4"/>
  <c r="E670" i="4"/>
  <c r="F670" i="4"/>
  <c r="G670" i="4"/>
  <c r="H670" i="4"/>
  <c r="I670" i="4"/>
  <c r="J670" i="4"/>
  <c r="K670" i="4"/>
  <c r="B671" i="4"/>
  <c r="C671" i="4"/>
  <c r="D671" i="4"/>
  <c r="E671" i="4"/>
  <c r="F671" i="4"/>
  <c r="G671" i="4"/>
  <c r="H671" i="4"/>
  <c r="I671" i="4"/>
  <c r="J671" i="4"/>
  <c r="K671" i="4"/>
  <c r="B672" i="4"/>
  <c r="C672" i="4"/>
  <c r="D672" i="4"/>
  <c r="E672" i="4"/>
  <c r="F672" i="4"/>
  <c r="G672" i="4"/>
  <c r="H672" i="4"/>
  <c r="I672" i="4"/>
  <c r="J672" i="4"/>
  <c r="K672" i="4"/>
  <c r="B673" i="4"/>
  <c r="C673" i="4"/>
  <c r="D673" i="4"/>
  <c r="E673" i="4"/>
  <c r="F673" i="4"/>
  <c r="G673" i="4"/>
  <c r="H673" i="4"/>
  <c r="I673" i="4"/>
  <c r="J673" i="4"/>
  <c r="K673" i="4"/>
  <c r="B674" i="4"/>
  <c r="C674" i="4"/>
  <c r="D674" i="4"/>
  <c r="E674" i="4"/>
  <c r="F674" i="4"/>
  <c r="G674" i="4"/>
  <c r="H674" i="4"/>
  <c r="I674" i="4"/>
  <c r="J674" i="4"/>
  <c r="K674" i="4"/>
  <c r="B675" i="4"/>
  <c r="C675" i="4"/>
  <c r="D675" i="4"/>
  <c r="E675" i="4"/>
  <c r="F675" i="4"/>
  <c r="G675" i="4"/>
  <c r="H675" i="4"/>
  <c r="I675" i="4"/>
  <c r="J675" i="4"/>
  <c r="K675" i="4"/>
  <c r="B676" i="4"/>
  <c r="C676" i="4"/>
  <c r="D676" i="4"/>
  <c r="E676" i="4"/>
  <c r="F676" i="4"/>
  <c r="G676" i="4"/>
  <c r="H676" i="4"/>
  <c r="I676" i="4"/>
  <c r="J676" i="4"/>
  <c r="K676" i="4"/>
  <c r="B677" i="4"/>
  <c r="C677" i="4"/>
  <c r="D677" i="4"/>
  <c r="E677" i="4"/>
  <c r="F677" i="4"/>
  <c r="G677" i="4"/>
  <c r="H677" i="4"/>
  <c r="I677" i="4"/>
  <c r="J677" i="4"/>
  <c r="K677" i="4"/>
  <c r="B678" i="4"/>
  <c r="C678" i="4"/>
  <c r="D678" i="4"/>
  <c r="E678" i="4"/>
  <c r="F678" i="4"/>
  <c r="G678" i="4"/>
  <c r="H678" i="4"/>
  <c r="I678" i="4"/>
  <c r="J678" i="4"/>
  <c r="K678" i="4"/>
  <c r="B679" i="4"/>
  <c r="C679" i="4"/>
  <c r="D679" i="4"/>
  <c r="E679" i="4"/>
  <c r="F679" i="4"/>
  <c r="G679" i="4"/>
  <c r="H679" i="4"/>
  <c r="I679" i="4"/>
  <c r="J679" i="4"/>
  <c r="K679" i="4"/>
  <c r="B680" i="4"/>
  <c r="C680" i="4"/>
  <c r="D680" i="4"/>
  <c r="E680" i="4"/>
  <c r="F680" i="4"/>
  <c r="G680" i="4"/>
  <c r="H680" i="4"/>
  <c r="I680" i="4"/>
  <c r="J680" i="4"/>
  <c r="K680" i="4"/>
  <c r="B681" i="4"/>
  <c r="C681" i="4"/>
  <c r="D681" i="4"/>
  <c r="E681" i="4"/>
  <c r="F681" i="4"/>
  <c r="G681" i="4"/>
  <c r="H681" i="4"/>
  <c r="I681" i="4"/>
  <c r="J681" i="4"/>
  <c r="K681" i="4"/>
  <c r="B682" i="4"/>
  <c r="C682" i="4"/>
  <c r="D682" i="4"/>
  <c r="E682" i="4"/>
  <c r="F682" i="4"/>
  <c r="G682" i="4"/>
  <c r="H682" i="4"/>
  <c r="I682" i="4"/>
  <c r="J682" i="4"/>
  <c r="K682" i="4"/>
  <c r="B683" i="4"/>
  <c r="C683" i="4"/>
  <c r="D683" i="4"/>
  <c r="E683" i="4"/>
  <c r="F683" i="4"/>
  <c r="G683" i="4"/>
  <c r="H683" i="4"/>
  <c r="I683" i="4"/>
  <c r="J683" i="4"/>
  <c r="K683" i="4"/>
  <c r="B684" i="4"/>
  <c r="C684" i="4"/>
  <c r="D684" i="4"/>
  <c r="E684" i="4"/>
  <c r="F684" i="4"/>
  <c r="G684" i="4"/>
  <c r="H684" i="4"/>
  <c r="I684" i="4"/>
  <c r="J684" i="4"/>
  <c r="K684" i="4"/>
  <c r="B685" i="4"/>
  <c r="C685" i="4"/>
  <c r="D685" i="4"/>
  <c r="E685" i="4"/>
  <c r="F685" i="4"/>
  <c r="G685" i="4"/>
  <c r="H685" i="4"/>
  <c r="I685" i="4"/>
  <c r="J685" i="4"/>
  <c r="K685" i="4"/>
  <c r="B686" i="4"/>
  <c r="C686" i="4"/>
  <c r="D686" i="4"/>
  <c r="E686" i="4"/>
  <c r="F686" i="4"/>
  <c r="G686" i="4"/>
  <c r="H686" i="4"/>
  <c r="I686" i="4"/>
  <c r="J686" i="4"/>
  <c r="K686" i="4"/>
  <c r="B687" i="4"/>
  <c r="C687" i="4"/>
  <c r="D687" i="4"/>
  <c r="E687" i="4"/>
  <c r="F687" i="4"/>
  <c r="G687" i="4"/>
  <c r="H687" i="4"/>
  <c r="I687" i="4"/>
  <c r="J687" i="4"/>
  <c r="K687" i="4"/>
  <c r="B688" i="4"/>
  <c r="C688" i="4"/>
  <c r="D688" i="4"/>
  <c r="E688" i="4"/>
  <c r="F688" i="4"/>
  <c r="G688" i="4"/>
  <c r="H688" i="4"/>
  <c r="I688" i="4"/>
  <c r="J688" i="4"/>
  <c r="K688" i="4"/>
  <c r="B689" i="4"/>
  <c r="C689" i="4"/>
  <c r="D689" i="4"/>
  <c r="E689" i="4"/>
  <c r="F689" i="4"/>
  <c r="G689" i="4"/>
  <c r="H689" i="4"/>
  <c r="I689" i="4"/>
  <c r="J689" i="4"/>
  <c r="K689" i="4"/>
  <c r="B690" i="4"/>
  <c r="C690" i="4"/>
  <c r="D690" i="4"/>
  <c r="E690" i="4"/>
  <c r="F690" i="4"/>
  <c r="G690" i="4"/>
  <c r="H690" i="4"/>
  <c r="I690" i="4"/>
  <c r="J690" i="4"/>
  <c r="K690" i="4"/>
  <c r="B691" i="4"/>
  <c r="C691" i="4"/>
  <c r="D691" i="4"/>
  <c r="E691" i="4"/>
  <c r="F691" i="4"/>
  <c r="G691" i="4"/>
  <c r="H691" i="4"/>
  <c r="I691" i="4"/>
  <c r="J691" i="4"/>
  <c r="K691" i="4"/>
  <c r="B692" i="4"/>
  <c r="C692" i="4"/>
  <c r="D692" i="4"/>
  <c r="E692" i="4"/>
  <c r="F692" i="4"/>
  <c r="G692" i="4"/>
  <c r="H692" i="4"/>
  <c r="I692" i="4"/>
  <c r="J692" i="4"/>
  <c r="K692" i="4"/>
  <c r="B693" i="4"/>
  <c r="C693" i="4"/>
  <c r="D693" i="4"/>
  <c r="E693" i="4"/>
  <c r="F693" i="4"/>
  <c r="G693" i="4"/>
  <c r="H693" i="4"/>
  <c r="I693" i="4"/>
  <c r="J693" i="4"/>
  <c r="K693" i="4"/>
  <c r="B694" i="4"/>
  <c r="C694" i="4"/>
  <c r="D694" i="4"/>
  <c r="E694" i="4"/>
  <c r="F694" i="4"/>
  <c r="G694" i="4"/>
  <c r="H694" i="4"/>
  <c r="I694" i="4"/>
  <c r="J694" i="4"/>
  <c r="K694" i="4"/>
  <c r="B695" i="4"/>
  <c r="C695" i="4"/>
  <c r="D695" i="4"/>
  <c r="E695" i="4"/>
  <c r="F695" i="4"/>
  <c r="G695" i="4"/>
  <c r="H695" i="4"/>
  <c r="I695" i="4"/>
  <c r="J695" i="4"/>
  <c r="K695" i="4"/>
  <c r="B696" i="4"/>
  <c r="C696" i="4"/>
  <c r="D696" i="4"/>
  <c r="E696" i="4"/>
  <c r="F696" i="4"/>
  <c r="G696" i="4"/>
  <c r="H696" i="4"/>
  <c r="I696" i="4"/>
  <c r="J696" i="4"/>
  <c r="K696" i="4"/>
  <c r="B697" i="4"/>
  <c r="C697" i="4"/>
  <c r="D697" i="4"/>
  <c r="E697" i="4"/>
  <c r="F697" i="4"/>
  <c r="G697" i="4"/>
  <c r="H697" i="4"/>
  <c r="I697" i="4"/>
  <c r="J697" i="4"/>
  <c r="K697" i="4"/>
  <c r="B698" i="4"/>
  <c r="C698" i="4"/>
  <c r="D698" i="4"/>
  <c r="E698" i="4"/>
  <c r="F698" i="4"/>
  <c r="G698" i="4"/>
  <c r="H698" i="4"/>
  <c r="I698" i="4"/>
  <c r="J698" i="4"/>
  <c r="K698" i="4"/>
  <c r="B699" i="4"/>
  <c r="C699" i="4"/>
  <c r="D699" i="4"/>
  <c r="E699" i="4"/>
  <c r="F699" i="4"/>
  <c r="G699" i="4"/>
  <c r="H699" i="4"/>
  <c r="I699" i="4"/>
  <c r="J699" i="4"/>
  <c r="K699" i="4"/>
  <c r="B700" i="4"/>
  <c r="C700" i="4"/>
  <c r="D700" i="4"/>
  <c r="E700" i="4"/>
  <c r="F700" i="4"/>
  <c r="G700" i="4"/>
  <c r="H700" i="4"/>
  <c r="I700" i="4"/>
  <c r="J700" i="4"/>
  <c r="K700" i="4"/>
  <c r="B701" i="4"/>
  <c r="C701" i="4"/>
  <c r="D701" i="4"/>
  <c r="E701" i="4"/>
  <c r="F701" i="4"/>
  <c r="G701" i="4"/>
  <c r="H701" i="4"/>
  <c r="I701" i="4"/>
  <c r="J701" i="4"/>
  <c r="K701" i="4"/>
  <c r="B702" i="4"/>
  <c r="C702" i="4"/>
  <c r="D702" i="4"/>
  <c r="E702" i="4"/>
  <c r="F702" i="4"/>
  <c r="G702" i="4"/>
  <c r="H702" i="4"/>
  <c r="I702" i="4"/>
  <c r="J702" i="4"/>
  <c r="K702" i="4"/>
  <c r="B703" i="4"/>
  <c r="C703" i="4"/>
  <c r="D703" i="4"/>
  <c r="E703" i="4"/>
  <c r="F703" i="4"/>
  <c r="G703" i="4"/>
  <c r="H703" i="4"/>
  <c r="I703" i="4"/>
  <c r="J703" i="4"/>
  <c r="K703" i="4"/>
  <c r="B704" i="4"/>
  <c r="C704" i="4"/>
  <c r="D704" i="4"/>
  <c r="E704" i="4"/>
  <c r="F704" i="4"/>
  <c r="G704" i="4"/>
  <c r="H704" i="4"/>
  <c r="I704" i="4"/>
  <c r="J704" i="4"/>
  <c r="K704" i="4"/>
  <c r="B705" i="4"/>
  <c r="C705" i="4"/>
  <c r="D705" i="4"/>
  <c r="E705" i="4"/>
  <c r="F705" i="4"/>
  <c r="G705" i="4"/>
  <c r="H705" i="4"/>
  <c r="I705" i="4"/>
  <c r="J705" i="4"/>
  <c r="K705" i="4"/>
  <c r="B706" i="4"/>
  <c r="C706" i="4"/>
  <c r="D706" i="4"/>
  <c r="E706" i="4"/>
  <c r="F706" i="4"/>
  <c r="G706" i="4"/>
  <c r="H706" i="4"/>
  <c r="I706" i="4"/>
  <c r="J706" i="4"/>
  <c r="K706" i="4"/>
  <c r="B707" i="4"/>
  <c r="C707" i="4"/>
  <c r="D707" i="4"/>
  <c r="E707" i="4"/>
  <c r="F707" i="4"/>
  <c r="G707" i="4"/>
  <c r="H707" i="4"/>
  <c r="I707" i="4"/>
  <c r="J707" i="4"/>
  <c r="K707" i="4"/>
  <c r="B708" i="4"/>
  <c r="C708" i="4"/>
  <c r="D708" i="4"/>
  <c r="E708" i="4"/>
  <c r="F708" i="4"/>
  <c r="G708" i="4"/>
  <c r="H708" i="4"/>
  <c r="I708" i="4"/>
  <c r="J708" i="4"/>
  <c r="K708" i="4"/>
  <c r="B709" i="4"/>
  <c r="C709" i="4"/>
  <c r="D709" i="4"/>
  <c r="E709" i="4"/>
  <c r="F709" i="4"/>
  <c r="G709" i="4"/>
  <c r="H709" i="4"/>
  <c r="I709" i="4"/>
  <c r="J709" i="4"/>
  <c r="K709" i="4"/>
  <c r="B710" i="4"/>
  <c r="C710" i="4"/>
  <c r="D710" i="4"/>
  <c r="E710" i="4"/>
  <c r="F710" i="4"/>
  <c r="G710" i="4"/>
  <c r="H710" i="4"/>
  <c r="I710" i="4"/>
  <c r="J710" i="4"/>
  <c r="K710" i="4"/>
  <c r="B711" i="4"/>
  <c r="C711" i="4"/>
  <c r="D711" i="4"/>
  <c r="E711" i="4"/>
  <c r="F711" i="4"/>
  <c r="G711" i="4"/>
  <c r="H711" i="4"/>
  <c r="I711" i="4"/>
  <c r="J711" i="4"/>
  <c r="K711" i="4"/>
  <c r="B712" i="4"/>
  <c r="C712" i="4"/>
  <c r="D712" i="4"/>
  <c r="E712" i="4"/>
  <c r="F712" i="4"/>
  <c r="G712" i="4"/>
  <c r="H712" i="4"/>
  <c r="I712" i="4"/>
  <c r="J712" i="4"/>
  <c r="K712" i="4"/>
  <c r="B713" i="4"/>
  <c r="C713" i="4"/>
  <c r="D713" i="4"/>
  <c r="E713" i="4"/>
  <c r="F713" i="4"/>
  <c r="G713" i="4"/>
  <c r="H713" i="4"/>
  <c r="I713" i="4"/>
  <c r="J713" i="4"/>
  <c r="K713" i="4"/>
  <c r="B714" i="4"/>
  <c r="C714" i="4"/>
  <c r="D714" i="4"/>
  <c r="E714" i="4"/>
  <c r="F714" i="4"/>
  <c r="G714" i="4"/>
  <c r="H714" i="4"/>
  <c r="I714" i="4"/>
  <c r="J714" i="4"/>
  <c r="K714" i="4"/>
  <c r="B715" i="4"/>
  <c r="C715" i="4"/>
  <c r="D715" i="4"/>
  <c r="E715" i="4"/>
  <c r="F715" i="4"/>
  <c r="G715" i="4"/>
  <c r="H715" i="4"/>
  <c r="I715" i="4"/>
  <c r="J715" i="4"/>
  <c r="K715" i="4"/>
  <c r="B716" i="4"/>
  <c r="C716" i="4"/>
  <c r="D716" i="4"/>
  <c r="E716" i="4"/>
  <c r="F716" i="4"/>
  <c r="G716" i="4"/>
  <c r="H716" i="4"/>
  <c r="I716" i="4"/>
  <c r="J716" i="4"/>
  <c r="K716" i="4"/>
  <c r="B717" i="4"/>
  <c r="C717" i="4"/>
  <c r="D717" i="4"/>
  <c r="E717" i="4"/>
  <c r="F717" i="4"/>
  <c r="G717" i="4"/>
  <c r="H717" i="4"/>
  <c r="I717" i="4"/>
  <c r="J717" i="4"/>
  <c r="K717" i="4"/>
  <c r="B718" i="4"/>
  <c r="C718" i="4"/>
  <c r="D718" i="4"/>
  <c r="E718" i="4"/>
  <c r="F718" i="4"/>
  <c r="G718" i="4"/>
  <c r="H718" i="4"/>
  <c r="I718" i="4"/>
  <c r="J718" i="4"/>
  <c r="K718" i="4"/>
  <c r="B719" i="4"/>
  <c r="C719" i="4"/>
  <c r="D719" i="4"/>
  <c r="E719" i="4"/>
  <c r="F719" i="4"/>
  <c r="G719" i="4"/>
  <c r="H719" i="4"/>
  <c r="I719" i="4"/>
  <c r="J719" i="4"/>
  <c r="K719" i="4"/>
  <c r="B720" i="4"/>
  <c r="C720" i="4"/>
  <c r="D720" i="4"/>
  <c r="E720" i="4"/>
  <c r="F720" i="4"/>
  <c r="G720" i="4"/>
  <c r="H720" i="4"/>
  <c r="I720" i="4"/>
  <c r="J720" i="4"/>
  <c r="K720" i="4"/>
  <c r="B721" i="4"/>
  <c r="C721" i="4"/>
  <c r="D721" i="4"/>
  <c r="E721" i="4"/>
  <c r="F721" i="4"/>
  <c r="G721" i="4"/>
  <c r="H721" i="4"/>
  <c r="I721" i="4"/>
  <c r="J721" i="4"/>
  <c r="K721" i="4"/>
  <c r="B722" i="4"/>
  <c r="C722" i="4"/>
  <c r="D722" i="4"/>
  <c r="E722" i="4"/>
  <c r="F722" i="4"/>
  <c r="G722" i="4"/>
  <c r="H722" i="4"/>
  <c r="I722" i="4"/>
  <c r="J722" i="4"/>
  <c r="K722" i="4"/>
  <c r="B723" i="4"/>
  <c r="C723" i="4"/>
  <c r="D723" i="4"/>
  <c r="E723" i="4"/>
  <c r="F723" i="4"/>
  <c r="G723" i="4"/>
  <c r="H723" i="4"/>
  <c r="I723" i="4"/>
  <c r="J723" i="4"/>
  <c r="K723" i="4"/>
  <c r="B724" i="4"/>
  <c r="C724" i="4"/>
  <c r="D724" i="4"/>
  <c r="E724" i="4"/>
  <c r="F724" i="4"/>
  <c r="G724" i="4"/>
  <c r="H724" i="4"/>
  <c r="I724" i="4"/>
  <c r="J724" i="4"/>
  <c r="K724" i="4"/>
  <c r="B725" i="4"/>
  <c r="C725" i="4"/>
  <c r="D725" i="4"/>
  <c r="E725" i="4"/>
  <c r="F725" i="4"/>
  <c r="G725" i="4"/>
  <c r="H725" i="4"/>
  <c r="I725" i="4"/>
  <c r="J725" i="4"/>
  <c r="K725" i="4"/>
  <c r="B726" i="4"/>
  <c r="C726" i="4"/>
  <c r="D726" i="4"/>
  <c r="E726" i="4"/>
  <c r="F726" i="4"/>
  <c r="G726" i="4"/>
  <c r="H726" i="4"/>
  <c r="I726" i="4"/>
  <c r="J726" i="4"/>
  <c r="K726" i="4"/>
  <c r="B727" i="4"/>
  <c r="C727" i="4"/>
  <c r="D727" i="4"/>
  <c r="E727" i="4"/>
  <c r="F727" i="4"/>
  <c r="G727" i="4"/>
  <c r="H727" i="4"/>
  <c r="I727" i="4"/>
  <c r="J727" i="4"/>
  <c r="K727" i="4"/>
  <c r="B728" i="4"/>
  <c r="C728" i="4"/>
  <c r="D728" i="4"/>
  <c r="E728" i="4"/>
  <c r="F728" i="4"/>
  <c r="G728" i="4"/>
  <c r="H728" i="4"/>
  <c r="I728" i="4"/>
  <c r="J728" i="4"/>
  <c r="K728" i="4"/>
  <c r="B729" i="4"/>
  <c r="C729" i="4"/>
  <c r="D729" i="4"/>
  <c r="E729" i="4"/>
  <c r="F729" i="4"/>
  <c r="G729" i="4"/>
  <c r="H729" i="4"/>
  <c r="I729" i="4"/>
  <c r="J729" i="4"/>
  <c r="K729" i="4"/>
  <c r="B730" i="4"/>
  <c r="C730" i="4"/>
  <c r="D730" i="4"/>
  <c r="E730" i="4"/>
  <c r="F730" i="4"/>
  <c r="G730" i="4"/>
  <c r="H730" i="4"/>
  <c r="I730" i="4"/>
  <c r="J730" i="4"/>
  <c r="K730" i="4"/>
  <c r="B731" i="4"/>
  <c r="C731" i="4"/>
  <c r="D731" i="4"/>
  <c r="E731" i="4"/>
  <c r="F731" i="4"/>
  <c r="G731" i="4"/>
  <c r="H731" i="4"/>
  <c r="I731" i="4"/>
  <c r="J731" i="4"/>
  <c r="K731" i="4"/>
  <c r="B732" i="4"/>
  <c r="C732" i="4"/>
  <c r="D732" i="4"/>
  <c r="E732" i="4"/>
  <c r="F732" i="4"/>
  <c r="G732" i="4"/>
  <c r="H732" i="4"/>
  <c r="I732" i="4"/>
  <c r="J732" i="4"/>
  <c r="K732" i="4"/>
  <c r="B733" i="4"/>
  <c r="C733" i="4"/>
  <c r="D733" i="4"/>
  <c r="E733" i="4"/>
  <c r="F733" i="4"/>
  <c r="G733" i="4"/>
  <c r="H733" i="4"/>
  <c r="I733" i="4"/>
  <c r="J733" i="4"/>
  <c r="K733" i="4"/>
  <c r="B734" i="4"/>
  <c r="C734" i="4"/>
  <c r="D734" i="4"/>
  <c r="E734" i="4"/>
  <c r="F734" i="4"/>
  <c r="G734" i="4"/>
  <c r="H734" i="4"/>
  <c r="I734" i="4"/>
  <c r="J734" i="4"/>
  <c r="K734" i="4"/>
  <c r="B735" i="4"/>
  <c r="C735" i="4"/>
  <c r="D735" i="4"/>
  <c r="E735" i="4"/>
  <c r="F735" i="4"/>
  <c r="G735" i="4"/>
  <c r="H735" i="4"/>
  <c r="I735" i="4"/>
  <c r="J735" i="4"/>
  <c r="K735" i="4"/>
  <c r="B736" i="4"/>
  <c r="C736" i="4"/>
  <c r="D736" i="4"/>
  <c r="E736" i="4"/>
  <c r="F736" i="4"/>
  <c r="G736" i="4"/>
  <c r="H736" i="4"/>
  <c r="I736" i="4"/>
  <c r="J736" i="4"/>
  <c r="K736" i="4"/>
  <c r="B737" i="4"/>
  <c r="C737" i="4"/>
  <c r="D737" i="4"/>
  <c r="E737" i="4"/>
  <c r="F737" i="4"/>
  <c r="G737" i="4"/>
  <c r="H737" i="4"/>
  <c r="I737" i="4"/>
  <c r="J737" i="4"/>
  <c r="K737" i="4"/>
  <c r="B738" i="4"/>
  <c r="C738" i="4"/>
  <c r="D738" i="4"/>
  <c r="E738" i="4"/>
  <c r="F738" i="4"/>
  <c r="G738" i="4"/>
  <c r="H738" i="4"/>
  <c r="I738" i="4"/>
  <c r="J738" i="4"/>
  <c r="K738" i="4"/>
  <c r="B739" i="4"/>
  <c r="C739" i="4"/>
  <c r="D739" i="4"/>
  <c r="E739" i="4"/>
  <c r="F739" i="4"/>
  <c r="G739" i="4"/>
  <c r="H739" i="4"/>
  <c r="I739" i="4"/>
  <c r="J739" i="4"/>
  <c r="K739" i="4"/>
  <c r="B740" i="4"/>
  <c r="C740" i="4"/>
  <c r="D740" i="4"/>
  <c r="E740" i="4"/>
  <c r="F740" i="4"/>
  <c r="G740" i="4"/>
  <c r="H740" i="4"/>
  <c r="I740" i="4"/>
  <c r="J740" i="4"/>
  <c r="K740" i="4"/>
  <c r="B741" i="4"/>
  <c r="C741" i="4"/>
  <c r="D741" i="4"/>
  <c r="E741" i="4"/>
  <c r="F741" i="4"/>
  <c r="G741" i="4"/>
  <c r="H741" i="4"/>
  <c r="I741" i="4"/>
  <c r="J741" i="4"/>
  <c r="K741" i="4"/>
  <c r="B742" i="4"/>
  <c r="C742" i="4"/>
  <c r="D742" i="4"/>
  <c r="E742" i="4"/>
  <c r="F742" i="4"/>
  <c r="G742" i="4"/>
  <c r="H742" i="4"/>
  <c r="I742" i="4"/>
  <c r="J742" i="4"/>
  <c r="K742" i="4"/>
  <c r="B743" i="4"/>
  <c r="C743" i="4"/>
  <c r="D743" i="4"/>
  <c r="E743" i="4"/>
  <c r="F743" i="4"/>
  <c r="G743" i="4"/>
  <c r="H743" i="4"/>
  <c r="I743" i="4"/>
  <c r="J743" i="4"/>
  <c r="K743" i="4"/>
  <c r="B744" i="4"/>
  <c r="C744" i="4"/>
  <c r="D744" i="4"/>
  <c r="E744" i="4"/>
  <c r="F744" i="4"/>
  <c r="G744" i="4"/>
  <c r="H744" i="4"/>
  <c r="I744" i="4"/>
  <c r="J744" i="4"/>
  <c r="K744" i="4"/>
  <c r="B745" i="4"/>
  <c r="C745" i="4"/>
  <c r="D745" i="4"/>
  <c r="E745" i="4"/>
  <c r="F745" i="4"/>
  <c r="G745" i="4"/>
  <c r="H745" i="4"/>
  <c r="I745" i="4"/>
  <c r="J745" i="4"/>
  <c r="K745" i="4"/>
  <c r="B746" i="4"/>
  <c r="C746" i="4"/>
  <c r="D746" i="4"/>
  <c r="E746" i="4"/>
  <c r="F746" i="4"/>
  <c r="G746" i="4"/>
  <c r="H746" i="4"/>
  <c r="I746" i="4"/>
  <c r="J746" i="4"/>
  <c r="K746" i="4"/>
  <c r="B747" i="4"/>
  <c r="C747" i="4"/>
  <c r="D747" i="4"/>
  <c r="E747" i="4"/>
  <c r="F747" i="4"/>
  <c r="G747" i="4"/>
  <c r="H747" i="4"/>
  <c r="I747" i="4"/>
  <c r="J747" i="4"/>
  <c r="K747" i="4"/>
  <c r="B748" i="4"/>
  <c r="C748" i="4"/>
  <c r="D748" i="4"/>
  <c r="E748" i="4"/>
  <c r="F748" i="4"/>
  <c r="G748" i="4"/>
  <c r="H748" i="4"/>
  <c r="I748" i="4"/>
  <c r="J748" i="4"/>
  <c r="K748" i="4"/>
  <c r="B749" i="4"/>
  <c r="C749" i="4"/>
  <c r="D749" i="4"/>
  <c r="E749" i="4"/>
  <c r="F749" i="4"/>
  <c r="G749" i="4"/>
  <c r="H749" i="4"/>
  <c r="I749" i="4"/>
  <c r="J749" i="4"/>
  <c r="K749" i="4"/>
  <c r="B750" i="4"/>
  <c r="C750" i="4"/>
  <c r="D750" i="4"/>
  <c r="E750" i="4"/>
  <c r="F750" i="4"/>
  <c r="G750" i="4"/>
  <c r="H750" i="4"/>
  <c r="I750" i="4"/>
  <c r="J750" i="4"/>
  <c r="K750" i="4"/>
  <c r="B751" i="4"/>
  <c r="C751" i="4"/>
  <c r="D751" i="4"/>
  <c r="E751" i="4"/>
  <c r="F751" i="4"/>
  <c r="G751" i="4"/>
  <c r="H751" i="4"/>
  <c r="I751" i="4"/>
  <c r="J751" i="4"/>
  <c r="K751" i="4"/>
  <c r="B752" i="4"/>
  <c r="C752" i="4"/>
  <c r="D752" i="4"/>
  <c r="E752" i="4"/>
  <c r="F752" i="4"/>
  <c r="G752" i="4"/>
  <c r="H752" i="4"/>
  <c r="I752" i="4"/>
  <c r="J752" i="4"/>
  <c r="K752" i="4"/>
  <c r="B753" i="4"/>
  <c r="C753" i="4"/>
  <c r="D753" i="4"/>
  <c r="E753" i="4"/>
  <c r="F753" i="4"/>
  <c r="G753" i="4"/>
  <c r="H753" i="4"/>
  <c r="I753" i="4"/>
  <c r="J753" i="4"/>
  <c r="K753" i="4"/>
  <c r="B754" i="4"/>
  <c r="C754" i="4"/>
  <c r="D754" i="4"/>
  <c r="E754" i="4"/>
  <c r="F754" i="4"/>
  <c r="G754" i="4"/>
  <c r="H754" i="4"/>
  <c r="I754" i="4"/>
  <c r="J754" i="4"/>
  <c r="K754" i="4"/>
  <c r="B755" i="4"/>
  <c r="C755" i="4"/>
  <c r="D755" i="4"/>
  <c r="E755" i="4"/>
  <c r="F755" i="4"/>
  <c r="G755" i="4"/>
  <c r="H755" i="4"/>
  <c r="I755" i="4"/>
  <c r="J755" i="4"/>
  <c r="K755" i="4"/>
  <c r="B756" i="4"/>
  <c r="C756" i="4"/>
  <c r="D756" i="4"/>
  <c r="E756" i="4"/>
  <c r="F756" i="4"/>
  <c r="G756" i="4"/>
  <c r="H756" i="4"/>
  <c r="I756" i="4"/>
  <c r="J756" i="4"/>
  <c r="K756" i="4"/>
  <c r="B757" i="4"/>
  <c r="C757" i="4"/>
  <c r="D757" i="4"/>
  <c r="E757" i="4"/>
  <c r="F757" i="4"/>
  <c r="G757" i="4"/>
  <c r="H757" i="4"/>
  <c r="I757" i="4"/>
  <c r="J757" i="4"/>
  <c r="K757" i="4"/>
  <c r="B758" i="4"/>
  <c r="C758" i="4"/>
  <c r="D758" i="4"/>
  <c r="E758" i="4"/>
  <c r="F758" i="4"/>
  <c r="G758" i="4"/>
  <c r="H758" i="4"/>
  <c r="I758" i="4"/>
  <c r="J758" i="4"/>
  <c r="K758" i="4"/>
  <c r="B759" i="4"/>
  <c r="C759" i="4"/>
  <c r="D759" i="4"/>
  <c r="E759" i="4"/>
  <c r="F759" i="4"/>
  <c r="G759" i="4"/>
  <c r="H759" i="4"/>
  <c r="I759" i="4"/>
  <c r="J759" i="4"/>
  <c r="K759" i="4"/>
  <c r="B760" i="4"/>
  <c r="C760" i="4"/>
  <c r="D760" i="4"/>
  <c r="E760" i="4"/>
  <c r="F760" i="4"/>
  <c r="G760" i="4"/>
  <c r="H760" i="4"/>
  <c r="I760" i="4"/>
  <c r="J760" i="4"/>
  <c r="K760" i="4"/>
  <c r="B761" i="4"/>
  <c r="C761" i="4"/>
  <c r="D761" i="4"/>
  <c r="E761" i="4"/>
  <c r="F761" i="4"/>
  <c r="G761" i="4"/>
  <c r="H761" i="4"/>
  <c r="I761" i="4"/>
  <c r="J761" i="4"/>
  <c r="K761" i="4"/>
  <c r="B762" i="4"/>
  <c r="C762" i="4"/>
  <c r="D762" i="4"/>
  <c r="E762" i="4"/>
  <c r="F762" i="4"/>
  <c r="G762" i="4"/>
  <c r="H762" i="4"/>
  <c r="I762" i="4"/>
  <c r="J762" i="4"/>
  <c r="K762" i="4"/>
  <c r="B763" i="4"/>
  <c r="C763" i="4"/>
  <c r="D763" i="4"/>
  <c r="E763" i="4"/>
  <c r="F763" i="4"/>
  <c r="G763" i="4"/>
  <c r="H763" i="4"/>
  <c r="I763" i="4"/>
  <c r="J763" i="4"/>
  <c r="K763" i="4"/>
  <c r="B764" i="4"/>
  <c r="C764" i="4"/>
  <c r="D764" i="4"/>
  <c r="E764" i="4"/>
  <c r="F764" i="4"/>
  <c r="G764" i="4"/>
  <c r="H764" i="4"/>
  <c r="I764" i="4"/>
  <c r="J764" i="4"/>
  <c r="K764" i="4"/>
  <c r="B765" i="4"/>
  <c r="C765" i="4"/>
  <c r="D765" i="4"/>
  <c r="E765" i="4"/>
  <c r="F765" i="4"/>
  <c r="G765" i="4"/>
  <c r="H765" i="4"/>
  <c r="I765" i="4"/>
  <c r="J765" i="4"/>
  <c r="K765" i="4"/>
  <c r="B766" i="4"/>
  <c r="C766" i="4"/>
  <c r="D766" i="4"/>
  <c r="E766" i="4"/>
  <c r="F766" i="4"/>
  <c r="G766" i="4"/>
  <c r="H766" i="4"/>
  <c r="I766" i="4"/>
  <c r="J766" i="4"/>
  <c r="K766" i="4"/>
  <c r="B767" i="4"/>
  <c r="C767" i="4"/>
  <c r="D767" i="4"/>
  <c r="E767" i="4"/>
  <c r="F767" i="4"/>
  <c r="G767" i="4"/>
  <c r="H767" i="4"/>
  <c r="I767" i="4"/>
  <c r="J767" i="4"/>
  <c r="K767" i="4"/>
  <c r="B768" i="4"/>
  <c r="C768" i="4"/>
  <c r="D768" i="4"/>
  <c r="E768" i="4"/>
  <c r="F768" i="4"/>
  <c r="G768" i="4"/>
  <c r="H768" i="4"/>
  <c r="I768" i="4"/>
  <c r="J768" i="4"/>
  <c r="K768" i="4"/>
  <c r="B769" i="4"/>
  <c r="C769" i="4"/>
  <c r="D769" i="4"/>
  <c r="E769" i="4"/>
  <c r="F769" i="4"/>
  <c r="G769" i="4"/>
  <c r="H769" i="4"/>
  <c r="I769" i="4"/>
  <c r="J769" i="4"/>
  <c r="K769" i="4"/>
  <c r="B770" i="4"/>
  <c r="C770" i="4"/>
  <c r="D770" i="4"/>
  <c r="E770" i="4"/>
  <c r="F770" i="4"/>
  <c r="G770" i="4"/>
  <c r="H770" i="4"/>
  <c r="I770" i="4"/>
  <c r="J770" i="4"/>
  <c r="K770" i="4"/>
  <c r="B771" i="4"/>
  <c r="C771" i="4"/>
  <c r="D771" i="4"/>
  <c r="E771" i="4"/>
  <c r="F771" i="4"/>
  <c r="G771" i="4"/>
  <c r="H771" i="4"/>
  <c r="I771" i="4"/>
  <c r="J771" i="4"/>
  <c r="K771" i="4"/>
  <c r="B772" i="4"/>
  <c r="C772" i="4"/>
  <c r="D772" i="4"/>
  <c r="E772" i="4"/>
  <c r="F772" i="4"/>
  <c r="G772" i="4"/>
  <c r="H772" i="4"/>
  <c r="I772" i="4"/>
  <c r="J772" i="4"/>
  <c r="K772" i="4"/>
  <c r="B773" i="4"/>
  <c r="C773" i="4"/>
  <c r="D773" i="4"/>
  <c r="E773" i="4"/>
  <c r="F773" i="4"/>
  <c r="G773" i="4"/>
  <c r="H773" i="4"/>
  <c r="I773" i="4"/>
  <c r="J773" i="4"/>
  <c r="K773" i="4"/>
  <c r="B774" i="4"/>
  <c r="C774" i="4"/>
  <c r="D774" i="4"/>
  <c r="E774" i="4"/>
  <c r="F774" i="4"/>
  <c r="G774" i="4"/>
  <c r="H774" i="4"/>
  <c r="I774" i="4"/>
  <c r="J774" i="4"/>
  <c r="K774" i="4"/>
  <c r="B775" i="4"/>
  <c r="C775" i="4"/>
  <c r="D775" i="4"/>
  <c r="E775" i="4"/>
  <c r="F775" i="4"/>
  <c r="G775" i="4"/>
  <c r="H775" i="4"/>
  <c r="I775" i="4"/>
  <c r="J775" i="4"/>
  <c r="K775" i="4"/>
  <c r="B776" i="4"/>
  <c r="C776" i="4"/>
  <c r="D776" i="4"/>
  <c r="E776" i="4"/>
  <c r="F776" i="4"/>
  <c r="G776" i="4"/>
  <c r="H776" i="4"/>
  <c r="I776" i="4"/>
  <c r="J776" i="4"/>
  <c r="K776" i="4"/>
  <c r="B777" i="4"/>
  <c r="C777" i="4"/>
  <c r="D777" i="4"/>
  <c r="E777" i="4"/>
  <c r="F777" i="4"/>
  <c r="G777" i="4"/>
  <c r="H777" i="4"/>
  <c r="I777" i="4"/>
  <c r="J777" i="4"/>
  <c r="K777" i="4"/>
  <c r="B778" i="4"/>
  <c r="C778" i="4"/>
  <c r="D778" i="4"/>
  <c r="E778" i="4"/>
  <c r="F778" i="4"/>
  <c r="G778" i="4"/>
  <c r="H778" i="4"/>
  <c r="I778" i="4"/>
  <c r="J778" i="4"/>
  <c r="K778" i="4"/>
  <c r="B779" i="4"/>
  <c r="C779" i="4"/>
  <c r="D779" i="4"/>
  <c r="E779" i="4"/>
  <c r="F779" i="4"/>
  <c r="G779" i="4"/>
  <c r="H779" i="4"/>
  <c r="I779" i="4"/>
  <c r="J779" i="4"/>
  <c r="K779" i="4"/>
  <c r="B780" i="4"/>
  <c r="C780" i="4"/>
  <c r="D780" i="4"/>
  <c r="E780" i="4"/>
  <c r="F780" i="4"/>
  <c r="G780" i="4"/>
  <c r="H780" i="4"/>
  <c r="I780" i="4"/>
  <c r="J780" i="4"/>
  <c r="K780" i="4"/>
  <c r="B781" i="4"/>
  <c r="C781" i="4"/>
  <c r="D781" i="4"/>
  <c r="E781" i="4"/>
  <c r="F781" i="4"/>
  <c r="G781" i="4"/>
  <c r="H781" i="4"/>
  <c r="I781" i="4"/>
  <c r="J781" i="4"/>
  <c r="K781" i="4"/>
  <c r="B782" i="4"/>
  <c r="C782" i="4"/>
  <c r="D782" i="4"/>
  <c r="E782" i="4"/>
  <c r="F782" i="4"/>
  <c r="G782" i="4"/>
  <c r="H782" i="4"/>
  <c r="I782" i="4"/>
  <c r="J782" i="4"/>
  <c r="K782" i="4"/>
  <c r="B783" i="4"/>
  <c r="C783" i="4"/>
  <c r="D783" i="4"/>
  <c r="E783" i="4"/>
  <c r="F783" i="4"/>
  <c r="G783" i="4"/>
  <c r="H783" i="4"/>
  <c r="I783" i="4"/>
  <c r="J783" i="4"/>
  <c r="K783" i="4"/>
  <c r="B784" i="4"/>
  <c r="C784" i="4"/>
  <c r="D784" i="4"/>
  <c r="E784" i="4"/>
  <c r="F784" i="4"/>
  <c r="G784" i="4"/>
  <c r="H784" i="4"/>
  <c r="I784" i="4"/>
  <c r="J784" i="4"/>
  <c r="K784" i="4"/>
  <c r="B785" i="4"/>
  <c r="C785" i="4"/>
  <c r="D785" i="4"/>
  <c r="E785" i="4"/>
  <c r="F785" i="4"/>
  <c r="G785" i="4"/>
  <c r="H785" i="4"/>
  <c r="I785" i="4"/>
  <c r="J785" i="4"/>
  <c r="K785" i="4"/>
  <c r="B786" i="4"/>
  <c r="C786" i="4"/>
  <c r="D786" i="4"/>
  <c r="E786" i="4"/>
  <c r="F786" i="4"/>
  <c r="G786" i="4"/>
  <c r="H786" i="4"/>
  <c r="I786" i="4"/>
  <c r="J786" i="4"/>
  <c r="K786" i="4"/>
  <c r="B787" i="4"/>
  <c r="C787" i="4"/>
  <c r="D787" i="4"/>
  <c r="E787" i="4"/>
  <c r="F787" i="4"/>
  <c r="G787" i="4"/>
  <c r="H787" i="4"/>
  <c r="I787" i="4"/>
  <c r="J787" i="4"/>
  <c r="K787" i="4"/>
  <c r="B788" i="4"/>
  <c r="C788" i="4"/>
  <c r="D788" i="4"/>
  <c r="E788" i="4"/>
  <c r="F788" i="4"/>
  <c r="G788" i="4"/>
  <c r="H788" i="4"/>
  <c r="I788" i="4"/>
  <c r="J788" i="4"/>
  <c r="K788" i="4"/>
  <c r="B789" i="4"/>
  <c r="C789" i="4"/>
  <c r="D789" i="4"/>
  <c r="E789" i="4"/>
  <c r="F789" i="4"/>
  <c r="G789" i="4"/>
  <c r="H789" i="4"/>
  <c r="I789" i="4"/>
  <c r="J789" i="4"/>
  <c r="K789" i="4"/>
  <c r="B790" i="4"/>
  <c r="C790" i="4"/>
  <c r="D790" i="4"/>
  <c r="E790" i="4"/>
  <c r="F790" i="4"/>
  <c r="G790" i="4"/>
  <c r="H790" i="4"/>
  <c r="I790" i="4"/>
  <c r="J790" i="4"/>
  <c r="K790" i="4"/>
  <c r="B791" i="4"/>
  <c r="C791" i="4"/>
  <c r="D791" i="4"/>
  <c r="E791" i="4"/>
  <c r="F791" i="4"/>
  <c r="G791" i="4"/>
  <c r="H791" i="4"/>
  <c r="I791" i="4"/>
  <c r="J791" i="4"/>
  <c r="K791" i="4"/>
  <c r="B792" i="4"/>
  <c r="C792" i="4"/>
  <c r="D792" i="4"/>
  <c r="E792" i="4"/>
  <c r="F792" i="4"/>
  <c r="G792" i="4"/>
  <c r="H792" i="4"/>
  <c r="I792" i="4"/>
  <c r="J792" i="4"/>
  <c r="K792" i="4"/>
  <c r="B793" i="4"/>
  <c r="C793" i="4"/>
  <c r="D793" i="4"/>
  <c r="E793" i="4"/>
  <c r="F793" i="4"/>
  <c r="G793" i="4"/>
  <c r="H793" i="4"/>
  <c r="I793" i="4"/>
  <c r="J793" i="4"/>
  <c r="K793" i="4"/>
  <c r="B794" i="4"/>
  <c r="C794" i="4"/>
  <c r="D794" i="4"/>
  <c r="E794" i="4"/>
  <c r="F794" i="4"/>
  <c r="G794" i="4"/>
  <c r="H794" i="4"/>
  <c r="I794" i="4"/>
  <c r="J794" i="4"/>
  <c r="K794" i="4"/>
  <c r="B795" i="4"/>
  <c r="C795" i="4"/>
  <c r="D795" i="4"/>
  <c r="E795" i="4"/>
  <c r="F795" i="4"/>
  <c r="G795" i="4"/>
  <c r="H795" i="4"/>
  <c r="I795" i="4"/>
  <c r="J795" i="4"/>
  <c r="K795" i="4"/>
  <c r="B796" i="4"/>
  <c r="C796" i="4"/>
  <c r="D796" i="4"/>
  <c r="E796" i="4"/>
  <c r="F796" i="4"/>
  <c r="G796" i="4"/>
  <c r="H796" i="4"/>
  <c r="I796" i="4"/>
  <c r="J796" i="4"/>
  <c r="K796" i="4"/>
  <c r="B797" i="4"/>
  <c r="C797" i="4"/>
  <c r="D797" i="4"/>
  <c r="E797" i="4"/>
  <c r="F797" i="4"/>
  <c r="G797" i="4"/>
  <c r="H797" i="4"/>
  <c r="I797" i="4"/>
  <c r="J797" i="4"/>
  <c r="K797" i="4"/>
  <c r="B798" i="4"/>
  <c r="C798" i="4"/>
  <c r="D798" i="4"/>
  <c r="E798" i="4"/>
  <c r="F798" i="4"/>
  <c r="G798" i="4"/>
  <c r="H798" i="4"/>
  <c r="I798" i="4"/>
  <c r="J798" i="4"/>
  <c r="K798" i="4"/>
  <c r="B799" i="4"/>
  <c r="C799" i="4"/>
  <c r="D799" i="4"/>
  <c r="E799" i="4"/>
  <c r="F799" i="4"/>
  <c r="G799" i="4"/>
  <c r="H799" i="4"/>
  <c r="I799" i="4"/>
  <c r="J799" i="4"/>
  <c r="K799" i="4"/>
  <c r="B800" i="4"/>
  <c r="C800" i="4"/>
  <c r="D800" i="4"/>
  <c r="E800" i="4"/>
  <c r="F800" i="4"/>
  <c r="G800" i="4"/>
  <c r="H800" i="4"/>
  <c r="I800" i="4"/>
  <c r="J800" i="4"/>
  <c r="K800" i="4"/>
  <c r="B801" i="4"/>
  <c r="C801" i="4"/>
  <c r="D801" i="4"/>
  <c r="E801" i="4"/>
  <c r="F801" i="4"/>
  <c r="G801" i="4"/>
  <c r="H801" i="4"/>
  <c r="I801" i="4"/>
  <c r="J801" i="4"/>
  <c r="K801" i="4"/>
  <c r="B802" i="4"/>
  <c r="C802" i="4"/>
  <c r="D802" i="4"/>
  <c r="E802" i="4"/>
  <c r="F802" i="4"/>
  <c r="G802" i="4"/>
  <c r="H802" i="4"/>
  <c r="I802" i="4"/>
  <c r="J802" i="4"/>
  <c r="K802" i="4"/>
  <c r="B803" i="4"/>
  <c r="C803" i="4"/>
  <c r="D803" i="4"/>
  <c r="E803" i="4"/>
  <c r="F803" i="4"/>
  <c r="G803" i="4"/>
  <c r="H803" i="4"/>
  <c r="I803" i="4"/>
  <c r="J803" i="4"/>
  <c r="K803" i="4"/>
  <c r="B804" i="4"/>
  <c r="C804" i="4"/>
  <c r="D804" i="4"/>
  <c r="E804" i="4"/>
  <c r="F804" i="4"/>
  <c r="G804" i="4"/>
  <c r="H804" i="4"/>
  <c r="I804" i="4"/>
  <c r="J804" i="4"/>
  <c r="K804" i="4"/>
  <c r="B805" i="4"/>
  <c r="C805" i="4"/>
  <c r="D805" i="4"/>
  <c r="E805" i="4"/>
  <c r="F805" i="4"/>
  <c r="G805" i="4"/>
  <c r="H805" i="4"/>
  <c r="I805" i="4"/>
  <c r="J805" i="4"/>
  <c r="K805" i="4"/>
  <c r="B806" i="4"/>
  <c r="C806" i="4"/>
  <c r="D806" i="4"/>
  <c r="E806" i="4"/>
  <c r="F806" i="4"/>
  <c r="G806" i="4"/>
  <c r="H806" i="4"/>
  <c r="I806" i="4"/>
  <c r="J806" i="4"/>
  <c r="K806" i="4"/>
  <c r="B807" i="4"/>
  <c r="C807" i="4"/>
  <c r="D807" i="4"/>
  <c r="E807" i="4"/>
  <c r="F807" i="4"/>
  <c r="G807" i="4"/>
  <c r="H807" i="4"/>
  <c r="I807" i="4"/>
  <c r="J807" i="4"/>
  <c r="K807" i="4"/>
  <c r="B808" i="4"/>
  <c r="C808" i="4"/>
  <c r="D808" i="4"/>
  <c r="E808" i="4"/>
  <c r="F808" i="4"/>
  <c r="G808" i="4"/>
  <c r="H808" i="4"/>
  <c r="I808" i="4"/>
  <c r="J808" i="4"/>
  <c r="K808" i="4"/>
  <c r="B809" i="4"/>
  <c r="C809" i="4"/>
  <c r="D809" i="4"/>
  <c r="E809" i="4"/>
  <c r="F809" i="4"/>
  <c r="G809" i="4"/>
  <c r="H809" i="4"/>
  <c r="I809" i="4"/>
  <c r="J809" i="4"/>
  <c r="K809" i="4"/>
  <c r="B810" i="4"/>
  <c r="C810" i="4"/>
  <c r="D810" i="4"/>
  <c r="E810" i="4"/>
  <c r="F810" i="4"/>
  <c r="G810" i="4"/>
  <c r="H810" i="4"/>
  <c r="I810" i="4"/>
  <c r="J810" i="4"/>
  <c r="K810" i="4"/>
  <c r="B811" i="4"/>
  <c r="C811" i="4"/>
  <c r="D811" i="4"/>
  <c r="E811" i="4"/>
  <c r="F811" i="4"/>
  <c r="G811" i="4"/>
  <c r="H811" i="4"/>
  <c r="I811" i="4"/>
  <c r="J811" i="4"/>
  <c r="K811" i="4"/>
  <c r="B812" i="4"/>
  <c r="C812" i="4"/>
  <c r="D812" i="4"/>
  <c r="E812" i="4"/>
  <c r="F812" i="4"/>
  <c r="G812" i="4"/>
  <c r="H812" i="4"/>
  <c r="I812" i="4"/>
  <c r="J812" i="4"/>
  <c r="K812" i="4"/>
  <c r="B813" i="4"/>
  <c r="C813" i="4"/>
  <c r="D813" i="4"/>
  <c r="E813" i="4"/>
  <c r="F813" i="4"/>
  <c r="G813" i="4"/>
  <c r="H813" i="4"/>
  <c r="I813" i="4"/>
  <c r="J813" i="4"/>
  <c r="K813" i="4"/>
  <c r="B814" i="4"/>
  <c r="C814" i="4"/>
  <c r="D814" i="4"/>
  <c r="E814" i="4"/>
  <c r="F814" i="4"/>
  <c r="G814" i="4"/>
  <c r="H814" i="4"/>
  <c r="I814" i="4"/>
  <c r="J814" i="4"/>
  <c r="K814" i="4"/>
  <c r="B815" i="4"/>
  <c r="C815" i="4"/>
  <c r="D815" i="4"/>
  <c r="E815" i="4"/>
  <c r="F815" i="4"/>
  <c r="G815" i="4"/>
  <c r="H815" i="4"/>
  <c r="I815" i="4"/>
  <c r="J815" i="4"/>
  <c r="K815" i="4"/>
  <c r="B816" i="4"/>
  <c r="C816" i="4"/>
  <c r="D816" i="4"/>
  <c r="E816" i="4"/>
  <c r="F816" i="4"/>
  <c r="G816" i="4"/>
  <c r="H816" i="4"/>
  <c r="I816" i="4"/>
  <c r="J816" i="4"/>
  <c r="K816" i="4"/>
  <c r="B817" i="4"/>
  <c r="C817" i="4"/>
  <c r="D817" i="4"/>
  <c r="E817" i="4"/>
  <c r="F817" i="4"/>
  <c r="G817" i="4"/>
  <c r="H817" i="4"/>
  <c r="I817" i="4"/>
  <c r="J817" i="4"/>
  <c r="K817" i="4"/>
  <c r="B818" i="4"/>
  <c r="C818" i="4"/>
  <c r="D818" i="4"/>
  <c r="E818" i="4"/>
  <c r="F818" i="4"/>
  <c r="G818" i="4"/>
  <c r="H818" i="4"/>
  <c r="I818" i="4"/>
  <c r="J818" i="4"/>
  <c r="K818" i="4"/>
  <c r="B819" i="4"/>
  <c r="C819" i="4"/>
  <c r="D819" i="4"/>
  <c r="E819" i="4"/>
  <c r="F819" i="4"/>
  <c r="G819" i="4"/>
  <c r="H819" i="4"/>
  <c r="I819" i="4"/>
  <c r="J819" i="4"/>
  <c r="K819" i="4"/>
  <c r="B820" i="4"/>
  <c r="C820" i="4"/>
  <c r="D820" i="4"/>
  <c r="E820" i="4"/>
  <c r="F820" i="4"/>
  <c r="G820" i="4"/>
  <c r="H820" i="4"/>
  <c r="I820" i="4"/>
  <c r="J820" i="4"/>
  <c r="K820" i="4"/>
  <c r="B821" i="4"/>
  <c r="C821" i="4"/>
  <c r="D821" i="4"/>
  <c r="E821" i="4"/>
  <c r="F821" i="4"/>
  <c r="G821" i="4"/>
  <c r="H821" i="4"/>
  <c r="I821" i="4"/>
  <c r="J821" i="4"/>
  <c r="K821" i="4"/>
  <c r="B822" i="4"/>
  <c r="C822" i="4"/>
  <c r="D822" i="4"/>
  <c r="E822" i="4"/>
  <c r="F822" i="4"/>
  <c r="G822" i="4"/>
  <c r="H822" i="4"/>
  <c r="I822" i="4"/>
  <c r="J822" i="4"/>
  <c r="K822" i="4"/>
  <c r="B823" i="4"/>
  <c r="C823" i="4"/>
  <c r="D823" i="4"/>
  <c r="E823" i="4"/>
  <c r="F823" i="4"/>
  <c r="G823" i="4"/>
  <c r="H823" i="4"/>
  <c r="I823" i="4"/>
  <c r="J823" i="4"/>
  <c r="K823" i="4"/>
  <c r="B824" i="4"/>
  <c r="C824" i="4"/>
  <c r="D824" i="4"/>
  <c r="E824" i="4"/>
  <c r="F824" i="4"/>
  <c r="G824" i="4"/>
  <c r="H824" i="4"/>
  <c r="I824" i="4"/>
  <c r="J824" i="4"/>
  <c r="K824" i="4"/>
  <c r="B825" i="4"/>
  <c r="C825" i="4"/>
  <c r="D825" i="4"/>
  <c r="E825" i="4"/>
  <c r="F825" i="4"/>
  <c r="G825" i="4"/>
  <c r="H825" i="4"/>
  <c r="I825" i="4"/>
  <c r="J825" i="4"/>
  <c r="K825" i="4"/>
  <c r="B826" i="4"/>
  <c r="C826" i="4"/>
  <c r="D826" i="4"/>
  <c r="E826" i="4"/>
  <c r="F826" i="4"/>
  <c r="G826" i="4"/>
  <c r="H826" i="4"/>
  <c r="I826" i="4"/>
  <c r="J826" i="4"/>
  <c r="K826" i="4"/>
  <c r="B827" i="4"/>
  <c r="C827" i="4"/>
  <c r="D827" i="4"/>
  <c r="E827" i="4"/>
  <c r="F827" i="4"/>
  <c r="G827" i="4"/>
  <c r="H827" i="4"/>
  <c r="I827" i="4"/>
  <c r="J827" i="4"/>
  <c r="K827" i="4"/>
  <c r="B828" i="4"/>
  <c r="C828" i="4"/>
  <c r="D828" i="4"/>
  <c r="E828" i="4"/>
  <c r="F828" i="4"/>
  <c r="G828" i="4"/>
  <c r="H828" i="4"/>
  <c r="I828" i="4"/>
  <c r="J828" i="4"/>
  <c r="K828" i="4"/>
  <c r="B829" i="4"/>
  <c r="C829" i="4"/>
  <c r="D829" i="4"/>
  <c r="E829" i="4"/>
  <c r="F829" i="4"/>
  <c r="G829" i="4"/>
  <c r="H829" i="4"/>
  <c r="I829" i="4"/>
  <c r="J829" i="4"/>
  <c r="K829" i="4"/>
  <c r="B830" i="4"/>
  <c r="C830" i="4"/>
  <c r="D830" i="4"/>
  <c r="E830" i="4"/>
  <c r="F830" i="4"/>
  <c r="G830" i="4"/>
  <c r="H830" i="4"/>
  <c r="I830" i="4"/>
  <c r="J830" i="4"/>
  <c r="K830" i="4"/>
  <c r="B831" i="4"/>
  <c r="C831" i="4"/>
  <c r="D831" i="4"/>
  <c r="E831" i="4"/>
  <c r="F831" i="4"/>
  <c r="G831" i="4"/>
  <c r="H831" i="4"/>
  <c r="I831" i="4"/>
  <c r="J831" i="4"/>
  <c r="K831" i="4"/>
  <c r="B832" i="4"/>
  <c r="C832" i="4"/>
  <c r="D832" i="4"/>
  <c r="E832" i="4"/>
  <c r="F832" i="4"/>
  <c r="G832" i="4"/>
  <c r="H832" i="4"/>
  <c r="I832" i="4"/>
  <c r="J832" i="4"/>
  <c r="K832" i="4"/>
  <c r="B833" i="4"/>
  <c r="C833" i="4"/>
  <c r="D833" i="4"/>
  <c r="E833" i="4"/>
  <c r="F833" i="4"/>
  <c r="G833" i="4"/>
  <c r="H833" i="4"/>
  <c r="I833" i="4"/>
  <c r="J833" i="4"/>
  <c r="K833" i="4"/>
  <c r="B834" i="4"/>
  <c r="C834" i="4"/>
  <c r="D834" i="4"/>
  <c r="E834" i="4"/>
  <c r="F834" i="4"/>
  <c r="G834" i="4"/>
  <c r="H834" i="4"/>
  <c r="I834" i="4"/>
  <c r="J834" i="4"/>
  <c r="K834" i="4"/>
  <c r="B835" i="4"/>
  <c r="C835" i="4"/>
  <c r="D835" i="4"/>
  <c r="E835" i="4"/>
  <c r="F835" i="4"/>
  <c r="G835" i="4"/>
  <c r="H835" i="4"/>
  <c r="I835" i="4"/>
  <c r="J835" i="4"/>
  <c r="K835" i="4"/>
  <c r="B836" i="4"/>
  <c r="C836" i="4"/>
  <c r="D836" i="4"/>
  <c r="E836" i="4"/>
  <c r="F836" i="4"/>
  <c r="G836" i="4"/>
  <c r="H836" i="4"/>
  <c r="I836" i="4"/>
  <c r="J836" i="4"/>
  <c r="K836" i="4"/>
  <c r="B837" i="4"/>
  <c r="C837" i="4"/>
  <c r="D837" i="4"/>
  <c r="E837" i="4"/>
  <c r="F837" i="4"/>
  <c r="G837" i="4"/>
  <c r="H837" i="4"/>
  <c r="I837" i="4"/>
  <c r="J837" i="4"/>
  <c r="K837" i="4"/>
  <c r="B838" i="4"/>
  <c r="C838" i="4"/>
  <c r="D838" i="4"/>
  <c r="E838" i="4"/>
  <c r="F838" i="4"/>
  <c r="G838" i="4"/>
  <c r="H838" i="4"/>
  <c r="I838" i="4"/>
  <c r="J838" i="4"/>
  <c r="K838" i="4"/>
  <c r="B839" i="4"/>
  <c r="C839" i="4"/>
  <c r="D839" i="4"/>
  <c r="E839" i="4"/>
  <c r="F839" i="4"/>
  <c r="G839" i="4"/>
  <c r="H839" i="4"/>
  <c r="I839" i="4"/>
  <c r="J839" i="4"/>
  <c r="K839" i="4"/>
  <c r="B840" i="4"/>
  <c r="C840" i="4"/>
  <c r="D840" i="4"/>
  <c r="E840" i="4"/>
  <c r="F840" i="4"/>
  <c r="G840" i="4"/>
  <c r="H840" i="4"/>
  <c r="I840" i="4"/>
  <c r="J840" i="4"/>
  <c r="K840" i="4"/>
  <c r="B841" i="4"/>
  <c r="C841" i="4"/>
  <c r="D841" i="4"/>
  <c r="E841" i="4"/>
  <c r="F841" i="4"/>
  <c r="G841" i="4"/>
  <c r="H841" i="4"/>
  <c r="I841" i="4"/>
  <c r="J841" i="4"/>
  <c r="K841" i="4"/>
  <c r="B842" i="4"/>
  <c r="C842" i="4"/>
  <c r="D842" i="4"/>
  <c r="E842" i="4"/>
  <c r="F842" i="4"/>
  <c r="G842" i="4"/>
  <c r="H842" i="4"/>
  <c r="I842" i="4"/>
  <c r="J842" i="4"/>
  <c r="K842" i="4"/>
  <c r="B843" i="4"/>
  <c r="C843" i="4"/>
  <c r="D843" i="4"/>
  <c r="E843" i="4"/>
  <c r="F843" i="4"/>
  <c r="G843" i="4"/>
  <c r="H843" i="4"/>
  <c r="I843" i="4"/>
  <c r="J843" i="4"/>
  <c r="K843" i="4"/>
  <c r="B844" i="4"/>
  <c r="C844" i="4"/>
  <c r="D844" i="4"/>
  <c r="E844" i="4"/>
  <c r="F844" i="4"/>
  <c r="G844" i="4"/>
  <c r="H844" i="4"/>
  <c r="I844" i="4"/>
  <c r="J844" i="4"/>
  <c r="K844" i="4"/>
  <c r="B845" i="4"/>
  <c r="C845" i="4"/>
  <c r="D845" i="4"/>
  <c r="E845" i="4"/>
  <c r="F845" i="4"/>
  <c r="G845" i="4"/>
  <c r="H845" i="4"/>
  <c r="I845" i="4"/>
  <c r="J845" i="4"/>
  <c r="K845" i="4"/>
  <c r="B846" i="4"/>
  <c r="C846" i="4"/>
  <c r="D846" i="4"/>
  <c r="E846" i="4"/>
  <c r="F846" i="4"/>
  <c r="G846" i="4"/>
  <c r="H846" i="4"/>
  <c r="I846" i="4"/>
  <c r="J846" i="4"/>
  <c r="K846" i="4"/>
  <c r="B847" i="4"/>
  <c r="C847" i="4"/>
  <c r="D847" i="4"/>
  <c r="E847" i="4"/>
  <c r="F847" i="4"/>
  <c r="G847" i="4"/>
  <c r="H847" i="4"/>
  <c r="I847" i="4"/>
  <c r="J847" i="4"/>
  <c r="K847" i="4"/>
  <c r="B848" i="4"/>
  <c r="C848" i="4"/>
  <c r="D848" i="4"/>
  <c r="E848" i="4"/>
  <c r="F848" i="4"/>
  <c r="G848" i="4"/>
  <c r="H848" i="4"/>
  <c r="I848" i="4"/>
  <c r="J848" i="4"/>
  <c r="K848" i="4"/>
  <c r="B849" i="4"/>
  <c r="C849" i="4"/>
  <c r="D849" i="4"/>
  <c r="E849" i="4"/>
  <c r="F849" i="4"/>
  <c r="G849" i="4"/>
  <c r="H849" i="4"/>
  <c r="I849" i="4"/>
  <c r="J849" i="4"/>
  <c r="K849" i="4"/>
  <c r="B850" i="4"/>
  <c r="C850" i="4"/>
  <c r="D850" i="4"/>
  <c r="E850" i="4"/>
  <c r="F850" i="4"/>
  <c r="G850" i="4"/>
  <c r="H850" i="4"/>
  <c r="I850" i="4"/>
  <c r="J850" i="4"/>
  <c r="K850" i="4"/>
  <c r="B851" i="4"/>
  <c r="C851" i="4"/>
  <c r="D851" i="4"/>
  <c r="E851" i="4"/>
  <c r="F851" i="4"/>
  <c r="G851" i="4"/>
  <c r="H851" i="4"/>
  <c r="I851" i="4"/>
  <c r="J851" i="4"/>
  <c r="K851" i="4"/>
  <c r="B852" i="4"/>
  <c r="C852" i="4"/>
  <c r="D852" i="4"/>
  <c r="E852" i="4"/>
  <c r="F852" i="4"/>
  <c r="G852" i="4"/>
  <c r="H852" i="4"/>
  <c r="I852" i="4"/>
  <c r="J852" i="4"/>
  <c r="K852" i="4"/>
  <c r="B853" i="4"/>
  <c r="C853" i="4"/>
  <c r="D853" i="4"/>
  <c r="E853" i="4"/>
  <c r="F853" i="4"/>
  <c r="G853" i="4"/>
  <c r="H853" i="4"/>
  <c r="I853" i="4"/>
  <c r="J853" i="4"/>
  <c r="K853" i="4"/>
  <c r="B854" i="4"/>
  <c r="C854" i="4"/>
  <c r="D854" i="4"/>
  <c r="E854" i="4"/>
  <c r="F854" i="4"/>
  <c r="G854" i="4"/>
  <c r="H854" i="4"/>
  <c r="I854" i="4"/>
  <c r="J854" i="4"/>
  <c r="K854" i="4"/>
  <c r="B855" i="4"/>
  <c r="C855" i="4"/>
  <c r="D855" i="4"/>
  <c r="E855" i="4"/>
  <c r="F855" i="4"/>
  <c r="G855" i="4"/>
  <c r="H855" i="4"/>
  <c r="I855" i="4"/>
  <c r="J855" i="4"/>
  <c r="K855" i="4"/>
  <c r="B856" i="4"/>
  <c r="C856" i="4"/>
  <c r="D856" i="4"/>
  <c r="E856" i="4"/>
  <c r="F856" i="4"/>
  <c r="G856" i="4"/>
  <c r="H856" i="4"/>
  <c r="I856" i="4"/>
  <c r="J856" i="4"/>
  <c r="K856" i="4"/>
  <c r="B857" i="4"/>
  <c r="C857" i="4"/>
  <c r="D857" i="4"/>
  <c r="E857" i="4"/>
  <c r="F857" i="4"/>
  <c r="G857" i="4"/>
  <c r="H857" i="4"/>
  <c r="I857" i="4"/>
  <c r="J857" i="4"/>
  <c r="K857" i="4"/>
  <c r="B858" i="4"/>
  <c r="C858" i="4"/>
  <c r="D858" i="4"/>
  <c r="E858" i="4"/>
  <c r="F858" i="4"/>
  <c r="G858" i="4"/>
  <c r="H858" i="4"/>
  <c r="I858" i="4"/>
  <c r="J858" i="4"/>
  <c r="K858" i="4"/>
  <c r="B859" i="4"/>
  <c r="C859" i="4"/>
  <c r="D859" i="4"/>
  <c r="E859" i="4"/>
  <c r="F859" i="4"/>
  <c r="G859" i="4"/>
  <c r="H859" i="4"/>
  <c r="I859" i="4"/>
  <c r="J859" i="4"/>
  <c r="K859" i="4"/>
  <c r="B860" i="4"/>
  <c r="C860" i="4"/>
  <c r="D860" i="4"/>
  <c r="E860" i="4"/>
  <c r="F860" i="4"/>
  <c r="G860" i="4"/>
  <c r="H860" i="4"/>
  <c r="I860" i="4"/>
  <c r="J860" i="4"/>
  <c r="K860" i="4"/>
  <c r="B861" i="4"/>
  <c r="C861" i="4"/>
  <c r="D861" i="4"/>
  <c r="E861" i="4"/>
  <c r="F861" i="4"/>
  <c r="G861" i="4"/>
  <c r="H861" i="4"/>
  <c r="I861" i="4"/>
  <c r="J861" i="4"/>
  <c r="K861" i="4"/>
  <c r="B862" i="4"/>
  <c r="C862" i="4"/>
  <c r="D862" i="4"/>
  <c r="E862" i="4"/>
  <c r="F862" i="4"/>
  <c r="G862" i="4"/>
  <c r="H862" i="4"/>
  <c r="I862" i="4"/>
  <c r="J862" i="4"/>
  <c r="K862" i="4"/>
  <c r="B863" i="4"/>
  <c r="C863" i="4"/>
  <c r="D863" i="4"/>
  <c r="E863" i="4"/>
  <c r="F863" i="4"/>
  <c r="G863" i="4"/>
  <c r="H863" i="4"/>
  <c r="I863" i="4"/>
  <c r="J863" i="4"/>
  <c r="K863" i="4"/>
  <c r="B864" i="4"/>
  <c r="C864" i="4"/>
  <c r="D864" i="4"/>
  <c r="E864" i="4"/>
  <c r="F864" i="4"/>
  <c r="G864" i="4"/>
  <c r="H864" i="4"/>
  <c r="I864" i="4"/>
  <c r="J864" i="4"/>
  <c r="K864" i="4"/>
  <c r="B865" i="4"/>
  <c r="C865" i="4"/>
  <c r="D865" i="4"/>
  <c r="E865" i="4"/>
  <c r="F865" i="4"/>
  <c r="G865" i="4"/>
  <c r="H865" i="4"/>
  <c r="I865" i="4"/>
  <c r="J865" i="4"/>
  <c r="K865" i="4"/>
  <c r="B866" i="4"/>
  <c r="C866" i="4"/>
  <c r="D866" i="4"/>
  <c r="E866" i="4"/>
  <c r="F866" i="4"/>
  <c r="G866" i="4"/>
  <c r="H866" i="4"/>
  <c r="I866" i="4"/>
  <c r="J866" i="4"/>
  <c r="K866" i="4"/>
  <c r="B867" i="4"/>
  <c r="C867" i="4"/>
  <c r="D867" i="4"/>
  <c r="E867" i="4"/>
  <c r="F867" i="4"/>
  <c r="G867" i="4"/>
  <c r="H867" i="4"/>
  <c r="I867" i="4"/>
  <c r="J867" i="4"/>
  <c r="K867" i="4"/>
  <c r="B868" i="4"/>
  <c r="C868" i="4"/>
  <c r="D868" i="4"/>
  <c r="E868" i="4"/>
  <c r="F868" i="4"/>
  <c r="G868" i="4"/>
  <c r="H868" i="4"/>
  <c r="I868" i="4"/>
  <c r="J868" i="4"/>
  <c r="K868" i="4"/>
  <c r="B869" i="4"/>
  <c r="C869" i="4"/>
  <c r="D869" i="4"/>
  <c r="E869" i="4"/>
  <c r="F869" i="4"/>
  <c r="G869" i="4"/>
  <c r="H869" i="4"/>
  <c r="I869" i="4"/>
  <c r="J869" i="4"/>
  <c r="K869" i="4"/>
  <c r="B870" i="4"/>
  <c r="C870" i="4"/>
  <c r="D870" i="4"/>
  <c r="E870" i="4"/>
  <c r="F870" i="4"/>
  <c r="G870" i="4"/>
  <c r="H870" i="4"/>
  <c r="I870" i="4"/>
  <c r="J870" i="4"/>
  <c r="K870" i="4"/>
  <c r="B871" i="4"/>
  <c r="C871" i="4"/>
  <c r="D871" i="4"/>
  <c r="E871" i="4"/>
  <c r="F871" i="4"/>
  <c r="G871" i="4"/>
  <c r="H871" i="4"/>
  <c r="I871" i="4"/>
  <c r="J871" i="4"/>
  <c r="K871" i="4"/>
  <c r="B872" i="4"/>
  <c r="C872" i="4"/>
  <c r="D872" i="4"/>
  <c r="E872" i="4"/>
  <c r="F872" i="4"/>
  <c r="G872" i="4"/>
  <c r="H872" i="4"/>
  <c r="I872" i="4"/>
  <c r="J872" i="4"/>
  <c r="K872" i="4"/>
  <c r="B873" i="4"/>
  <c r="C873" i="4"/>
  <c r="D873" i="4"/>
  <c r="E873" i="4"/>
  <c r="F873" i="4"/>
  <c r="G873" i="4"/>
  <c r="H873" i="4"/>
  <c r="I873" i="4"/>
  <c r="J873" i="4"/>
  <c r="K873" i="4"/>
  <c r="B874" i="4"/>
  <c r="C874" i="4"/>
  <c r="D874" i="4"/>
  <c r="E874" i="4"/>
  <c r="F874" i="4"/>
  <c r="G874" i="4"/>
  <c r="H874" i="4"/>
  <c r="I874" i="4"/>
  <c r="J874" i="4"/>
  <c r="K874" i="4"/>
  <c r="B875" i="4"/>
  <c r="C875" i="4"/>
  <c r="D875" i="4"/>
  <c r="E875" i="4"/>
  <c r="F875" i="4"/>
  <c r="G875" i="4"/>
  <c r="H875" i="4"/>
  <c r="I875" i="4"/>
  <c r="J875" i="4"/>
  <c r="K875" i="4"/>
  <c r="B876" i="4"/>
  <c r="C876" i="4"/>
  <c r="D876" i="4"/>
  <c r="E876" i="4"/>
  <c r="F876" i="4"/>
  <c r="G876" i="4"/>
  <c r="H876" i="4"/>
  <c r="I876" i="4"/>
  <c r="J876" i="4"/>
  <c r="K876" i="4"/>
  <c r="B877" i="4"/>
  <c r="C877" i="4"/>
  <c r="D877" i="4"/>
  <c r="E877" i="4"/>
  <c r="F877" i="4"/>
  <c r="G877" i="4"/>
  <c r="H877" i="4"/>
  <c r="I877" i="4"/>
  <c r="J877" i="4"/>
  <c r="K877" i="4"/>
  <c r="B878" i="4"/>
  <c r="C878" i="4"/>
  <c r="D878" i="4"/>
  <c r="E878" i="4"/>
  <c r="F878" i="4"/>
  <c r="G878" i="4"/>
  <c r="H878" i="4"/>
  <c r="I878" i="4"/>
  <c r="J878" i="4"/>
  <c r="K878" i="4"/>
  <c r="B879" i="4"/>
  <c r="C879" i="4"/>
  <c r="D879" i="4"/>
  <c r="E879" i="4"/>
  <c r="F879" i="4"/>
  <c r="G879" i="4"/>
  <c r="H879" i="4"/>
  <c r="I879" i="4"/>
  <c r="J879" i="4"/>
  <c r="K879" i="4"/>
  <c r="B880" i="4"/>
  <c r="C880" i="4"/>
  <c r="D880" i="4"/>
  <c r="E880" i="4"/>
  <c r="F880" i="4"/>
  <c r="G880" i="4"/>
  <c r="H880" i="4"/>
  <c r="I880" i="4"/>
  <c r="J880" i="4"/>
  <c r="K880" i="4"/>
  <c r="B881" i="4"/>
  <c r="C881" i="4"/>
  <c r="D881" i="4"/>
  <c r="E881" i="4"/>
  <c r="F881" i="4"/>
  <c r="G881" i="4"/>
  <c r="H881" i="4"/>
  <c r="I881" i="4"/>
  <c r="J881" i="4"/>
  <c r="K881" i="4"/>
  <c r="B882" i="4"/>
  <c r="C882" i="4"/>
  <c r="D882" i="4"/>
  <c r="E882" i="4"/>
  <c r="F882" i="4"/>
  <c r="G882" i="4"/>
  <c r="H882" i="4"/>
  <c r="I882" i="4"/>
  <c r="J882" i="4"/>
  <c r="K882" i="4"/>
  <c r="B883" i="4"/>
  <c r="C883" i="4"/>
  <c r="D883" i="4"/>
  <c r="E883" i="4"/>
  <c r="F883" i="4"/>
  <c r="G883" i="4"/>
  <c r="H883" i="4"/>
  <c r="I883" i="4"/>
  <c r="J883" i="4"/>
  <c r="K883" i="4"/>
  <c r="B884" i="4"/>
  <c r="C884" i="4"/>
  <c r="D884" i="4"/>
  <c r="E884" i="4"/>
  <c r="F884" i="4"/>
  <c r="G884" i="4"/>
  <c r="H884" i="4"/>
  <c r="I884" i="4"/>
  <c r="J884" i="4"/>
  <c r="K884" i="4"/>
  <c r="B885" i="4"/>
  <c r="C885" i="4"/>
  <c r="D885" i="4"/>
  <c r="E885" i="4"/>
  <c r="F885" i="4"/>
  <c r="G885" i="4"/>
  <c r="H885" i="4"/>
  <c r="I885" i="4"/>
  <c r="J885" i="4"/>
  <c r="K885" i="4"/>
  <c r="B886" i="4"/>
  <c r="C886" i="4"/>
  <c r="D886" i="4"/>
  <c r="E886" i="4"/>
  <c r="F886" i="4"/>
  <c r="G886" i="4"/>
  <c r="H886" i="4"/>
  <c r="I886" i="4"/>
  <c r="J886" i="4"/>
  <c r="K886" i="4"/>
  <c r="B887" i="4"/>
  <c r="C887" i="4"/>
  <c r="D887" i="4"/>
  <c r="E887" i="4"/>
  <c r="F887" i="4"/>
  <c r="G887" i="4"/>
  <c r="H887" i="4"/>
  <c r="I887" i="4"/>
  <c r="J887" i="4"/>
  <c r="K887" i="4"/>
  <c r="B888" i="4"/>
  <c r="C888" i="4"/>
  <c r="D888" i="4"/>
  <c r="E888" i="4"/>
  <c r="F888" i="4"/>
  <c r="G888" i="4"/>
  <c r="H888" i="4"/>
  <c r="I888" i="4"/>
  <c r="J888" i="4"/>
  <c r="K888" i="4"/>
  <c r="B889" i="4"/>
  <c r="C889" i="4"/>
  <c r="D889" i="4"/>
  <c r="E889" i="4"/>
  <c r="F889" i="4"/>
  <c r="G889" i="4"/>
  <c r="H889" i="4"/>
  <c r="I889" i="4"/>
  <c r="J889" i="4"/>
  <c r="K889" i="4"/>
  <c r="B890" i="4"/>
  <c r="C890" i="4"/>
  <c r="D890" i="4"/>
  <c r="E890" i="4"/>
  <c r="F890" i="4"/>
  <c r="G890" i="4"/>
  <c r="H890" i="4"/>
  <c r="I890" i="4"/>
  <c r="J890" i="4"/>
  <c r="K890" i="4"/>
  <c r="B891" i="4"/>
  <c r="C891" i="4"/>
  <c r="D891" i="4"/>
  <c r="E891" i="4"/>
  <c r="F891" i="4"/>
  <c r="G891" i="4"/>
  <c r="H891" i="4"/>
  <c r="I891" i="4"/>
  <c r="J891" i="4"/>
  <c r="K891" i="4"/>
  <c r="B892" i="4"/>
  <c r="C892" i="4"/>
  <c r="D892" i="4"/>
  <c r="E892" i="4"/>
  <c r="F892" i="4"/>
  <c r="G892" i="4"/>
  <c r="H892" i="4"/>
  <c r="I892" i="4"/>
  <c r="J892" i="4"/>
  <c r="K892" i="4"/>
  <c r="B893" i="4"/>
  <c r="C893" i="4"/>
  <c r="D893" i="4"/>
  <c r="E893" i="4"/>
  <c r="F893" i="4"/>
  <c r="G893" i="4"/>
  <c r="H893" i="4"/>
  <c r="I893" i="4"/>
  <c r="J893" i="4"/>
  <c r="K893" i="4"/>
  <c r="B894" i="4"/>
  <c r="C894" i="4"/>
  <c r="D894" i="4"/>
  <c r="E894" i="4"/>
  <c r="F894" i="4"/>
  <c r="G894" i="4"/>
  <c r="H894" i="4"/>
  <c r="I894" i="4"/>
  <c r="J894" i="4"/>
  <c r="K894" i="4"/>
  <c r="B895" i="4"/>
  <c r="C895" i="4"/>
  <c r="D895" i="4"/>
  <c r="E895" i="4"/>
  <c r="F895" i="4"/>
  <c r="G895" i="4"/>
  <c r="H895" i="4"/>
  <c r="I895" i="4"/>
  <c r="J895" i="4"/>
  <c r="K895" i="4"/>
  <c r="B896" i="4"/>
  <c r="C896" i="4"/>
  <c r="D896" i="4"/>
  <c r="E896" i="4"/>
  <c r="F896" i="4"/>
  <c r="G896" i="4"/>
  <c r="H896" i="4"/>
  <c r="I896" i="4"/>
  <c r="J896" i="4"/>
  <c r="K896" i="4"/>
  <c r="B897" i="4"/>
  <c r="C897" i="4"/>
  <c r="D897" i="4"/>
  <c r="E897" i="4"/>
  <c r="F897" i="4"/>
  <c r="G897" i="4"/>
  <c r="H897" i="4"/>
  <c r="I897" i="4"/>
  <c r="J897" i="4"/>
  <c r="K897" i="4"/>
  <c r="B898" i="4"/>
  <c r="C898" i="4"/>
  <c r="D898" i="4"/>
  <c r="E898" i="4"/>
  <c r="F898" i="4"/>
  <c r="G898" i="4"/>
  <c r="H898" i="4"/>
  <c r="I898" i="4"/>
  <c r="J898" i="4"/>
  <c r="K898" i="4"/>
  <c r="B899" i="4"/>
  <c r="C899" i="4"/>
  <c r="D899" i="4"/>
  <c r="E899" i="4"/>
  <c r="F899" i="4"/>
  <c r="G899" i="4"/>
  <c r="H899" i="4"/>
  <c r="I899" i="4"/>
  <c r="J899" i="4"/>
  <c r="K899" i="4"/>
  <c r="B900" i="4"/>
  <c r="C900" i="4"/>
  <c r="D900" i="4"/>
  <c r="E900" i="4"/>
  <c r="F900" i="4"/>
  <c r="G900" i="4"/>
  <c r="H900" i="4"/>
  <c r="I900" i="4"/>
  <c r="J900" i="4"/>
  <c r="K900" i="4"/>
  <c r="B901" i="4"/>
  <c r="C901" i="4"/>
  <c r="D901" i="4"/>
  <c r="E901" i="4"/>
  <c r="F901" i="4"/>
  <c r="G901" i="4"/>
  <c r="H901" i="4"/>
  <c r="I901" i="4"/>
  <c r="J901" i="4"/>
  <c r="K901" i="4"/>
  <c r="B902" i="4"/>
  <c r="C902" i="4"/>
  <c r="D902" i="4"/>
  <c r="E902" i="4"/>
  <c r="F902" i="4"/>
  <c r="G902" i="4"/>
  <c r="H902" i="4"/>
  <c r="I902" i="4"/>
  <c r="J902" i="4"/>
  <c r="K902" i="4"/>
  <c r="B903" i="4"/>
  <c r="C903" i="4"/>
  <c r="D903" i="4"/>
  <c r="E903" i="4"/>
  <c r="F903" i="4"/>
  <c r="G903" i="4"/>
  <c r="H903" i="4"/>
  <c r="I903" i="4"/>
  <c r="J903" i="4"/>
  <c r="K903" i="4"/>
  <c r="B904" i="4"/>
  <c r="C904" i="4"/>
  <c r="D904" i="4"/>
  <c r="E904" i="4"/>
  <c r="F904" i="4"/>
  <c r="G904" i="4"/>
  <c r="H904" i="4"/>
  <c r="I904" i="4"/>
  <c r="J904" i="4"/>
  <c r="K904" i="4"/>
  <c r="B905" i="4"/>
  <c r="C905" i="4"/>
  <c r="D905" i="4"/>
  <c r="E905" i="4"/>
  <c r="F905" i="4"/>
  <c r="G905" i="4"/>
  <c r="H905" i="4"/>
  <c r="I905" i="4"/>
  <c r="J905" i="4"/>
  <c r="K905" i="4"/>
  <c r="B906" i="4"/>
  <c r="C906" i="4"/>
  <c r="D906" i="4"/>
  <c r="E906" i="4"/>
  <c r="F906" i="4"/>
  <c r="G906" i="4"/>
  <c r="H906" i="4"/>
  <c r="I906" i="4"/>
  <c r="J906" i="4"/>
  <c r="K906" i="4"/>
  <c r="B907" i="4"/>
  <c r="C907" i="4"/>
  <c r="D907" i="4"/>
  <c r="E907" i="4"/>
  <c r="F907" i="4"/>
  <c r="G907" i="4"/>
  <c r="H907" i="4"/>
  <c r="I907" i="4"/>
  <c r="J907" i="4"/>
  <c r="K907" i="4"/>
  <c r="B908" i="4"/>
  <c r="C908" i="4"/>
  <c r="D908" i="4"/>
  <c r="E908" i="4"/>
  <c r="F908" i="4"/>
  <c r="G908" i="4"/>
  <c r="H908" i="4"/>
  <c r="I908" i="4"/>
  <c r="J908" i="4"/>
  <c r="K908" i="4"/>
  <c r="B909" i="4"/>
  <c r="C909" i="4"/>
  <c r="D909" i="4"/>
  <c r="E909" i="4"/>
  <c r="F909" i="4"/>
  <c r="G909" i="4"/>
  <c r="H909" i="4"/>
  <c r="I909" i="4"/>
  <c r="J909" i="4"/>
  <c r="K909" i="4"/>
  <c r="B910" i="4"/>
  <c r="C910" i="4"/>
  <c r="D910" i="4"/>
  <c r="E910" i="4"/>
  <c r="F910" i="4"/>
  <c r="G910" i="4"/>
  <c r="H910" i="4"/>
  <c r="I910" i="4"/>
  <c r="J910" i="4"/>
  <c r="K910" i="4"/>
  <c r="B911" i="4"/>
  <c r="C911" i="4"/>
  <c r="D911" i="4"/>
  <c r="E911" i="4"/>
  <c r="F911" i="4"/>
  <c r="G911" i="4"/>
  <c r="H911" i="4"/>
  <c r="I911" i="4"/>
  <c r="J911" i="4"/>
  <c r="K911" i="4"/>
  <c r="B912" i="4"/>
  <c r="C912" i="4"/>
  <c r="D912" i="4"/>
  <c r="E912" i="4"/>
  <c r="F912" i="4"/>
  <c r="G912" i="4"/>
  <c r="H912" i="4"/>
  <c r="I912" i="4"/>
  <c r="J912" i="4"/>
  <c r="K912" i="4"/>
  <c r="B913" i="4"/>
  <c r="C913" i="4"/>
  <c r="D913" i="4"/>
  <c r="E913" i="4"/>
  <c r="F913" i="4"/>
  <c r="G913" i="4"/>
  <c r="H913" i="4"/>
  <c r="I913" i="4"/>
  <c r="J913" i="4"/>
  <c r="K913" i="4"/>
  <c r="B914" i="4"/>
  <c r="C914" i="4"/>
  <c r="D914" i="4"/>
  <c r="E914" i="4"/>
  <c r="F914" i="4"/>
  <c r="G914" i="4"/>
  <c r="H914" i="4"/>
  <c r="I914" i="4"/>
  <c r="J914" i="4"/>
  <c r="K914" i="4"/>
  <c r="B915" i="4"/>
  <c r="C915" i="4"/>
  <c r="D915" i="4"/>
  <c r="E915" i="4"/>
  <c r="F915" i="4"/>
  <c r="G915" i="4"/>
  <c r="H915" i="4"/>
  <c r="I915" i="4"/>
  <c r="J915" i="4"/>
  <c r="K915" i="4"/>
  <c r="B916" i="4"/>
  <c r="C916" i="4"/>
  <c r="D916" i="4"/>
  <c r="E916" i="4"/>
  <c r="F916" i="4"/>
  <c r="G916" i="4"/>
  <c r="H916" i="4"/>
  <c r="I916" i="4"/>
  <c r="J916" i="4"/>
  <c r="K916" i="4"/>
  <c r="B917" i="4"/>
  <c r="C917" i="4"/>
  <c r="D917" i="4"/>
  <c r="E917" i="4"/>
  <c r="F917" i="4"/>
  <c r="G917" i="4"/>
  <c r="H917" i="4"/>
  <c r="I917" i="4"/>
  <c r="J917" i="4"/>
  <c r="K917" i="4"/>
  <c r="B918" i="4"/>
  <c r="C918" i="4"/>
  <c r="D918" i="4"/>
  <c r="E918" i="4"/>
  <c r="F918" i="4"/>
  <c r="G918" i="4"/>
  <c r="H918" i="4"/>
  <c r="I918" i="4"/>
  <c r="J918" i="4"/>
  <c r="K918" i="4"/>
  <c r="B919" i="4"/>
  <c r="C919" i="4"/>
  <c r="D919" i="4"/>
  <c r="E919" i="4"/>
  <c r="F919" i="4"/>
  <c r="G919" i="4"/>
  <c r="H919" i="4"/>
  <c r="I919" i="4"/>
  <c r="J919" i="4"/>
  <c r="K919" i="4"/>
  <c r="B920" i="4"/>
  <c r="C920" i="4"/>
  <c r="D920" i="4"/>
  <c r="E920" i="4"/>
  <c r="F920" i="4"/>
  <c r="G920" i="4"/>
  <c r="H920" i="4"/>
  <c r="I920" i="4"/>
  <c r="J920" i="4"/>
  <c r="K920" i="4"/>
  <c r="B921" i="4"/>
  <c r="C921" i="4"/>
  <c r="D921" i="4"/>
  <c r="E921" i="4"/>
  <c r="F921" i="4"/>
  <c r="G921" i="4"/>
  <c r="H921" i="4"/>
  <c r="I921" i="4"/>
  <c r="J921" i="4"/>
  <c r="K921" i="4"/>
  <c r="B922" i="4"/>
  <c r="C922" i="4"/>
  <c r="D922" i="4"/>
  <c r="E922" i="4"/>
  <c r="F922" i="4"/>
  <c r="G922" i="4"/>
  <c r="H922" i="4"/>
  <c r="I922" i="4"/>
  <c r="J922" i="4"/>
  <c r="K922" i="4"/>
  <c r="B923" i="4"/>
  <c r="C923" i="4"/>
  <c r="D923" i="4"/>
  <c r="E923" i="4"/>
  <c r="F923" i="4"/>
  <c r="G923" i="4"/>
  <c r="H923" i="4"/>
  <c r="I923" i="4"/>
  <c r="J923" i="4"/>
  <c r="K923" i="4"/>
  <c r="B924" i="4"/>
  <c r="C924" i="4"/>
  <c r="D924" i="4"/>
  <c r="E924" i="4"/>
  <c r="F924" i="4"/>
  <c r="G924" i="4"/>
  <c r="H924" i="4"/>
  <c r="I924" i="4"/>
  <c r="J924" i="4"/>
  <c r="K924" i="4"/>
  <c r="B925" i="4"/>
  <c r="C925" i="4"/>
  <c r="D925" i="4"/>
  <c r="E925" i="4"/>
  <c r="F925" i="4"/>
  <c r="G925" i="4"/>
  <c r="H925" i="4"/>
  <c r="I925" i="4"/>
  <c r="J925" i="4"/>
  <c r="K925" i="4"/>
  <c r="B926" i="4"/>
  <c r="C926" i="4"/>
  <c r="D926" i="4"/>
  <c r="E926" i="4"/>
  <c r="F926" i="4"/>
  <c r="G926" i="4"/>
  <c r="H926" i="4"/>
  <c r="I926" i="4"/>
  <c r="J926" i="4"/>
  <c r="K926" i="4"/>
  <c r="B927" i="4"/>
  <c r="C927" i="4"/>
  <c r="D927" i="4"/>
  <c r="E927" i="4"/>
  <c r="F927" i="4"/>
  <c r="G927" i="4"/>
  <c r="H927" i="4"/>
  <c r="I927" i="4"/>
  <c r="J927" i="4"/>
  <c r="K927" i="4"/>
  <c r="B928" i="4"/>
  <c r="C928" i="4"/>
  <c r="D928" i="4"/>
  <c r="E928" i="4"/>
  <c r="F928" i="4"/>
  <c r="G928" i="4"/>
  <c r="H928" i="4"/>
  <c r="I928" i="4"/>
  <c r="J928" i="4"/>
  <c r="K928" i="4"/>
  <c r="B929" i="4"/>
  <c r="C929" i="4"/>
  <c r="D929" i="4"/>
  <c r="E929" i="4"/>
  <c r="F929" i="4"/>
  <c r="G929" i="4"/>
  <c r="H929" i="4"/>
  <c r="I929" i="4"/>
  <c r="J929" i="4"/>
  <c r="K929" i="4"/>
  <c r="B930" i="4"/>
  <c r="C930" i="4"/>
  <c r="D930" i="4"/>
  <c r="E930" i="4"/>
  <c r="F930" i="4"/>
  <c r="G930" i="4"/>
  <c r="H930" i="4"/>
  <c r="I930" i="4"/>
  <c r="J930" i="4"/>
  <c r="K930" i="4"/>
  <c r="B931" i="4"/>
  <c r="C931" i="4"/>
  <c r="D931" i="4"/>
  <c r="E931" i="4"/>
  <c r="F931" i="4"/>
  <c r="G931" i="4"/>
  <c r="H931" i="4"/>
  <c r="I931" i="4"/>
  <c r="J931" i="4"/>
  <c r="K931" i="4"/>
  <c r="B932" i="4"/>
  <c r="C932" i="4"/>
  <c r="D932" i="4"/>
  <c r="E932" i="4"/>
  <c r="F932" i="4"/>
  <c r="G932" i="4"/>
  <c r="H932" i="4"/>
  <c r="I932" i="4"/>
  <c r="J932" i="4"/>
  <c r="K932" i="4"/>
  <c r="B933" i="4"/>
  <c r="C933" i="4"/>
  <c r="D933" i="4"/>
  <c r="E933" i="4"/>
  <c r="F933" i="4"/>
  <c r="G933" i="4"/>
  <c r="H933" i="4"/>
  <c r="I933" i="4"/>
  <c r="J933" i="4"/>
  <c r="K933" i="4"/>
  <c r="B934" i="4"/>
  <c r="C934" i="4"/>
  <c r="D934" i="4"/>
  <c r="E934" i="4"/>
  <c r="F934" i="4"/>
  <c r="G934" i="4"/>
  <c r="H934" i="4"/>
  <c r="I934" i="4"/>
  <c r="J934" i="4"/>
  <c r="K934" i="4"/>
  <c r="B935" i="4"/>
  <c r="C935" i="4"/>
  <c r="D935" i="4"/>
  <c r="E935" i="4"/>
  <c r="F935" i="4"/>
  <c r="G935" i="4"/>
  <c r="H935" i="4"/>
  <c r="I935" i="4"/>
  <c r="J935" i="4"/>
  <c r="K935" i="4"/>
  <c r="B936" i="4"/>
  <c r="C936" i="4"/>
  <c r="D936" i="4"/>
  <c r="E936" i="4"/>
  <c r="F936" i="4"/>
  <c r="G936" i="4"/>
  <c r="H936" i="4"/>
  <c r="I936" i="4"/>
  <c r="J936" i="4"/>
  <c r="K936" i="4"/>
  <c r="B937" i="4"/>
  <c r="C937" i="4"/>
  <c r="D937" i="4"/>
  <c r="E937" i="4"/>
  <c r="F937" i="4"/>
  <c r="G937" i="4"/>
  <c r="H937" i="4"/>
  <c r="I937" i="4"/>
  <c r="J937" i="4"/>
  <c r="K937" i="4"/>
  <c r="B938" i="4"/>
  <c r="C938" i="4"/>
  <c r="D938" i="4"/>
  <c r="E938" i="4"/>
  <c r="F938" i="4"/>
  <c r="G938" i="4"/>
  <c r="H938" i="4"/>
  <c r="I938" i="4"/>
  <c r="J938" i="4"/>
  <c r="K938" i="4"/>
  <c r="B939" i="4"/>
  <c r="C939" i="4"/>
  <c r="D939" i="4"/>
  <c r="E939" i="4"/>
  <c r="F939" i="4"/>
  <c r="G939" i="4"/>
  <c r="H939" i="4"/>
  <c r="I939" i="4"/>
  <c r="J939" i="4"/>
  <c r="K939" i="4"/>
  <c r="B940" i="4"/>
  <c r="C940" i="4"/>
  <c r="D940" i="4"/>
  <c r="E940" i="4"/>
  <c r="F940" i="4"/>
  <c r="G940" i="4"/>
  <c r="H940" i="4"/>
  <c r="I940" i="4"/>
  <c r="J940" i="4"/>
  <c r="K940" i="4"/>
  <c r="B941" i="4"/>
  <c r="C941" i="4"/>
  <c r="D941" i="4"/>
  <c r="E941" i="4"/>
  <c r="F941" i="4"/>
  <c r="G941" i="4"/>
  <c r="H941" i="4"/>
  <c r="I941" i="4"/>
  <c r="J941" i="4"/>
  <c r="K941" i="4"/>
  <c r="B942" i="4"/>
  <c r="C942" i="4"/>
  <c r="D942" i="4"/>
  <c r="E942" i="4"/>
  <c r="F942" i="4"/>
  <c r="G942" i="4"/>
  <c r="H942" i="4"/>
  <c r="I942" i="4"/>
  <c r="J942" i="4"/>
  <c r="K942" i="4"/>
  <c r="B943" i="4"/>
  <c r="C943" i="4"/>
  <c r="D943" i="4"/>
  <c r="E943" i="4"/>
  <c r="F943" i="4"/>
  <c r="G943" i="4"/>
  <c r="H943" i="4"/>
  <c r="I943" i="4"/>
  <c r="J943" i="4"/>
  <c r="K943" i="4"/>
  <c r="B944" i="4"/>
  <c r="C944" i="4"/>
  <c r="D944" i="4"/>
  <c r="E944" i="4"/>
  <c r="F944" i="4"/>
  <c r="G944" i="4"/>
  <c r="H944" i="4"/>
  <c r="I944" i="4"/>
  <c r="J944" i="4"/>
  <c r="K944" i="4"/>
  <c r="B945" i="4"/>
  <c r="C945" i="4"/>
  <c r="D945" i="4"/>
  <c r="E945" i="4"/>
  <c r="F945" i="4"/>
  <c r="G945" i="4"/>
  <c r="H945" i="4"/>
  <c r="I945" i="4"/>
  <c r="J945" i="4"/>
  <c r="K945" i="4"/>
  <c r="B946" i="4"/>
  <c r="C946" i="4"/>
  <c r="D946" i="4"/>
  <c r="E946" i="4"/>
  <c r="F946" i="4"/>
  <c r="G946" i="4"/>
  <c r="H946" i="4"/>
  <c r="I946" i="4"/>
  <c r="J946" i="4"/>
  <c r="K946" i="4"/>
  <c r="B947" i="4"/>
  <c r="C947" i="4"/>
  <c r="D947" i="4"/>
  <c r="E947" i="4"/>
  <c r="F947" i="4"/>
  <c r="G947" i="4"/>
  <c r="H947" i="4"/>
  <c r="I947" i="4"/>
  <c r="J947" i="4"/>
  <c r="K947" i="4"/>
  <c r="B948" i="4"/>
  <c r="C948" i="4"/>
  <c r="D948" i="4"/>
  <c r="E948" i="4"/>
  <c r="F948" i="4"/>
  <c r="G948" i="4"/>
  <c r="H948" i="4"/>
  <c r="I948" i="4"/>
  <c r="J948" i="4"/>
  <c r="K948" i="4"/>
  <c r="B949" i="4"/>
  <c r="C949" i="4"/>
  <c r="D949" i="4"/>
  <c r="E949" i="4"/>
  <c r="F949" i="4"/>
  <c r="G949" i="4"/>
  <c r="H949" i="4"/>
  <c r="I949" i="4"/>
  <c r="J949" i="4"/>
  <c r="K949" i="4"/>
  <c r="B950" i="4"/>
  <c r="C950" i="4"/>
  <c r="D950" i="4"/>
  <c r="E950" i="4"/>
  <c r="F950" i="4"/>
  <c r="G950" i="4"/>
  <c r="H950" i="4"/>
  <c r="I950" i="4"/>
  <c r="J950" i="4"/>
  <c r="K950" i="4"/>
  <c r="B951" i="4"/>
  <c r="C951" i="4"/>
  <c r="D951" i="4"/>
  <c r="E951" i="4"/>
  <c r="F951" i="4"/>
  <c r="G951" i="4"/>
  <c r="H951" i="4"/>
  <c r="I951" i="4"/>
  <c r="J951" i="4"/>
  <c r="K951" i="4"/>
  <c r="B952" i="4"/>
  <c r="C952" i="4"/>
  <c r="D952" i="4"/>
  <c r="E952" i="4"/>
  <c r="F952" i="4"/>
  <c r="G952" i="4"/>
  <c r="H952" i="4"/>
  <c r="I952" i="4"/>
  <c r="J952" i="4"/>
  <c r="K952" i="4"/>
  <c r="B953" i="4"/>
  <c r="C953" i="4"/>
  <c r="D953" i="4"/>
  <c r="E953" i="4"/>
  <c r="F953" i="4"/>
  <c r="G953" i="4"/>
  <c r="H953" i="4"/>
  <c r="I953" i="4"/>
  <c r="J953" i="4"/>
  <c r="K953" i="4"/>
  <c r="B954" i="4"/>
  <c r="C954" i="4"/>
  <c r="D954" i="4"/>
  <c r="E954" i="4"/>
  <c r="F954" i="4"/>
  <c r="G954" i="4"/>
  <c r="H954" i="4"/>
  <c r="I954" i="4"/>
  <c r="J954" i="4"/>
  <c r="K954" i="4"/>
  <c r="B955" i="4"/>
  <c r="C955" i="4"/>
  <c r="D955" i="4"/>
  <c r="E955" i="4"/>
  <c r="F955" i="4"/>
  <c r="G955" i="4"/>
  <c r="H955" i="4"/>
  <c r="I955" i="4"/>
  <c r="J955" i="4"/>
  <c r="K955" i="4"/>
  <c r="B956" i="4"/>
  <c r="C956" i="4"/>
  <c r="D956" i="4"/>
  <c r="E956" i="4"/>
  <c r="F956" i="4"/>
  <c r="G956" i="4"/>
  <c r="H956" i="4"/>
  <c r="I956" i="4"/>
  <c r="J956" i="4"/>
  <c r="K956" i="4"/>
  <c r="B957" i="4"/>
  <c r="C957" i="4"/>
  <c r="D957" i="4"/>
  <c r="E957" i="4"/>
  <c r="F957" i="4"/>
  <c r="G957" i="4"/>
  <c r="H957" i="4"/>
  <c r="I957" i="4"/>
  <c r="J957" i="4"/>
  <c r="K957" i="4"/>
  <c r="B958" i="4"/>
  <c r="C958" i="4"/>
  <c r="D958" i="4"/>
  <c r="E958" i="4"/>
  <c r="F958" i="4"/>
  <c r="G958" i="4"/>
  <c r="H958" i="4"/>
  <c r="I958" i="4"/>
  <c r="J958" i="4"/>
  <c r="K958" i="4"/>
  <c r="B959" i="4"/>
  <c r="C959" i="4"/>
  <c r="D959" i="4"/>
  <c r="E959" i="4"/>
  <c r="F959" i="4"/>
  <c r="G959" i="4"/>
  <c r="H959" i="4"/>
  <c r="I959" i="4"/>
  <c r="J959" i="4"/>
  <c r="K959" i="4"/>
  <c r="B960" i="4"/>
  <c r="C960" i="4"/>
  <c r="D960" i="4"/>
  <c r="E960" i="4"/>
  <c r="F960" i="4"/>
  <c r="G960" i="4"/>
  <c r="H960" i="4"/>
  <c r="I960" i="4"/>
  <c r="J960" i="4"/>
  <c r="K960" i="4"/>
  <c r="B961" i="4"/>
  <c r="C961" i="4"/>
  <c r="D961" i="4"/>
  <c r="E961" i="4"/>
  <c r="F961" i="4"/>
  <c r="G961" i="4"/>
  <c r="H961" i="4"/>
  <c r="I961" i="4"/>
  <c r="J961" i="4"/>
  <c r="K961" i="4"/>
  <c r="B962" i="4"/>
  <c r="C962" i="4"/>
  <c r="D962" i="4"/>
  <c r="E962" i="4"/>
  <c r="F962" i="4"/>
  <c r="G962" i="4"/>
  <c r="H962" i="4"/>
  <c r="I962" i="4"/>
  <c r="J962" i="4"/>
  <c r="K962" i="4"/>
  <c r="B963" i="4"/>
  <c r="C963" i="4"/>
  <c r="D963" i="4"/>
  <c r="E963" i="4"/>
  <c r="F963" i="4"/>
  <c r="G963" i="4"/>
  <c r="H963" i="4"/>
  <c r="I963" i="4"/>
  <c r="J963" i="4"/>
  <c r="K963" i="4"/>
  <c r="B964" i="4"/>
  <c r="C964" i="4"/>
  <c r="D964" i="4"/>
  <c r="E964" i="4"/>
  <c r="F964" i="4"/>
  <c r="G964" i="4"/>
  <c r="H964" i="4"/>
  <c r="I964" i="4"/>
  <c r="J964" i="4"/>
  <c r="K964" i="4"/>
  <c r="B965" i="4"/>
  <c r="C965" i="4"/>
  <c r="D965" i="4"/>
  <c r="E965" i="4"/>
  <c r="F965" i="4"/>
  <c r="G965" i="4"/>
  <c r="H965" i="4"/>
  <c r="I965" i="4"/>
  <c r="J965" i="4"/>
  <c r="K965" i="4"/>
  <c r="B966" i="4"/>
  <c r="C966" i="4"/>
  <c r="D966" i="4"/>
  <c r="E966" i="4"/>
  <c r="F966" i="4"/>
  <c r="G966" i="4"/>
  <c r="H966" i="4"/>
  <c r="I966" i="4"/>
  <c r="J966" i="4"/>
  <c r="K966" i="4"/>
  <c r="B967" i="4"/>
  <c r="C967" i="4"/>
  <c r="D967" i="4"/>
  <c r="E967" i="4"/>
  <c r="F967" i="4"/>
  <c r="G967" i="4"/>
  <c r="H967" i="4"/>
  <c r="I967" i="4"/>
  <c r="J967" i="4"/>
  <c r="K967" i="4"/>
  <c r="B968" i="4"/>
  <c r="C968" i="4"/>
  <c r="D968" i="4"/>
  <c r="E968" i="4"/>
  <c r="F968" i="4"/>
  <c r="G968" i="4"/>
  <c r="H968" i="4"/>
  <c r="I968" i="4"/>
  <c r="J968" i="4"/>
  <c r="K968" i="4"/>
  <c r="B969" i="4"/>
  <c r="C969" i="4"/>
  <c r="D969" i="4"/>
  <c r="E969" i="4"/>
  <c r="F969" i="4"/>
  <c r="G969" i="4"/>
  <c r="H969" i="4"/>
  <c r="I969" i="4"/>
  <c r="J969" i="4"/>
  <c r="K969" i="4"/>
  <c r="B970" i="4"/>
  <c r="C970" i="4"/>
  <c r="D970" i="4"/>
  <c r="E970" i="4"/>
  <c r="F970" i="4"/>
  <c r="G970" i="4"/>
  <c r="H970" i="4"/>
  <c r="I970" i="4"/>
  <c r="J970" i="4"/>
  <c r="K970" i="4"/>
  <c r="B971" i="4"/>
  <c r="C971" i="4"/>
  <c r="D971" i="4"/>
  <c r="E971" i="4"/>
  <c r="F971" i="4"/>
  <c r="G971" i="4"/>
  <c r="H971" i="4"/>
  <c r="I971" i="4"/>
  <c r="J971" i="4"/>
  <c r="K971" i="4"/>
  <c r="B972" i="4"/>
  <c r="C972" i="4"/>
  <c r="D972" i="4"/>
  <c r="E972" i="4"/>
  <c r="F972" i="4"/>
  <c r="G972" i="4"/>
  <c r="H972" i="4"/>
  <c r="I972" i="4"/>
  <c r="J972" i="4"/>
  <c r="K972" i="4"/>
  <c r="B973" i="4"/>
  <c r="C973" i="4"/>
  <c r="D973" i="4"/>
  <c r="E973" i="4"/>
  <c r="F973" i="4"/>
  <c r="G973" i="4"/>
  <c r="H973" i="4"/>
  <c r="I973" i="4"/>
  <c r="J973" i="4"/>
  <c r="K973" i="4"/>
  <c r="B974" i="4"/>
  <c r="C974" i="4"/>
  <c r="D974" i="4"/>
  <c r="E974" i="4"/>
  <c r="F974" i="4"/>
  <c r="G974" i="4"/>
  <c r="H974" i="4"/>
  <c r="I974" i="4"/>
  <c r="J974" i="4"/>
  <c r="K974" i="4"/>
  <c r="B975" i="4"/>
  <c r="C975" i="4"/>
  <c r="D975" i="4"/>
  <c r="E975" i="4"/>
  <c r="F975" i="4"/>
  <c r="G975" i="4"/>
  <c r="H975" i="4"/>
  <c r="I975" i="4"/>
  <c r="J975" i="4"/>
  <c r="K975" i="4"/>
  <c r="B976" i="4"/>
  <c r="C976" i="4"/>
  <c r="D976" i="4"/>
  <c r="E976" i="4"/>
  <c r="F976" i="4"/>
  <c r="G976" i="4"/>
  <c r="H976" i="4"/>
  <c r="I976" i="4"/>
  <c r="J976" i="4"/>
  <c r="K976" i="4"/>
  <c r="B977" i="4"/>
  <c r="C977" i="4"/>
  <c r="D977" i="4"/>
  <c r="E977" i="4"/>
  <c r="F977" i="4"/>
  <c r="G977" i="4"/>
  <c r="H977" i="4"/>
  <c r="I977" i="4"/>
  <c r="J977" i="4"/>
  <c r="K977" i="4"/>
  <c r="B978" i="4"/>
  <c r="C978" i="4"/>
  <c r="D978" i="4"/>
  <c r="E978" i="4"/>
  <c r="F978" i="4"/>
  <c r="G978" i="4"/>
  <c r="H978" i="4"/>
  <c r="I978" i="4"/>
  <c r="J978" i="4"/>
  <c r="K978" i="4"/>
  <c r="B979" i="4"/>
  <c r="C979" i="4"/>
  <c r="D979" i="4"/>
  <c r="E979" i="4"/>
  <c r="F979" i="4"/>
  <c r="G979" i="4"/>
  <c r="H979" i="4"/>
  <c r="I979" i="4"/>
  <c r="J979" i="4"/>
  <c r="K979" i="4"/>
  <c r="B980" i="4"/>
  <c r="C980" i="4"/>
  <c r="D980" i="4"/>
  <c r="E980" i="4"/>
  <c r="F980" i="4"/>
  <c r="G980" i="4"/>
  <c r="H980" i="4"/>
  <c r="I980" i="4"/>
  <c r="J980" i="4"/>
  <c r="K980" i="4"/>
  <c r="B981" i="4"/>
  <c r="C981" i="4"/>
  <c r="D981" i="4"/>
  <c r="E981" i="4"/>
  <c r="F981" i="4"/>
  <c r="G981" i="4"/>
  <c r="H981" i="4"/>
  <c r="I981" i="4"/>
  <c r="J981" i="4"/>
  <c r="K981" i="4"/>
  <c r="B982" i="4"/>
  <c r="C982" i="4"/>
  <c r="D982" i="4"/>
  <c r="E982" i="4"/>
  <c r="F982" i="4"/>
  <c r="G982" i="4"/>
  <c r="H982" i="4"/>
  <c r="I982" i="4"/>
  <c r="J982" i="4"/>
  <c r="K982" i="4"/>
  <c r="B983" i="4"/>
  <c r="C983" i="4"/>
  <c r="D983" i="4"/>
  <c r="E983" i="4"/>
  <c r="F983" i="4"/>
  <c r="G983" i="4"/>
  <c r="H983" i="4"/>
  <c r="I983" i="4"/>
  <c r="J983" i="4"/>
  <c r="K983" i="4"/>
  <c r="B984" i="4"/>
  <c r="C984" i="4"/>
  <c r="D984" i="4"/>
  <c r="E984" i="4"/>
  <c r="F984" i="4"/>
  <c r="G984" i="4"/>
  <c r="H984" i="4"/>
  <c r="I984" i="4"/>
  <c r="J984" i="4"/>
  <c r="K984" i="4"/>
  <c r="B985" i="4"/>
  <c r="C985" i="4"/>
  <c r="D985" i="4"/>
  <c r="E985" i="4"/>
  <c r="F985" i="4"/>
  <c r="G985" i="4"/>
  <c r="H985" i="4"/>
  <c r="I985" i="4"/>
  <c r="J985" i="4"/>
  <c r="K985" i="4"/>
  <c r="B986" i="4"/>
  <c r="C986" i="4"/>
  <c r="D986" i="4"/>
  <c r="E986" i="4"/>
  <c r="F986" i="4"/>
  <c r="G986" i="4"/>
  <c r="H986" i="4"/>
  <c r="I986" i="4"/>
  <c r="J986" i="4"/>
  <c r="K986" i="4"/>
  <c r="B987" i="4"/>
  <c r="C987" i="4"/>
  <c r="D987" i="4"/>
  <c r="E987" i="4"/>
  <c r="F987" i="4"/>
  <c r="G987" i="4"/>
  <c r="H987" i="4"/>
  <c r="I987" i="4"/>
  <c r="J987" i="4"/>
  <c r="K987" i="4"/>
  <c r="B988" i="4"/>
  <c r="C988" i="4"/>
  <c r="D988" i="4"/>
  <c r="E988" i="4"/>
  <c r="F988" i="4"/>
  <c r="G988" i="4"/>
  <c r="H988" i="4"/>
  <c r="I988" i="4"/>
  <c r="J988" i="4"/>
  <c r="K988" i="4"/>
  <c r="B989" i="4"/>
  <c r="C989" i="4"/>
  <c r="D989" i="4"/>
  <c r="E989" i="4"/>
  <c r="F989" i="4"/>
  <c r="G989" i="4"/>
  <c r="H989" i="4"/>
  <c r="I989" i="4"/>
  <c r="J989" i="4"/>
  <c r="K989" i="4"/>
  <c r="B990" i="4"/>
  <c r="C990" i="4"/>
  <c r="D990" i="4"/>
  <c r="E990" i="4"/>
  <c r="F990" i="4"/>
  <c r="G990" i="4"/>
  <c r="H990" i="4"/>
  <c r="I990" i="4"/>
  <c r="J990" i="4"/>
  <c r="K990" i="4"/>
  <c r="B991" i="4"/>
  <c r="C991" i="4"/>
  <c r="D991" i="4"/>
  <c r="E991" i="4"/>
  <c r="F991" i="4"/>
  <c r="G991" i="4"/>
  <c r="H991" i="4"/>
  <c r="I991" i="4"/>
  <c r="J991" i="4"/>
  <c r="K991" i="4"/>
  <c r="B992" i="4"/>
  <c r="C992" i="4"/>
  <c r="D992" i="4"/>
  <c r="E992" i="4"/>
  <c r="F992" i="4"/>
  <c r="G992" i="4"/>
  <c r="H992" i="4"/>
  <c r="I992" i="4"/>
  <c r="J992" i="4"/>
  <c r="K992" i="4"/>
  <c r="B993" i="4"/>
  <c r="C993" i="4"/>
  <c r="D993" i="4"/>
  <c r="E993" i="4"/>
  <c r="F993" i="4"/>
  <c r="G993" i="4"/>
  <c r="H993" i="4"/>
  <c r="I993" i="4"/>
  <c r="J993" i="4"/>
  <c r="K993" i="4"/>
  <c r="B994" i="4"/>
  <c r="C994" i="4"/>
  <c r="D994" i="4"/>
  <c r="E994" i="4"/>
  <c r="F994" i="4"/>
  <c r="G994" i="4"/>
  <c r="H994" i="4"/>
  <c r="I994" i="4"/>
  <c r="J994" i="4"/>
  <c r="K994" i="4"/>
  <c r="B995" i="4"/>
  <c r="C995" i="4"/>
  <c r="D995" i="4"/>
  <c r="E995" i="4"/>
  <c r="F995" i="4"/>
  <c r="G995" i="4"/>
  <c r="H995" i="4"/>
  <c r="I995" i="4"/>
  <c r="J995" i="4"/>
  <c r="K995" i="4"/>
  <c r="B996" i="4"/>
  <c r="C996" i="4"/>
  <c r="D996" i="4"/>
  <c r="E996" i="4"/>
  <c r="F996" i="4"/>
  <c r="G996" i="4"/>
  <c r="H996" i="4"/>
  <c r="I996" i="4"/>
  <c r="J996" i="4"/>
  <c r="K996" i="4"/>
  <c r="B997" i="4"/>
  <c r="C997" i="4"/>
  <c r="D997" i="4"/>
  <c r="E997" i="4"/>
  <c r="F997" i="4"/>
  <c r="G997" i="4"/>
  <c r="H997" i="4"/>
  <c r="I997" i="4"/>
  <c r="J997" i="4"/>
  <c r="K997" i="4"/>
  <c r="B998" i="4"/>
  <c r="C998" i="4"/>
  <c r="D998" i="4"/>
  <c r="E998" i="4"/>
  <c r="F998" i="4"/>
  <c r="G998" i="4"/>
  <c r="H998" i="4"/>
  <c r="I998" i="4"/>
  <c r="J998" i="4"/>
  <c r="K998" i="4"/>
  <c r="B999" i="4"/>
  <c r="C999" i="4"/>
  <c r="D999" i="4"/>
  <c r="E999" i="4"/>
  <c r="F999" i="4"/>
  <c r="G999" i="4"/>
  <c r="H999" i="4"/>
  <c r="I999" i="4"/>
  <c r="J999" i="4"/>
  <c r="K999" i="4"/>
  <c r="B1000" i="4"/>
  <c r="C1000" i="4"/>
  <c r="D1000" i="4"/>
  <c r="E1000" i="4"/>
  <c r="F1000" i="4"/>
  <c r="G1000" i="4"/>
  <c r="H1000" i="4"/>
  <c r="I1000" i="4"/>
  <c r="J1000" i="4"/>
  <c r="K1000" i="4"/>
  <c r="B1001" i="4"/>
  <c r="C1001" i="4"/>
  <c r="D1001" i="4"/>
  <c r="E1001" i="4"/>
  <c r="F1001" i="4"/>
  <c r="G1001" i="4"/>
  <c r="H1001" i="4"/>
  <c r="I1001" i="4"/>
  <c r="J1001" i="4"/>
  <c r="K1001" i="4"/>
  <c r="B1002" i="4"/>
  <c r="C1002" i="4"/>
  <c r="D1002" i="4"/>
  <c r="E1002" i="4"/>
  <c r="F1002" i="4"/>
  <c r="G1002" i="4"/>
  <c r="H1002" i="4"/>
  <c r="I1002" i="4"/>
  <c r="J1002" i="4"/>
  <c r="K1002" i="4"/>
  <c r="B1003" i="4"/>
  <c r="C1003" i="4"/>
  <c r="D1003" i="4"/>
  <c r="E1003" i="4"/>
  <c r="F1003" i="4"/>
  <c r="G1003" i="4"/>
  <c r="H1003" i="4"/>
  <c r="I1003" i="4"/>
  <c r="J1003" i="4"/>
  <c r="K1003" i="4"/>
  <c r="B1004" i="4"/>
  <c r="C1004" i="4"/>
  <c r="D1004" i="4"/>
  <c r="E1004" i="4"/>
  <c r="F1004" i="4"/>
  <c r="G1004" i="4"/>
  <c r="H1004" i="4"/>
  <c r="I1004" i="4"/>
  <c r="J1004" i="4"/>
  <c r="K1004" i="4"/>
  <c r="B1005" i="4"/>
  <c r="C1005" i="4"/>
  <c r="D1005" i="4"/>
  <c r="E1005" i="4"/>
  <c r="F1005" i="4"/>
  <c r="G1005" i="4"/>
  <c r="H1005" i="4"/>
  <c r="I1005" i="4"/>
  <c r="J1005" i="4"/>
  <c r="K1005" i="4"/>
  <c r="B1006" i="4"/>
  <c r="C1006" i="4"/>
  <c r="D1006" i="4"/>
  <c r="E1006" i="4"/>
  <c r="F1006" i="4"/>
  <c r="G1006" i="4"/>
  <c r="H1006" i="4"/>
  <c r="I1006" i="4"/>
  <c r="J1006" i="4"/>
  <c r="K1006" i="4"/>
  <c r="B1007" i="4"/>
  <c r="C1007" i="4"/>
  <c r="D1007" i="4"/>
  <c r="E1007" i="4"/>
  <c r="F1007" i="4"/>
  <c r="G1007" i="4"/>
  <c r="H1007" i="4"/>
  <c r="I1007" i="4"/>
  <c r="J1007" i="4"/>
  <c r="K1007" i="4"/>
  <c r="B1008" i="4"/>
  <c r="C1008" i="4"/>
  <c r="D1008" i="4"/>
  <c r="E1008" i="4"/>
  <c r="F1008" i="4"/>
  <c r="G1008" i="4"/>
  <c r="H1008" i="4"/>
  <c r="I1008" i="4"/>
  <c r="J1008" i="4"/>
  <c r="K1008" i="4"/>
  <c r="B1009" i="4"/>
  <c r="C1009" i="4"/>
  <c r="D1009" i="4"/>
  <c r="E1009" i="4"/>
  <c r="F1009" i="4"/>
  <c r="G1009" i="4"/>
  <c r="H1009" i="4"/>
  <c r="I1009" i="4"/>
  <c r="J1009" i="4"/>
  <c r="K1009" i="4"/>
  <c r="B1010" i="4"/>
  <c r="C1010" i="4"/>
  <c r="D1010" i="4"/>
  <c r="E1010" i="4"/>
  <c r="F1010" i="4"/>
  <c r="G1010" i="4"/>
  <c r="H1010" i="4"/>
  <c r="I1010" i="4"/>
  <c r="J1010" i="4"/>
  <c r="K1010" i="4"/>
  <c r="B1011" i="4"/>
  <c r="C1011" i="4"/>
  <c r="D1011" i="4"/>
  <c r="E1011" i="4"/>
  <c r="F1011" i="4"/>
  <c r="G1011" i="4"/>
  <c r="H1011" i="4"/>
  <c r="I1011" i="4"/>
  <c r="J1011" i="4"/>
  <c r="K1011" i="4"/>
  <c r="B1012" i="4"/>
  <c r="C1012" i="4"/>
  <c r="D1012" i="4"/>
  <c r="E1012" i="4"/>
  <c r="F1012" i="4"/>
  <c r="G1012" i="4"/>
  <c r="H1012" i="4"/>
  <c r="I1012" i="4"/>
  <c r="J1012" i="4"/>
  <c r="K1012" i="4"/>
  <c r="B1013" i="4"/>
  <c r="C1013" i="4"/>
  <c r="D1013" i="4"/>
  <c r="E1013" i="4"/>
  <c r="F1013" i="4"/>
  <c r="G1013" i="4"/>
  <c r="H1013" i="4"/>
  <c r="I1013" i="4"/>
  <c r="J1013" i="4"/>
  <c r="K1013" i="4"/>
  <c r="B1014" i="4"/>
  <c r="C1014" i="4"/>
  <c r="D1014" i="4"/>
  <c r="E1014" i="4"/>
  <c r="F1014" i="4"/>
  <c r="G1014" i="4"/>
  <c r="H1014" i="4"/>
  <c r="I1014" i="4"/>
  <c r="J1014" i="4"/>
  <c r="K1014" i="4"/>
  <c r="B1015" i="4"/>
  <c r="C1015" i="4"/>
  <c r="D1015" i="4"/>
  <c r="E1015" i="4"/>
  <c r="F1015" i="4"/>
  <c r="G1015" i="4"/>
  <c r="H1015" i="4"/>
  <c r="I1015" i="4"/>
  <c r="J1015" i="4"/>
  <c r="K1015" i="4"/>
  <c r="B1016" i="4"/>
  <c r="C1016" i="4"/>
  <c r="D1016" i="4"/>
  <c r="E1016" i="4"/>
  <c r="F1016" i="4"/>
  <c r="G1016" i="4"/>
  <c r="H1016" i="4"/>
  <c r="I1016" i="4"/>
  <c r="J1016" i="4"/>
  <c r="K1016" i="4"/>
  <c r="B1017" i="4"/>
  <c r="C1017" i="4"/>
  <c r="D1017" i="4"/>
  <c r="E1017" i="4"/>
  <c r="F1017" i="4"/>
  <c r="G1017" i="4"/>
  <c r="H1017" i="4"/>
  <c r="I1017" i="4"/>
  <c r="J1017" i="4"/>
  <c r="K1017" i="4"/>
  <c r="B1018" i="4"/>
  <c r="C1018" i="4"/>
  <c r="D1018" i="4"/>
  <c r="E1018" i="4"/>
  <c r="F1018" i="4"/>
  <c r="G1018" i="4"/>
  <c r="H1018" i="4"/>
  <c r="I1018" i="4"/>
  <c r="J1018" i="4"/>
  <c r="K1018" i="4"/>
  <c r="B1019" i="4"/>
  <c r="C1019" i="4"/>
  <c r="D1019" i="4"/>
  <c r="E1019" i="4"/>
  <c r="F1019" i="4"/>
  <c r="G1019" i="4"/>
  <c r="H1019" i="4"/>
  <c r="I1019" i="4"/>
  <c r="J1019" i="4"/>
  <c r="K1019" i="4"/>
  <c r="B1020" i="4"/>
  <c r="C1020" i="4"/>
  <c r="D1020" i="4"/>
  <c r="E1020" i="4"/>
  <c r="F1020" i="4"/>
  <c r="G1020" i="4"/>
  <c r="H1020" i="4"/>
  <c r="I1020" i="4"/>
  <c r="J1020" i="4"/>
  <c r="K1020" i="4"/>
  <c r="B1021" i="4"/>
  <c r="C1021" i="4"/>
  <c r="D1021" i="4"/>
  <c r="E1021" i="4"/>
  <c r="F1021" i="4"/>
  <c r="G1021" i="4"/>
  <c r="H1021" i="4"/>
  <c r="I1021" i="4"/>
  <c r="J1021" i="4"/>
  <c r="K1021" i="4"/>
  <c r="B1022" i="4"/>
  <c r="C1022" i="4"/>
  <c r="D1022" i="4"/>
  <c r="E1022" i="4"/>
  <c r="F1022" i="4"/>
  <c r="G1022" i="4"/>
  <c r="H1022" i="4"/>
  <c r="I1022" i="4"/>
  <c r="J1022" i="4"/>
  <c r="K1022" i="4"/>
  <c r="B1023" i="4"/>
  <c r="C1023" i="4"/>
  <c r="D1023" i="4"/>
  <c r="E1023" i="4"/>
  <c r="F1023" i="4"/>
  <c r="G1023" i="4"/>
  <c r="H1023" i="4"/>
  <c r="I1023" i="4"/>
  <c r="J1023" i="4"/>
  <c r="K1023" i="4"/>
  <c r="B1024" i="4"/>
  <c r="C1024" i="4"/>
  <c r="D1024" i="4"/>
  <c r="E1024" i="4"/>
  <c r="F1024" i="4"/>
  <c r="G1024" i="4"/>
  <c r="H1024" i="4"/>
  <c r="I1024" i="4"/>
  <c r="J1024" i="4"/>
  <c r="K1024" i="4"/>
  <c r="B1025" i="4"/>
  <c r="C1025" i="4"/>
  <c r="D1025" i="4"/>
  <c r="E1025" i="4"/>
  <c r="F1025" i="4"/>
  <c r="G1025" i="4"/>
  <c r="H1025" i="4"/>
  <c r="I1025" i="4"/>
  <c r="J1025" i="4"/>
  <c r="K1025" i="4"/>
  <c r="B1026" i="4"/>
  <c r="C1026" i="4"/>
  <c r="D1026" i="4"/>
  <c r="E1026" i="4"/>
  <c r="F1026" i="4"/>
  <c r="G1026" i="4"/>
  <c r="H1026" i="4"/>
  <c r="I1026" i="4"/>
  <c r="J1026" i="4"/>
  <c r="K1026" i="4"/>
  <c r="B1027" i="4"/>
  <c r="C1027" i="4"/>
  <c r="D1027" i="4"/>
  <c r="E1027" i="4"/>
  <c r="F1027" i="4"/>
  <c r="G1027" i="4"/>
  <c r="H1027" i="4"/>
  <c r="I1027" i="4"/>
  <c r="J1027" i="4"/>
  <c r="K1027" i="4"/>
  <c r="B1028" i="4"/>
  <c r="C1028" i="4"/>
  <c r="D1028" i="4"/>
  <c r="E1028" i="4"/>
  <c r="F1028" i="4"/>
  <c r="G1028" i="4"/>
  <c r="H1028" i="4"/>
  <c r="I1028" i="4"/>
  <c r="J1028" i="4"/>
  <c r="K1028" i="4"/>
  <c r="B1029" i="4"/>
  <c r="C1029" i="4"/>
  <c r="D1029" i="4"/>
  <c r="E1029" i="4"/>
  <c r="F1029" i="4"/>
  <c r="G1029" i="4"/>
  <c r="H1029" i="4"/>
  <c r="I1029" i="4"/>
  <c r="J1029" i="4"/>
  <c r="K1029" i="4"/>
  <c r="B1030" i="4"/>
  <c r="C1030" i="4"/>
  <c r="D1030" i="4"/>
  <c r="E1030" i="4"/>
  <c r="F1030" i="4"/>
  <c r="G1030" i="4"/>
  <c r="H1030" i="4"/>
  <c r="I1030" i="4"/>
  <c r="J1030" i="4"/>
  <c r="K1030" i="4"/>
  <c r="B1031" i="4"/>
  <c r="C1031" i="4"/>
  <c r="D1031" i="4"/>
  <c r="E1031" i="4"/>
  <c r="F1031" i="4"/>
  <c r="G1031" i="4"/>
  <c r="H1031" i="4"/>
  <c r="I1031" i="4"/>
  <c r="J1031" i="4"/>
  <c r="K1031" i="4"/>
  <c r="B1032" i="4"/>
  <c r="C1032" i="4"/>
  <c r="D1032" i="4"/>
  <c r="E1032" i="4"/>
  <c r="F1032" i="4"/>
  <c r="G1032" i="4"/>
  <c r="H1032" i="4"/>
  <c r="I1032" i="4"/>
  <c r="J1032" i="4"/>
  <c r="K1032" i="4"/>
  <c r="B1033" i="4"/>
  <c r="C1033" i="4"/>
  <c r="D1033" i="4"/>
  <c r="E1033" i="4"/>
  <c r="F1033" i="4"/>
  <c r="G1033" i="4"/>
  <c r="H1033" i="4"/>
  <c r="I1033" i="4"/>
  <c r="J1033" i="4"/>
  <c r="K1033" i="4"/>
  <c r="B1034" i="4"/>
  <c r="C1034" i="4"/>
  <c r="D1034" i="4"/>
  <c r="E1034" i="4"/>
  <c r="F1034" i="4"/>
  <c r="G1034" i="4"/>
  <c r="H1034" i="4"/>
  <c r="I1034" i="4"/>
  <c r="J1034" i="4"/>
  <c r="K1034" i="4"/>
  <c r="B1035" i="4"/>
  <c r="C1035" i="4"/>
  <c r="D1035" i="4"/>
  <c r="E1035" i="4"/>
  <c r="F1035" i="4"/>
  <c r="G1035" i="4"/>
  <c r="H1035" i="4"/>
  <c r="I1035" i="4"/>
  <c r="J1035" i="4"/>
  <c r="K1035" i="4"/>
  <c r="B1036" i="4"/>
  <c r="C1036" i="4"/>
  <c r="D1036" i="4"/>
  <c r="E1036" i="4"/>
  <c r="F1036" i="4"/>
  <c r="G1036" i="4"/>
  <c r="H1036" i="4"/>
  <c r="I1036" i="4"/>
  <c r="J1036" i="4"/>
  <c r="K1036" i="4"/>
  <c r="B1037" i="4"/>
  <c r="C1037" i="4"/>
  <c r="D1037" i="4"/>
  <c r="E1037" i="4"/>
  <c r="F1037" i="4"/>
  <c r="G1037" i="4"/>
  <c r="H1037" i="4"/>
  <c r="I1037" i="4"/>
  <c r="J1037" i="4"/>
  <c r="K1037" i="4"/>
  <c r="B1038" i="4"/>
  <c r="C1038" i="4"/>
  <c r="D1038" i="4"/>
  <c r="E1038" i="4"/>
  <c r="F1038" i="4"/>
  <c r="G1038" i="4"/>
  <c r="H1038" i="4"/>
  <c r="I1038" i="4"/>
  <c r="J1038" i="4"/>
  <c r="K1038" i="4"/>
  <c r="B1039" i="4"/>
  <c r="C1039" i="4"/>
  <c r="D1039" i="4"/>
  <c r="E1039" i="4"/>
  <c r="F1039" i="4"/>
  <c r="G1039" i="4"/>
  <c r="H1039" i="4"/>
  <c r="I1039" i="4"/>
  <c r="J1039" i="4"/>
  <c r="K1039" i="4"/>
  <c r="B1040" i="4"/>
  <c r="C1040" i="4"/>
  <c r="D1040" i="4"/>
  <c r="E1040" i="4"/>
  <c r="F1040" i="4"/>
  <c r="G1040" i="4"/>
  <c r="H1040" i="4"/>
  <c r="I1040" i="4"/>
  <c r="J1040" i="4"/>
  <c r="K1040" i="4"/>
  <c r="B1041" i="4"/>
  <c r="C1041" i="4"/>
  <c r="D1041" i="4"/>
  <c r="E1041" i="4"/>
  <c r="F1041" i="4"/>
  <c r="G1041" i="4"/>
  <c r="H1041" i="4"/>
  <c r="I1041" i="4"/>
  <c r="J1041" i="4"/>
  <c r="K1041" i="4"/>
  <c r="B1042" i="4"/>
  <c r="C1042" i="4"/>
  <c r="D1042" i="4"/>
  <c r="E1042" i="4"/>
  <c r="F1042" i="4"/>
  <c r="G1042" i="4"/>
  <c r="H1042" i="4"/>
  <c r="I1042" i="4"/>
  <c r="J1042" i="4"/>
  <c r="K1042" i="4"/>
  <c r="B1043" i="4"/>
  <c r="C1043" i="4"/>
  <c r="D1043" i="4"/>
  <c r="E1043" i="4"/>
  <c r="F1043" i="4"/>
  <c r="G1043" i="4"/>
  <c r="H1043" i="4"/>
  <c r="I1043" i="4"/>
  <c r="J1043" i="4"/>
  <c r="K1043" i="4"/>
  <c r="B1044" i="4"/>
  <c r="C1044" i="4"/>
  <c r="D1044" i="4"/>
  <c r="E1044" i="4"/>
  <c r="F1044" i="4"/>
  <c r="G1044" i="4"/>
  <c r="H1044" i="4"/>
  <c r="I1044" i="4"/>
  <c r="J1044" i="4"/>
  <c r="K1044" i="4"/>
  <c r="B1045" i="4"/>
  <c r="C1045" i="4"/>
  <c r="D1045" i="4"/>
  <c r="E1045" i="4"/>
  <c r="F1045" i="4"/>
  <c r="G1045" i="4"/>
  <c r="H1045" i="4"/>
  <c r="I1045" i="4"/>
  <c r="J1045" i="4"/>
  <c r="K1045" i="4"/>
  <c r="B1046" i="4"/>
  <c r="C1046" i="4"/>
  <c r="D1046" i="4"/>
  <c r="E1046" i="4"/>
  <c r="F1046" i="4"/>
  <c r="G1046" i="4"/>
  <c r="H1046" i="4"/>
  <c r="I1046" i="4"/>
  <c r="J1046" i="4"/>
  <c r="K1046" i="4"/>
  <c r="B1047" i="4"/>
  <c r="C1047" i="4"/>
  <c r="D1047" i="4"/>
  <c r="E1047" i="4"/>
  <c r="F1047" i="4"/>
  <c r="G1047" i="4"/>
  <c r="H1047" i="4"/>
  <c r="I1047" i="4"/>
  <c r="J1047" i="4"/>
  <c r="K1047" i="4"/>
  <c r="B1048" i="4"/>
  <c r="C1048" i="4"/>
  <c r="D1048" i="4"/>
  <c r="E1048" i="4"/>
  <c r="F1048" i="4"/>
  <c r="G1048" i="4"/>
  <c r="H1048" i="4"/>
  <c r="I1048" i="4"/>
  <c r="J1048" i="4"/>
  <c r="K1048" i="4"/>
  <c r="B1049" i="4"/>
  <c r="C1049" i="4"/>
  <c r="D1049" i="4"/>
  <c r="E1049" i="4"/>
  <c r="F1049" i="4"/>
  <c r="G1049" i="4"/>
  <c r="H1049" i="4"/>
  <c r="I1049" i="4"/>
  <c r="J1049" i="4"/>
  <c r="K1049" i="4"/>
  <c r="B1050" i="4"/>
  <c r="C1050" i="4"/>
  <c r="D1050" i="4"/>
  <c r="E1050" i="4"/>
  <c r="F1050" i="4"/>
  <c r="G1050" i="4"/>
  <c r="H1050" i="4"/>
  <c r="I1050" i="4"/>
  <c r="J1050" i="4"/>
  <c r="K1050" i="4"/>
  <c r="B1051" i="4"/>
  <c r="C1051" i="4"/>
  <c r="D1051" i="4"/>
  <c r="E1051" i="4"/>
  <c r="F1051" i="4"/>
  <c r="G1051" i="4"/>
  <c r="H1051" i="4"/>
  <c r="I1051" i="4"/>
  <c r="J1051" i="4"/>
  <c r="K1051" i="4"/>
  <c r="B1052" i="4"/>
  <c r="C1052" i="4"/>
  <c r="D1052" i="4"/>
  <c r="E1052" i="4"/>
  <c r="F1052" i="4"/>
  <c r="G1052" i="4"/>
  <c r="H1052" i="4"/>
  <c r="I1052" i="4"/>
  <c r="J1052" i="4"/>
  <c r="K1052" i="4"/>
  <c r="B1053" i="4"/>
  <c r="C1053" i="4"/>
  <c r="D1053" i="4"/>
  <c r="E1053" i="4"/>
  <c r="F1053" i="4"/>
  <c r="G1053" i="4"/>
  <c r="H1053" i="4"/>
  <c r="I1053" i="4"/>
  <c r="J1053" i="4"/>
  <c r="K1053" i="4"/>
  <c r="B1054" i="4"/>
  <c r="C1054" i="4"/>
  <c r="D1054" i="4"/>
  <c r="E1054" i="4"/>
  <c r="F1054" i="4"/>
  <c r="G1054" i="4"/>
  <c r="H1054" i="4"/>
  <c r="I1054" i="4"/>
  <c r="J1054" i="4"/>
  <c r="K1054" i="4"/>
  <c r="B1055" i="4"/>
  <c r="C1055" i="4"/>
  <c r="D1055" i="4"/>
  <c r="E1055" i="4"/>
  <c r="F1055" i="4"/>
  <c r="G1055" i="4"/>
  <c r="H1055" i="4"/>
  <c r="I1055" i="4"/>
  <c r="J1055" i="4"/>
  <c r="K1055" i="4"/>
  <c r="B1056" i="4"/>
  <c r="C1056" i="4"/>
  <c r="D1056" i="4"/>
  <c r="E1056" i="4"/>
  <c r="F1056" i="4"/>
  <c r="G1056" i="4"/>
  <c r="H1056" i="4"/>
  <c r="I1056" i="4"/>
  <c r="J1056" i="4"/>
  <c r="K1056" i="4"/>
  <c r="B1057" i="4"/>
  <c r="C1057" i="4"/>
  <c r="D1057" i="4"/>
  <c r="E1057" i="4"/>
  <c r="F1057" i="4"/>
  <c r="G1057" i="4"/>
  <c r="H1057" i="4"/>
  <c r="I1057" i="4"/>
  <c r="J1057" i="4"/>
  <c r="K1057" i="4"/>
  <c r="B1058" i="4"/>
  <c r="C1058" i="4"/>
  <c r="D1058" i="4"/>
  <c r="E1058" i="4"/>
  <c r="F1058" i="4"/>
  <c r="G1058" i="4"/>
  <c r="H1058" i="4"/>
  <c r="I1058" i="4"/>
  <c r="J1058" i="4"/>
  <c r="K1058" i="4"/>
  <c r="B1059" i="4"/>
  <c r="C1059" i="4"/>
  <c r="D1059" i="4"/>
  <c r="E1059" i="4"/>
  <c r="F1059" i="4"/>
  <c r="G1059" i="4"/>
  <c r="H1059" i="4"/>
  <c r="I1059" i="4"/>
  <c r="J1059" i="4"/>
  <c r="K1059" i="4"/>
  <c r="B1060" i="4"/>
  <c r="C1060" i="4"/>
  <c r="D1060" i="4"/>
  <c r="E1060" i="4"/>
  <c r="F1060" i="4"/>
  <c r="G1060" i="4"/>
  <c r="H1060" i="4"/>
  <c r="I1060" i="4"/>
  <c r="J1060" i="4"/>
  <c r="K1060" i="4"/>
  <c r="C13" i="3"/>
  <c r="E13" i="3"/>
  <c r="B23" i="3"/>
  <c r="C23" i="3"/>
  <c r="D23" i="3"/>
  <c r="E23" i="3"/>
  <c r="B24" i="3"/>
  <c r="C24" i="3"/>
  <c r="D24" i="3"/>
  <c r="E24" i="3"/>
  <c r="B25" i="3"/>
  <c r="C25" i="3"/>
  <c r="D25" i="3"/>
  <c r="E25" i="3"/>
  <c r="B26" i="3"/>
  <c r="C26" i="3"/>
  <c r="D26" i="3"/>
  <c r="E26" i="3"/>
  <c r="B27" i="3"/>
  <c r="C27" i="3"/>
  <c r="D27" i="3"/>
  <c r="E27" i="3"/>
  <c r="B28" i="3"/>
  <c r="C28" i="3"/>
  <c r="D28" i="3"/>
  <c r="E28" i="3"/>
  <c r="B29" i="3"/>
  <c r="C29" i="3"/>
  <c r="D29" i="3"/>
  <c r="E29" i="3"/>
  <c r="B30" i="3"/>
  <c r="C30" i="3"/>
  <c r="D30" i="3"/>
  <c r="E30" i="3"/>
  <c r="B31" i="3"/>
  <c r="C31" i="3"/>
  <c r="D31" i="3"/>
  <c r="E31" i="3"/>
  <c r="B32" i="3"/>
  <c r="C32" i="3"/>
  <c r="D32" i="3"/>
  <c r="E32" i="3"/>
  <c r="B33" i="3"/>
  <c r="C33" i="3"/>
  <c r="D33" i="3"/>
  <c r="E33" i="3"/>
  <c r="B34" i="3"/>
  <c r="C34" i="3"/>
  <c r="D34" i="3"/>
  <c r="E34" i="3"/>
  <c r="B35" i="3"/>
  <c r="C35" i="3"/>
  <c r="D35" i="3"/>
  <c r="E35" i="3"/>
  <c r="B36" i="3"/>
  <c r="C36" i="3"/>
  <c r="D36" i="3"/>
  <c r="E36" i="3"/>
  <c r="B37" i="3"/>
  <c r="C37" i="3"/>
  <c r="D37" i="3"/>
  <c r="E37" i="3"/>
  <c r="B38" i="3"/>
  <c r="C38" i="3"/>
  <c r="D38" i="3"/>
  <c r="E38" i="3"/>
  <c r="B39" i="3"/>
  <c r="C39" i="3"/>
  <c r="D39" i="3"/>
  <c r="E39" i="3"/>
  <c r="B40" i="3"/>
  <c r="C40" i="3"/>
  <c r="D40" i="3"/>
  <c r="E40" i="3"/>
  <c r="B41" i="3"/>
  <c r="C41" i="3"/>
  <c r="D41" i="3"/>
  <c r="E41" i="3"/>
  <c r="B42" i="3"/>
  <c r="C42" i="3"/>
  <c r="D42" i="3"/>
  <c r="E42" i="3"/>
  <c r="B43" i="3"/>
  <c r="C43" i="3"/>
  <c r="D43" i="3"/>
  <c r="E43" i="3"/>
  <c r="B44" i="3"/>
  <c r="C44" i="3"/>
  <c r="D44" i="3"/>
  <c r="E44" i="3"/>
  <c r="B45" i="3"/>
  <c r="C45" i="3"/>
  <c r="D45" i="3"/>
  <c r="E45" i="3"/>
  <c r="B46" i="3"/>
  <c r="C46" i="3"/>
  <c r="D46" i="3"/>
  <c r="E46" i="3"/>
  <c r="B47" i="3"/>
  <c r="C47" i="3"/>
  <c r="D47" i="3"/>
  <c r="E47" i="3"/>
  <c r="B48" i="3"/>
  <c r="C48" i="3"/>
  <c r="D48" i="3"/>
  <c r="E48" i="3"/>
  <c r="B49" i="3"/>
  <c r="C49" i="3"/>
  <c r="D49" i="3"/>
  <c r="E49" i="3"/>
  <c r="B50" i="3"/>
  <c r="C50" i="3"/>
  <c r="D50" i="3"/>
  <c r="E50" i="3"/>
  <c r="B51" i="3"/>
  <c r="C51" i="3"/>
  <c r="D51" i="3"/>
  <c r="E51" i="3"/>
  <c r="B52" i="3"/>
  <c r="C52" i="3"/>
  <c r="D52" i="3"/>
  <c r="E52" i="3"/>
  <c r="B53" i="3"/>
  <c r="C53" i="3"/>
  <c r="D53" i="3"/>
  <c r="E53" i="3"/>
  <c r="B54" i="3"/>
  <c r="C54" i="3"/>
  <c r="D54" i="3"/>
  <c r="E54" i="3"/>
  <c r="B55" i="3"/>
  <c r="C55" i="3"/>
  <c r="D55" i="3"/>
  <c r="E55" i="3"/>
  <c r="B56" i="3"/>
  <c r="C56" i="3"/>
  <c r="D56" i="3"/>
  <c r="E56" i="3"/>
  <c r="B57" i="3"/>
  <c r="C57" i="3"/>
  <c r="D57" i="3"/>
  <c r="E57" i="3"/>
  <c r="B58" i="3"/>
  <c r="C58" i="3"/>
  <c r="D58" i="3"/>
  <c r="E58" i="3"/>
  <c r="B59" i="3"/>
  <c r="C59" i="3"/>
  <c r="D59" i="3"/>
  <c r="E59" i="3"/>
  <c r="B60" i="3"/>
  <c r="C60" i="3"/>
  <c r="D60" i="3"/>
  <c r="E60" i="3"/>
  <c r="B61" i="3"/>
  <c r="C61" i="3"/>
  <c r="D61" i="3"/>
  <c r="E61" i="3"/>
  <c r="B62" i="3"/>
  <c r="C62" i="3"/>
  <c r="D62" i="3"/>
  <c r="E62" i="3"/>
  <c r="B63" i="3"/>
  <c r="C63" i="3"/>
  <c r="D63" i="3"/>
  <c r="E63" i="3"/>
  <c r="B64" i="3"/>
  <c r="C64" i="3"/>
  <c r="D64" i="3"/>
  <c r="E64" i="3"/>
  <c r="B65" i="3"/>
  <c r="C65" i="3"/>
  <c r="D65" i="3"/>
  <c r="E65" i="3"/>
  <c r="B66" i="3"/>
  <c r="C66" i="3"/>
  <c r="D66" i="3"/>
  <c r="E66" i="3"/>
  <c r="B67" i="3"/>
  <c r="C67" i="3"/>
  <c r="D67" i="3"/>
  <c r="E67" i="3"/>
  <c r="B68" i="3"/>
  <c r="C68" i="3"/>
  <c r="D68" i="3"/>
  <c r="E68" i="3"/>
  <c r="B69" i="3"/>
  <c r="C69" i="3"/>
  <c r="D69" i="3"/>
  <c r="E69" i="3"/>
  <c r="B70" i="3"/>
  <c r="C70" i="3"/>
  <c r="D70" i="3"/>
  <c r="E70" i="3"/>
  <c r="B71" i="3"/>
  <c r="C71" i="3"/>
  <c r="D71" i="3"/>
  <c r="E71" i="3"/>
  <c r="B72" i="3"/>
  <c r="C72" i="3"/>
  <c r="D72" i="3"/>
  <c r="E72" i="3"/>
  <c r="B73" i="3"/>
  <c r="C73" i="3"/>
  <c r="D73" i="3"/>
  <c r="E73" i="3"/>
  <c r="B74" i="3"/>
  <c r="C74" i="3"/>
  <c r="D74" i="3"/>
  <c r="E74" i="3"/>
  <c r="B75" i="3"/>
  <c r="C75" i="3"/>
  <c r="D75" i="3"/>
  <c r="E75" i="3"/>
  <c r="B76" i="3"/>
  <c r="C76" i="3"/>
  <c r="D76" i="3"/>
  <c r="E76" i="3"/>
  <c r="B77" i="3"/>
  <c r="C77" i="3"/>
  <c r="D77" i="3"/>
  <c r="E77" i="3"/>
  <c r="B78" i="3"/>
  <c r="C78" i="3"/>
  <c r="D78" i="3"/>
  <c r="E78" i="3"/>
  <c r="B79" i="3"/>
  <c r="C79" i="3"/>
  <c r="D79" i="3"/>
  <c r="E79" i="3"/>
  <c r="B80" i="3"/>
  <c r="C80" i="3"/>
  <c r="D80" i="3"/>
  <c r="E80" i="3"/>
  <c r="B81" i="3"/>
  <c r="C81" i="3"/>
  <c r="D81" i="3"/>
  <c r="E81" i="3"/>
  <c r="B82" i="3"/>
  <c r="C82" i="3"/>
  <c r="D82" i="3"/>
  <c r="E82" i="3"/>
  <c r="B83" i="3"/>
  <c r="C83" i="3"/>
  <c r="D83" i="3"/>
  <c r="E83" i="3"/>
  <c r="B84" i="3"/>
  <c r="C84" i="3"/>
  <c r="D84" i="3"/>
  <c r="E84" i="3"/>
  <c r="B85" i="3"/>
  <c r="C85" i="3"/>
  <c r="D85" i="3"/>
  <c r="E85" i="3"/>
  <c r="B86" i="3"/>
  <c r="C86" i="3"/>
  <c r="D86" i="3"/>
  <c r="E86" i="3"/>
  <c r="B87" i="3"/>
  <c r="C87" i="3"/>
  <c r="D87" i="3"/>
  <c r="E87" i="3"/>
  <c r="B88" i="3"/>
  <c r="C88" i="3"/>
  <c r="D88" i="3"/>
  <c r="E88" i="3"/>
  <c r="B89" i="3"/>
  <c r="C89" i="3"/>
  <c r="D89" i="3"/>
  <c r="E89" i="3"/>
  <c r="B90" i="3"/>
  <c r="C90" i="3"/>
  <c r="D90" i="3"/>
  <c r="E90" i="3"/>
  <c r="B91" i="3"/>
  <c r="C91" i="3"/>
  <c r="D91" i="3"/>
  <c r="E91" i="3"/>
  <c r="B92" i="3"/>
  <c r="C92" i="3"/>
  <c r="D92" i="3"/>
  <c r="E92" i="3"/>
  <c r="B93" i="3"/>
  <c r="C93" i="3"/>
  <c r="D93" i="3"/>
  <c r="E93" i="3"/>
  <c r="B94" i="3"/>
  <c r="C94" i="3"/>
  <c r="D94" i="3"/>
  <c r="E94" i="3"/>
  <c r="B95" i="3"/>
  <c r="C95" i="3"/>
  <c r="D95" i="3"/>
  <c r="E95" i="3"/>
  <c r="B96" i="3"/>
  <c r="C96" i="3"/>
  <c r="D96" i="3"/>
  <c r="E96" i="3"/>
  <c r="B97" i="3"/>
  <c r="C97" i="3"/>
  <c r="D97" i="3"/>
  <c r="E97" i="3"/>
  <c r="B98" i="3"/>
  <c r="C98" i="3"/>
  <c r="D98" i="3"/>
  <c r="E98" i="3"/>
  <c r="B99" i="3"/>
  <c r="C99" i="3"/>
  <c r="D99" i="3"/>
  <c r="E99" i="3"/>
  <c r="B100" i="3"/>
  <c r="C100" i="3"/>
  <c r="D100" i="3"/>
  <c r="E100" i="3"/>
  <c r="B101" i="3"/>
  <c r="C101" i="3"/>
  <c r="D101" i="3"/>
  <c r="E101" i="3"/>
  <c r="B102" i="3"/>
  <c r="C102" i="3"/>
  <c r="D102" i="3"/>
  <c r="E102" i="3"/>
  <c r="B103" i="3"/>
  <c r="C103" i="3"/>
  <c r="D103" i="3"/>
  <c r="E103" i="3"/>
  <c r="B104" i="3"/>
  <c r="C104" i="3"/>
  <c r="D104" i="3"/>
  <c r="E104" i="3"/>
  <c r="B105" i="3"/>
  <c r="C105" i="3"/>
  <c r="D105" i="3"/>
  <c r="E105" i="3"/>
  <c r="B106" i="3"/>
  <c r="C106" i="3"/>
  <c r="D106" i="3"/>
  <c r="E106" i="3"/>
  <c r="B107" i="3"/>
  <c r="C107" i="3"/>
  <c r="D107" i="3"/>
  <c r="E107" i="3"/>
  <c r="B108" i="3"/>
  <c r="C108" i="3"/>
  <c r="D108" i="3"/>
  <c r="E108" i="3"/>
  <c r="B109" i="3"/>
  <c r="C109" i="3"/>
  <c r="D109" i="3"/>
  <c r="E109" i="3"/>
  <c r="B110" i="3"/>
  <c r="C110" i="3"/>
  <c r="D110" i="3"/>
  <c r="E110" i="3"/>
  <c r="B111" i="3"/>
  <c r="C111" i="3"/>
  <c r="D111" i="3"/>
  <c r="E111" i="3"/>
  <c r="B112" i="3"/>
  <c r="C112" i="3"/>
  <c r="D112" i="3"/>
  <c r="E112" i="3"/>
  <c r="B113" i="3"/>
  <c r="C113" i="3"/>
  <c r="D113" i="3"/>
  <c r="E113" i="3"/>
  <c r="B114" i="3"/>
  <c r="C114" i="3"/>
  <c r="D114" i="3"/>
  <c r="E114" i="3"/>
  <c r="B115" i="3"/>
  <c r="C115" i="3"/>
  <c r="D115" i="3"/>
  <c r="E115" i="3"/>
  <c r="B116" i="3"/>
  <c r="C116" i="3"/>
  <c r="D116" i="3"/>
  <c r="E116" i="3"/>
  <c r="B117" i="3"/>
  <c r="C117" i="3"/>
  <c r="D117" i="3"/>
  <c r="E117" i="3"/>
  <c r="B118" i="3"/>
  <c r="C118" i="3"/>
  <c r="D118" i="3"/>
  <c r="E118" i="3"/>
  <c r="B119" i="3"/>
  <c r="C119" i="3"/>
  <c r="D119" i="3"/>
  <c r="E119" i="3"/>
  <c r="B120" i="3"/>
  <c r="C120" i="3"/>
  <c r="D120" i="3"/>
  <c r="E120" i="3"/>
  <c r="B121" i="3"/>
  <c r="C121" i="3"/>
  <c r="D121" i="3"/>
  <c r="E121" i="3"/>
  <c r="B122" i="3"/>
  <c r="C122" i="3"/>
  <c r="D122" i="3"/>
  <c r="E122" i="3"/>
  <c r="B123" i="3"/>
  <c r="C123" i="3"/>
  <c r="D123" i="3"/>
  <c r="E123" i="3"/>
  <c r="B124" i="3"/>
  <c r="C124" i="3"/>
  <c r="D124" i="3"/>
  <c r="E124" i="3"/>
  <c r="B125" i="3"/>
  <c r="C125" i="3"/>
  <c r="D125" i="3"/>
  <c r="E125" i="3"/>
  <c r="B126" i="3"/>
  <c r="C126" i="3"/>
  <c r="D126" i="3"/>
  <c r="E126" i="3"/>
  <c r="B127" i="3"/>
  <c r="C127" i="3"/>
  <c r="D127" i="3"/>
  <c r="E127" i="3"/>
  <c r="B128" i="3"/>
  <c r="C128" i="3"/>
  <c r="D128" i="3"/>
  <c r="E128" i="3"/>
  <c r="B129" i="3"/>
  <c r="C129" i="3"/>
  <c r="D129" i="3"/>
  <c r="E129" i="3"/>
  <c r="B130" i="3"/>
  <c r="C130" i="3"/>
  <c r="D130" i="3"/>
  <c r="E130" i="3"/>
  <c r="B131" i="3"/>
  <c r="C131" i="3"/>
  <c r="D131" i="3"/>
  <c r="E131" i="3"/>
  <c r="B132" i="3"/>
  <c r="C132" i="3"/>
  <c r="D132" i="3"/>
  <c r="E132" i="3"/>
  <c r="B133" i="3"/>
  <c r="C133" i="3"/>
  <c r="D133" i="3"/>
  <c r="E133" i="3"/>
  <c r="B134" i="3"/>
  <c r="C134" i="3"/>
  <c r="D134" i="3"/>
  <c r="E134" i="3"/>
  <c r="B135" i="3"/>
  <c r="C135" i="3"/>
  <c r="D135" i="3"/>
  <c r="E135" i="3"/>
  <c r="B136" i="3"/>
  <c r="C136" i="3"/>
  <c r="D136" i="3"/>
  <c r="E136" i="3"/>
  <c r="B137" i="3"/>
  <c r="C137" i="3"/>
  <c r="D137" i="3"/>
  <c r="E137" i="3"/>
  <c r="B138" i="3"/>
  <c r="C138" i="3"/>
  <c r="D138" i="3"/>
  <c r="E138" i="3"/>
  <c r="B139" i="3"/>
  <c r="C139" i="3"/>
  <c r="D139" i="3"/>
  <c r="E139" i="3"/>
  <c r="B140" i="3"/>
  <c r="C140" i="3"/>
  <c r="D140" i="3"/>
  <c r="E140" i="3"/>
  <c r="B141" i="3"/>
  <c r="C141" i="3"/>
  <c r="D141" i="3"/>
  <c r="E141" i="3"/>
  <c r="B142" i="3"/>
  <c r="C142" i="3"/>
  <c r="D142" i="3"/>
  <c r="E142" i="3"/>
  <c r="B143" i="3"/>
  <c r="C143" i="3"/>
  <c r="D143" i="3"/>
  <c r="E143" i="3"/>
  <c r="B144" i="3"/>
  <c r="C144" i="3"/>
  <c r="D144" i="3"/>
  <c r="E144" i="3"/>
  <c r="B145" i="3"/>
  <c r="C145" i="3"/>
  <c r="D145" i="3"/>
  <c r="E145" i="3"/>
  <c r="B146" i="3"/>
  <c r="C146" i="3"/>
  <c r="D146" i="3"/>
  <c r="E146" i="3"/>
  <c r="B147" i="3"/>
  <c r="C147" i="3"/>
  <c r="D147" i="3"/>
  <c r="E147" i="3"/>
  <c r="B148" i="3"/>
  <c r="C148" i="3"/>
  <c r="D148" i="3"/>
  <c r="E148" i="3"/>
  <c r="B149" i="3"/>
  <c r="C149" i="3"/>
  <c r="D149" i="3"/>
  <c r="E149" i="3"/>
  <c r="B150" i="3"/>
  <c r="C150" i="3"/>
  <c r="D150" i="3"/>
  <c r="E150" i="3"/>
  <c r="B151" i="3"/>
  <c r="C151" i="3"/>
  <c r="D151" i="3"/>
  <c r="E151" i="3"/>
  <c r="B152" i="3"/>
  <c r="C152" i="3"/>
  <c r="D152" i="3"/>
  <c r="E152" i="3"/>
  <c r="B153" i="3"/>
  <c r="C153" i="3"/>
  <c r="D153" i="3"/>
  <c r="E153" i="3"/>
  <c r="B154" i="3"/>
  <c r="C154" i="3"/>
  <c r="D154" i="3"/>
  <c r="E154" i="3"/>
  <c r="B155" i="3"/>
  <c r="C155" i="3"/>
  <c r="D155" i="3"/>
  <c r="E155" i="3"/>
  <c r="B156" i="3"/>
  <c r="C156" i="3"/>
  <c r="D156" i="3"/>
  <c r="E156" i="3"/>
  <c r="B157" i="3"/>
  <c r="C157" i="3"/>
  <c r="D157" i="3"/>
  <c r="E157" i="3"/>
  <c r="B158" i="3"/>
  <c r="C158" i="3"/>
  <c r="D158" i="3"/>
  <c r="E158" i="3"/>
  <c r="B159" i="3"/>
  <c r="C159" i="3"/>
  <c r="D159" i="3"/>
  <c r="E159" i="3"/>
  <c r="B160" i="3"/>
  <c r="C160" i="3"/>
  <c r="D160" i="3"/>
  <c r="E160" i="3"/>
  <c r="B161" i="3"/>
  <c r="C161" i="3"/>
  <c r="D161" i="3"/>
  <c r="E161" i="3"/>
  <c r="B162" i="3"/>
  <c r="C162" i="3"/>
  <c r="D162" i="3"/>
  <c r="E162" i="3"/>
  <c r="B163" i="3"/>
  <c r="C163" i="3"/>
  <c r="D163" i="3"/>
  <c r="E163" i="3"/>
  <c r="B164" i="3"/>
  <c r="C164" i="3"/>
  <c r="D164" i="3"/>
  <c r="E164" i="3"/>
  <c r="B165" i="3"/>
  <c r="C165" i="3"/>
  <c r="D165" i="3"/>
  <c r="E165" i="3"/>
  <c r="B166" i="3"/>
  <c r="C166" i="3"/>
  <c r="D166" i="3"/>
  <c r="E166" i="3"/>
  <c r="B167" i="3"/>
  <c r="C167" i="3"/>
  <c r="D167" i="3"/>
  <c r="E167" i="3"/>
  <c r="B168" i="3"/>
  <c r="C168" i="3"/>
  <c r="D168" i="3"/>
  <c r="E168" i="3"/>
  <c r="B169" i="3"/>
  <c r="C169" i="3"/>
  <c r="D169" i="3"/>
  <c r="E169" i="3"/>
  <c r="B170" i="3"/>
  <c r="C170" i="3"/>
  <c r="D170" i="3"/>
  <c r="E170" i="3"/>
  <c r="B171" i="3"/>
  <c r="C171" i="3"/>
  <c r="D171" i="3"/>
  <c r="E171" i="3"/>
  <c r="B172" i="3"/>
  <c r="C172" i="3"/>
  <c r="D172" i="3"/>
  <c r="E172" i="3"/>
  <c r="B173" i="3"/>
  <c r="C173" i="3"/>
  <c r="D173" i="3"/>
  <c r="E173" i="3"/>
  <c r="B174" i="3"/>
  <c r="C174" i="3"/>
  <c r="D174" i="3"/>
  <c r="E174" i="3"/>
  <c r="B175" i="3"/>
  <c r="C175" i="3"/>
  <c r="D175" i="3"/>
  <c r="E175" i="3"/>
  <c r="B176" i="3"/>
  <c r="C176" i="3"/>
  <c r="D176" i="3"/>
  <c r="E176" i="3"/>
  <c r="B177" i="3"/>
  <c r="C177" i="3"/>
  <c r="D177" i="3"/>
  <c r="E177" i="3"/>
  <c r="B178" i="3"/>
  <c r="C178" i="3"/>
  <c r="D178" i="3"/>
  <c r="E178" i="3"/>
  <c r="B179" i="3"/>
  <c r="C179" i="3"/>
  <c r="D179" i="3"/>
  <c r="E179" i="3"/>
  <c r="B180" i="3"/>
  <c r="C180" i="3"/>
  <c r="D180" i="3"/>
  <c r="E180" i="3"/>
  <c r="B181" i="3"/>
  <c r="C181" i="3"/>
  <c r="D181" i="3"/>
  <c r="E181" i="3"/>
  <c r="B182" i="3"/>
  <c r="C182" i="3"/>
  <c r="D182" i="3"/>
  <c r="E182" i="3"/>
  <c r="B183" i="3"/>
  <c r="C183" i="3"/>
  <c r="D183" i="3"/>
  <c r="E183" i="3"/>
  <c r="B184" i="3"/>
  <c r="C184" i="3"/>
  <c r="D184" i="3"/>
  <c r="E184" i="3"/>
  <c r="B185" i="3"/>
  <c r="C185" i="3"/>
  <c r="D185" i="3"/>
  <c r="E185" i="3"/>
  <c r="B186" i="3"/>
  <c r="C186" i="3"/>
  <c r="D186" i="3"/>
  <c r="E186" i="3"/>
  <c r="B187" i="3"/>
  <c r="C187" i="3"/>
  <c r="D187" i="3"/>
  <c r="E187" i="3"/>
  <c r="B188" i="3"/>
  <c r="C188" i="3"/>
  <c r="D188" i="3"/>
  <c r="E188" i="3"/>
  <c r="B189" i="3"/>
  <c r="C189" i="3"/>
  <c r="D189" i="3"/>
  <c r="E189" i="3"/>
  <c r="B190" i="3"/>
  <c r="C190" i="3"/>
  <c r="D190" i="3"/>
  <c r="E190" i="3"/>
  <c r="B191" i="3"/>
  <c r="C191" i="3"/>
  <c r="D191" i="3"/>
  <c r="E191" i="3"/>
  <c r="B192" i="3"/>
  <c r="C192" i="3"/>
  <c r="D192" i="3"/>
  <c r="E192" i="3"/>
  <c r="B193" i="3"/>
  <c r="C193" i="3"/>
  <c r="D193" i="3"/>
  <c r="E193" i="3"/>
  <c r="B194" i="3"/>
  <c r="C194" i="3"/>
  <c r="D194" i="3"/>
  <c r="E194" i="3"/>
  <c r="B195" i="3"/>
  <c r="C195" i="3"/>
  <c r="D195" i="3"/>
  <c r="E195" i="3"/>
  <c r="B196" i="3"/>
  <c r="C196" i="3"/>
  <c r="D196" i="3"/>
  <c r="E196" i="3"/>
  <c r="B197" i="3"/>
  <c r="C197" i="3"/>
  <c r="D197" i="3"/>
  <c r="E197" i="3"/>
  <c r="B198" i="3"/>
  <c r="C198" i="3"/>
  <c r="D198" i="3"/>
  <c r="E198" i="3"/>
  <c r="B199" i="3"/>
  <c r="C199" i="3"/>
  <c r="D199" i="3"/>
  <c r="E199" i="3"/>
  <c r="B200" i="3"/>
  <c r="C200" i="3"/>
  <c r="D200" i="3"/>
  <c r="E200" i="3"/>
  <c r="B201" i="3"/>
  <c r="C201" i="3"/>
  <c r="D201" i="3"/>
  <c r="E201" i="3"/>
  <c r="B202" i="3"/>
  <c r="C202" i="3"/>
  <c r="D202" i="3"/>
  <c r="E202" i="3"/>
  <c r="B203" i="3"/>
  <c r="C203" i="3"/>
  <c r="D203" i="3"/>
  <c r="E203" i="3"/>
  <c r="B204" i="3"/>
  <c r="C204" i="3"/>
  <c r="D204" i="3"/>
  <c r="E204" i="3"/>
  <c r="B205" i="3"/>
  <c r="C205" i="3"/>
  <c r="D205" i="3"/>
  <c r="E205" i="3"/>
  <c r="B206" i="3"/>
  <c r="C206" i="3"/>
  <c r="D206" i="3"/>
  <c r="E206" i="3"/>
  <c r="B207" i="3"/>
  <c r="C207" i="3"/>
  <c r="D207" i="3"/>
  <c r="E207" i="3"/>
  <c r="B208" i="3"/>
  <c r="C208" i="3"/>
  <c r="D208" i="3"/>
  <c r="E208" i="3"/>
  <c r="B209" i="3"/>
  <c r="C209" i="3"/>
  <c r="D209" i="3"/>
  <c r="E209" i="3"/>
  <c r="B210" i="3"/>
  <c r="C210" i="3"/>
  <c r="D210" i="3"/>
  <c r="E210" i="3"/>
  <c r="B211" i="3"/>
  <c r="C211" i="3"/>
  <c r="D211" i="3"/>
  <c r="E211" i="3"/>
  <c r="B212" i="3"/>
  <c r="C212" i="3"/>
  <c r="D212" i="3"/>
  <c r="E212" i="3"/>
  <c r="B213" i="3"/>
  <c r="C213" i="3"/>
  <c r="D213" i="3"/>
  <c r="E213" i="3"/>
  <c r="B214" i="3"/>
  <c r="C214" i="3"/>
  <c r="D214" i="3"/>
  <c r="E214" i="3"/>
  <c r="B215" i="3"/>
  <c r="C215" i="3"/>
  <c r="D215" i="3"/>
  <c r="E215" i="3"/>
  <c r="B216" i="3"/>
  <c r="C216" i="3"/>
  <c r="D216" i="3"/>
  <c r="E216" i="3"/>
  <c r="B217" i="3"/>
  <c r="C217" i="3"/>
  <c r="D217" i="3"/>
  <c r="E217" i="3"/>
  <c r="B218" i="3"/>
  <c r="C218" i="3"/>
  <c r="D218" i="3"/>
  <c r="E218" i="3"/>
  <c r="B219" i="3"/>
  <c r="C219" i="3"/>
  <c r="D219" i="3"/>
  <c r="E219" i="3"/>
  <c r="B220" i="3"/>
  <c r="C220" i="3"/>
  <c r="D220" i="3"/>
  <c r="E220" i="3"/>
  <c r="B221" i="3"/>
  <c r="C221" i="3"/>
  <c r="D221" i="3"/>
  <c r="E221" i="3"/>
  <c r="B222" i="3"/>
  <c r="C222" i="3"/>
  <c r="D222" i="3"/>
  <c r="E222" i="3"/>
  <c r="B223" i="3"/>
  <c r="C223" i="3"/>
  <c r="D223" i="3"/>
  <c r="E223" i="3"/>
  <c r="B224" i="3"/>
  <c r="C224" i="3"/>
  <c r="D224" i="3"/>
  <c r="E224" i="3"/>
  <c r="B225" i="3"/>
  <c r="C225" i="3"/>
  <c r="D225" i="3"/>
  <c r="E225" i="3"/>
  <c r="B226" i="3"/>
  <c r="C226" i="3"/>
  <c r="D226" i="3"/>
  <c r="E226" i="3"/>
  <c r="B227" i="3"/>
  <c r="C227" i="3"/>
  <c r="D227" i="3"/>
  <c r="E227" i="3"/>
  <c r="B228" i="3"/>
  <c r="C228" i="3"/>
  <c r="D228" i="3"/>
  <c r="E228" i="3"/>
  <c r="B229" i="3"/>
  <c r="C229" i="3"/>
  <c r="D229" i="3"/>
  <c r="E229" i="3"/>
  <c r="B230" i="3"/>
  <c r="C230" i="3"/>
  <c r="D230" i="3"/>
  <c r="E230" i="3"/>
  <c r="B231" i="3"/>
  <c r="C231" i="3"/>
  <c r="D231" i="3"/>
  <c r="E231" i="3"/>
  <c r="B232" i="3"/>
  <c r="C232" i="3"/>
  <c r="D232" i="3"/>
  <c r="E232" i="3"/>
  <c r="B233" i="3"/>
  <c r="C233" i="3"/>
  <c r="D233" i="3"/>
  <c r="E233" i="3"/>
  <c r="B234" i="3"/>
  <c r="C234" i="3"/>
  <c r="D234" i="3"/>
  <c r="E234" i="3"/>
  <c r="B235" i="3"/>
  <c r="C235" i="3"/>
  <c r="D235" i="3"/>
  <c r="E235" i="3"/>
  <c r="B236" i="3"/>
  <c r="C236" i="3"/>
  <c r="D236" i="3"/>
  <c r="E236" i="3"/>
  <c r="B237" i="3"/>
  <c r="C237" i="3"/>
  <c r="D237" i="3"/>
  <c r="E237" i="3"/>
  <c r="B238" i="3"/>
  <c r="C238" i="3"/>
  <c r="D238" i="3"/>
  <c r="E238" i="3"/>
  <c r="B239" i="3"/>
  <c r="C239" i="3"/>
  <c r="D239" i="3"/>
  <c r="E239" i="3"/>
  <c r="B240" i="3"/>
  <c r="C240" i="3"/>
  <c r="D240" i="3"/>
  <c r="E240" i="3"/>
  <c r="B241" i="3"/>
  <c r="C241" i="3"/>
  <c r="D241" i="3"/>
  <c r="E241" i="3"/>
  <c r="B242" i="3"/>
  <c r="C242" i="3"/>
  <c r="D242" i="3"/>
  <c r="E242" i="3"/>
  <c r="B243" i="3"/>
  <c r="C243" i="3"/>
  <c r="D243" i="3"/>
  <c r="E243" i="3"/>
  <c r="B244" i="3"/>
  <c r="C244" i="3"/>
  <c r="D244" i="3"/>
  <c r="E244" i="3"/>
  <c r="B245" i="3"/>
  <c r="C245" i="3"/>
  <c r="D245" i="3"/>
  <c r="E245" i="3"/>
  <c r="B246" i="3"/>
  <c r="C246" i="3"/>
  <c r="D246" i="3"/>
  <c r="E246" i="3"/>
  <c r="B247" i="3"/>
  <c r="C247" i="3"/>
  <c r="D247" i="3"/>
  <c r="E247" i="3"/>
  <c r="B248" i="3"/>
  <c r="C248" i="3"/>
  <c r="D248" i="3"/>
  <c r="E248" i="3"/>
  <c r="B249" i="3"/>
  <c r="C249" i="3"/>
  <c r="D249" i="3"/>
  <c r="E249" i="3"/>
  <c r="B250" i="3"/>
  <c r="C250" i="3"/>
  <c r="D250" i="3"/>
  <c r="E250" i="3"/>
  <c r="B251" i="3"/>
  <c r="C251" i="3"/>
  <c r="D251" i="3"/>
  <c r="E251" i="3"/>
  <c r="B252" i="3"/>
  <c r="C252" i="3"/>
  <c r="D252" i="3"/>
  <c r="E252" i="3"/>
  <c r="B253" i="3"/>
  <c r="C253" i="3"/>
  <c r="D253" i="3"/>
  <c r="E253" i="3"/>
  <c r="B254" i="3"/>
  <c r="C254" i="3"/>
  <c r="D254" i="3"/>
  <c r="E254" i="3"/>
  <c r="B255" i="3"/>
  <c r="C255" i="3"/>
  <c r="D255" i="3"/>
  <c r="E255" i="3"/>
  <c r="B256" i="3"/>
  <c r="C256" i="3"/>
  <c r="D256" i="3"/>
  <c r="E256" i="3"/>
  <c r="B257" i="3"/>
  <c r="C257" i="3"/>
  <c r="D257" i="3"/>
  <c r="E257" i="3"/>
  <c r="B258" i="3"/>
  <c r="C258" i="3"/>
  <c r="D258" i="3"/>
  <c r="E258" i="3"/>
  <c r="B259" i="3"/>
  <c r="C259" i="3"/>
  <c r="D259" i="3"/>
  <c r="E259" i="3"/>
  <c r="B260" i="3"/>
  <c r="C260" i="3"/>
  <c r="D260" i="3"/>
  <c r="E260" i="3"/>
  <c r="B261" i="3"/>
  <c r="C261" i="3"/>
  <c r="D261" i="3"/>
  <c r="E261" i="3"/>
  <c r="B262" i="3"/>
  <c r="C262" i="3"/>
  <c r="D262" i="3"/>
  <c r="E262" i="3"/>
  <c r="B263" i="3"/>
  <c r="C263" i="3"/>
  <c r="D263" i="3"/>
  <c r="E263" i="3"/>
  <c r="B264" i="3"/>
  <c r="C264" i="3"/>
  <c r="D264" i="3"/>
  <c r="E264" i="3"/>
  <c r="B265" i="3"/>
  <c r="C265" i="3"/>
  <c r="D265" i="3"/>
  <c r="E265" i="3"/>
  <c r="B266" i="3"/>
  <c r="C266" i="3"/>
  <c r="D266" i="3"/>
  <c r="E266" i="3"/>
  <c r="B267" i="3"/>
  <c r="C267" i="3"/>
  <c r="D267" i="3"/>
  <c r="E267" i="3"/>
  <c r="B268" i="3"/>
  <c r="C268" i="3"/>
  <c r="D268" i="3"/>
  <c r="E268" i="3"/>
  <c r="B269" i="3"/>
  <c r="C269" i="3"/>
  <c r="D269" i="3"/>
  <c r="E269" i="3"/>
  <c r="B270" i="3"/>
  <c r="C270" i="3"/>
  <c r="D270" i="3"/>
  <c r="E270" i="3"/>
  <c r="B271" i="3"/>
  <c r="C271" i="3"/>
  <c r="D271" i="3"/>
  <c r="E271" i="3"/>
  <c r="B272" i="3"/>
  <c r="C272" i="3"/>
  <c r="D272" i="3"/>
  <c r="E272" i="3"/>
  <c r="B273" i="3"/>
  <c r="C273" i="3"/>
  <c r="D273" i="3"/>
  <c r="E273" i="3"/>
  <c r="B274" i="3"/>
  <c r="C274" i="3"/>
  <c r="D274" i="3"/>
  <c r="E274" i="3"/>
  <c r="B275" i="3"/>
  <c r="C275" i="3"/>
  <c r="D275" i="3"/>
  <c r="E275" i="3"/>
  <c r="B276" i="3"/>
  <c r="C276" i="3"/>
  <c r="D276" i="3"/>
  <c r="E276" i="3"/>
  <c r="B277" i="3"/>
  <c r="C277" i="3"/>
  <c r="D277" i="3"/>
  <c r="E277" i="3"/>
  <c r="B278" i="3"/>
  <c r="C278" i="3"/>
  <c r="D278" i="3"/>
  <c r="E278" i="3"/>
  <c r="B279" i="3"/>
  <c r="C279" i="3"/>
  <c r="D279" i="3"/>
  <c r="E279" i="3"/>
  <c r="B280" i="3"/>
  <c r="C280" i="3"/>
  <c r="D280" i="3"/>
  <c r="E280" i="3"/>
  <c r="B281" i="3"/>
  <c r="C281" i="3"/>
  <c r="D281" i="3"/>
  <c r="E281" i="3"/>
  <c r="B282" i="3"/>
  <c r="C282" i="3"/>
  <c r="D282" i="3"/>
  <c r="E282" i="3"/>
  <c r="B283" i="3"/>
  <c r="C283" i="3"/>
  <c r="D283" i="3"/>
  <c r="E283" i="3"/>
  <c r="B284" i="3"/>
  <c r="C284" i="3"/>
  <c r="D284" i="3"/>
  <c r="E284" i="3"/>
  <c r="B285" i="3"/>
  <c r="C285" i="3"/>
  <c r="D285" i="3"/>
  <c r="E285" i="3"/>
  <c r="B286" i="3"/>
  <c r="C286" i="3"/>
  <c r="D286" i="3"/>
  <c r="E286" i="3"/>
  <c r="B287" i="3"/>
  <c r="C287" i="3"/>
  <c r="D287" i="3"/>
  <c r="E287" i="3"/>
  <c r="B288" i="3"/>
  <c r="C288" i="3"/>
  <c r="D288" i="3"/>
  <c r="E288" i="3"/>
  <c r="B289" i="3"/>
  <c r="C289" i="3"/>
  <c r="D289" i="3"/>
  <c r="E289" i="3"/>
  <c r="B290" i="3"/>
  <c r="C290" i="3"/>
  <c r="D290" i="3"/>
  <c r="E290" i="3"/>
  <c r="B291" i="3"/>
  <c r="C291" i="3"/>
  <c r="D291" i="3"/>
  <c r="E291" i="3"/>
  <c r="B292" i="3"/>
  <c r="C292" i="3"/>
  <c r="D292" i="3"/>
  <c r="E292" i="3"/>
  <c r="B293" i="3"/>
  <c r="C293" i="3"/>
  <c r="D293" i="3"/>
  <c r="E293" i="3"/>
  <c r="B294" i="3"/>
  <c r="C294" i="3"/>
  <c r="D294" i="3"/>
  <c r="E294" i="3"/>
  <c r="B295" i="3"/>
  <c r="C295" i="3"/>
  <c r="D295" i="3"/>
  <c r="E295" i="3"/>
  <c r="B296" i="3"/>
  <c r="C296" i="3"/>
  <c r="D296" i="3"/>
  <c r="E296" i="3"/>
  <c r="B297" i="3"/>
  <c r="C297" i="3"/>
  <c r="D297" i="3"/>
  <c r="E297" i="3"/>
  <c r="B298" i="3"/>
  <c r="C298" i="3"/>
  <c r="D298" i="3"/>
  <c r="E298" i="3"/>
  <c r="B299" i="3"/>
  <c r="C299" i="3"/>
  <c r="D299" i="3"/>
  <c r="E299" i="3"/>
  <c r="B300" i="3"/>
  <c r="C300" i="3"/>
  <c r="D300" i="3"/>
  <c r="E300" i="3"/>
  <c r="B301" i="3"/>
  <c r="C301" i="3"/>
  <c r="D301" i="3"/>
  <c r="E301" i="3"/>
  <c r="B302" i="3"/>
  <c r="C302" i="3"/>
  <c r="D302" i="3"/>
  <c r="E302" i="3"/>
  <c r="B303" i="3"/>
  <c r="C303" i="3"/>
  <c r="D303" i="3"/>
  <c r="E303" i="3"/>
  <c r="B304" i="3"/>
  <c r="C304" i="3"/>
  <c r="D304" i="3"/>
  <c r="E304" i="3"/>
  <c r="B305" i="3"/>
  <c r="C305" i="3"/>
  <c r="D305" i="3"/>
  <c r="E305" i="3"/>
  <c r="B306" i="3"/>
  <c r="C306" i="3"/>
  <c r="D306" i="3"/>
  <c r="E306" i="3"/>
  <c r="B307" i="3"/>
  <c r="C307" i="3"/>
  <c r="D307" i="3"/>
  <c r="E307" i="3"/>
  <c r="B308" i="3"/>
  <c r="C308" i="3"/>
  <c r="D308" i="3"/>
  <c r="E308" i="3"/>
  <c r="B309" i="3"/>
  <c r="C309" i="3"/>
  <c r="D309" i="3"/>
  <c r="E309" i="3"/>
  <c r="B310" i="3"/>
  <c r="C310" i="3"/>
  <c r="D310" i="3"/>
  <c r="E310" i="3"/>
  <c r="B311" i="3"/>
  <c r="C311" i="3"/>
  <c r="D311" i="3"/>
  <c r="E311" i="3"/>
  <c r="B312" i="3"/>
  <c r="C312" i="3"/>
  <c r="D312" i="3"/>
  <c r="E312" i="3"/>
  <c r="B313" i="3"/>
  <c r="C313" i="3"/>
  <c r="D313" i="3"/>
  <c r="E313" i="3"/>
  <c r="B314" i="3"/>
  <c r="C314" i="3"/>
  <c r="D314" i="3"/>
  <c r="E314" i="3"/>
  <c r="B315" i="3"/>
  <c r="C315" i="3"/>
  <c r="D315" i="3"/>
  <c r="E315" i="3"/>
  <c r="B316" i="3"/>
  <c r="C316" i="3"/>
  <c r="D316" i="3"/>
  <c r="E316" i="3"/>
  <c r="B317" i="3"/>
  <c r="C317" i="3"/>
  <c r="D317" i="3"/>
  <c r="E317" i="3"/>
  <c r="B318" i="3"/>
  <c r="C318" i="3"/>
  <c r="D318" i="3"/>
  <c r="E318" i="3"/>
  <c r="B319" i="3"/>
  <c r="C319" i="3"/>
  <c r="D319" i="3"/>
  <c r="E319" i="3"/>
  <c r="B320" i="3"/>
  <c r="C320" i="3"/>
  <c r="D320" i="3"/>
  <c r="E320" i="3"/>
  <c r="B321" i="3"/>
  <c r="C321" i="3"/>
  <c r="D321" i="3"/>
  <c r="E321" i="3"/>
  <c r="B322" i="3"/>
  <c r="C322" i="3"/>
  <c r="D322" i="3"/>
  <c r="E322" i="3"/>
  <c r="B323" i="3"/>
  <c r="C323" i="3"/>
  <c r="D323" i="3"/>
  <c r="E323" i="3"/>
  <c r="B324" i="3"/>
  <c r="C324" i="3"/>
  <c r="D324" i="3"/>
  <c r="E324" i="3"/>
  <c r="B325" i="3"/>
  <c r="C325" i="3"/>
  <c r="D325" i="3"/>
  <c r="E325" i="3"/>
  <c r="B326" i="3"/>
  <c r="C326" i="3"/>
  <c r="D326" i="3"/>
  <c r="E326" i="3"/>
  <c r="B327" i="3"/>
  <c r="C327" i="3"/>
  <c r="D327" i="3"/>
  <c r="E327" i="3"/>
  <c r="B328" i="3"/>
  <c r="C328" i="3"/>
  <c r="D328" i="3"/>
  <c r="E328" i="3"/>
  <c r="B329" i="3"/>
  <c r="C329" i="3"/>
  <c r="D329" i="3"/>
  <c r="E329" i="3"/>
  <c r="B330" i="3"/>
  <c r="C330" i="3"/>
  <c r="D330" i="3"/>
  <c r="E330" i="3"/>
  <c r="B331" i="3"/>
  <c r="C331" i="3"/>
  <c r="D331" i="3"/>
  <c r="E331" i="3"/>
  <c r="B332" i="3"/>
  <c r="C332" i="3"/>
  <c r="D332" i="3"/>
  <c r="E332" i="3"/>
  <c r="B333" i="3"/>
  <c r="C333" i="3"/>
  <c r="D333" i="3"/>
  <c r="E333" i="3"/>
  <c r="B334" i="3"/>
  <c r="C334" i="3"/>
  <c r="D334" i="3"/>
  <c r="E334" i="3"/>
  <c r="B335" i="3"/>
  <c r="C335" i="3"/>
  <c r="D335" i="3"/>
  <c r="E335" i="3"/>
  <c r="B336" i="3"/>
  <c r="C336" i="3"/>
  <c r="D336" i="3"/>
  <c r="E336" i="3"/>
  <c r="B337" i="3"/>
  <c r="C337" i="3"/>
  <c r="D337" i="3"/>
  <c r="E337" i="3"/>
  <c r="B338" i="3"/>
  <c r="C338" i="3"/>
  <c r="D338" i="3"/>
  <c r="E338" i="3"/>
  <c r="B339" i="3"/>
  <c r="C339" i="3"/>
  <c r="D339" i="3"/>
  <c r="E339" i="3"/>
  <c r="B340" i="3"/>
  <c r="C340" i="3"/>
  <c r="D340" i="3"/>
  <c r="E340" i="3"/>
  <c r="B341" i="3"/>
  <c r="C341" i="3"/>
  <c r="D341" i="3"/>
  <c r="E341" i="3"/>
  <c r="B342" i="3"/>
  <c r="C342" i="3"/>
  <c r="D342" i="3"/>
  <c r="E342" i="3"/>
  <c r="B343" i="3"/>
  <c r="C343" i="3"/>
  <c r="D343" i="3"/>
  <c r="E343" i="3"/>
  <c r="B344" i="3"/>
  <c r="C344" i="3"/>
  <c r="D344" i="3"/>
  <c r="E344" i="3"/>
  <c r="B345" i="3"/>
  <c r="C345" i="3"/>
  <c r="D345" i="3"/>
  <c r="E345" i="3"/>
  <c r="B346" i="3"/>
  <c r="C346" i="3"/>
  <c r="D346" i="3"/>
  <c r="E346" i="3"/>
  <c r="B347" i="3"/>
  <c r="C347" i="3"/>
  <c r="D347" i="3"/>
  <c r="E347" i="3"/>
  <c r="B348" i="3"/>
  <c r="C348" i="3"/>
  <c r="D348" i="3"/>
  <c r="E348" i="3"/>
  <c r="B349" i="3"/>
  <c r="C349" i="3"/>
  <c r="D349" i="3"/>
  <c r="E349" i="3"/>
  <c r="B350" i="3"/>
  <c r="C350" i="3"/>
  <c r="D350" i="3"/>
  <c r="E350" i="3"/>
  <c r="B351" i="3"/>
  <c r="C351" i="3"/>
  <c r="D351" i="3"/>
  <c r="E351" i="3"/>
  <c r="B352" i="3"/>
  <c r="C352" i="3"/>
  <c r="D352" i="3"/>
  <c r="E352" i="3"/>
  <c r="B353" i="3"/>
  <c r="C353" i="3"/>
  <c r="D353" i="3"/>
  <c r="E353" i="3"/>
  <c r="B354" i="3"/>
  <c r="C354" i="3"/>
  <c r="D354" i="3"/>
  <c r="E354" i="3"/>
  <c r="B355" i="3"/>
  <c r="C355" i="3"/>
  <c r="D355" i="3"/>
  <c r="E355" i="3"/>
  <c r="B356" i="3"/>
  <c r="C356" i="3"/>
  <c r="D356" i="3"/>
  <c r="E356" i="3"/>
  <c r="B357" i="3"/>
  <c r="C357" i="3"/>
  <c r="D357" i="3"/>
  <c r="E357" i="3"/>
  <c r="B358" i="3"/>
  <c r="C358" i="3"/>
  <c r="D358" i="3"/>
  <c r="E358" i="3"/>
  <c r="B359" i="3"/>
  <c r="C359" i="3"/>
  <c r="D359" i="3"/>
  <c r="E359" i="3"/>
  <c r="B360" i="3"/>
  <c r="C360" i="3"/>
  <c r="D360" i="3"/>
  <c r="E360" i="3"/>
  <c r="B361" i="3"/>
  <c r="C361" i="3"/>
  <c r="D361" i="3"/>
  <c r="E361" i="3"/>
  <c r="B362" i="3"/>
  <c r="C362" i="3"/>
  <c r="D362" i="3"/>
  <c r="E362" i="3"/>
  <c r="B363" i="3"/>
  <c r="C363" i="3"/>
  <c r="D363" i="3"/>
  <c r="E363" i="3"/>
  <c r="B364" i="3"/>
  <c r="C364" i="3"/>
  <c r="D364" i="3"/>
  <c r="E364" i="3"/>
  <c r="B365" i="3"/>
  <c r="C365" i="3"/>
  <c r="D365" i="3"/>
  <c r="E365" i="3"/>
  <c r="B366" i="3"/>
  <c r="C366" i="3"/>
  <c r="D366" i="3"/>
  <c r="E366" i="3"/>
  <c r="B367" i="3"/>
  <c r="C367" i="3"/>
  <c r="D367" i="3"/>
  <c r="E367" i="3"/>
  <c r="B368" i="3"/>
  <c r="C368" i="3"/>
  <c r="D368" i="3"/>
  <c r="E368" i="3"/>
  <c r="B369" i="3"/>
  <c r="C369" i="3"/>
  <c r="D369" i="3"/>
  <c r="E369" i="3"/>
  <c r="B370" i="3"/>
  <c r="C370" i="3"/>
  <c r="D370" i="3"/>
  <c r="E370" i="3"/>
  <c r="B371" i="3"/>
  <c r="C371" i="3"/>
  <c r="D371" i="3"/>
  <c r="E371" i="3"/>
  <c r="B372" i="3"/>
  <c r="C372" i="3"/>
  <c r="D372" i="3"/>
  <c r="E372" i="3"/>
  <c r="B373" i="3"/>
  <c r="C373" i="3"/>
  <c r="D373" i="3"/>
  <c r="E373" i="3"/>
  <c r="B374" i="3"/>
  <c r="C374" i="3"/>
  <c r="D374" i="3"/>
  <c r="E374" i="3"/>
  <c r="B375" i="3"/>
  <c r="C375" i="3"/>
  <c r="D375" i="3"/>
  <c r="E375" i="3"/>
  <c r="B376" i="3"/>
  <c r="C376" i="3"/>
  <c r="D376" i="3"/>
  <c r="E376" i="3"/>
  <c r="B377" i="3"/>
  <c r="C377" i="3"/>
  <c r="D377" i="3"/>
  <c r="E377" i="3"/>
  <c r="B378" i="3"/>
  <c r="C378" i="3"/>
  <c r="D378" i="3"/>
  <c r="E378" i="3"/>
  <c r="B379" i="3"/>
  <c r="C379" i="3"/>
  <c r="D379" i="3"/>
  <c r="E379" i="3"/>
  <c r="B380" i="3"/>
  <c r="C380" i="3"/>
  <c r="D380" i="3"/>
  <c r="E380" i="3"/>
  <c r="B381" i="3"/>
  <c r="C381" i="3"/>
  <c r="D381" i="3"/>
  <c r="E381" i="3"/>
  <c r="B382" i="3"/>
  <c r="C382" i="3"/>
  <c r="D382" i="3"/>
  <c r="E382" i="3"/>
  <c r="B383" i="3"/>
  <c r="C383" i="3"/>
  <c r="D383" i="3"/>
  <c r="E383" i="3"/>
  <c r="B384" i="3"/>
  <c r="C384" i="3"/>
  <c r="D384" i="3"/>
  <c r="E384" i="3"/>
  <c r="B385" i="3"/>
  <c r="C385" i="3"/>
  <c r="D385" i="3"/>
  <c r="E385" i="3"/>
  <c r="B386" i="3"/>
  <c r="C386" i="3"/>
  <c r="D386" i="3"/>
  <c r="E386" i="3"/>
  <c r="B387" i="3"/>
  <c r="C387" i="3"/>
  <c r="D387" i="3"/>
  <c r="E387" i="3"/>
  <c r="B388" i="3"/>
  <c r="C388" i="3"/>
  <c r="D388" i="3"/>
  <c r="E388" i="3"/>
  <c r="B389" i="3"/>
  <c r="C389" i="3"/>
  <c r="D389" i="3"/>
  <c r="E389" i="3"/>
  <c r="B390" i="3"/>
  <c r="C390" i="3"/>
  <c r="D390" i="3"/>
  <c r="E390" i="3"/>
  <c r="B391" i="3"/>
  <c r="C391" i="3"/>
  <c r="D391" i="3"/>
  <c r="E391" i="3"/>
  <c r="B392" i="3"/>
  <c r="C392" i="3"/>
  <c r="D392" i="3"/>
  <c r="E392" i="3"/>
  <c r="B393" i="3"/>
  <c r="C393" i="3"/>
  <c r="D393" i="3"/>
  <c r="E393" i="3"/>
  <c r="B394" i="3"/>
  <c r="C394" i="3"/>
  <c r="D394" i="3"/>
  <c r="E394" i="3"/>
  <c r="B395" i="3"/>
  <c r="C395" i="3"/>
  <c r="D395" i="3"/>
  <c r="E395" i="3"/>
  <c r="B396" i="3"/>
  <c r="C396" i="3"/>
  <c r="D396" i="3"/>
  <c r="E396" i="3"/>
  <c r="B397" i="3"/>
  <c r="C397" i="3"/>
  <c r="D397" i="3"/>
  <c r="E397" i="3"/>
  <c r="B398" i="3"/>
  <c r="C398" i="3"/>
  <c r="D398" i="3"/>
  <c r="E398" i="3"/>
  <c r="B399" i="3"/>
  <c r="C399" i="3"/>
  <c r="D399" i="3"/>
  <c r="E399" i="3"/>
  <c r="B400" i="3"/>
  <c r="C400" i="3"/>
  <c r="D400" i="3"/>
  <c r="E400" i="3"/>
  <c r="B401" i="3"/>
  <c r="C401" i="3"/>
  <c r="D401" i="3"/>
  <c r="E401" i="3"/>
  <c r="B402" i="3"/>
  <c r="C402" i="3"/>
  <c r="D402" i="3"/>
  <c r="E402" i="3"/>
  <c r="B403" i="3"/>
  <c r="C403" i="3"/>
  <c r="D403" i="3"/>
  <c r="E403" i="3"/>
  <c r="B404" i="3"/>
  <c r="C404" i="3"/>
  <c r="D404" i="3"/>
  <c r="E404" i="3"/>
  <c r="B405" i="3"/>
  <c r="C405" i="3"/>
  <c r="D405" i="3"/>
  <c r="E405" i="3"/>
  <c r="B406" i="3"/>
  <c r="C406" i="3"/>
  <c r="D406" i="3"/>
  <c r="E406" i="3"/>
  <c r="B407" i="3"/>
  <c r="C407" i="3"/>
  <c r="D407" i="3"/>
  <c r="E407" i="3"/>
  <c r="B408" i="3"/>
  <c r="C408" i="3"/>
  <c r="D408" i="3"/>
  <c r="E408" i="3"/>
  <c r="B409" i="3"/>
  <c r="C409" i="3"/>
  <c r="D409" i="3"/>
  <c r="E409" i="3"/>
  <c r="B410" i="3"/>
  <c r="C410" i="3"/>
  <c r="D410" i="3"/>
  <c r="E410" i="3"/>
  <c r="B411" i="3"/>
  <c r="C411" i="3"/>
  <c r="D411" i="3"/>
  <c r="E411" i="3"/>
  <c r="B412" i="3"/>
  <c r="C412" i="3"/>
  <c r="D412" i="3"/>
  <c r="E412" i="3"/>
  <c r="B413" i="3"/>
  <c r="C413" i="3"/>
  <c r="D413" i="3"/>
  <c r="E413" i="3"/>
  <c r="B414" i="3"/>
  <c r="C414" i="3"/>
  <c r="D414" i="3"/>
  <c r="E414" i="3"/>
  <c r="B415" i="3"/>
  <c r="C415" i="3"/>
  <c r="D415" i="3"/>
  <c r="E415" i="3"/>
  <c r="B416" i="3"/>
  <c r="C416" i="3"/>
  <c r="D416" i="3"/>
  <c r="E416" i="3"/>
  <c r="B417" i="3"/>
  <c r="C417" i="3"/>
  <c r="D417" i="3"/>
  <c r="E417" i="3"/>
  <c r="B418" i="3"/>
  <c r="C418" i="3"/>
  <c r="D418" i="3"/>
  <c r="E418" i="3"/>
  <c r="B419" i="3"/>
  <c r="C419" i="3"/>
  <c r="D419" i="3"/>
  <c r="E419" i="3"/>
  <c r="B420" i="3"/>
  <c r="C420" i="3"/>
  <c r="D420" i="3"/>
  <c r="E420" i="3"/>
  <c r="B421" i="3"/>
  <c r="C421" i="3"/>
  <c r="D421" i="3"/>
  <c r="E421" i="3"/>
  <c r="B422" i="3"/>
  <c r="C422" i="3"/>
  <c r="D422" i="3"/>
  <c r="E422" i="3"/>
  <c r="B423" i="3"/>
  <c r="C423" i="3"/>
  <c r="D423" i="3"/>
  <c r="E423" i="3"/>
  <c r="B424" i="3"/>
  <c r="C424" i="3"/>
  <c r="D424" i="3"/>
  <c r="E424" i="3"/>
  <c r="B425" i="3"/>
  <c r="C425" i="3"/>
  <c r="D425" i="3"/>
  <c r="E425" i="3"/>
  <c r="B426" i="3"/>
  <c r="C426" i="3"/>
  <c r="D426" i="3"/>
  <c r="E426" i="3"/>
  <c r="B427" i="3"/>
  <c r="C427" i="3"/>
  <c r="D427" i="3"/>
  <c r="E427" i="3"/>
  <c r="B428" i="3"/>
  <c r="C428" i="3"/>
  <c r="D428" i="3"/>
  <c r="E428" i="3"/>
  <c r="B429" i="3"/>
  <c r="C429" i="3"/>
  <c r="D429" i="3"/>
  <c r="E429" i="3"/>
  <c r="B430" i="3"/>
  <c r="C430" i="3"/>
  <c r="D430" i="3"/>
  <c r="E430" i="3"/>
  <c r="B431" i="3"/>
  <c r="C431" i="3"/>
  <c r="D431" i="3"/>
  <c r="E431" i="3"/>
  <c r="B432" i="3"/>
  <c r="C432" i="3"/>
  <c r="D432" i="3"/>
  <c r="E432" i="3"/>
  <c r="B433" i="3"/>
  <c r="C433" i="3"/>
  <c r="D433" i="3"/>
  <c r="E433" i="3"/>
  <c r="B434" i="3"/>
  <c r="C434" i="3"/>
  <c r="D434" i="3"/>
  <c r="E434" i="3"/>
  <c r="B435" i="3"/>
  <c r="C435" i="3"/>
  <c r="D435" i="3"/>
  <c r="E435" i="3"/>
  <c r="B436" i="3"/>
  <c r="C436" i="3"/>
  <c r="D436" i="3"/>
  <c r="E436" i="3"/>
  <c r="B437" i="3"/>
  <c r="C437" i="3"/>
  <c r="D437" i="3"/>
  <c r="E437" i="3"/>
  <c r="B438" i="3"/>
  <c r="C438" i="3"/>
  <c r="D438" i="3"/>
  <c r="E438" i="3"/>
  <c r="B439" i="3"/>
  <c r="C439" i="3"/>
  <c r="D439" i="3"/>
  <c r="E439" i="3"/>
  <c r="B440" i="3"/>
  <c r="C440" i="3"/>
  <c r="D440" i="3"/>
  <c r="E440" i="3"/>
  <c r="B441" i="3"/>
  <c r="C441" i="3"/>
  <c r="D441" i="3"/>
  <c r="E441" i="3"/>
  <c r="B442" i="3"/>
  <c r="C442" i="3"/>
  <c r="D442" i="3"/>
  <c r="E442" i="3"/>
  <c r="B443" i="3"/>
  <c r="C443" i="3"/>
  <c r="D443" i="3"/>
  <c r="E443" i="3"/>
  <c r="B444" i="3"/>
  <c r="C444" i="3"/>
  <c r="D444" i="3"/>
  <c r="E444" i="3"/>
  <c r="B445" i="3"/>
  <c r="C445" i="3"/>
  <c r="D445" i="3"/>
  <c r="E445" i="3"/>
  <c r="B446" i="3"/>
  <c r="C446" i="3"/>
  <c r="D446" i="3"/>
  <c r="E446" i="3"/>
  <c r="B447" i="3"/>
  <c r="C447" i="3"/>
  <c r="D447" i="3"/>
  <c r="E447" i="3"/>
  <c r="B448" i="3"/>
  <c r="C448" i="3"/>
  <c r="D448" i="3"/>
  <c r="E448" i="3"/>
  <c r="B449" i="3"/>
  <c r="C449" i="3"/>
  <c r="D449" i="3"/>
  <c r="E449" i="3"/>
  <c r="B450" i="3"/>
  <c r="C450" i="3"/>
  <c r="D450" i="3"/>
  <c r="E450" i="3"/>
  <c r="B451" i="3"/>
  <c r="C451" i="3"/>
  <c r="D451" i="3"/>
  <c r="E451" i="3"/>
  <c r="B452" i="3"/>
  <c r="C452" i="3"/>
  <c r="D452" i="3"/>
  <c r="E452" i="3"/>
  <c r="B453" i="3"/>
  <c r="C453" i="3"/>
  <c r="D453" i="3"/>
  <c r="E453" i="3"/>
  <c r="B454" i="3"/>
  <c r="C454" i="3"/>
  <c r="D454" i="3"/>
  <c r="E454" i="3"/>
  <c r="B455" i="3"/>
  <c r="C455" i="3"/>
  <c r="D455" i="3"/>
  <c r="E455" i="3"/>
  <c r="B456" i="3"/>
  <c r="C456" i="3"/>
  <c r="D456" i="3"/>
  <c r="E456" i="3"/>
  <c r="B457" i="3"/>
  <c r="C457" i="3"/>
  <c r="D457" i="3"/>
  <c r="E457" i="3"/>
  <c r="B458" i="3"/>
  <c r="C458" i="3"/>
  <c r="D458" i="3"/>
  <c r="E458" i="3"/>
  <c r="B459" i="3"/>
  <c r="C459" i="3"/>
  <c r="D459" i="3"/>
  <c r="E459" i="3"/>
  <c r="B460" i="3"/>
  <c r="C460" i="3"/>
  <c r="D460" i="3"/>
  <c r="E460" i="3"/>
  <c r="B461" i="3"/>
  <c r="C461" i="3"/>
  <c r="D461" i="3"/>
  <c r="E461" i="3"/>
  <c r="B462" i="3"/>
  <c r="C462" i="3"/>
  <c r="D462" i="3"/>
  <c r="E462" i="3"/>
  <c r="B463" i="3"/>
  <c r="C463" i="3"/>
  <c r="D463" i="3"/>
  <c r="E463" i="3"/>
  <c r="B464" i="3"/>
  <c r="C464" i="3"/>
  <c r="D464" i="3"/>
  <c r="E464" i="3"/>
  <c r="B465" i="3"/>
  <c r="C465" i="3"/>
  <c r="D465" i="3"/>
  <c r="E465" i="3"/>
  <c r="B466" i="3"/>
  <c r="C466" i="3"/>
  <c r="D466" i="3"/>
  <c r="E466" i="3"/>
  <c r="B467" i="3"/>
  <c r="C467" i="3"/>
  <c r="D467" i="3"/>
  <c r="E467" i="3"/>
  <c r="B468" i="3"/>
  <c r="C468" i="3"/>
  <c r="D468" i="3"/>
  <c r="E468" i="3"/>
  <c r="B469" i="3"/>
  <c r="C469" i="3"/>
  <c r="D469" i="3"/>
  <c r="E469" i="3"/>
  <c r="B470" i="3"/>
  <c r="C470" i="3"/>
  <c r="D470" i="3"/>
  <c r="E470" i="3"/>
  <c r="B471" i="3"/>
  <c r="C471" i="3"/>
  <c r="D471" i="3"/>
  <c r="E471" i="3"/>
  <c r="B472" i="3"/>
  <c r="C472" i="3"/>
  <c r="D472" i="3"/>
  <c r="E472" i="3"/>
  <c r="B473" i="3"/>
  <c r="C473" i="3"/>
  <c r="D473" i="3"/>
  <c r="E473" i="3"/>
  <c r="B474" i="3"/>
  <c r="C474" i="3"/>
  <c r="D474" i="3"/>
  <c r="E474" i="3"/>
  <c r="B475" i="3"/>
  <c r="C475" i="3"/>
  <c r="D475" i="3"/>
  <c r="E475" i="3"/>
  <c r="B476" i="3"/>
  <c r="C476" i="3"/>
  <c r="D476" i="3"/>
  <c r="E476" i="3"/>
  <c r="B477" i="3"/>
  <c r="C477" i="3"/>
  <c r="D477" i="3"/>
  <c r="E477" i="3"/>
  <c r="B478" i="3"/>
  <c r="C478" i="3"/>
  <c r="D478" i="3"/>
  <c r="E478" i="3"/>
  <c r="B479" i="3"/>
  <c r="C479" i="3"/>
  <c r="D479" i="3"/>
  <c r="E479" i="3"/>
  <c r="B480" i="3"/>
  <c r="C480" i="3"/>
  <c r="D480" i="3"/>
  <c r="E480" i="3"/>
  <c r="B481" i="3"/>
  <c r="C481" i="3"/>
  <c r="D481" i="3"/>
  <c r="E481" i="3"/>
  <c r="B482" i="3"/>
  <c r="C482" i="3"/>
  <c r="D482" i="3"/>
  <c r="E482" i="3"/>
  <c r="B483" i="3"/>
  <c r="C483" i="3"/>
  <c r="D483" i="3"/>
  <c r="E483" i="3"/>
  <c r="B484" i="3"/>
  <c r="C484" i="3"/>
  <c r="D484" i="3"/>
  <c r="E484" i="3"/>
  <c r="B485" i="3"/>
  <c r="C485" i="3"/>
  <c r="D485" i="3"/>
  <c r="E485" i="3"/>
  <c r="B486" i="3"/>
  <c r="C486" i="3"/>
  <c r="D486" i="3"/>
  <c r="E486" i="3"/>
  <c r="B487" i="3"/>
  <c r="C487" i="3"/>
  <c r="D487" i="3"/>
  <c r="E487" i="3"/>
  <c r="B488" i="3"/>
  <c r="C488" i="3"/>
  <c r="D488" i="3"/>
  <c r="E488" i="3"/>
  <c r="B489" i="3"/>
  <c r="C489" i="3"/>
  <c r="D489" i="3"/>
  <c r="E489" i="3"/>
  <c r="B490" i="3"/>
  <c r="C490" i="3"/>
  <c r="D490" i="3"/>
  <c r="E490" i="3"/>
  <c r="B491" i="3"/>
  <c r="C491" i="3"/>
  <c r="D491" i="3"/>
  <c r="E491" i="3"/>
  <c r="B492" i="3"/>
  <c r="C492" i="3"/>
  <c r="D492" i="3"/>
  <c r="E492" i="3"/>
  <c r="B493" i="3"/>
  <c r="C493" i="3"/>
  <c r="D493" i="3"/>
  <c r="E493" i="3"/>
  <c r="B494" i="3"/>
  <c r="C494" i="3"/>
  <c r="D494" i="3"/>
  <c r="E494" i="3"/>
  <c r="B495" i="3"/>
  <c r="C495" i="3"/>
  <c r="D495" i="3"/>
  <c r="E495" i="3"/>
  <c r="B496" i="3"/>
  <c r="C496" i="3"/>
  <c r="D496" i="3"/>
  <c r="E496" i="3"/>
  <c r="B497" i="3"/>
  <c r="C497" i="3"/>
  <c r="D497" i="3"/>
  <c r="E497" i="3"/>
  <c r="B498" i="3"/>
  <c r="C498" i="3"/>
  <c r="D498" i="3"/>
  <c r="E498" i="3"/>
  <c r="B499" i="3"/>
  <c r="C499" i="3"/>
  <c r="D499" i="3"/>
  <c r="E499" i="3"/>
  <c r="B500" i="3"/>
  <c r="C500" i="3"/>
  <c r="D500" i="3"/>
  <c r="E500" i="3"/>
  <c r="B501" i="3"/>
  <c r="C501" i="3"/>
  <c r="D501" i="3"/>
  <c r="E501" i="3"/>
  <c r="B502" i="3"/>
  <c r="C502" i="3"/>
  <c r="D502" i="3"/>
  <c r="E502" i="3"/>
  <c r="B503" i="3"/>
  <c r="C503" i="3"/>
  <c r="D503" i="3"/>
  <c r="E503" i="3"/>
  <c r="B504" i="3"/>
  <c r="C504" i="3"/>
  <c r="D504" i="3"/>
  <c r="E504" i="3"/>
  <c r="B505" i="3"/>
  <c r="C505" i="3"/>
  <c r="D505" i="3"/>
  <c r="E505" i="3"/>
  <c r="B506" i="3"/>
  <c r="C506" i="3"/>
  <c r="D506" i="3"/>
  <c r="E506" i="3"/>
  <c r="B507" i="3"/>
  <c r="C507" i="3"/>
  <c r="D507" i="3"/>
  <c r="E507" i="3"/>
  <c r="B508" i="3"/>
  <c r="C508" i="3"/>
  <c r="D508" i="3"/>
  <c r="E508" i="3"/>
  <c r="B509" i="3"/>
  <c r="C509" i="3"/>
  <c r="D509" i="3"/>
  <c r="E509" i="3"/>
  <c r="B510" i="3"/>
  <c r="C510" i="3"/>
  <c r="D510" i="3"/>
  <c r="E510" i="3"/>
  <c r="B511" i="3"/>
  <c r="C511" i="3"/>
  <c r="D511" i="3"/>
  <c r="E511" i="3"/>
  <c r="B512" i="3"/>
  <c r="C512" i="3"/>
  <c r="D512" i="3"/>
  <c r="E512" i="3"/>
  <c r="B513" i="3"/>
  <c r="C513" i="3"/>
  <c r="D513" i="3"/>
  <c r="E513" i="3"/>
  <c r="B514" i="3"/>
  <c r="C514" i="3"/>
  <c r="D514" i="3"/>
  <c r="E514" i="3"/>
  <c r="B515" i="3"/>
  <c r="C515" i="3"/>
  <c r="D515" i="3"/>
  <c r="E515" i="3"/>
  <c r="B516" i="3"/>
  <c r="C516" i="3"/>
  <c r="D516" i="3"/>
  <c r="E516" i="3"/>
  <c r="B517" i="3"/>
  <c r="C517" i="3"/>
  <c r="D517" i="3"/>
  <c r="E517" i="3"/>
  <c r="B518" i="3"/>
  <c r="C518" i="3"/>
  <c r="D518" i="3"/>
  <c r="E518" i="3"/>
  <c r="B519" i="3"/>
  <c r="C519" i="3"/>
  <c r="D519" i="3"/>
  <c r="E519" i="3"/>
  <c r="B520" i="3"/>
  <c r="C520" i="3"/>
  <c r="D520" i="3"/>
  <c r="E520" i="3"/>
  <c r="B521" i="3"/>
  <c r="C521" i="3"/>
  <c r="D521" i="3"/>
  <c r="E521" i="3"/>
  <c r="B522" i="3"/>
  <c r="C522" i="3"/>
  <c r="D522" i="3"/>
  <c r="E522" i="3"/>
  <c r="B523" i="3"/>
  <c r="C523" i="3"/>
  <c r="D523" i="3"/>
  <c r="E523" i="3"/>
  <c r="B524" i="3"/>
  <c r="C524" i="3"/>
  <c r="D524" i="3"/>
  <c r="E524" i="3"/>
  <c r="B525" i="3"/>
  <c r="C525" i="3"/>
  <c r="D525" i="3"/>
  <c r="E525" i="3"/>
  <c r="B526" i="3"/>
  <c r="C526" i="3"/>
  <c r="D526" i="3"/>
  <c r="E526" i="3"/>
  <c r="B527" i="3"/>
  <c r="C527" i="3"/>
  <c r="D527" i="3"/>
  <c r="E527" i="3"/>
  <c r="B528" i="3"/>
  <c r="C528" i="3"/>
  <c r="D528" i="3"/>
  <c r="E528" i="3"/>
  <c r="B529" i="3"/>
  <c r="C529" i="3"/>
  <c r="D529" i="3"/>
  <c r="E529" i="3"/>
  <c r="B530" i="3"/>
  <c r="C530" i="3"/>
  <c r="D530" i="3"/>
  <c r="E530" i="3"/>
  <c r="B531" i="3"/>
  <c r="C531" i="3"/>
  <c r="D531" i="3"/>
  <c r="E531" i="3"/>
  <c r="B532" i="3"/>
  <c r="C532" i="3"/>
  <c r="D532" i="3"/>
  <c r="E532" i="3"/>
  <c r="B533" i="3"/>
  <c r="C533" i="3"/>
  <c r="D533" i="3"/>
  <c r="E533" i="3"/>
  <c r="B534" i="3"/>
  <c r="C534" i="3"/>
  <c r="D534" i="3"/>
  <c r="E534" i="3"/>
  <c r="B535" i="3"/>
  <c r="C535" i="3"/>
  <c r="D535" i="3"/>
  <c r="E535" i="3"/>
  <c r="B536" i="3"/>
  <c r="C536" i="3"/>
  <c r="D536" i="3"/>
  <c r="E536" i="3"/>
  <c r="B537" i="3"/>
  <c r="C537" i="3"/>
  <c r="D537" i="3"/>
  <c r="E537" i="3"/>
  <c r="B538" i="3"/>
  <c r="C538" i="3"/>
  <c r="D538" i="3"/>
  <c r="E538" i="3"/>
  <c r="B539" i="3"/>
  <c r="C539" i="3"/>
  <c r="D539" i="3"/>
  <c r="E539" i="3"/>
  <c r="B540" i="3"/>
  <c r="C540" i="3"/>
  <c r="D540" i="3"/>
  <c r="E540" i="3"/>
  <c r="B541" i="3"/>
  <c r="C541" i="3"/>
  <c r="D541" i="3"/>
  <c r="E541" i="3"/>
  <c r="B542" i="3"/>
  <c r="C542" i="3"/>
  <c r="D542" i="3"/>
  <c r="E542" i="3"/>
  <c r="B543" i="3"/>
  <c r="C543" i="3"/>
  <c r="D543" i="3"/>
  <c r="E543" i="3"/>
  <c r="B544" i="3"/>
  <c r="C544" i="3"/>
  <c r="D544" i="3"/>
  <c r="E544" i="3"/>
  <c r="B545" i="3"/>
  <c r="C545" i="3"/>
  <c r="D545" i="3"/>
  <c r="E545" i="3"/>
  <c r="B546" i="3"/>
  <c r="C546" i="3"/>
  <c r="D546" i="3"/>
  <c r="E546" i="3"/>
  <c r="B547" i="3"/>
  <c r="C547" i="3"/>
  <c r="D547" i="3"/>
  <c r="E547" i="3"/>
  <c r="B548" i="3"/>
  <c r="C548" i="3"/>
  <c r="D548" i="3"/>
  <c r="E548" i="3"/>
  <c r="B549" i="3"/>
  <c r="C549" i="3"/>
  <c r="D549" i="3"/>
  <c r="E549" i="3"/>
  <c r="B550" i="3"/>
  <c r="C550" i="3"/>
  <c r="D550" i="3"/>
  <c r="E550" i="3"/>
  <c r="B551" i="3"/>
  <c r="C551" i="3"/>
  <c r="D551" i="3"/>
  <c r="E551" i="3"/>
  <c r="B552" i="3"/>
  <c r="C552" i="3"/>
  <c r="D552" i="3"/>
  <c r="E552" i="3"/>
  <c r="B553" i="3"/>
  <c r="C553" i="3"/>
  <c r="D553" i="3"/>
  <c r="E553" i="3"/>
  <c r="B554" i="3"/>
  <c r="C554" i="3"/>
  <c r="D554" i="3"/>
  <c r="E554" i="3"/>
  <c r="B555" i="3"/>
  <c r="C555" i="3"/>
  <c r="D555" i="3"/>
  <c r="E555" i="3"/>
  <c r="B556" i="3"/>
  <c r="C556" i="3"/>
  <c r="D556" i="3"/>
  <c r="E556" i="3"/>
  <c r="B557" i="3"/>
  <c r="C557" i="3"/>
  <c r="D557" i="3"/>
  <c r="E557" i="3"/>
  <c r="B558" i="3"/>
  <c r="C558" i="3"/>
  <c r="D558" i="3"/>
  <c r="E558" i="3"/>
  <c r="B559" i="3"/>
  <c r="C559" i="3"/>
  <c r="D559" i="3"/>
  <c r="E559" i="3"/>
  <c r="B560" i="3"/>
  <c r="C560" i="3"/>
  <c r="D560" i="3"/>
  <c r="E560" i="3"/>
  <c r="B561" i="3"/>
  <c r="C561" i="3"/>
  <c r="D561" i="3"/>
  <c r="E561" i="3"/>
  <c r="B562" i="3"/>
  <c r="C562" i="3"/>
  <c r="D562" i="3"/>
  <c r="E562" i="3"/>
  <c r="B563" i="3"/>
  <c r="C563" i="3"/>
  <c r="D563" i="3"/>
  <c r="E563" i="3"/>
  <c r="B564" i="3"/>
  <c r="C564" i="3"/>
  <c r="D564" i="3"/>
  <c r="E564" i="3"/>
  <c r="B565" i="3"/>
  <c r="C565" i="3"/>
  <c r="D565" i="3"/>
  <c r="E565" i="3"/>
  <c r="B566" i="3"/>
  <c r="C566" i="3"/>
  <c r="D566" i="3"/>
  <c r="E566" i="3"/>
  <c r="B567" i="3"/>
  <c r="C567" i="3"/>
  <c r="D567" i="3"/>
  <c r="E567" i="3"/>
  <c r="B568" i="3"/>
  <c r="C568" i="3"/>
  <c r="D568" i="3"/>
  <c r="E568" i="3"/>
  <c r="B569" i="3"/>
  <c r="C569" i="3"/>
  <c r="D569" i="3"/>
  <c r="E569" i="3"/>
  <c r="B570" i="3"/>
  <c r="C570" i="3"/>
  <c r="D570" i="3"/>
  <c r="E570" i="3"/>
  <c r="B571" i="3"/>
  <c r="C571" i="3"/>
  <c r="D571" i="3"/>
  <c r="E571" i="3"/>
  <c r="B572" i="3"/>
  <c r="C572" i="3"/>
  <c r="D572" i="3"/>
  <c r="E572" i="3"/>
  <c r="B573" i="3"/>
  <c r="C573" i="3"/>
  <c r="D573" i="3"/>
  <c r="E573" i="3"/>
  <c r="B574" i="3"/>
  <c r="C574" i="3"/>
  <c r="D574" i="3"/>
  <c r="E574" i="3"/>
  <c r="B575" i="3"/>
  <c r="C575" i="3"/>
  <c r="D575" i="3"/>
  <c r="E575" i="3"/>
  <c r="B576" i="3"/>
  <c r="C576" i="3"/>
  <c r="D576" i="3"/>
  <c r="E576" i="3"/>
  <c r="B577" i="3"/>
  <c r="C577" i="3"/>
  <c r="D577" i="3"/>
  <c r="E577" i="3"/>
  <c r="B578" i="3"/>
  <c r="C578" i="3"/>
  <c r="D578" i="3"/>
  <c r="E578" i="3"/>
  <c r="B579" i="3"/>
  <c r="C579" i="3"/>
  <c r="D579" i="3"/>
  <c r="E579" i="3"/>
  <c r="B580" i="3"/>
  <c r="C580" i="3"/>
  <c r="D580" i="3"/>
  <c r="E580" i="3"/>
  <c r="B581" i="3"/>
  <c r="C581" i="3"/>
  <c r="D581" i="3"/>
  <c r="E581" i="3"/>
  <c r="B582" i="3"/>
  <c r="C582" i="3"/>
  <c r="D582" i="3"/>
  <c r="E582" i="3"/>
  <c r="B583" i="3"/>
  <c r="C583" i="3"/>
  <c r="D583" i="3"/>
  <c r="E583" i="3"/>
  <c r="B584" i="3"/>
  <c r="C584" i="3"/>
  <c r="D584" i="3"/>
  <c r="E584" i="3"/>
  <c r="B585" i="3"/>
  <c r="C585" i="3"/>
  <c r="D585" i="3"/>
  <c r="E585" i="3"/>
  <c r="B586" i="3"/>
  <c r="C586" i="3"/>
  <c r="D586" i="3"/>
  <c r="E586" i="3"/>
  <c r="B587" i="3"/>
  <c r="C587" i="3"/>
  <c r="D587" i="3"/>
  <c r="E587" i="3"/>
  <c r="B588" i="3"/>
  <c r="C588" i="3"/>
  <c r="D588" i="3"/>
  <c r="E588" i="3"/>
  <c r="B589" i="3"/>
  <c r="C589" i="3"/>
  <c r="D589" i="3"/>
  <c r="E589" i="3"/>
  <c r="B590" i="3"/>
  <c r="C590" i="3"/>
  <c r="D590" i="3"/>
  <c r="E590" i="3"/>
  <c r="B591" i="3"/>
  <c r="C591" i="3"/>
  <c r="D591" i="3"/>
  <c r="E591" i="3"/>
  <c r="B592" i="3"/>
  <c r="C592" i="3"/>
  <c r="D592" i="3"/>
  <c r="E592" i="3"/>
  <c r="B593" i="3"/>
  <c r="C593" i="3"/>
  <c r="D593" i="3"/>
  <c r="E593" i="3"/>
  <c r="B594" i="3"/>
  <c r="C594" i="3"/>
  <c r="D594" i="3"/>
  <c r="E594" i="3"/>
  <c r="B595" i="3"/>
  <c r="C595" i="3"/>
  <c r="D595" i="3"/>
  <c r="E595" i="3"/>
  <c r="B596" i="3"/>
  <c r="C596" i="3"/>
  <c r="D596" i="3"/>
  <c r="E596" i="3"/>
  <c r="B597" i="3"/>
  <c r="C597" i="3"/>
  <c r="D597" i="3"/>
  <c r="E597" i="3"/>
  <c r="B598" i="3"/>
  <c r="C598" i="3"/>
  <c r="D598" i="3"/>
  <c r="E598" i="3"/>
  <c r="B599" i="3"/>
  <c r="C599" i="3"/>
  <c r="D599" i="3"/>
  <c r="E599" i="3"/>
  <c r="B600" i="3"/>
  <c r="C600" i="3"/>
  <c r="D600" i="3"/>
  <c r="E600" i="3"/>
  <c r="B601" i="3"/>
  <c r="C601" i="3"/>
  <c r="D601" i="3"/>
  <c r="E601" i="3"/>
  <c r="B602" i="3"/>
  <c r="C602" i="3"/>
  <c r="D602" i="3"/>
  <c r="E602" i="3"/>
  <c r="B603" i="3"/>
  <c r="C603" i="3"/>
  <c r="D603" i="3"/>
  <c r="E603" i="3"/>
  <c r="B604" i="3"/>
  <c r="C604" i="3"/>
  <c r="D604" i="3"/>
  <c r="E604" i="3"/>
  <c r="B605" i="3"/>
  <c r="C605" i="3"/>
  <c r="D605" i="3"/>
  <c r="E605" i="3"/>
  <c r="B606" i="3"/>
  <c r="C606" i="3"/>
  <c r="D606" i="3"/>
  <c r="E606" i="3"/>
  <c r="B607" i="3"/>
  <c r="C607" i="3"/>
  <c r="D607" i="3"/>
  <c r="E607" i="3"/>
  <c r="B608" i="3"/>
  <c r="C608" i="3"/>
  <c r="D608" i="3"/>
  <c r="E608" i="3"/>
  <c r="B609" i="3"/>
  <c r="C609" i="3"/>
  <c r="D609" i="3"/>
  <c r="E609" i="3"/>
  <c r="B610" i="3"/>
  <c r="C610" i="3"/>
  <c r="D610" i="3"/>
  <c r="E610" i="3"/>
  <c r="B611" i="3"/>
  <c r="C611" i="3"/>
  <c r="D611" i="3"/>
  <c r="E611" i="3"/>
  <c r="B612" i="3"/>
  <c r="C612" i="3"/>
  <c r="D612" i="3"/>
  <c r="E612" i="3"/>
  <c r="B613" i="3"/>
  <c r="C613" i="3"/>
  <c r="D613" i="3"/>
  <c r="E613" i="3"/>
  <c r="B614" i="3"/>
  <c r="C614" i="3"/>
  <c r="D614" i="3"/>
  <c r="E614" i="3"/>
  <c r="B615" i="3"/>
  <c r="C615" i="3"/>
  <c r="D615" i="3"/>
  <c r="E615" i="3"/>
  <c r="B616" i="3"/>
  <c r="C616" i="3"/>
  <c r="D616" i="3"/>
  <c r="E616" i="3"/>
  <c r="B617" i="3"/>
  <c r="C617" i="3"/>
  <c r="D617" i="3"/>
  <c r="E617" i="3"/>
  <c r="B618" i="3"/>
  <c r="C618" i="3"/>
  <c r="D618" i="3"/>
  <c r="E618" i="3"/>
  <c r="B619" i="3"/>
  <c r="C619" i="3"/>
  <c r="D619" i="3"/>
  <c r="E619" i="3"/>
  <c r="B620" i="3"/>
  <c r="C620" i="3"/>
  <c r="D620" i="3"/>
  <c r="E620" i="3"/>
  <c r="B621" i="3"/>
  <c r="C621" i="3"/>
  <c r="D621" i="3"/>
  <c r="E621" i="3"/>
  <c r="B622" i="3"/>
  <c r="C622" i="3"/>
  <c r="D622" i="3"/>
  <c r="E622" i="3"/>
  <c r="B623" i="3"/>
  <c r="C623" i="3"/>
  <c r="D623" i="3"/>
  <c r="E623" i="3"/>
  <c r="B624" i="3"/>
  <c r="C624" i="3"/>
  <c r="D624" i="3"/>
  <c r="E624" i="3"/>
  <c r="B625" i="3"/>
  <c r="C625" i="3"/>
  <c r="D625" i="3"/>
  <c r="E625" i="3"/>
  <c r="B626" i="3"/>
  <c r="C626" i="3"/>
  <c r="D626" i="3"/>
  <c r="E626" i="3"/>
  <c r="B627" i="3"/>
  <c r="C627" i="3"/>
  <c r="D627" i="3"/>
  <c r="E627" i="3"/>
  <c r="B628" i="3"/>
  <c r="C628" i="3"/>
  <c r="D628" i="3"/>
  <c r="E628" i="3"/>
  <c r="B629" i="3"/>
  <c r="C629" i="3"/>
  <c r="D629" i="3"/>
  <c r="E629" i="3"/>
  <c r="B630" i="3"/>
  <c r="C630" i="3"/>
  <c r="D630" i="3"/>
  <c r="E630" i="3"/>
  <c r="B631" i="3"/>
  <c r="C631" i="3"/>
  <c r="D631" i="3"/>
  <c r="E631" i="3"/>
  <c r="B632" i="3"/>
  <c r="C632" i="3"/>
  <c r="D632" i="3"/>
  <c r="E632" i="3"/>
  <c r="B633" i="3"/>
  <c r="C633" i="3"/>
  <c r="D633" i="3"/>
  <c r="E633" i="3"/>
  <c r="B634" i="3"/>
  <c r="C634" i="3"/>
  <c r="D634" i="3"/>
  <c r="E634" i="3"/>
  <c r="B635" i="3"/>
  <c r="C635" i="3"/>
  <c r="D635" i="3"/>
  <c r="E635" i="3"/>
  <c r="B636" i="3"/>
  <c r="C636" i="3"/>
  <c r="D636" i="3"/>
  <c r="E636" i="3"/>
  <c r="B637" i="3"/>
  <c r="C637" i="3"/>
  <c r="D637" i="3"/>
  <c r="E637" i="3"/>
  <c r="B638" i="3"/>
  <c r="C638" i="3"/>
  <c r="D638" i="3"/>
  <c r="E638" i="3"/>
  <c r="B639" i="3"/>
  <c r="C639" i="3"/>
  <c r="D639" i="3"/>
  <c r="E639" i="3"/>
  <c r="B640" i="3"/>
  <c r="C640" i="3"/>
  <c r="D640" i="3"/>
  <c r="E640" i="3"/>
  <c r="B641" i="3"/>
  <c r="C641" i="3"/>
  <c r="D641" i="3"/>
  <c r="E641" i="3"/>
  <c r="B642" i="3"/>
  <c r="C642" i="3"/>
  <c r="D642" i="3"/>
  <c r="E642" i="3"/>
  <c r="B643" i="3"/>
  <c r="C643" i="3"/>
  <c r="D643" i="3"/>
  <c r="E643" i="3"/>
  <c r="B644" i="3"/>
  <c r="C644" i="3"/>
  <c r="D644" i="3"/>
  <c r="E644" i="3"/>
  <c r="B645" i="3"/>
  <c r="C645" i="3"/>
  <c r="D645" i="3"/>
  <c r="E645" i="3"/>
  <c r="B646" i="3"/>
  <c r="C646" i="3"/>
  <c r="D646" i="3"/>
  <c r="E646" i="3"/>
  <c r="B647" i="3"/>
  <c r="C647" i="3"/>
  <c r="D647" i="3"/>
  <c r="E647" i="3"/>
  <c r="B648" i="3"/>
  <c r="C648" i="3"/>
  <c r="D648" i="3"/>
  <c r="E648" i="3"/>
  <c r="B649" i="3"/>
  <c r="C649" i="3"/>
  <c r="D649" i="3"/>
  <c r="E649" i="3"/>
  <c r="B650" i="3"/>
  <c r="C650" i="3"/>
  <c r="D650" i="3"/>
  <c r="E650" i="3"/>
  <c r="B651" i="3"/>
  <c r="C651" i="3"/>
  <c r="D651" i="3"/>
  <c r="E651" i="3"/>
  <c r="B652" i="3"/>
  <c r="C652" i="3"/>
  <c r="D652" i="3"/>
  <c r="E652" i="3"/>
  <c r="B653" i="3"/>
  <c r="C653" i="3"/>
  <c r="D653" i="3"/>
  <c r="E653" i="3"/>
  <c r="B654" i="3"/>
  <c r="C654" i="3"/>
  <c r="D654" i="3"/>
  <c r="E654" i="3"/>
  <c r="B655" i="3"/>
  <c r="C655" i="3"/>
  <c r="D655" i="3"/>
  <c r="E655" i="3"/>
  <c r="B656" i="3"/>
  <c r="C656" i="3"/>
  <c r="D656" i="3"/>
  <c r="E656" i="3"/>
  <c r="B657" i="3"/>
  <c r="C657" i="3"/>
  <c r="D657" i="3"/>
  <c r="E657" i="3"/>
  <c r="B658" i="3"/>
  <c r="C658" i="3"/>
  <c r="D658" i="3"/>
  <c r="E658" i="3"/>
  <c r="B659" i="3"/>
  <c r="C659" i="3"/>
  <c r="D659" i="3"/>
  <c r="E659" i="3"/>
  <c r="B660" i="3"/>
  <c r="C660" i="3"/>
  <c r="D660" i="3"/>
  <c r="E660" i="3"/>
  <c r="B661" i="3"/>
  <c r="C661" i="3"/>
  <c r="D661" i="3"/>
  <c r="E661" i="3"/>
  <c r="B662" i="3"/>
  <c r="C662" i="3"/>
  <c r="D662" i="3"/>
  <c r="E662" i="3"/>
  <c r="B663" i="3"/>
  <c r="C663" i="3"/>
  <c r="D663" i="3"/>
  <c r="E663" i="3"/>
  <c r="B664" i="3"/>
  <c r="C664" i="3"/>
  <c r="D664" i="3"/>
  <c r="E664" i="3"/>
  <c r="B665" i="3"/>
  <c r="C665" i="3"/>
  <c r="D665" i="3"/>
  <c r="E665" i="3"/>
  <c r="B666" i="3"/>
  <c r="C666" i="3"/>
  <c r="D666" i="3"/>
  <c r="E666" i="3"/>
  <c r="B667" i="3"/>
  <c r="C667" i="3"/>
  <c r="D667" i="3"/>
  <c r="E667" i="3"/>
  <c r="B668" i="3"/>
  <c r="C668" i="3"/>
  <c r="D668" i="3"/>
  <c r="E668" i="3"/>
  <c r="B669" i="3"/>
  <c r="C669" i="3"/>
  <c r="D669" i="3"/>
  <c r="E669" i="3"/>
  <c r="B670" i="3"/>
  <c r="C670" i="3"/>
  <c r="D670" i="3"/>
  <c r="E670" i="3"/>
  <c r="B671" i="3"/>
  <c r="C671" i="3"/>
  <c r="D671" i="3"/>
  <c r="E671" i="3"/>
  <c r="B672" i="3"/>
  <c r="C672" i="3"/>
  <c r="D672" i="3"/>
  <c r="E672" i="3"/>
  <c r="B673" i="3"/>
  <c r="C673" i="3"/>
  <c r="D673" i="3"/>
  <c r="E673" i="3"/>
  <c r="B674" i="3"/>
  <c r="C674" i="3"/>
  <c r="D674" i="3"/>
  <c r="E674" i="3"/>
  <c r="B675" i="3"/>
  <c r="C675" i="3"/>
  <c r="D675" i="3"/>
  <c r="E675" i="3"/>
  <c r="B676" i="3"/>
  <c r="C676" i="3"/>
  <c r="D676" i="3"/>
  <c r="E676" i="3"/>
  <c r="B677" i="3"/>
  <c r="C677" i="3"/>
  <c r="D677" i="3"/>
  <c r="E677" i="3"/>
  <c r="B678" i="3"/>
  <c r="C678" i="3"/>
  <c r="D678" i="3"/>
  <c r="E678" i="3"/>
  <c r="B679" i="3"/>
  <c r="C679" i="3"/>
  <c r="D679" i="3"/>
  <c r="E679" i="3"/>
  <c r="B680" i="3"/>
  <c r="C680" i="3"/>
  <c r="D680" i="3"/>
  <c r="E680" i="3"/>
  <c r="B681" i="3"/>
  <c r="C681" i="3"/>
  <c r="D681" i="3"/>
  <c r="E681" i="3"/>
  <c r="B682" i="3"/>
  <c r="C682" i="3"/>
  <c r="D682" i="3"/>
  <c r="E682" i="3"/>
  <c r="B683" i="3"/>
  <c r="C683" i="3"/>
  <c r="D683" i="3"/>
  <c r="E683" i="3"/>
  <c r="B684" i="3"/>
  <c r="C684" i="3"/>
  <c r="D684" i="3"/>
  <c r="E684" i="3"/>
  <c r="B685" i="3"/>
  <c r="C685" i="3"/>
  <c r="D685" i="3"/>
  <c r="E685" i="3"/>
  <c r="B686" i="3"/>
  <c r="C686" i="3"/>
  <c r="D686" i="3"/>
  <c r="E686" i="3"/>
  <c r="B687" i="3"/>
  <c r="C687" i="3"/>
  <c r="D687" i="3"/>
  <c r="E687" i="3"/>
  <c r="B688" i="3"/>
  <c r="C688" i="3"/>
  <c r="D688" i="3"/>
  <c r="E688" i="3"/>
  <c r="B689" i="3"/>
  <c r="C689" i="3"/>
  <c r="D689" i="3"/>
  <c r="E689" i="3"/>
  <c r="B690" i="3"/>
  <c r="C690" i="3"/>
  <c r="D690" i="3"/>
  <c r="E690" i="3"/>
  <c r="B691" i="3"/>
  <c r="C691" i="3"/>
  <c r="D691" i="3"/>
  <c r="E691" i="3"/>
  <c r="B692" i="3"/>
  <c r="C692" i="3"/>
  <c r="D692" i="3"/>
  <c r="E692" i="3"/>
  <c r="B693" i="3"/>
  <c r="C693" i="3"/>
  <c r="D693" i="3"/>
  <c r="E693" i="3"/>
  <c r="B694" i="3"/>
  <c r="C694" i="3"/>
  <c r="D694" i="3"/>
  <c r="E694" i="3"/>
  <c r="B695" i="3"/>
  <c r="C695" i="3"/>
  <c r="D695" i="3"/>
  <c r="E695" i="3"/>
  <c r="B696" i="3"/>
  <c r="C696" i="3"/>
  <c r="D696" i="3"/>
  <c r="E696" i="3"/>
  <c r="B697" i="3"/>
  <c r="C697" i="3"/>
  <c r="D697" i="3"/>
  <c r="E697" i="3"/>
  <c r="B698" i="3"/>
  <c r="C698" i="3"/>
  <c r="D698" i="3"/>
  <c r="E698" i="3"/>
  <c r="B699" i="3"/>
  <c r="C699" i="3"/>
  <c r="D699" i="3"/>
  <c r="E699" i="3"/>
  <c r="B700" i="3"/>
  <c r="C700" i="3"/>
  <c r="D700" i="3"/>
  <c r="E700" i="3"/>
  <c r="B701" i="3"/>
  <c r="C701" i="3"/>
  <c r="D701" i="3"/>
  <c r="E701" i="3"/>
  <c r="B702" i="3"/>
  <c r="C702" i="3"/>
  <c r="D702" i="3"/>
  <c r="E702" i="3"/>
  <c r="B703" i="3"/>
  <c r="C703" i="3"/>
  <c r="D703" i="3"/>
  <c r="E703" i="3"/>
  <c r="B704" i="3"/>
  <c r="C704" i="3"/>
  <c r="D704" i="3"/>
  <c r="E704" i="3"/>
  <c r="B705" i="3"/>
  <c r="C705" i="3"/>
  <c r="D705" i="3"/>
  <c r="E705" i="3"/>
  <c r="B706" i="3"/>
  <c r="C706" i="3"/>
  <c r="D706" i="3"/>
  <c r="E706" i="3"/>
  <c r="B707" i="3"/>
  <c r="C707" i="3"/>
  <c r="D707" i="3"/>
  <c r="E707" i="3"/>
  <c r="B708" i="3"/>
  <c r="C708" i="3"/>
  <c r="D708" i="3"/>
  <c r="E708" i="3"/>
  <c r="B709" i="3"/>
  <c r="C709" i="3"/>
  <c r="D709" i="3"/>
  <c r="E709" i="3"/>
  <c r="B710" i="3"/>
  <c r="C710" i="3"/>
  <c r="D710" i="3"/>
  <c r="E710" i="3"/>
  <c r="B711" i="3"/>
  <c r="C711" i="3"/>
  <c r="D711" i="3"/>
  <c r="E711" i="3"/>
  <c r="B712" i="3"/>
  <c r="C712" i="3"/>
  <c r="D712" i="3"/>
  <c r="E712" i="3"/>
  <c r="B713" i="3"/>
  <c r="C713" i="3"/>
  <c r="D713" i="3"/>
  <c r="E713" i="3"/>
  <c r="B714" i="3"/>
  <c r="C714" i="3"/>
  <c r="D714" i="3"/>
  <c r="E714" i="3"/>
  <c r="B715" i="3"/>
  <c r="C715" i="3"/>
  <c r="D715" i="3"/>
  <c r="E715" i="3"/>
  <c r="B716" i="3"/>
  <c r="C716" i="3"/>
  <c r="D716" i="3"/>
  <c r="E716" i="3"/>
  <c r="B717" i="3"/>
  <c r="C717" i="3"/>
  <c r="D717" i="3"/>
  <c r="E717" i="3"/>
  <c r="B718" i="3"/>
  <c r="C718" i="3"/>
  <c r="D718" i="3"/>
  <c r="E718" i="3"/>
  <c r="B719" i="3"/>
  <c r="C719" i="3"/>
  <c r="D719" i="3"/>
  <c r="E719" i="3"/>
  <c r="B720" i="3"/>
  <c r="C720" i="3"/>
  <c r="D720" i="3"/>
  <c r="E720" i="3"/>
  <c r="B721" i="3"/>
  <c r="C721" i="3"/>
  <c r="D721" i="3"/>
  <c r="E721" i="3"/>
  <c r="B722" i="3"/>
  <c r="C722" i="3"/>
  <c r="D722" i="3"/>
  <c r="E722" i="3"/>
  <c r="B723" i="3"/>
  <c r="C723" i="3"/>
  <c r="D723" i="3"/>
  <c r="E723" i="3"/>
  <c r="B724" i="3"/>
  <c r="C724" i="3"/>
  <c r="D724" i="3"/>
  <c r="E724" i="3"/>
  <c r="B725" i="3"/>
  <c r="C725" i="3"/>
  <c r="D725" i="3"/>
  <c r="E725" i="3"/>
  <c r="B726" i="3"/>
  <c r="C726" i="3"/>
  <c r="D726" i="3"/>
  <c r="E726" i="3"/>
  <c r="B727" i="3"/>
  <c r="C727" i="3"/>
  <c r="D727" i="3"/>
  <c r="E727" i="3"/>
  <c r="B728" i="3"/>
  <c r="C728" i="3"/>
  <c r="D728" i="3"/>
  <c r="E728" i="3"/>
  <c r="B729" i="3"/>
  <c r="C729" i="3"/>
  <c r="D729" i="3"/>
  <c r="E729" i="3"/>
  <c r="B730" i="3"/>
  <c r="C730" i="3"/>
  <c r="D730" i="3"/>
  <c r="E730" i="3"/>
  <c r="B731" i="3"/>
  <c r="C731" i="3"/>
  <c r="D731" i="3"/>
  <c r="E731" i="3"/>
  <c r="B732" i="3"/>
  <c r="C732" i="3"/>
  <c r="D732" i="3"/>
  <c r="E732" i="3"/>
  <c r="B733" i="3"/>
  <c r="C733" i="3"/>
  <c r="D733" i="3"/>
  <c r="E733" i="3"/>
  <c r="B734" i="3"/>
  <c r="C734" i="3"/>
  <c r="D734" i="3"/>
  <c r="E734" i="3"/>
  <c r="B735" i="3"/>
  <c r="C735" i="3"/>
  <c r="D735" i="3"/>
  <c r="E735" i="3"/>
  <c r="B736" i="3"/>
  <c r="C736" i="3"/>
  <c r="D736" i="3"/>
  <c r="E736" i="3"/>
  <c r="B737" i="3"/>
  <c r="C737" i="3"/>
  <c r="D737" i="3"/>
  <c r="E737" i="3"/>
  <c r="B738" i="3"/>
  <c r="C738" i="3"/>
  <c r="D738" i="3"/>
  <c r="E738" i="3"/>
  <c r="B739" i="3"/>
  <c r="C739" i="3"/>
  <c r="D739" i="3"/>
  <c r="E739" i="3"/>
  <c r="B740" i="3"/>
  <c r="C740" i="3"/>
  <c r="D740" i="3"/>
  <c r="E740" i="3"/>
  <c r="B741" i="3"/>
  <c r="C741" i="3"/>
  <c r="D741" i="3"/>
  <c r="E741" i="3"/>
  <c r="B742" i="3"/>
  <c r="C742" i="3"/>
  <c r="D742" i="3"/>
  <c r="E742" i="3"/>
  <c r="B743" i="3"/>
  <c r="C743" i="3"/>
  <c r="D743" i="3"/>
  <c r="E743" i="3"/>
  <c r="B744" i="3"/>
  <c r="C744" i="3"/>
  <c r="D744" i="3"/>
  <c r="E744" i="3"/>
  <c r="B745" i="3"/>
  <c r="C745" i="3"/>
  <c r="D745" i="3"/>
  <c r="E745" i="3"/>
  <c r="B746" i="3"/>
  <c r="C746" i="3"/>
  <c r="D746" i="3"/>
  <c r="E746" i="3"/>
  <c r="B747" i="3"/>
  <c r="C747" i="3"/>
  <c r="D747" i="3"/>
  <c r="E747" i="3"/>
  <c r="B748" i="3"/>
  <c r="C748" i="3"/>
  <c r="D748" i="3"/>
  <c r="E748" i="3"/>
  <c r="B749" i="3"/>
  <c r="C749" i="3"/>
  <c r="D749" i="3"/>
  <c r="E749" i="3"/>
  <c r="B750" i="3"/>
  <c r="C750" i="3"/>
  <c r="D750" i="3"/>
  <c r="E750" i="3"/>
  <c r="B751" i="3"/>
  <c r="C751" i="3"/>
  <c r="D751" i="3"/>
  <c r="E751" i="3"/>
  <c r="B752" i="3"/>
  <c r="C752" i="3"/>
  <c r="D752" i="3"/>
  <c r="E752" i="3"/>
  <c r="B753" i="3"/>
  <c r="C753" i="3"/>
  <c r="D753" i="3"/>
  <c r="E753" i="3"/>
  <c r="B754" i="3"/>
  <c r="C754" i="3"/>
  <c r="D754" i="3"/>
  <c r="E754" i="3"/>
  <c r="B755" i="3"/>
  <c r="C755" i="3"/>
  <c r="D755" i="3"/>
  <c r="E755" i="3"/>
  <c r="B756" i="3"/>
  <c r="C756" i="3"/>
  <c r="D756" i="3"/>
  <c r="E756" i="3"/>
  <c r="B757" i="3"/>
  <c r="C757" i="3"/>
  <c r="D757" i="3"/>
  <c r="E757" i="3"/>
  <c r="B758" i="3"/>
  <c r="C758" i="3"/>
  <c r="D758" i="3"/>
  <c r="E758" i="3"/>
  <c r="B759" i="3"/>
  <c r="C759" i="3"/>
  <c r="D759" i="3"/>
  <c r="E759" i="3"/>
  <c r="B760" i="3"/>
  <c r="C760" i="3"/>
  <c r="D760" i="3"/>
  <c r="E760" i="3"/>
  <c r="B761" i="3"/>
  <c r="C761" i="3"/>
  <c r="D761" i="3"/>
  <c r="E761" i="3"/>
  <c r="B762" i="3"/>
  <c r="C762" i="3"/>
  <c r="D762" i="3"/>
  <c r="E762" i="3"/>
  <c r="B763" i="3"/>
  <c r="C763" i="3"/>
  <c r="D763" i="3"/>
  <c r="E763" i="3"/>
  <c r="B764" i="3"/>
  <c r="C764" i="3"/>
  <c r="D764" i="3"/>
  <c r="E764" i="3"/>
  <c r="B765" i="3"/>
  <c r="C765" i="3"/>
  <c r="D765" i="3"/>
  <c r="E765" i="3"/>
  <c r="B766" i="3"/>
  <c r="C766" i="3"/>
  <c r="D766" i="3"/>
  <c r="E766" i="3"/>
  <c r="B767" i="3"/>
  <c r="C767" i="3"/>
  <c r="D767" i="3"/>
  <c r="E767" i="3"/>
  <c r="B768" i="3"/>
  <c r="C768" i="3"/>
  <c r="D768" i="3"/>
  <c r="E768" i="3"/>
  <c r="B769" i="3"/>
  <c r="C769" i="3"/>
  <c r="D769" i="3"/>
  <c r="E769" i="3"/>
  <c r="B770" i="3"/>
  <c r="C770" i="3"/>
  <c r="D770" i="3"/>
  <c r="E770" i="3"/>
  <c r="B771" i="3"/>
  <c r="C771" i="3"/>
  <c r="D771" i="3"/>
  <c r="E771" i="3"/>
  <c r="B772" i="3"/>
  <c r="C772" i="3"/>
  <c r="D772" i="3"/>
  <c r="E772" i="3"/>
  <c r="B773" i="3"/>
  <c r="C773" i="3"/>
  <c r="D773" i="3"/>
  <c r="E773" i="3"/>
  <c r="B774" i="3"/>
  <c r="C774" i="3"/>
  <c r="D774" i="3"/>
  <c r="E774" i="3"/>
  <c r="B775" i="3"/>
  <c r="C775" i="3"/>
  <c r="D775" i="3"/>
  <c r="E775" i="3"/>
  <c r="B776" i="3"/>
  <c r="C776" i="3"/>
  <c r="D776" i="3"/>
  <c r="E776" i="3"/>
  <c r="B777" i="3"/>
  <c r="C777" i="3"/>
  <c r="D777" i="3"/>
  <c r="E777" i="3"/>
  <c r="B778" i="3"/>
  <c r="C778" i="3"/>
  <c r="D778" i="3"/>
  <c r="E778" i="3"/>
  <c r="B779" i="3"/>
  <c r="C779" i="3"/>
  <c r="D779" i="3"/>
  <c r="E779" i="3"/>
  <c r="B780" i="3"/>
  <c r="C780" i="3"/>
  <c r="D780" i="3"/>
  <c r="E780" i="3"/>
  <c r="B781" i="3"/>
  <c r="C781" i="3"/>
  <c r="D781" i="3"/>
  <c r="E781" i="3"/>
  <c r="B782" i="3"/>
  <c r="C782" i="3"/>
  <c r="D782" i="3"/>
  <c r="E782" i="3"/>
  <c r="B783" i="3"/>
  <c r="C783" i="3"/>
  <c r="D783" i="3"/>
  <c r="E783" i="3"/>
  <c r="B784" i="3"/>
  <c r="C784" i="3"/>
  <c r="D784" i="3"/>
  <c r="E784" i="3"/>
  <c r="B785" i="3"/>
  <c r="C785" i="3"/>
  <c r="D785" i="3"/>
  <c r="E785" i="3"/>
  <c r="B786" i="3"/>
  <c r="C786" i="3"/>
  <c r="D786" i="3"/>
  <c r="E786" i="3"/>
  <c r="B787" i="3"/>
  <c r="C787" i="3"/>
  <c r="D787" i="3"/>
  <c r="E787" i="3"/>
  <c r="B788" i="3"/>
  <c r="C788" i="3"/>
  <c r="D788" i="3"/>
  <c r="E788" i="3"/>
  <c r="B789" i="3"/>
  <c r="C789" i="3"/>
  <c r="D789" i="3"/>
  <c r="E789" i="3"/>
  <c r="B790" i="3"/>
  <c r="C790" i="3"/>
  <c r="D790" i="3"/>
  <c r="E790" i="3"/>
  <c r="B791" i="3"/>
  <c r="C791" i="3"/>
  <c r="D791" i="3"/>
  <c r="E791" i="3"/>
  <c r="B792" i="3"/>
  <c r="C792" i="3"/>
  <c r="D792" i="3"/>
  <c r="E792" i="3"/>
  <c r="B793" i="3"/>
  <c r="C793" i="3"/>
  <c r="D793" i="3"/>
  <c r="E793" i="3"/>
  <c r="B794" i="3"/>
  <c r="C794" i="3"/>
  <c r="D794" i="3"/>
  <c r="E794" i="3"/>
  <c r="B795" i="3"/>
  <c r="C795" i="3"/>
  <c r="D795" i="3"/>
  <c r="E795" i="3"/>
  <c r="B796" i="3"/>
  <c r="C796" i="3"/>
  <c r="D796" i="3"/>
  <c r="E796" i="3"/>
  <c r="B797" i="3"/>
  <c r="C797" i="3"/>
  <c r="D797" i="3"/>
  <c r="E797" i="3"/>
  <c r="B798" i="3"/>
  <c r="C798" i="3"/>
  <c r="D798" i="3"/>
  <c r="E798" i="3"/>
  <c r="B799" i="3"/>
  <c r="C799" i="3"/>
  <c r="D799" i="3"/>
  <c r="E799" i="3"/>
  <c r="B800" i="3"/>
  <c r="C800" i="3"/>
  <c r="D800" i="3"/>
  <c r="E800" i="3"/>
  <c r="B801" i="3"/>
  <c r="C801" i="3"/>
  <c r="D801" i="3"/>
  <c r="E801" i="3"/>
  <c r="B802" i="3"/>
  <c r="C802" i="3"/>
  <c r="D802" i="3"/>
  <c r="E802" i="3"/>
  <c r="B803" i="3"/>
  <c r="C803" i="3"/>
  <c r="D803" i="3"/>
  <c r="E803" i="3"/>
  <c r="B804" i="3"/>
  <c r="C804" i="3"/>
  <c r="D804" i="3"/>
  <c r="E804" i="3"/>
  <c r="B805" i="3"/>
  <c r="C805" i="3"/>
  <c r="D805" i="3"/>
  <c r="E805" i="3"/>
  <c r="B806" i="3"/>
  <c r="C806" i="3"/>
  <c r="D806" i="3"/>
  <c r="E806" i="3"/>
  <c r="B807" i="3"/>
  <c r="C807" i="3"/>
  <c r="D807" i="3"/>
  <c r="E807" i="3"/>
  <c r="B808" i="3"/>
  <c r="C808" i="3"/>
  <c r="D808" i="3"/>
  <c r="E808" i="3"/>
  <c r="B809" i="3"/>
  <c r="C809" i="3"/>
  <c r="D809" i="3"/>
  <c r="E809" i="3"/>
  <c r="B810" i="3"/>
  <c r="C810" i="3"/>
  <c r="D810" i="3"/>
  <c r="E810" i="3"/>
  <c r="B811" i="3"/>
  <c r="C811" i="3"/>
  <c r="D811" i="3"/>
  <c r="E811" i="3"/>
  <c r="B812" i="3"/>
  <c r="C812" i="3"/>
  <c r="D812" i="3"/>
  <c r="E812" i="3"/>
  <c r="B813" i="3"/>
  <c r="C813" i="3"/>
  <c r="D813" i="3"/>
  <c r="E813" i="3"/>
  <c r="B814" i="3"/>
  <c r="C814" i="3"/>
  <c r="D814" i="3"/>
  <c r="E814" i="3"/>
  <c r="B815" i="3"/>
  <c r="C815" i="3"/>
  <c r="D815" i="3"/>
  <c r="E815" i="3"/>
  <c r="B816" i="3"/>
  <c r="C816" i="3"/>
  <c r="D816" i="3"/>
  <c r="E816" i="3"/>
  <c r="B817" i="3"/>
  <c r="C817" i="3"/>
  <c r="D817" i="3"/>
  <c r="E817" i="3"/>
  <c r="B818" i="3"/>
  <c r="C818" i="3"/>
  <c r="D818" i="3"/>
  <c r="E818" i="3"/>
  <c r="B819" i="3"/>
  <c r="C819" i="3"/>
  <c r="D819" i="3"/>
  <c r="E819" i="3"/>
  <c r="B820" i="3"/>
  <c r="C820" i="3"/>
  <c r="D820" i="3"/>
  <c r="E820" i="3"/>
  <c r="B821" i="3"/>
  <c r="C821" i="3"/>
  <c r="D821" i="3"/>
  <c r="E821" i="3"/>
  <c r="B822" i="3"/>
  <c r="C822" i="3"/>
  <c r="D822" i="3"/>
  <c r="E822" i="3"/>
  <c r="B823" i="3"/>
  <c r="C823" i="3"/>
  <c r="D823" i="3"/>
  <c r="E823" i="3"/>
  <c r="B824" i="3"/>
  <c r="C824" i="3"/>
  <c r="D824" i="3"/>
  <c r="E824" i="3"/>
  <c r="B825" i="3"/>
  <c r="C825" i="3"/>
  <c r="D825" i="3"/>
  <c r="E825" i="3"/>
  <c r="B826" i="3"/>
  <c r="C826" i="3"/>
  <c r="D826" i="3"/>
  <c r="E826" i="3"/>
  <c r="B827" i="3"/>
  <c r="C827" i="3"/>
  <c r="D827" i="3"/>
  <c r="E827" i="3"/>
  <c r="B828" i="3"/>
  <c r="C828" i="3"/>
  <c r="D828" i="3"/>
  <c r="E828" i="3"/>
  <c r="B829" i="3"/>
  <c r="C829" i="3"/>
  <c r="D829" i="3"/>
  <c r="E829" i="3"/>
  <c r="B830" i="3"/>
  <c r="C830" i="3"/>
  <c r="D830" i="3"/>
  <c r="E830" i="3"/>
  <c r="B831" i="3"/>
  <c r="C831" i="3"/>
  <c r="D831" i="3"/>
  <c r="E831" i="3"/>
  <c r="B832" i="3"/>
  <c r="C832" i="3"/>
  <c r="D832" i="3"/>
  <c r="E832" i="3"/>
  <c r="B833" i="3"/>
  <c r="C833" i="3"/>
  <c r="D833" i="3"/>
  <c r="E833" i="3"/>
  <c r="B834" i="3"/>
  <c r="C834" i="3"/>
  <c r="D834" i="3"/>
  <c r="E834" i="3"/>
  <c r="B835" i="3"/>
  <c r="C835" i="3"/>
  <c r="D835" i="3"/>
  <c r="E835" i="3"/>
  <c r="B836" i="3"/>
  <c r="C836" i="3"/>
  <c r="D836" i="3"/>
  <c r="E836" i="3"/>
  <c r="B837" i="3"/>
  <c r="C837" i="3"/>
  <c r="D837" i="3"/>
  <c r="E837" i="3"/>
  <c r="B838" i="3"/>
  <c r="C838" i="3"/>
  <c r="D838" i="3"/>
  <c r="E838" i="3"/>
  <c r="B839" i="3"/>
  <c r="C839" i="3"/>
  <c r="D839" i="3"/>
  <c r="E839" i="3"/>
  <c r="B840" i="3"/>
  <c r="C840" i="3"/>
  <c r="D840" i="3"/>
  <c r="E840" i="3"/>
  <c r="B841" i="3"/>
  <c r="C841" i="3"/>
  <c r="D841" i="3"/>
  <c r="E841" i="3"/>
  <c r="B842" i="3"/>
  <c r="C842" i="3"/>
  <c r="D842" i="3"/>
  <c r="E842" i="3"/>
  <c r="B843" i="3"/>
  <c r="C843" i="3"/>
  <c r="D843" i="3"/>
  <c r="E843" i="3"/>
  <c r="B844" i="3"/>
  <c r="C844" i="3"/>
  <c r="D844" i="3"/>
  <c r="E844" i="3"/>
  <c r="B845" i="3"/>
  <c r="C845" i="3"/>
  <c r="D845" i="3"/>
  <c r="E845" i="3"/>
  <c r="B846" i="3"/>
  <c r="C846" i="3"/>
  <c r="D846" i="3"/>
  <c r="E846" i="3"/>
  <c r="B847" i="3"/>
  <c r="C847" i="3"/>
  <c r="D847" i="3"/>
  <c r="E847" i="3"/>
  <c r="B848" i="3"/>
  <c r="C848" i="3"/>
  <c r="D848" i="3"/>
  <c r="E848" i="3"/>
  <c r="B849" i="3"/>
  <c r="C849" i="3"/>
  <c r="D849" i="3"/>
  <c r="E849" i="3"/>
  <c r="B850" i="3"/>
  <c r="C850" i="3"/>
  <c r="D850" i="3"/>
  <c r="E850" i="3"/>
  <c r="B851" i="3"/>
  <c r="C851" i="3"/>
  <c r="D851" i="3"/>
  <c r="E851" i="3"/>
  <c r="B852" i="3"/>
  <c r="C852" i="3"/>
  <c r="D852" i="3"/>
  <c r="E852" i="3"/>
  <c r="B853" i="3"/>
  <c r="C853" i="3"/>
  <c r="D853" i="3"/>
  <c r="E853" i="3"/>
  <c r="B854" i="3"/>
  <c r="C854" i="3"/>
  <c r="D854" i="3"/>
  <c r="E854" i="3"/>
  <c r="B855" i="3"/>
  <c r="C855" i="3"/>
  <c r="D855" i="3"/>
  <c r="E855" i="3"/>
  <c r="B856" i="3"/>
  <c r="C856" i="3"/>
  <c r="D856" i="3"/>
  <c r="E856" i="3"/>
  <c r="B857" i="3"/>
  <c r="C857" i="3"/>
  <c r="D857" i="3"/>
  <c r="E857" i="3"/>
  <c r="B858" i="3"/>
  <c r="C858" i="3"/>
  <c r="D858" i="3"/>
  <c r="E858" i="3"/>
  <c r="B859" i="3"/>
  <c r="C859" i="3"/>
  <c r="D859" i="3"/>
  <c r="E859" i="3"/>
  <c r="B860" i="3"/>
  <c r="C860" i="3"/>
  <c r="D860" i="3"/>
  <c r="E860" i="3"/>
  <c r="B861" i="3"/>
  <c r="C861" i="3"/>
  <c r="D861" i="3"/>
  <c r="E861" i="3"/>
  <c r="B862" i="3"/>
  <c r="C862" i="3"/>
  <c r="D862" i="3"/>
  <c r="E862" i="3"/>
  <c r="B863" i="3"/>
  <c r="C863" i="3"/>
  <c r="D863" i="3"/>
  <c r="E863" i="3"/>
  <c r="B864" i="3"/>
  <c r="C864" i="3"/>
  <c r="D864" i="3"/>
  <c r="E864" i="3"/>
  <c r="B865" i="3"/>
  <c r="C865" i="3"/>
  <c r="D865" i="3"/>
  <c r="E865" i="3"/>
  <c r="B866" i="3"/>
  <c r="C866" i="3"/>
  <c r="D866" i="3"/>
  <c r="E866" i="3"/>
  <c r="B867" i="3"/>
  <c r="C867" i="3"/>
  <c r="D867" i="3"/>
  <c r="E867" i="3"/>
  <c r="B868" i="3"/>
  <c r="C868" i="3"/>
  <c r="D868" i="3"/>
  <c r="E868" i="3"/>
  <c r="B869" i="3"/>
  <c r="C869" i="3"/>
  <c r="D869" i="3"/>
  <c r="E869" i="3"/>
  <c r="B870" i="3"/>
  <c r="C870" i="3"/>
  <c r="D870" i="3"/>
  <c r="E870" i="3"/>
  <c r="B871" i="3"/>
  <c r="C871" i="3"/>
  <c r="D871" i="3"/>
  <c r="E871" i="3"/>
  <c r="B872" i="3"/>
  <c r="C872" i="3"/>
  <c r="D872" i="3"/>
  <c r="E872" i="3"/>
  <c r="B873" i="3"/>
  <c r="C873" i="3"/>
  <c r="D873" i="3"/>
  <c r="E873" i="3"/>
  <c r="B874" i="3"/>
  <c r="C874" i="3"/>
  <c r="D874" i="3"/>
  <c r="E874" i="3"/>
  <c r="B875" i="3"/>
  <c r="C875" i="3"/>
  <c r="D875" i="3"/>
  <c r="E875" i="3"/>
  <c r="B876" i="3"/>
  <c r="C876" i="3"/>
  <c r="D876" i="3"/>
  <c r="E876" i="3"/>
  <c r="B877" i="3"/>
  <c r="C877" i="3"/>
  <c r="D877" i="3"/>
  <c r="E877" i="3"/>
  <c r="B878" i="3"/>
  <c r="C878" i="3"/>
  <c r="D878" i="3"/>
  <c r="E878" i="3"/>
  <c r="B879" i="3"/>
  <c r="C879" i="3"/>
  <c r="D879" i="3"/>
  <c r="E879" i="3"/>
  <c r="B880" i="3"/>
  <c r="C880" i="3"/>
  <c r="D880" i="3"/>
  <c r="E880" i="3"/>
  <c r="B881" i="3"/>
  <c r="C881" i="3"/>
  <c r="D881" i="3"/>
  <c r="E881" i="3"/>
  <c r="B882" i="3"/>
  <c r="C882" i="3"/>
  <c r="D882" i="3"/>
  <c r="E882" i="3"/>
  <c r="B883" i="3"/>
  <c r="C883" i="3"/>
  <c r="D883" i="3"/>
  <c r="E883" i="3"/>
  <c r="B884" i="3"/>
  <c r="C884" i="3"/>
  <c r="D884" i="3"/>
  <c r="E884" i="3"/>
  <c r="B885" i="3"/>
  <c r="C885" i="3"/>
  <c r="D885" i="3"/>
  <c r="E885" i="3"/>
  <c r="B886" i="3"/>
  <c r="C886" i="3"/>
  <c r="D886" i="3"/>
  <c r="E886" i="3"/>
  <c r="B887" i="3"/>
  <c r="C887" i="3"/>
  <c r="D887" i="3"/>
  <c r="E887" i="3"/>
  <c r="B888" i="3"/>
  <c r="C888" i="3"/>
  <c r="D888" i="3"/>
  <c r="E888" i="3"/>
  <c r="B889" i="3"/>
  <c r="C889" i="3"/>
  <c r="D889" i="3"/>
  <c r="E889" i="3"/>
  <c r="B890" i="3"/>
  <c r="C890" i="3"/>
  <c r="D890" i="3"/>
  <c r="E890" i="3"/>
  <c r="B891" i="3"/>
  <c r="C891" i="3"/>
  <c r="D891" i="3"/>
  <c r="E891" i="3"/>
  <c r="B892" i="3"/>
  <c r="C892" i="3"/>
  <c r="D892" i="3"/>
  <c r="E892" i="3"/>
  <c r="B893" i="3"/>
  <c r="C893" i="3"/>
  <c r="D893" i="3"/>
  <c r="E893" i="3"/>
  <c r="B894" i="3"/>
  <c r="C894" i="3"/>
  <c r="D894" i="3"/>
  <c r="E894" i="3"/>
  <c r="B895" i="3"/>
  <c r="C895" i="3"/>
  <c r="D895" i="3"/>
  <c r="E895" i="3"/>
  <c r="B896" i="3"/>
  <c r="C896" i="3"/>
  <c r="D896" i="3"/>
  <c r="E896" i="3"/>
  <c r="B897" i="3"/>
  <c r="C897" i="3"/>
  <c r="D897" i="3"/>
  <c r="E897" i="3"/>
  <c r="B898" i="3"/>
  <c r="C898" i="3"/>
  <c r="D898" i="3"/>
  <c r="E898" i="3"/>
  <c r="B899" i="3"/>
  <c r="C899" i="3"/>
  <c r="D899" i="3"/>
  <c r="E899" i="3"/>
  <c r="B900" i="3"/>
  <c r="C900" i="3"/>
  <c r="D900" i="3"/>
  <c r="E900" i="3"/>
  <c r="B901" i="3"/>
  <c r="C901" i="3"/>
  <c r="D901" i="3"/>
  <c r="E901" i="3"/>
  <c r="B902" i="3"/>
  <c r="C902" i="3"/>
  <c r="D902" i="3"/>
  <c r="E902" i="3"/>
  <c r="B903" i="3"/>
  <c r="C903" i="3"/>
  <c r="D903" i="3"/>
  <c r="E903" i="3"/>
  <c r="B904" i="3"/>
  <c r="C904" i="3"/>
  <c r="D904" i="3"/>
  <c r="E904" i="3"/>
  <c r="B905" i="3"/>
  <c r="C905" i="3"/>
  <c r="D905" i="3"/>
  <c r="E905" i="3"/>
  <c r="B906" i="3"/>
  <c r="C906" i="3"/>
  <c r="D906" i="3"/>
  <c r="E906" i="3"/>
  <c r="B907" i="3"/>
  <c r="C907" i="3"/>
  <c r="D907" i="3"/>
  <c r="E907" i="3"/>
  <c r="B908" i="3"/>
  <c r="C908" i="3"/>
  <c r="D908" i="3"/>
  <c r="E908" i="3"/>
  <c r="B909" i="3"/>
  <c r="C909" i="3"/>
  <c r="D909" i="3"/>
  <c r="E909" i="3"/>
  <c r="B910" i="3"/>
  <c r="C910" i="3"/>
  <c r="D910" i="3"/>
  <c r="E910" i="3"/>
  <c r="B911" i="3"/>
  <c r="C911" i="3"/>
  <c r="D911" i="3"/>
  <c r="E911" i="3"/>
  <c r="B912" i="3"/>
  <c r="C912" i="3"/>
  <c r="D912" i="3"/>
  <c r="E912" i="3"/>
  <c r="B913" i="3"/>
  <c r="C913" i="3"/>
  <c r="D913" i="3"/>
  <c r="E913" i="3"/>
  <c r="B914" i="3"/>
  <c r="C914" i="3"/>
  <c r="D914" i="3"/>
  <c r="E914" i="3"/>
  <c r="B915" i="3"/>
  <c r="C915" i="3"/>
  <c r="D915" i="3"/>
  <c r="E915" i="3"/>
  <c r="B916" i="3"/>
  <c r="C916" i="3"/>
  <c r="D916" i="3"/>
  <c r="E916" i="3"/>
  <c r="B917" i="3"/>
  <c r="C917" i="3"/>
  <c r="D917" i="3"/>
  <c r="E917" i="3"/>
  <c r="B918" i="3"/>
  <c r="C918" i="3"/>
  <c r="D918" i="3"/>
  <c r="E918" i="3"/>
  <c r="B919" i="3"/>
  <c r="C919" i="3"/>
  <c r="D919" i="3"/>
  <c r="E919" i="3"/>
  <c r="B920" i="3"/>
  <c r="C920" i="3"/>
  <c r="D920" i="3"/>
  <c r="E920" i="3"/>
  <c r="B921" i="3"/>
  <c r="C921" i="3"/>
  <c r="D921" i="3"/>
  <c r="E921" i="3"/>
  <c r="B922" i="3"/>
  <c r="C922" i="3"/>
  <c r="D922" i="3"/>
  <c r="E922" i="3"/>
  <c r="B923" i="3"/>
  <c r="C923" i="3"/>
  <c r="D923" i="3"/>
  <c r="E923" i="3"/>
  <c r="B924" i="3"/>
  <c r="C924" i="3"/>
  <c r="D924" i="3"/>
  <c r="E924" i="3"/>
  <c r="B925" i="3"/>
  <c r="C925" i="3"/>
  <c r="D925" i="3"/>
  <c r="E925" i="3"/>
  <c r="B926" i="3"/>
  <c r="C926" i="3"/>
  <c r="D926" i="3"/>
  <c r="E926" i="3"/>
  <c r="B927" i="3"/>
  <c r="C927" i="3"/>
  <c r="D927" i="3"/>
  <c r="E927" i="3"/>
  <c r="B928" i="3"/>
  <c r="C928" i="3"/>
  <c r="D928" i="3"/>
  <c r="E928" i="3"/>
  <c r="B929" i="3"/>
  <c r="C929" i="3"/>
  <c r="D929" i="3"/>
  <c r="E929" i="3"/>
  <c r="B930" i="3"/>
  <c r="C930" i="3"/>
  <c r="D930" i="3"/>
  <c r="E930" i="3"/>
  <c r="B931" i="3"/>
  <c r="C931" i="3"/>
  <c r="D931" i="3"/>
  <c r="E931" i="3"/>
  <c r="B932" i="3"/>
  <c r="C932" i="3"/>
  <c r="D932" i="3"/>
  <c r="E932" i="3"/>
  <c r="B933" i="3"/>
  <c r="C933" i="3"/>
  <c r="D933" i="3"/>
  <c r="E933" i="3"/>
  <c r="B934" i="3"/>
  <c r="C934" i="3"/>
  <c r="D934" i="3"/>
  <c r="E934" i="3"/>
  <c r="B935" i="3"/>
  <c r="C935" i="3"/>
  <c r="D935" i="3"/>
  <c r="E935" i="3"/>
  <c r="B936" i="3"/>
  <c r="C936" i="3"/>
  <c r="D936" i="3"/>
  <c r="E936" i="3"/>
  <c r="B937" i="3"/>
  <c r="C937" i="3"/>
  <c r="D937" i="3"/>
  <c r="E937" i="3"/>
  <c r="B938" i="3"/>
  <c r="C938" i="3"/>
  <c r="D938" i="3"/>
  <c r="E938" i="3"/>
  <c r="B939" i="3"/>
  <c r="C939" i="3"/>
  <c r="D939" i="3"/>
  <c r="E939" i="3"/>
  <c r="B940" i="3"/>
  <c r="C940" i="3"/>
  <c r="D940" i="3"/>
  <c r="E940" i="3"/>
  <c r="B941" i="3"/>
  <c r="C941" i="3"/>
  <c r="D941" i="3"/>
  <c r="E941" i="3"/>
  <c r="B942" i="3"/>
  <c r="C942" i="3"/>
  <c r="D942" i="3"/>
  <c r="E942" i="3"/>
  <c r="B943" i="3"/>
  <c r="C943" i="3"/>
  <c r="D943" i="3"/>
  <c r="E943" i="3"/>
  <c r="B944" i="3"/>
  <c r="C944" i="3"/>
  <c r="D944" i="3"/>
  <c r="E944" i="3"/>
  <c r="B945" i="3"/>
  <c r="C945" i="3"/>
  <c r="D945" i="3"/>
  <c r="E945" i="3"/>
  <c r="B946" i="3"/>
  <c r="C946" i="3"/>
  <c r="D946" i="3"/>
  <c r="E946" i="3"/>
  <c r="B947" i="3"/>
  <c r="C947" i="3"/>
  <c r="D947" i="3"/>
  <c r="E947" i="3"/>
  <c r="B948" i="3"/>
  <c r="C948" i="3"/>
  <c r="D948" i="3"/>
  <c r="E948" i="3"/>
  <c r="B949" i="3"/>
  <c r="C949" i="3"/>
  <c r="D949" i="3"/>
  <c r="E949" i="3"/>
  <c r="B950" i="3"/>
  <c r="C950" i="3"/>
  <c r="D950" i="3"/>
  <c r="E950" i="3"/>
  <c r="B951" i="3"/>
  <c r="C951" i="3"/>
  <c r="D951" i="3"/>
  <c r="E951" i="3"/>
  <c r="B952" i="3"/>
  <c r="C952" i="3"/>
  <c r="D952" i="3"/>
  <c r="E952" i="3"/>
  <c r="B953" i="3"/>
  <c r="C953" i="3"/>
  <c r="D953" i="3"/>
  <c r="E953" i="3"/>
  <c r="B954" i="3"/>
  <c r="C954" i="3"/>
  <c r="D954" i="3"/>
  <c r="E954" i="3"/>
  <c r="B955" i="3"/>
  <c r="C955" i="3"/>
  <c r="D955" i="3"/>
  <c r="E955" i="3"/>
  <c r="B956" i="3"/>
  <c r="C956" i="3"/>
  <c r="D956" i="3"/>
  <c r="E956" i="3"/>
  <c r="B957" i="3"/>
  <c r="C957" i="3"/>
  <c r="D957" i="3"/>
  <c r="E957" i="3"/>
  <c r="B958" i="3"/>
  <c r="C958" i="3"/>
  <c r="D958" i="3"/>
  <c r="E958" i="3"/>
  <c r="B959" i="3"/>
  <c r="C959" i="3"/>
  <c r="D959" i="3"/>
  <c r="E959" i="3"/>
  <c r="B960" i="3"/>
  <c r="C960" i="3"/>
  <c r="D960" i="3"/>
  <c r="E960" i="3"/>
  <c r="B961" i="3"/>
  <c r="C961" i="3"/>
  <c r="D961" i="3"/>
  <c r="E961" i="3"/>
  <c r="B962" i="3"/>
  <c r="C962" i="3"/>
  <c r="D962" i="3"/>
  <c r="E962" i="3"/>
  <c r="B963" i="3"/>
  <c r="C963" i="3"/>
  <c r="D963" i="3"/>
  <c r="E963" i="3"/>
  <c r="B964" i="3"/>
  <c r="C964" i="3"/>
  <c r="D964" i="3"/>
  <c r="E964" i="3"/>
  <c r="B965" i="3"/>
  <c r="C965" i="3"/>
  <c r="D965" i="3"/>
  <c r="E965" i="3"/>
  <c r="B966" i="3"/>
  <c r="C966" i="3"/>
  <c r="D966" i="3"/>
  <c r="E966" i="3"/>
  <c r="B967" i="3"/>
  <c r="C967" i="3"/>
  <c r="D967" i="3"/>
  <c r="E967" i="3"/>
  <c r="B968" i="3"/>
  <c r="C968" i="3"/>
  <c r="D968" i="3"/>
  <c r="E968" i="3"/>
  <c r="B969" i="3"/>
  <c r="C969" i="3"/>
  <c r="D969" i="3"/>
  <c r="E969" i="3"/>
  <c r="B970" i="3"/>
  <c r="C970" i="3"/>
  <c r="D970" i="3"/>
  <c r="E970" i="3"/>
  <c r="B971" i="3"/>
  <c r="C971" i="3"/>
  <c r="D971" i="3"/>
  <c r="E971" i="3"/>
  <c r="B972" i="3"/>
  <c r="C972" i="3"/>
  <c r="D972" i="3"/>
  <c r="E972" i="3"/>
  <c r="B973" i="3"/>
  <c r="C973" i="3"/>
  <c r="D973" i="3"/>
  <c r="E973" i="3"/>
  <c r="B974" i="3"/>
  <c r="C974" i="3"/>
  <c r="D974" i="3"/>
  <c r="E974" i="3"/>
  <c r="B975" i="3"/>
  <c r="C975" i="3"/>
  <c r="D975" i="3"/>
  <c r="E975" i="3"/>
  <c r="B976" i="3"/>
  <c r="C976" i="3"/>
  <c r="D976" i="3"/>
  <c r="E976" i="3"/>
  <c r="B977" i="3"/>
  <c r="C977" i="3"/>
  <c r="D977" i="3"/>
  <c r="E977" i="3"/>
  <c r="B978" i="3"/>
  <c r="C978" i="3"/>
  <c r="D978" i="3"/>
  <c r="E978" i="3"/>
  <c r="B979" i="3"/>
  <c r="C979" i="3"/>
  <c r="D979" i="3"/>
  <c r="E979" i="3"/>
  <c r="B980" i="3"/>
  <c r="C980" i="3"/>
  <c r="D980" i="3"/>
  <c r="E980" i="3"/>
  <c r="B981" i="3"/>
  <c r="C981" i="3"/>
  <c r="D981" i="3"/>
  <c r="E981" i="3"/>
  <c r="B982" i="3"/>
  <c r="C982" i="3"/>
  <c r="D982" i="3"/>
  <c r="E982" i="3"/>
  <c r="B983" i="3"/>
  <c r="C983" i="3"/>
  <c r="D983" i="3"/>
  <c r="E983" i="3"/>
  <c r="B984" i="3"/>
  <c r="C984" i="3"/>
  <c r="D984" i="3"/>
  <c r="E984" i="3"/>
  <c r="B985" i="3"/>
  <c r="C985" i="3"/>
  <c r="D985" i="3"/>
  <c r="E985" i="3"/>
  <c r="B986" i="3"/>
  <c r="C986" i="3"/>
  <c r="D986" i="3"/>
  <c r="E986" i="3"/>
  <c r="B987" i="3"/>
  <c r="C987" i="3"/>
  <c r="D987" i="3"/>
  <c r="E987" i="3"/>
  <c r="B988" i="3"/>
  <c r="C988" i="3"/>
  <c r="D988" i="3"/>
  <c r="E988" i="3"/>
  <c r="B989" i="3"/>
  <c r="C989" i="3"/>
  <c r="D989" i="3"/>
  <c r="E989" i="3"/>
  <c r="B990" i="3"/>
  <c r="C990" i="3"/>
  <c r="D990" i="3"/>
  <c r="E990" i="3"/>
  <c r="B991" i="3"/>
  <c r="C991" i="3"/>
  <c r="D991" i="3"/>
  <c r="E991" i="3"/>
  <c r="B992" i="3"/>
  <c r="C992" i="3"/>
  <c r="D992" i="3"/>
  <c r="E992" i="3"/>
  <c r="B993" i="3"/>
  <c r="C993" i="3"/>
  <c r="D993" i="3"/>
  <c r="E993" i="3"/>
  <c r="B994" i="3"/>
  <c r="C994" i="3"/>
  <c r="D994" i="3"/>
  <c r="E994" i="3"/>
  <c r="B995" i="3"/>
  <c r="C995" i="3"/>
  <c r="D995" i="3"/>
  <c r="E995" i="3"/>
  <c r="B996" i="3"/>
  <c r="C996" i="3"/>
  <c r="D996" i="3"/>
  <c r="E996" i="3"/>
  <c r="B997" i="3"/>
  <c r="C997" i="3"/>
  <c r="D997" i="3"/>
  <c r="E997" i="3"/>
  <c r="B998" i="3"/>
  <c r="C998" i="3"/>
  <c r="D998" i="3"/>
  <c r="E998" i="3"/>
  <c r="B999" i="3"/>
  <c r="C999" i="3"/>
  <c r="D999" i="3"/>
  <c r="E999" i="3"/>
  <c r="B1000" i="3"/>
  <c r="C1000" i="3"/>
  <c r="D1000" i="3"/>
  <c r="E1000" i="3"/>
  <c r="B1001" i="3"/>
  <c r="C1001" i="3"/>
  <c r="D1001" i="3"/>
  <c r="E1001" i="3"/>
  <c r="B1002" i="3"/>
  <c r="C1002" i="3"/>
  <c r="D1002" i="3"/>
  <c r="E1002" i="3"/>
  <c r="B1003" i="3"/>
  <c r="C1003" i="3"/>
  <c r="D1003" i="3"/>
  <c r="E1003" i="3"/>
  <c r="B1004" i="3"/>
  <c r="C1004" i="3"/>
  <c r="D1004" i="3"/>
  <c r="E1004" i="3"/>
  <c r="B1005" i="3"/>
  <c r="C1005" i="3"/>
  <c r="D1005" i="3"/>
  <c r="E1005" i="3"/>
  <c r="B1006" i="3"/>
  <c r="C1006" i="3"/>
  <c r="D1006" i="3"/>
  <c r="E1006" i="3"/>
  <c r="B1007" i="3"/>
  <c r="C1007" i="3"/>
  <c r="D1007" i="3"/>
  <c r="E1007" i="3"/>
  <c r="B1008" i="3"/>
  <c r="C1008" i="3"/>
  <c r="D1008" i="3"/>
  <c r="E1008" i="3"/>
  <c r="B1009" i="3"/>
  <c r="C1009" i="3"/>
  <c r="D1009" i="3"/>
  <c r="E1009" i="3"/>
  <c r="B1010" i="3"/>
  <c r="C1010" i="3"/>
  <c r="D1010" i="3"/>
  <c r="E1010" i="3"/>
  <c r="B1011" i="3"/>
  <c r="C1011" i="3"/>
  <c r="D1011" i="3"/>
  <c r="E1011" i="3"/>
  <c r="B1012" i="3"/>
  <c r="C1012" i="3"/>
  <c r="D1012" i="3"/>
  <c r="E1012" i="3"/>
  <c r="B1013" i="3"/>
  <c r="C1013" i="3"/>
  <c r="D1013" i="3"/>
  <c r="E1013" i="3"/>
  <c r="B1014" i="3"/>
  <c r="C1014" i="3"/>
  <c r="D1014" i="3"/>
  <c r="E1014" i="3"/>
  <c r="B1015" i="3"/>
  <c r="C1015" i="3"/>
  <c r="D1015" i="3"/>
  <c r="E1015" i="3"/>
  <c r="B1016" i="3"/>
  <c r="C1016" i="3"/>
  <c r="D1016" i="3"/>
  <c r="E1016" i="3"/>
  <c r="B1017" i="3"/>
  <c r="C1017" i="3"/>
  <c r="D1017" i="3"/>
  <c r="E1017" i="3"/>
  <c r="B1018" i="3"/>
  <c r="C1018" i="3"/>
  <c r="D1018" i="3"/>
  <c r="E1018" i="3"/>
  <c r="B1019" i="3"/>
  <c r="C1019" i="3"/>
  <c r="D1019" i="3"/>
  <c r="E1019" i="3"/>
  <c r="B1020" i="3"/>
  <c r="C1020" i="3"/>
  <c r="D1020" i="3"/>
  <c r="E1020" i="3"/>
  <c r="B1021" i="3"/>
  <c r="C1021" i="3"/>
  <c r="D1021" i="3"/>
  <c r="E1021" i="3"/>
  <c r="B1022" i="3"/>
  <c r="C1022" i="3"/>
  <c r="D1022" i="3"/>
  <c r="E1022" i="3"/>
  <c r="B1023" i="3"/>
  <c r="C1023" i="3"/>
  <c r="D1023" i="3"/>
  <c r="E1023" i="3"/>
  <c r="B1024" i="3"/>
  <c r="C1024" i="3"/>
  <c r="D1024" i="3"/>
  <c r="E1024" i="3"/>
  <c r="B1025" i="3"/>
  <c r="C1025" i="3"/>
  <c r="D1025" i="3"/>
  <c r="E1025" i="3"/>
  <c r="B1026" i="3"/>
  <c r="C1026" i="3"/>
  <c r="D1026" i="3"/>
  <c r="E1026" i="3"/>
  <c r="B1027" i="3"/>
  <c r="C1027" i="3"/>
  <c r="D1027" i="3"/>
  <c r="E1027" i="3"/>
  <c r="B1028" i="3"/>
  <c r="C1028" i="3"/>
  <c r="D1028" i="3"/>
  <c r="E1028" i="3"/>
  <c r="B1029" i="3"/>
  <c r="C1029" i="3"/>
  <c r="D1029" i="3"/>
  <c r="E1029" i="3"/>
  <c r="B1030" i="3"/>
  <c r="C1030" i="3"/>
  <c r="D1030" i="3"/>
  <c r="E1030" i="3"/>
  <c r="B1031" i="3"/>
  <c r="C1031" i="3"/>
  <c r="D1031" i="3"/>
  <c r="E1031" i="3"/>
  <c r="B1032" i="3"/>
  <c r="C1032" i="3"/>
  <c r="D1032" i="3"/>
  <c r="E1032" i="3"/>
  <c r="B1033" i="3"/>
  <c r="C1033" i="3"/>
  <c r="D1033" i="3"/>
  <c r="E1033" i="3"/>
  <c r="B1034" i="3"/>
  <c r="C1034" i="3"/>
  <c r="D1034" i="3"/>
  <c r="E1034" i="3"/>
  <c r="B1035" i="3"/>
  <c r="C1035" i="3"/>
  <c r="D1035" i="3"/>
  <c r="E1035" i="3"/>
  <c r="B1036" i="3"/>
  <c r="C1036" i="3"/>
  <c r="D1036" i="3"/>
  <c r="E1036" i="3"/>
  <c r="B1037" i="3"/>
  <c r="C1037" i="3"/>
  <c r="D1037" i="3"/>
  <c r="E1037" i="3"/>
  <c r="B1038" i="3"/>
  <c r="C1038" i="3"/>
  <c r="D1038" i="3"/>
  <c r="E1038" i="3"/>
  <c r="B1039" i="3"/>
  <c r="C1039" i="3"/>
  <c r="D1039" i="3"/>
  <c r="E1039" i="3"/>
  <c r="B1040" i="3"/>
  <c r="C1040" i="3"/>
  <c r="D1040" i="3"/>
  <c r="E1040" i="3"/>
  <c r="B1041" i="3"/>
  <c r="C1041" i="3"/>
  <c r="D1041" i="3"/>
  <c r="E1041" i="3"/>
  <c r="B1042" i="3"/>
  <c r="C1042" i="3"/>
  <c r="D1042" i="3"/>
  <c r="E1042" i="3"/>
  <c r="B1043" i="3"/>
  <c r="C1043" i="3"/>
  <c r="D1043" i="3"/>
  <c r="E1043" i="3"/>
  <c r="B1044" i="3"/>
  <c r="C1044" i="3"/>
  <c r="D1044" i="3"/>
  <c r="E1044" i="3"/>
  <c r="B1045" i="3"/>
  <c r="C1045" i="3"/>
  <c r="D1045" i="3"/>
  <c r="E1045" i="3"/>
  <c r="B1046" i="3"/>
  <c r="C1046" i="3"/>
  <c r="D1046" i="3"/>
  <c r="E1046" i="3"/>
  <c r="B1047" i="3"/>
  <c r="C1047" i="3"/>
  <c r="D1047" i="3"/>
  <c r="E1047" i="3"/>
  <c r="B1048" i="3"/>
  <c r="C1048" i="3"/>
  <c r="D1048" i="3"/>
  <c r="E1048" i="3"/>
  <c r="B1049" i="3"/>
  <c r="C1049" i="3"/>
  <c r="D1049" i="3"/>
  <c r="E1049" i="3"/>
  <c r="B1050" i="3"/>
  <c r="C1050" i="3"/>
  <c r="D1050" i="3"/>
  <c r="E1050" i="3"/>
  <c r="B1051" i="3"/>
  <c r="C1051" i="3"/>
  <c r="D1051" i="3"/>
  <c r="E1051" i="3"/>
  <c r="B1052" i="3"/>
  <c r="C1052" i="3"/>
  <c r="D1052" i="3"/>
  <c r="E1052" i="3"/>
  <c r="B1053" i="3"/>
  <c r="C1053" i="3"/>
  <c r="D1053" i="3"/>
  <c r="E1053" i="3"/>
  <c r="B1054" i="3"/>
  <c r="C1054" i="3"/>
  <c r="D1054" i="3"/>
  <c r="E1054" i="3"/>
  <c r="B1055" i="3"/>
  <c r="C1055" i="3"/>
  <c r="D1055" i="3"/>
  <c r="E1055" i="3"/>
  <c r="B1056" i="3"/>
  <c r="C1056" i="3"/>
  <c r="D1056" i="3"/>
  <c r="E1056" i="3"/>
  <c r="B1057" i="3"/>
  <c r="C1057" i="3"/>
  <c r="D1057" i="3"/>
  <c r="E1057" i="3"/>
  <c r="B1058" i="3"/>
  <c r="C1058" i="3"/>
  <c r="D1058" i="3"/>
  <c r="E1058" i="3"/>
  <c r="B1059" i="3"/>
  <c r="C1059" i="3"/>
  <c r="D1059" i="3"/>
  <c r="E1059" i="3"/>
  <c r="B1060" i="3"/>
  <c r="C1060" i="3"/>
  <c r="D1060" i="3"/>
  <c r="E1060" i="3"/>
  <c r="B1062" i="3"/>
  <c r="C1062" i="3"/>
  <c r="D1062" i="3"/>
  <c r="B1063" i="3"/>
  <c r="C1063" i="3"/>
  <c r="D1063" i="3"/>
  <c r="E1063" i="3"/>
  <c r="B1064" i="3"/>
  <c r="D1064" i="3"/>
  <c r="B1065" i="3"/>
  <c r="D1065" i="3"/>
  <c r="E1065" i="3"/>
  <c r="B1066" i="3"/>
  <c r="D1066" i="3"/>
  <c r="B1067" i="3"/>
  <c r="D1067" i="3"/>
  <c r="E1067" i="3"/>
  <c r="B1068" i="3"/>
  <c r="C1068" i="3"/>
  <c r="D1068" i="3"/>
  <c r="B1069" i="3"/>
  <c r="C1069" i="3"/>
  <c r="D1069" i="3"/>
  <c r="E1069" i="3"/>
  <c r="B1070" i="3"/>
  <c r="D1070" i="3"/>
  <c r="B1071" i="3"/>
  <c r="D1071" i="3"/>
  <c r="E1071" i="3"/>
  <c r="B1072" i="3"/>
  <c r="C1072" i="3"/>
  <c r="D1072" i="3"/>
  <c r="B1073" i="3"/>
  <c r="D1073" i="3"/>
  <c r="E1073" i="3"/>
  <c r="B1074" i="3"/>
  <c r="C1074" i="3"/>
  <c r="D1074" i="3"/>
  <c r="B1075" i="3"/>
  <c r="C1075" i="3"/>
  <c r="D1075" i="3"/>
  <c r="B1076" i="3"/>
  <c r="D1076" i="3"/>
  <c r="B1077" i="3"/>
  <c r="D1077" i="3"/>
  <c r="E1077" i="3"/>
  <c r="B1078" i="3"/>
  <c r="C1078" i="3"/>
  <c r="D1078" i="3"/>
  <c r="B1079" i="3"/>
  <c r="C1079" i="3"/>
  <c r="D1079" i="3"/>
  <c r="E1079" i="3"/>
  <c r="B1080" i="3"/>
  <c r="D1080" i="3"/>
  <c r="B1081" i="3"/>
  <c r="C1081" i="3"/>
  <c r="D1081" i="3"/>
  <c r="E1081" i="3"/>
  <c r="B1082" i="3"/>
  <c r="D1082" i="3"/>
  <c r="B1083" i="3"/>
  <c r="D1083" i="3"/>
  <c r="E1083" i="3"/>
  <c r="B1084" i="3"/>
  <c r="D1084" i="3"/>
  <c r="B1085" i="3"/>
  <c r="C1085" i="3"/>
  <c r="D1085" i="3"/>
  <c r="E1085" i="3"/>
  <c r="A1086" i="3"/>
  <c r="B1086" i="3"/>
  <c r="A1087" i="3"/>
  <c r="B1087" i="3"/>
  <c r="C1087" i="3"/>
  <c r="E1087" i="3"/>
  <c r="A1088" i="3"/>
  <c r="A1089" i="3" s="1"/>
  <c r="A1090" i="3" s="1"/>
  <c r="B1088" i="3"/>
  <c r="D1088" i="3"/>
  <c r="E1088" i="3"/>
  <c r="B1089" i="3"/>
  <c r="C1089" i="3"/>
  <c r="D1089" i="3"/>
  <c r="B1090" i="3"/>
  <c r="C1090" i="3"/>
  <c r="D1090" i="3"/>
  <c r="A1091" i="3"/>
  <c r="A1092" i="3" s="1"/>
  <c r="A1093" i="3" s="1"/>
  <c r="A1094" i="3" s="1"/>
  <c r="A1095" i="3" s="1"/>
  <c r="A1096" i="3" s="1"/>
  <c r="A1097" i="3" s="1"/>
  <c r="A1098" i="3" s="1"/>
  <c r="A1099" i="3" s="1"/>
  <c r="A1100" i="3" s="1"/>
  <c r="A1101" i="3" s="1"/>
  <c r="A1102" i="3" s="1"/>
  <c r="A1103" i="3" s="1"/>
  <c r="A1104" i="3" s="1"/>
  <c r="A1105" i="3" s="1"/>
  <c r="A1106" i="3" s="1"/>
  <c r="A1107" i="3" s="1"/>
  <c r="A1108" i="3" s="1"/>
  <c r="A1109" i="3" s="1"/>
  <c r="A1110" i="3" s="1"/>
  <c r="B1110" i="3" s="1"/>
  <c r="B1091" i="3"/>
  <c r="B1092" i="3"/>
  <c r="D1092" i="3"/>
  <c r="E1092" i="3"/>
  <c r="B1093" i="3"/>
  <c r="C1093" i="3"/>
  <c r="D1093" i="3"/>
  <c r="B1094" i="3"/>
  <c r="B1095" i="3"/>
  <c r="E1095" i="3"/>
  <c r="B1096" i="3"/>
  <c r="D1096" i="3"/>
  <c r="E1096" i="3"/>
  <c r="B1097" i="3"/>
  <c r="D1097" i="3"/>
  <c r="B1098" i="3"/>
  <c r="D1098" i="3"/>
  <c r="B1099" i="3"/>
  <c r="E1099" i="3"/>
  <c r="B1100" i="3"/>
  <c r="D1100" i="3"/>
  <c r="B1101" i="3"/>
  <c r="D1101" i="3"/>
  <c r="E1101" i="3"/>
  <c r="B1102" i="3"/>
  <c r="C1102" i="3"/>
  <c r="B1103" i="3"/>
  <c r="C1103" i="3"/>
  <c r="B1104" i="3"/>
  <c r="D1104" i="3"/>
  <c r="E1104" i="3"/>
  <c r="B1105" i="3"/>
  <c r="C1105" i="3"/>
  <c r="D1105" i="3"/>
  <c r="B1106" i="3"/>
  <c r="C1106" i="3"/>
  <c r="D1106" i="3"/>
  <c r="B1107" i="3"/>
  <c r="B1108" i="3"/>
  <c r="D1108" i="3"/>
  <c r="E1108" i="3"/>
  <c r="B1109" i="3"/>
  <c r="D1109" i="3"/>
  <c r="B593" i="2"/>
  <c r="B594" i="2"/>
  <c r="B595" i="2"/>
  <c r="B596" i="2"/>
  <c r="B597" i="2"/>
  <c r="B598" i="2"/>
  <c r="B599" i="2"/>
  <c r="B600" i="2"/>
  <c r="B601" i="2"/>
  <c r="B602" i="2"/>
  <c r="B603" i="2"/>
  <c r="B604" i="2"/>
  <c r="B605" i="2"/>
  <c r="B606" i="2"/>
  <c r="B607" i="2"/>
  <c r="B608" i="2"/>
  <c r="B609" i="2"/>
  <c r="B610" i="2"/>
  <c r="B611" i="2"/>
  <c r="B612" i="2"/>
  <c r="B613" i="2"/>
  <c r="B614" i="2"/>
  <c r="B615" i="2"/>
  <c r="B616" i="2"/>
  <c r="B617" i="2"/>
  <c r="B618" i="2"/>
  <c r="B619" i="2"/>
  <c r="B620" i="2"/>
  <c r="B621" i="2"/>
  <c r="B622" i="2"/>
  <c r="B623" i="2"/>
  <c r="B624" i="2"/>
  <c r="B625" i="2"/>
  <c r="B626" i="2"/>
  <c r="B627" i="2"/>
  <c r="B628" i="2"/>
  <c r="B629" i="2"/>
  <c r="B630" i="2"/>
  <c r="B631" i="2"/>
  <c r="B632" i="2"/>
  <c r="B633" i="2"/>
  <c r="B634" i="2"/>
  <c r="B635" i="2"/>
  <c r="B636" i="2"/>
  <c r="B637" i="2"/>
  <c r="B638" i="2"/>
  <c r="B639" i="2"/>
  <c r="B640" i="2"/>
  <c r="B641" i="2"/>
  <c r="B642" i="2"/>
  <c r="B643" i="2"/>
  <c r="B644" i="2"/>
  <c r="B645" i="2"/>
  <c r="B646" i="2"/>
  <c r="B647" i="2"/>
  <c r="B648" i="2"/>
  <c r="B649" i="2"/>
  <c r="B650" i="2"/>
  <c r="B651" i="2"/>
  <c r="B652" i="2"/>
  <c r="B653" i="2"/>
  <c r="B654" i="2"/>
  <c r="B655" i="2"/>
  <c r="B656" i="2"/>
  <c r="B657" i="2"/>
  <c r="B658" i="2"/>
  <c r="B659" i="2"/>
  <c r="B660" i="2"/>
  <c r="B661" i="2"/>
  <c r="B662" i="2"/>
  <c r="B663" i="2"/>
  <c r="B664" i="2"/>
  <c r="B665" i="2"/>
  <c r="B666" i="2"/>
  <c r="B667" i="2"/>
  <c r="B668" i="2"/>
  <c r="B669" i="2"/>
  <c r="B670" i="2"/>
  <c r="B671" i="2"/>
  <c r="B672" i="2"/>
  <c r="B673" i="2"/>
  <c r="B674" i="2"/>
  <c r="B675" i="2"/>
  <c r="B676" i="2"/>
  <c r="B677" i="2"/>
  <c r="B678" i="2"/>
  <c r="B679" i="2"/>
  <c r="B680" i="2"/>
  <c r="B681" i="2"/>
  <c r="B682" i="2"/>
  <c r="B683" i="2"/>
  <c r="B684" i="2"/>
  <c r="B685" i="2"/>
  <c r="B686" i="2"/>
  <c r="B687" i="2"/>
  <c r="B688" i="2"/>
  <c r="B689" i="2"/>
  <c r="B690" i="2"/>
  <c r="B691" i="2"/>
  <c r="B692" i="2"/>
  <c r="B693" i="2"/>
  <c r="B694" i="2"/>
  <c r="B695" i="2"/>
  <c r="B696" i="2"/>
  <c r="B697" i="2"/>
  <c r="B698" i="2"/>
  <c r="B699" i="2"/>
  <c r="B700" i="2"/>
  <c r="B701" i="2"/>
  <c r="B702" i="2"/>
  <c r="B703" i="2"/>
  <c r="B704" i="2"/>
  <c r="B705" i="2"/>
  <c r="B706" i="2"/>
  <c r="B707" i="2"/>
  <c r="B708" i="2"/>
  <c r="B709" i="2"/>
  <c r="B710" i="2"/>
  <c r="B711" i="2"/>
  <c r="B712" i="2"/>
  <c r="B713" i="2"/>
  <c r="B714" i="2"/>
  <c r="B715" i="2"/>
  <c r="B716" i="2"/>
  <c r="B717" i="2"/>
  <c r="B718" i="2"/>
  <c r="B719" i="2"/>
  <c r="B720" i="2"/>
  <c r="B721" i="2"/>
  <c r="B722" i="2"/>
  <c r="B723" i="2"/>
  <c r="B724" i="2"/>
  <c r="B725" i="2"/>
  <c r="B726" i="2"/>
  <c r="B727" i="2"/>
  <c r="B728" i="2"/>
  <c r="B729" i="2"/>
  <c r="B730" i="2"/>
  <c r="B731" i="2"/>
  <c r="B732" i="2"/>
  <c r="B733" i="2"/>
  <c r="B734" i="2"/>
  <c r="B735" i="2"/>
  <c r="B736" i="2"/>
  <c r="B737" i="2"/>
  <c r="B738" i="2"/>
  <c r="B739" i="2"/>
  <c r="B740" i="2"/>
  <c r="B741" i="2"/>
  <c r="B742" i="2"/>
  <c r="B743" i="2"/>
  <c r="B744" i="2"/>
  <c r="B745" i="2"/>
  <c r="B746" i="2"/>
  <c r="B747" i="2"/>
  <c r="B748" i="2"/>
  <c r="B749" i="2"/>
  <c r="B750" i="2"/>
  <c r="B751" i="2"/>
  <c r="B752" i="2"/>
  <c r="B753" i="2"/>
  <c r="B754" i="2"/>
  <c r="B755" i="2"/>
  <c r="B756" i="2"/>
  <c r="B757" i="2"/>
  <c r="B758" i="2"/>
  <c r="B759" i="2"/>
  <c r="B760" i="2"/>
  <c r="B761" i="2"/>
  <c r="B762" i="2"/>
  <c r="B763" i="2"/>
  <c r="B764" i="2"/>
  <c r="B765" i="2"/>
  <c r="B766" i="2"/>
  <c r="B767" i="2"/>
  <c r="B768" i="2"/>
  <c r="B769" i="2"/>
  <c r="B770" i="2"/>
  <c r="B771" i="2"/>
  <c r="B772" i="2"/>
  <c r="B773" i="2"/>
  <c r="B774" i="2"/>
  <c r="B775" i="2"/>
  <c r="B776" i="2"/>
  <c r="B777" i="2"/>
  <c r="B778" i="2"/>
  <c r="B779" i="2"/>
  <c r="B780" i="2"/>
  <c r="B781" i="2"/>
  <c r="B782" i="2"/>
  <c r="B783" i="2"/>
  <c r="B784" i="2"/>
  <c r="B785" i="2"/>
  <c r="B786" i="2"/>
  <c r="B787" i="2"/>
  <c r="B788" i="2"/>
  <c r="B789" i="2"/>
  <c r="B790" i="2"/>
  <c r="B791" i="2"/>
  <c r="B792" i="2"/>
  <c r="B793" i="2"/>
  <c r="B794" i="2"/>
  <c r="B795" i="2"/>
  <c r="B796" i="2"/>
  <c r="B797" i="2"/>
  <c r="B798" i="2"/>
  <c r="B799" i="2"/>
  <c r="B800" i="2"/>
  <c r="B801" i="2"/>
  <c r="B802" i="2"/>
  <c r="B803" i="2"/>
  <c r="B804" i="2"/>
  <c r="B805" i="2"/>
  <c r="B806" i="2"/>
  <c r="B807" i="2"/>
  <c r="B808" i="2"/>
  <c r="B809" i="2"/>
  <c r="B810" i="2"/>
  <c r="B811" i="2"/>
  <c r="B812" i="2"/>
  <c r="B813" i="2"/>
  <c r="B814" i="2"/>
  <c r="B815" i="2"/>
  <c r="B816" i="2"/>
  <c r="B817" i="2"/>
  <c r="B818" i="2"/>
  <c r="B819" i="2"/>
  <c r="B820" i="2"/>
  <c r="B821" i="2"/>
  <c r="B822" i="2"/>
  <c r="B823" i="2"/>
  <c r="B824" i="2"/>
  <c r="B825" i="2"/>
  <c r="B826" i="2"/>
  <c r="B827" i="2"/>
  <c r="B828" i="2"/>
  <c r="B829" i="2"/>
  <c r="B830" i="2"/>
  <c r="B831" i="2"/>
  <c r="B832" i="2"/>
  <c r="B833" i="2"/>
  <c r="B834" i="2"/>
  <c r="B835" i="2"/>
  <c r="B836" i="2"/>
  <c r="B837" i="2"/>
  <c r="B838" i="2"/>
  <c r="B839" i="2"/>
  <c r="B840" i="2"/>
  <c r="B841" i="2"/>
  <c r="B842" i="2"/>
  <c r="B843" i="2"/>
  <c r="B844" i="2"/>
  <c r="B845" i="2"/>
  <c r="B846" i="2"/>
  <c r="B847" i="2"/>
  <c r="B848" i="2"/>
  <c r="B849" i="2"/>
  <c r="B850" i="2"/>
  <c r="B851" i="2"/>
  <c r="B852" i="2"/>
  <c r="B853" i="2"/>
  <c r="B854" i="2"/>
  <c r="B855" i="2"/>
  <c r="B856" i="2"/>
  <c r="B857" i="2"/>
  <c r="B858" i="2"/>
  <c r="B859" i="2"/>
  <c r="B860" i="2"/>
  <c r="B861" i="2"/>
  <c r="B862" i="2"/>
  <c r="B863" i="2"/>
  <c r="B864" i="2"/>
  <c r="B865" i="2"/>
  <c r="B866" i="2"/>
  <c r="B867" i="2"/>
  <c r="B868" i="2"/>
  <c r="B869" i="2"/>
  <c r="B870" i="2"/>
  <c r="B871" i="2"/>
  <c r="B872" i="2"/>
  <c r="B873" i="2"/>
  <c r="B874" i="2"/>
  <c r="B875" i="2"/>
  <c r="B876" i="2"/>
  <c r="B877" i="2"/>
  <c r="B878" i="2"/>
  <c r="B879" i="2"/>
  <c r="B880" i="2"/>
  <c r="B881" i="2"/>
  <c r="B882" i="2"/>
  <c r="B883" i="2"/>
  <c r="B884" i="2"/>
  <c r="B885" i="2"/>
  <c r="B886" i="2"/>
  <c r="B887" i="2"/>
  <c r="B888" i="2"/>
  <c r="B889" i="2"/>
  <c r="B890" i="2"/>
  <c r="B891" i="2"/>
  <c r="B892" i="2"/>
  <c r="B893" i="2"/>
  <c r="B894" i="2"/>
  <c r="B895" i="2"/>
  <c r="B896" i="2"/>
  <c r="B897" i="2"/>
  <c r="B898" i="2"/>
  <c r="B899" i="2"/>
  <c r="B900" i="2"/>
  <c r="B901" i="2"/>
  <c r="B902" i="2"/>
  <c r="B903" i="2"/>
  <c r="B904" i="2"/>
  <c r="B905" i="2"/>
  <c r="B906" i="2"/>
  <c r="B907" i="2"/>
  <c r="B908" i="2"/>
  <c r="B909" i="2"/>
  <c r="B910" i="2"/>
  <c r="B911" i="2"/>
  <c r="B912" i="2"/>
  <c r="B913" i="2"/>
  <c r="B914" i="2"/>
  <c r="B915" i="2"/>
  <c r="B916" i="2"/>
  <c r="B917" i="2"/>
  <c r="B918" i="2"/>
  <c r="B919" i="2"/>
  <c r="B920" i="2"/>
  <c r="B921" i="2"/>
  <c r="B922" i="2"/>
  <c r="B923" i="2"/>
  <c r="B924" i="2"/>
  <c r="B925" i="2"/>
  <c r="B926" i="2"/>
  <c r="B927" i="2"/>
  <c r="B928" i="2"/>
  <c r="B929" i="2"/>
  <c r="B930" i="2"/>
  <c r="B931" i="2"/>
  <c r="B932" i="2"/>
  <c r="B933" i="2"/>
  <c r="B934" i="2"/>
  <c r="B935" i="2"/>
  <c r="B936" i="2"/>
  <c r="B937" i="2"/>
  <c r="B938" i="2"/>
  <c r="B939" i="2"/>
  <c r="B940" i="2"/>
  <c r="B941" i="2"/>
  <c r="B942" i="2"/>
  <c r="B943" i="2"/>
  <c r="B944" i="2"/>
  <c r="B945" i="2"/>
  <c r="B946" i="2"/>
  <c r="B947" i="2"/>
  <c r="B948" i="2"/>
  <c r="B949" i="2"/>
  <c r="B950" i="2"/>
  <c r="B951" i="2"/>
  <c r="B952" i="2"/>
  <c r="B953" i="2"/>
  <c r="B954" i="2"/>
  <c r="B955" i="2"/>
  <c r="B956" i="2"/>
  <c r="B957" i="2"/>
  <c r="B958" i="2"/>
  <c r="B959" i="2"/>
  <c r="B960" i="2"/>
  <c r="B961" i="2"/>
  <c r="B962" i="2"/>
  <c r="B963" i="2"/>
  <c r="B964" i="2"/>
  <c r="B965" i="2"/>
  <c r="B966" i="2"/>
  <c r="B967" i="2"/>
  <c r="B968" i="2"/>
  <c r="B969" i="2"/>
  <c r="B970" i="2"/>
  <c r="B971" i="2"/>
  <c r="B972" i="2"/>
  <c r="B973" i="2"/>
  <c r="B974" i="2"/>
  <c r="B975" i="2"/>
  <c r="B976" i="2"/>
  <c r="B977" i="2"/>
  <c r="B978" i="2"/>
  <c r="B979" i="2"/>
  <c r="B980" i="2"/>
  <c r="B981" i="2"/>
  <c r="B982" i="2"/>
  <c r="B983" i="2"/>
  <c r="B984" i="2"/>
  <c r="B985" i="2"/>
  <c r="B986" i="2"/>
  <c r="B987" i="2"/>
  <c r="B988" i="2"/>
  <c r="B989" i="2"/>
  <c r="B990" i="2"/>
  <c r="B991" i="2"/>
  <c r="B992" i="2"/>
  <c r="B993" i="2"/>
  <c r="B994" i="2"/>
  <c r="B995" i="2"/>
  <c r="B996" i="2"/>
  <c r="B997" i="2"/>
  <c r="B998" i="2"/>
  <c r="B999" i="2"/>
  <c r="B1000" i="2"/>
  <c r="B1001" i="2"/>
  <c r="B1002" i="2"/>
  <c r="B1003" i="2"/>
  <c r="B1004" i="2"/>
  <c r="B1005" i="2"/>
  <c r="B1006" i="2"/>
  <c r="B1007" i="2"/>
  <c r="B1008" i="2"/>
  <c r="B1009" i="2"/>
  <c r="B1010" i="2"/>
  <c r="B1011" i="2"/>
  <c r="B1012" i="2"/>
  <c r="B1013" i="2"/>
  <c r="B1014" i="2"/>
  <c r="B1015" i="2"/>
  <c r="B1016" i="2"/>
  <c r="B1017" i="2"/>
  <c r="B1018" i="2"/>
  <c r="B1019" i="2"/>
  <c r="B1020" i="2"/>
  <c r="B1021" i="2"/>
  <c r="B1022" i="2"/>
  <c r="B1023" i="2"/>
  <c r="B1024" i="2"/>
  <c r="B1025" i="2"/>
  <c r="B1026" i="2"/>
  <c r="B1027" i="2"/>
  <c r="B1028" i="2"/>
  <c r="B1029" i="2"/>
  <c r="B1030" i="2"/>
  <c r="B1031" i="2"/>
  <c r="B1032" i="2"/>
  <c r="B1033" i="2"/>
  <c r="B1034" i="2"/>
  <c r="B1035" i="2"/>
  <c r="B1036" i="2"/>
  <c r="B1037" i="2"/>
  <c r="B1038" i="2"/>
  <c r="B1039" i="2"/>
  <c r="B1040" i="2"/>
  <c r="B1041" i="2"/>
  <c r="B1042" i="2"/>
  <c r="B1043" i="2"/>
  <c r="B1044" i="2"/>
  <c r="B1045" i="2"/>
  <c r="B1046" i="2"/>
  <c r="B1047" i="2"/>
  <c r="B1048" i="2"/>
  <c r="B1049" i="2"/>
  <c r="B1050" i="2"/>
  <c r="B1051" i="2"/>
  <c r="B1052" i="2"/>
  <c r="B1053" i="2"/>
  <c r="B1054" i="2"/>
  <c r="B1055" i="2"/>
  <c r="B1056" i="2"/>
  <c r="B1057" i="2"/>
  <c r="B1058" i="2"/>
  <c r="B1059" i="2"/>
  <c r="B1060" i="2"/>
  <c r="B1062" i="2"/>
  <c r="C1062" i="2"/>
  <c r="D1062" i="2"/>
  <c r="E1062" i="2"/>
  <c r="F1062" i="2"/>
  <c r="G1062" i="2"/>
  <c r="I1062" i="2"/>
  <c r="J1062" i="2"/>
  <c r="B1063" i="2"/>
  <c r="C1063" i="2"/>
  <c r="D1063" i="2"/>
  <c r="E1063" i="2"/>
  <c r="F1063" i="2"/>
  <c r="G1063" i="2"/>
  <c r="I1063" i="2"/>
  <c r="J1063" i="2"/>
  <c r="B1064" i="2"/>
  <c r="C1064" i="2"/>
  <c r="D1064" i="2"/>
  <c r="E1064" i="2"/>
  <c r="F1064" i="2"/>
  <c r="G1064" i="2"/>
  <c r="I1064" i="2"/>
  <c r="J1064" i="2"/>
  <c r="B1065" i="2"/>
  <c r="C1065" i="2"/>
  <c r="D1065" i="2"/>
  <c r="E1065" i="2"/>
  <c r="F1065" i="2"/>
  <c r="G1065" i="2"/>
  <c r="H1065" i="2"/>
  <c r="I1065" i="2"/>
  <c r="J1065" i="2"/>
  <c r="B1066" i="2"/>
  <c r="C1066" i="2"/>
  <c r="D1066" i="2"/>
  <c r="E1066" i="2"/>
  <c r="F1066" i="2"/>
  <c r="G1066" i="2"/>
  <c r="H1066" i="2"/>
  <c r="I1066" i="2"/>
  <c r="J1066" i="2"/>
  <c r="B1067" i="2"/>
  <c r="C1067" i="2"/>
  <c r="D1067" i="2"/>
  <c r="E1067" i="2"/>
  <c r="F1067" i="2"/>
  <c r="G1067" i="2"/>
  <c r="H1067" i="2"/>
  <c r="I1067" i="2"/>
  <c r="J1067" i="2"/>
  <c r="B1068" i="2"/>
  <c r="C1068" i="2"/>
  <c r="D1068" i="2"/>
  <c r="E1068" i="2"/>
  <c r="F1068" i="2"/>
  <c r="G1068" i="2"/>
  <c r="H1068" i="2"/>
  <c r="I1068" i="2"/>
  <c r="J1068" i="2"/>
  <c r="B1069" i="2"/>
  <c r="C1069" i="2"/>
  <c r="D1069" i="2"/>
  <c r="E1069" i="2"/>
  <c r="F1069" i="2"/>
  <c r="G1069" i="2"/>
  <c r="H1069" i="2"/>
  <c r="I1069" i="2"/>
  <c r="J1069" i="2"/>
  <c r="B1070" i="2"/>
  <c r="C1070" i="2"/>
  <c r="D1070" i="2"/>
  <c r="E1070" i="2"/>
  <c r="F1070" i="2"/>
  <c r="G1070" i="2"/>
  <c r="H1070" i="2"/>
  <c r="I1070" i="2"/>
  <c r="J1070" i="2"/>
  <c r="B1071" i="2"/>
  <c r="C1071" i="2"/>
  <c r="D1071" i="2"/>
  <c r="E1071" i="2"/>
  <c r="F1071" i="2"/>
  <c r="G1071" i="2"/>
  <c r="H1071" i="2"/>
  <c r="I1071" i="2"/>
  <c r="J1071" i="2"/>
  <c r="B1072" i="2"/>
  <c r="C1072" i="2"/>
  <c r="D1072" i="2"/>
  <c r="E1072" i="2"/>
  <c r="F1072" i="2"/>
  <c r="G1072" i="2"/>
  <c r="H1072" i="2"/>
  <c r="I1072" i="2"/>
  <c r="J1072" i="2"/>
  <c r="B1073" i="2"/>
  <c r="C1073" i="2"/>
  <c r="D1073" i="2"/>
  <c r="E1073" i="2"/>
  <c r="F1073" i="2"/>
  <c r="G1073" i="2"/>
  <c r="H1073" i="2"/>
  <c r="I1073" i="2"/>
  <c r="J1073" i="2"/>
  <c r="B1074" i="2"/>
  <c r="C1074" i="2"/>
  <c r="D1074" i="2"/>
  <c r="E1074" i="2"/>
  <c r="F1074" i="2"/>
  <c r="G1074" i="2"/>
  <c r="H1074" i="2"/>
  <c r="I1074" i="2"/>
  <c r="J1074" i="2"/>
  <c r="B1075" i="2"/>
  <c r="C1075" i="2"/>
  <c r="D1075" i="2"/>
  <c r="E1075" i="2"/>
  <c r="F1075" i="2"/>
  <c r="G1075" i="2"/>
  <c r="H1075" i="2"/>
  <c r="I1075" i="2"/>
  <c r="J1075" i="2"/>
  <c r="B1076" i="2"/>
  <c r="C1076" i="2"/>
  <c r="D1076" i="2"/>
  <c r="E1076" i="2"/>
  <c r="F1076" i="2"/>
  <c r="G1076" i="2"/>
  <c r="H1076" i="2"/>
  <c r="I1076" i="2"/>
  <c r="J1076" i="2"/>
  <c r="B1077" i="2"/>
  <c r="C1077" i="2"/>
  <c r="D1077" i="2"/>
  <c r="E1077" i="2"/>
  <c r="F1077" i="2"/>
  <c r="G1077" i="2"/>
  <c r="H1077" i="2"/>
  <c r="I1077" i="2"/>
  <c r="J1077" i="2"/>
  <c r="B1078" i="2"/>
  <c r="C1078" i="2"/>
  <c r="D1078" i="2"/>
  <c r="E1078" i="2"/>
  <c r="F1078" i="2"/>
  <c r="G1078" i="2"/>
  <c r="H1078" i="2"/>
  <c r="I1078" i="2"/>
  <c r="J1078" i="2"/>
  <c r="B1079" i="2"/>
  <c r="C1079" i="2"/>
  <c r="D1079" i="2"/>
  <c r="E1079" i="2"/>
  <c r="F1079" i="2"/>
  <c r="G1079" i="2"/>
  <c r="H1079" i="2"/>
  <c r="I1079" i="2"/>
  <c r="J1079" i="2"/>
  <c r="B1080" i="2"/>
  <c r="C1080" i="2"/>
  <c r="D1080" i="2"/>
  <c r="E1080" i="2"/>
  <c r="F1080" i="2"/>
  <c r="G1080" i="2"/>
  <c r="H1080" i="2"/>
  <c r="I1080" i="2"/>
  <c r="J1080" i="2"/>
  <c r="B1081" i="2"/>
  <c r="C1081" i="2"/>
  <c r="D1081" i="2"/>
  <c r="E1081" i="2"/>
  <c r="F1081" i="2"/>
  <c r="G1081" i="2"/>
  <c r="H1081" i="2"/>
  <c r="I1081" i="2"/>
  <c r="J1081" i="2"/>
  <c r="B1082" i="2"/>
  <c r="C1082" i="2"/>
  <c r="D1082" i="2"/>
  <c r="E1082" i="2"/>
  <c r="F1082" i="2"/>
  <c r="G1082" i="2"/>
  <c r="H1082" i="2"/>
  <c r="I1082" i="2"/>
  <c r="J1082" i="2"/>
  <c r="B1083" i="2"/>
  <c r="C1083" i="2"/>
  <c r="D1083" i="2"/>
  <c r="E1083" i="2"/>
  <c r="F1083" i="2"/>
  <c r="G1083" i="2"/>
  <c r="H1083" i="2"/>
  <c r="I1083" i="2"/>
  <c r="J1083" i="2"/>
  <c r="B1084" i="2"/>
  <c r="C1084" i="2"/>
  <c r="D1084" i="2"/>
  <c r="E1084" i="2"/>
  <c r="F1084" i="2"/>
  <c r="G1084" i="2"/>
  <c r="H1084" i="2"/>
  <c r="I1084" i="2"/>
  <c r="J1084" i="2"/>
  <c r="B1085" i="2"/>
  <c r="C1085" i="2"/>
  <c r="D1085" i="2"/>
  <c r="E1085" i="2"/>
  <c r="F1085" i="2"/>
  <c r="G1085" i="2"/>
  <c r="H1085" i="2"/>
  <c r="I1085" i="2"/>
  <c r="J1085" i="2"/>
  <c r="A1086" i="2"/>
  <c r="C1086" i="2"/>
  <c r="D1086" i="2"/>
  <c r="E1086" i="2"/>
  <c r="F1086" i="2"/>
  <c r="G1086" i="2"/>
  <c r="H1086" i="2"/>
  <c r="I1086" i="2"/>
  <c r="J1086" i="2"/>
  <c r="C1087" i="2"/>
  <c r="D1087" i="2"/>
  <c r="E1087" i="2"/>
  <c r="F1087" i="2"/>
  <c r="G1087" i="2"/>
  <c r="H1087" i="2"/>
  <c r="I1087" i="2"/>
  <c r="J1087" i="2"/>
  <c r="C1088" i="2"/>
  <c r="D1088" i="2"/>
  <c r="E1088" i="2"/>
  <c r="F1088" i="2"/>
  <c r="G1088" i="2"/>
  <c r="H1088" i="2"/>
  <c r="I1088" i="2"/>
  <c r="J1088" i="2"/>
  <c r="C1089" i="2"/>
  <c r="D1089" i="2"/>
  <c r="E1089" i="2"/>
  <c r="F1089" i="2"/>
  <c r="G1089" i="2"/>
  <c r="H1089" i="2"/>
  <c r="I1089" i="2"/>
  <c r="J1089" i="2"/>
  <c r="C1090" i="2"/>
  <c r="D1090" i="2"/>
  <c r="E1090" i="2"/>
  <c r="F1090" i="2"/>
  <c r="G1090" i="2"/>
  <c r="H1090" i="2"/>
  <c r="I1090" i="2"/>
  <c r="J1090" i="2"/>
  <c r="C1091" i="2"/>
  <c r="D1091" i="2"/>
  <c r="E1091" i="2"/>
  <c r="F1091" i="2"/>
  <c r="G1091" i="2"/>
  <c r="H1091" i="2"/>
  <c r="I1091" i="2"/>
  <c r="J1091" i="2"/>
  <c r="C1092" i="2"/>
  <c r="D1092" i="2"/>
  <c r="E1092" i="2"/>
  <c r="F1092" i="2"/>
  <c r="G1092" i="2"/>
  <c r="H1092" i="2"/>
  <c r="I1092" i="2"/>
  <c r="J1092" i="2"/>
  <c r="C1093" i="2"/>
  <c r="D1093" i="2"/>
  <c r="E1093" i="2"/>
  <c r="F1093" i="2"/>
  <c r="G1093" i="2"/>
  <c r="H1093" i="2"/>
  <c r="I1093" i="2"/>
  <c r="J1093" i="2"/>
  <c r="C1094" i="2"/>
  <c r="D1094" i="2"/>
  <c r="E1094" i="2"/>
  <c r="F1094" i="2"/>
  <c r="G1094" i="2"/>
  <c r="H1094" i="2"/>
  <c r="I1094" i="2"/>
  <c r="J1094" i="2"/>
  <c r="C1095" i="2"/>
  <c r="D1095" i="2"/>
  <c r="E1095" i="2"/>
  <c r="F1095" i="2"/>
  <c r="G1095" i="2"/>
  <c r="H1095" i="2"/>
  <c r="I1095" i="2"/>
  <c r="J1095" i="2"/>
  <c r="C1096" i="2"/>
  <c r="D1096" i="2"/>
  <c r="E1096" i="2"/>
  <c r="F1096" i="2"/>
  <c r="G1096" i="2"/>
  <c r="H1096" i="2"/>
  <c r="I1096" i="2"/>
  <c r="J1096" i="2"/>
  <c r="C1097" i="2"/>
  <c r="D1097" i="2"/>
  <c r="E1097" i="2"/>
  <c r="F1097" i="2"/>
  <c r="G1097" i="2"/>
  <c r="H1097" i="2"/>
  <c r="I1097" i="2"/>
  <c r="J1097" i="2"/>
  <c r="C1098" i="2"/>
  <c r="D1098" i="2"/>
  <c r="E1098" i="2"/>
  <c r="F1098" i="2"/>
  <c r="G1098" i="2"/>
  <c r="H1098" i="2"/>
  <c r="I1098" i="2"/>
  <c r="J1098" i="2"/>
  <c r="C1099" i="2"/>
  <c r="D1099" i="2"/>
  <c r="E1099" i="2"/>
  <c r="F1099" i="2"/>
  <c r="G1099" i="2"/>
  <c r="H1099" i="2"/>
  <c r="I1099" i="2"/>
  <c r="J1099" i="2"/>
  <c r="C1100" i="2"/>
  <c r="D1100" i="2"/>
  <c r="E1100" i="2"/>
  <c r="F1100" i="2"/>
  <c r="G1100" i="2"/>
  <c r="H1100" i="2"/>
  <c r="I1100" i="2"/>
  <c r="J1100" i="2"/>
  <c r="C1101" i="2"/>
  <c r="D1101" i="2"/>
  <c r="E1101" i="2"/>
  <c r="F1101" i="2"/>
  <c r="G1101" i="2"/>
  <c r="H1101" i="2"/>
  <c r="I1101" i="2"/>
  <c r="J1101" i="2"/>
  <c r="C1102" i="2"/>
  <c r="D1102" i="2"/>
  <c r="E1102" i="2"/>
  <c r="F1102" i="2"/>
  <c r="G1102" i="2"/>
  <c r="H1102" i="2"/>
  <c r="I1102" i="2"/>
  <c r="J1102" i="2"/>
  <c r="C1103" i="2"/>
  <c r="D1103" i="2"/>
  <c r="E1103" i="2"/>
  <c r="F1103" i="2"/>
  <c r="G1103" i="2"/>
  <c r="H1103" i="2"/>
  <c r="I1103" i="2"/>
  <c r="J1103" i="2"/>
  <c r="C1104" i="2"/>
  <c r="D1104" i="2"/>
  <c r="E1104" i="2"/>
  <c r="F1104" i="2"/>
  <c r="G1104" i="2"/>
  <c r="H1104" i="2"/>
  <c r="I1104" i="2"/>
  <c r="J1104" i="2"/>
  <c r="C1105" i="2"/>
  <c r="D1105" i="2"/>
  <c r="E1105" i="2"/>
  <c r="F1105" i="2"/>
  <c r="G1105" i="2"/>
  <c r="H1105" i="2"/>
  <c r="I1105" i="2"/>
  <c r="J1105" i="2"/>
  <c r="C1106" i="2"/>
  <c r="D1106" i="2"/>
  <c r="E1106" i="2"/>
  <c r="F1106" i="2"/>
  <c r="G1106" i="2"/>
  <c r="H1106" i="2"/>
  <c r="I1106" i="2"/>
  <c r="J1106" i="2"/>
  <c r="C1107" i="2"/>
  <c r="D1107" i="2"/>
  <c r="E1107" i="2"/>
  <c r="F1107" i="2"/>
  <c r="G1107" i="2"/>
  <c r="H1107" i="2"/>
  <c r="I1107" i="2"/>
  <c r="J1107" i="2"/>
  <c r="C1108" i="2"/>
  <c r="D1108" i="2"/>
  <c r="E1108" i="2"/>
  <c r="F1108" i="2"/>
  <c r="G1108" i="2"/>
  <c r="H1108" i="2"/>
  <c r="I1108" i="2"/>
  <c r="J1108" i="2"/>
  <c r="C1109" i="2"/>
  <c r="D1109" i="2"/>
  <c r="E1109" i="2"/>
  <c r="F1109" i="2"/>
  <c r="G1109" i="2"/>
  <c r="H1109" i="2"/>
  <c r="I1109" i="2"/>
  <c r="J1109" i="2"/>
  <c r="D11" i="1"/>
  <c r="F11" i="1"/>
  <c r="B22" i="1"/>
  <c r="C22" i="1"/>
  <c r="D22" i="1"/>
  <c r="E22" i="1"/>
  <c r="F22" i="1"/>
  <c r="G22" i="1"/>
  <c r="H22" i="1"/>
  <c r="I22" i="1"/>
  <c r="J22" i="1"/>
  <c r="K22" i="1"/>
  <c r="B23" i="1"/>
  <c r="C23" i="1"/>
  <c r="D23" i="1"/>
  <c r="E23" i="1"/>
  <c r="F23" i="1"/>
  <c r="G23" i="1"/>
  <c r="H23" i="1"/>
  <c r="I23" i="1"/>
  <c r="J23" i="1"/>
  <c r="K23" i="1"/>
  <c r="R23" i="1"/>
  <c r="B24" i="1"/>
  <c r="C24" i="1"/>
  <c r="D24" i="1"/>
  <c r="E24" i="1"/>
  <c r="F24" i="1"/>
  <c r="G24" i="1"/>
  <c r="H24" i="1"/>
  <c r="I24" i="1"/>
  <c r="J24" i="1"/>
  <c r="K24" i="1"/>
  <c r="R24" i="1"/>
  <c r="B25" i="1"/>
  <c r="C25" i="1"/>
  <c r="D25" i="1"/>
  <c r="E25" i="1"/>
  <c r="F25" i="1"/>
  <c r="G25" i="1"/>
  <c r="H25" i="1"/>
  <c r="I25" i="1"/>
  <c r="J25" i="1"/>
  <c r="K25" i="1"/>
  <c r="R25" i="1"/>
  <c r="B26" i="1"/>
  <c r="C26" i="1"/>
  <c r="D26" i="1"/>
  <c r="E26" i="1"/>
  <c r="F26" i="1"/>
  <c r="G26" i="1"/>
  <c r="H26" i="1"/>
  <c r="I26" i="1"/>
  <c r="J26" i="1"/>
  <c r="K26" i="1"/>
  <c r="R26" i="1"/>
  <c r="B27" i="1"/>
  <c r="C27" i="1"/>
  <c r="D27" i="1"/>
  <c r="E27" i="1"/>
  <c r="F27" i="1"/>
  <c r="G27" i="1"/>
  <c r="G1062" i="1" s="1"/>
  <c r="H27" i="1"/>
  <c r="I27" i="1"/>
  <c r="J27" i="1"/>
  <c r="K27" i="1"/>
  <c r="R27" i="1"/>
  <c r="B28" i="1"/>
  <c r="C28" i="1"/>
  <c r="D28" i="1"/>
  <c r="E28" i="1"/>
  <c r="F28" i="1"/>
  <c r="G28" i="1"/>
  <c r="H28" i="1"/>
  <c r="I28" i="1"/>
  <c r="J28" i="1"/>
  <c r="K28" i="1"/>
  <c r="R28" i="1"/>
  <c r="B29" i="1"/>
  <c r="C29" i="1"/>
  <c r="D29" i="1"/>
  <c r="E29" i="1"/>
  <c r="F29" i="1"/>
  <c r="G29" i="1"/>
  <c r="H29" i="1"/>
  <c r="I29" i="1"/>
  <c r="J29" i="1"/>
  <c r="K29" i="1"/>
  <c r="R29" i="1"/>
  <c r="B30" i="1"/>
  <c r="C30" i="1"/>
  <c r="D30" i="1"/>
  <c r="E30" i="1"/>
  <c r="F30" i="1"/>
  <c r="G30" i="1"/>
  <c r="H30" i="1"/>
  <c r="I30" i="1"/>
  <c r="J30" i="1"/>
  <c r="K30" i="1"/>
  <c r="R30" i="1"/>
  <c r="B31" i="1"/>
  <c r="C31" i="1"/>
  <c r="D31" i="1"/>
  <c r="E31" i="1"/>
  <c r="F31" i="1"/>
  <c r="G31" i="1"/>
  <c r="H31" i="1"/>
  <c r="I31" i="1"/>
  <c r="J31" i="1"/>
  <c r="K31" i="1"/>
  <c r="R31" i="1"/>
  <c r="B32" i="1"/>
  <c r="C32" i="1"/>
  <c r="D32" i="1"/>
  <c r="E32" i="1"/>
  <c r="F32" i="1"/>
  <c r="G32" i="1"/>
  <c r="H32" i="1"/>
  <c r="I32" i="1"/>
  <c r="J32" i="1"/>
  <c r="K32" i="1"/>
  <c r="R32" i="1"/>
  <c r="B33" i="1"/>
  <c r="C33" i="1"/>
  <c r="D33" i="1"/>
  <c r="E33" i="1"/>
  <c r="F33" i="1"/>
  <c r="G33" i="1"/>
  <c r="H33" i="1"/>
  <c r="I33" i="1"/>
  <c r="J33" i="1"/>
  <c r="K33" i="1"/>
  <c r="R33" i="1"/>
  <c r="B34" i="1"/>
  <c r="C34" i="1"/>
  <c r="D34" i="1"/>
  <c r="E34" i="1"/>
  <c r="F34" i="1"/>
  <c r="G34" i="1"/>
  <c r="H34" i="1"/>
  <c r="I34" i="1"/>
  <c r="J34" i="1"/>
  <c r="K34" i="1"/>
  <c r="R34" i="1"/>
  <c r="B35" i="1"/>
  <c r="C35" i="1"/>
  <c r="D35" i="1"/>
  <c r="E35" i="1"/>
  <c r="F35" i="1"/>
  <c r="G35" i="1"/>
  <c r="H35" i="1"/>
  <c r="I35" i="1"/>
  <c r="J35" i="1"/>
  <c r="K35" i="1"/>
  <c r="R35" i="1"/>
  <c r="B36" i="1"/>
  <c r="C36" i="1"/>
  <c r="D36" i="1"/>
  <c r="E36" i="1"/>
  <c r="F36" i="1"/>
  <c r="G36" i="1"/>
  <c r="H36" i="1"/>
  <c r="I36" i="1"/>
  <c r="J36" i="1"/>
  <c r="K36" i="1"/>
  <c r="R36" i="1"/>
  <c r="B37" i="1"/>
  <c r="C37" i="1"/>
  <c r="D37" i="1"/>
  <c r="E37" i="1"/>
  <c r="F37" i="1"/>
  <c r="G37" i="1"/>
  <c r="H37" i="1"/>
  <c r="I37" i="1"/>
  <c r="J37" i="1"/>
  <c r="K37" i="1"/>
  <c r="R37" i="1"/>
  <c r="B38" i="1"/>
  <c r="C38" i="1"/>
  <c r="D38" i="1"/>
  <c r="E38" i="1"/>
  <c r="F38" i="1"/>
  <c r="G38" i="1"/>
  <c r="H38" i="1"/>
  <c r="I38" i="1"/>
  <c r="J38" i="1"/>
  <c r="K38" i="1"/>
  <c r="R38" i="1"/>
  <c r="B39" i="1"/>
  <c r="C39" i="1"/>
  <c r="D39" i="1"/>
  <c r="E39" i="1"/>
  <c r="F39" i="1"/>
  <c r="G39" i="1"/>
  <c r="H39" i="1"/>
  <c r="I39" i="1"/>
  <c r="J39" i="1"/>
  <c r="K39" i="1"/>
  <c r="R39" i="1"/>
  <c r="B40" i="1"/>
  <c r="C40" i="1"/>
  <c r="D40" i="1"/>
  <c r="E40" i="1"/>
  <c r="F40" i="1"/>
  <c r="G40" i="1"/>
  <c r="H40" i="1"/>
  <c r="I40" i="1"/>
  <c r="J40" i="1"/>
  <c r="K40" i="1"/>
  <c r="R40" i="1"/>
  <c r="B41" i="1"/>
  <c r="C41" i="1"/>
  <c r="D41" i="1"/>
  <c r="E41" i="1"/>
  <c r="F41" i="1"/>
  <c r="G41" i="1"/>
  <c r="H41" i="1"/>
  <c r="I41" i="1"/>
  <c r="J41" i="1"/>
  <c r="R41" i="1"/>
  <c r="B42" i="1"/>
  <c r="C42" i="1"/>
  <c r="D42" i="1"/>
  <c r="E42" i="1"/>
  <c r="F42" i="1"/>
  <c r="G42" i="1"/>
  <c r="H42" i="1"/>
  <c r="I42" i="1"/>
  <c r="J42" i="1"/>
  <c r="R42" i="1"/>
  <c r="B43" i="1"/>
  <c r="C43" i="1"/>
  <c r="D43" i="1"/>
  <c r="E43" i="1"/>
  <c r="F43" i="1"/>
  <c r="G43" i="1"/>
  <c r="H43" i="1"/>
  <c r="I43" i="1"/>
  <c r="J43" i="1"/>
  <c r="R43" i="1"/>
  <c r="B44" i="1"/>
  <c r="C44" i="1"/>
  <c r="D44" i="1"/>
  <c r="E44" i="1"/>
  <c r="F44" i="1"/>
  <c r="G44" i="1"/>
  <c r="H44" i="1"/>
  <c r="I44" i="1"/>
  <c r="J44" i="1"/>
  <c r="R44" i="1"/>
  <c r="B45" i="1"/>
  <c r="C45" i="1"/>
  <c r="D45" i="1"/>
  <c r="E45" i="1"/>
  <c r="F45" i="1"/>
  <c r="G45" i="1"/>
  <c r="H45" i="1"/>
  <c r="I45" i="1"/>
  <c r="J45" i="1"/>
  <c r="R45" i="1"/>
  <c r="B46" i="1"/>
  <c r="C46" i="1"/>
  <c r="D46" i="1"/>
  <c r="E46" i="1"/>
  <c r="F46" i="1"/>
  <c r="G46" i="1"/>
  <c r="H46" i="1"/>
  <c r="I46" i="1"/>
  <c r="J46" i="1"/>
  <c r="R46" i="1"/>
  <c r="B47" i="1"/>
  <c r="C47" i="1"/>
  <c r="D47" i="1"/>
  <c r="E47" i="1"/>
  <c r="F47" i="1"/>
  <c r="G47" i="1"/>
  <c r="H47" i="1"/>
  <c r="I47" i="1"/>
  <c r="J47" i="1"/>
  <c r="R47" i="1"/>
  <c r="B48" i="1"/>
  <c r="C48" i="1"/>
  <c r="D48" i="1"/>
  <c r="E48" i="1"/>
  <c r="F48" i="1"/>
  <c r="G48" i="1"/>
  <c r="H48" i="1"/>
  <c r="I48" i="1"/>
  <c r="J48" i="1"/>
  <c r="R48" i="1"/>
  <c r="B49" i="1"/>
  <c r="C49" i="1"/>
  <c r="D49" i="1"/>
  <c r="E49" i="1"/>
  <c r="F49" i="1"/>
  <c r="G49" i="1"/>
  <c r="H49" i="1"/>
  <c r="I49" i="1"/>
  <c r="J49" i="1"/>
  <c r="R49" i="1"/>
  <c r="B50" i="1"/>
  <c r="C50" i="1"/>
  <c r="D50" i="1"/>
  <c r="E50" i="1"/>
  <c r="F50" i="1"/>
  <c r="G50" i="1"/>
  <c r="H50" i="1"/>
  <c r="I50" i="1"/>
  <c r="J50" i="1"/>
  <c r="R50" i="1"/>
  <c r="B51" i="1"/>
  <c r="C51" i="1"/>
  <c r="D51" i="1"/>
  <c r="E51" i="1"/>
  <c r="F51" i="1"/>
  <c r="G51" i="1"/>
  <c r="H51" i="1"/>
  <c r="I51" i="1"/>
  <c r="J51" i="1"/>
  <c r="R51" i="1"/>
  <c r="B52" i="1"/>
  <c r="C52" i="1"/>
  <c r="D52" i="1"/>
  <c r="E52" i="1"/>
  <c r="F52" i="1"/>
  <c r="G52" i="1"/>
  <c r="H52" i="1"/>
  <c r="I52" i="1"/>
  <c r="J52" i="1"/>
  <c r="R52" i="1"/>
  <c r="B53" i="1"/>
  <c r="C53" i="1"/>
  <c r="D53" i="1"/>
  <c r="E53" i="1"/>
  <c r="F53" i="1"/>
  <c r="G53" i="1"/>
  <c r="H53" i="1"/>
  <c r="I53" i="1"/>
  <c r="J53" i="1"/>
  <c r="R53" i="1"/>
  <c r="B54" i="1"/>
  <c r="C54" i="1"/>
  <c r="D54" i="1"/>
  <c r="E54" i="1"/>
  <c r="F54" i="1"/>
  <c r="G54" i="1"/>
  <c r="H54" i="1"/>
  <c r="I54" i="1"/>
  <c r="J54" i="1"/>
  <c r="R54" i="1"/>
  <c r="B55" i="1"/>
  <c r="C55" i="1"/>
  <c r="D55" i="1"/>
  <c r="E55" i="1"/>
  <c r="F55" i="1"/>
  <c r="G55" i="1"/>
  <c r="H55" i="1"/>
  <c r="I55" i="1"/>
  <c r="J55" i="1"/>
  <c r="R55" i="1"/>
  <c r="B56" i="1"/>
  <c r="C56" i="1"/>
  <c r="D56" i="1"/>
  <c r="E56" i="1"/>
  <c r="F56" i="1"/>
  <c r="G56" i="1"/>
  <c r="H56" i="1"/>
  <c r="I56" i="1"/>
  <c r="J56" i="1"/>
  <c r="R56" i="1"/>
  <c r="B57" i="1"/>
  <c r="C57" i="1"/>
  <c r="D57" i="1"/>
  <c r="E57" i="1"/>
  <c r="F57" i="1"/>
  <c r="G57" i="1"/>
  <c r="H57" i="1"/>
  <c r="I57" i="1"/>
  <c r="J57" i="1"/>
  <c r="B58" i="1"/>
  <c r="C58" i="1"/>
  <c r="D58" i="1"/>
  <c r="E58" i="1"/>
  <c r="F58" i="1"/>
  <c r="G58" i="1"/>
  <c r="H58" i="1"/>
  <c r="I58" i="1"/>
  <c r="J58" i="1"/>
  <c r="B59" i="1"/>
  <c r="C59" i="1"/>
  <c r="D59" i="1"/>
  <c r="E59" i="1"/>
  <c r="F59" i="1"/>
  <c r="G59" i="1"/>
  <c r="H59" i="1"/>
  <c r="I59" i="1"/>
  <c r="J59" i="1"/>
  <c r="B60" i="1"/>
  <c r="C60" i="1"/>
  <c r="D60" i="1"/>
  <c r="E60" i="1"/>
  <c r="F60" i="1"/>
  <c r="G60" i="1"/>
  <c r="H60" i="1"/>
  <c r="I60" i="1"/>
  <c r="J60" i="1"/>
  <c r="B61" i="1"/>
  <c r="C61" i="1"/>
  <c r="D61" i="1"/>
  <c r="E61" i="1"/>
  <c r="F61" i="1"/>
  <c r="G61" i="1"/>
  <c r="H61" i="1"/>
  <c r="I61" i="1"/>
  <c r="J61" i="1"/>
  <c r="B62" i="1"/>
  <c r="C62" i="1"/>
  <c r="D62" i="1"/>
  <c r="E62" i="1"/>
  <c r="F62" i="1"/>
  <c r="G62" i="1"/>
  <c r="H62" i="1"/>
  <c r="I62" i="1"/>
  <c r="J62" i="1"/>
  <c r="B63" i="1"/>
  <c r="C63" i="1"/>
  <c r="D63" i="1"/>
  <c r="E63" i="1"/>
  <c r="F63" i="1"/>
  <c r="G63" i="1"/>
  <c r="H63" i="1"/>
  <c r="I63" i="1"/>
  <c r="J63" i="1"/>
  <c r="B64" i="1"/>
  <c r="C64" i="1"/>
  <c r="D64" i="1"/>
  <c r="E64" i="1"/>
  <c r="F64" i="1"/>
  <c r="G64" i="1"/>
  <c r="H64" i="1"/>
  <c r="I64" i="1"/>
  <c r="J64" i="1"/>
  <c r="B65" i="1"/>
  <c r="C65" i="1"/>
  <c r="D65" i="1"/>
  <c r="E65" i="1"/>
  <c r="F65" i="1"/>
  <c r="G65" i="1"/>
  <c r="H65" i="1"/>
  <c r="I65" i="1"/>
  <c r="J65" i="1"/>
  <c r="B66" i="1"/>
  <c r="C66" i="1"/>
  <c r="D66" i="1"/>
  <c r="E66" i="1"/>
  <c r="F66" i="1"/>
  <c r="G66" i="1"/>
  <c r="H66" i="1"/>
  <c r="I66" i="1"/>
  <c r="J66" i="1"/>
  <c r="B67" i="1"/>
  <c r="C67" i="1"/>
  <c r="D67" i="1"/>
  <c r="E67" i="1"/>
  <c r="F67" i="1"/>
  <c r="G67" i="1"/>
  <c r="H67" i="1"/>
  <c r="I67" i="1"/>
  <c r="J67" i="1"/>
  <c r="B68" i="1"/>
  <c r="C68" i="1"/>
  <c r="D68" i="1"/>
  <c r="E68" i="1"/>
  <c r="F68" i="1"/>
  <c r="G68" i="1"/>
  <c r="H68" i="1"/>
  <c r="I68" i="1"/>
  <c r="J68" i="1"/>
  <c r="B69" i="1"/>
  <c r="C69" i="1"/>
  <c r="D69" i="1"/>
  <c r="E69" i="1"/>
  <c r="F69" i="1"/>
  <c r="G69" i="1"/>
  <c r="H69" i="1"/>
  <c r="I69" i="1"/>
  <c r="J69" i="1"/>
  <c r="B70" i="1"/>
  <c r="C70" i="1"/>
  <c r="D70" i="1"/>
  <c r="E70" i="1"/>
  <c r="F70" i="1"/>
  <c r="G70" i="1"/>
  <c r="H70" i="1"/>
  <c r="I70" i="1"/>
  <c r="J70" i="1"/>
  <c r="B71" i="1"/>
  <c r="C71" i="1"/>
  <c r="D71" i="1"/>
  <c r="E71" i="1"/>
  <c r="F71" i="1"/>
  <c r="G71" i="1"/>
  <c r="H71" i="1"/>
  <c r="I71" i="1"/>
  <c r="J71" i="1"/>
  <c r="B72" i="1"/>
  <c r="C72" i="1"/>
  <c r="D72" i="1"/>
  <c r="E72" i="1"/>
  <c r="F72" i="1"/>
  <c r="G72" i="1"/>
  <c r="H72" i="1"/>
  <c r="I72" i="1"/>
  <c r="J72" i="1"/>
  <c r="B73" i="1"/>
  <c r="C73" i="1"/>
  <c r="D73" i="1"/>
  <c r="E73" i="1"/>
  <c r="F73" i="1"/>
  <c r="G73" i="1"/>
  <c r="H73" i="1"/>
  <c r="I73" i="1"/>
  <c r="J73" i="1"/>
  <c r="B74" i="1"/>
  <c r="C74" i="1"/>
  <c r="D74" i="1"/>
  <c r="E74" i="1"/>
  <c r="F74" i="1"/>
  <c r="G74" i="1"/>
  <c r="H74" i="1"/>
  <c r="I74" i="1"/>
  <c r="J74" i="1"/>
  <c r="B75" i="1"/>
  <c r="C75" i="1"/>
  <c r="D75" i="1"/>
  <c r="E75" i="1"/>
  <c r="F75" i="1"/>
  <c r="G75" i="1"/>
  <c r="H75" i="1"/>
  <c r="I75" i="1"/>
  <c r="J75" i="1"/>
  <c r="B76" i="1"/>
  <c r="C76" i="1"/>
  <c r="D76" i="1"/>
  <c r="E76" i="1"/>
  <c r="F76" i="1"/>
  <c r="G76" i="1"/>
  <c r="H76" i="1"/>
  <c r="I76" i="1"/>
  <c r="J76" i="1"/>
  <c r="B77" i="1"/>
  <c r="C77" i="1"/>
  <c r="D77" i="1"/>
  <c r="E77" i="1"/>
  <c r="F77" i="1"/>
  <c r="G77" i="1"/>
  <c r="H77" i="1"/>
  <c r="I77" i="1"/>
  <c r="J77" i="1"/>
  <c r="B78" i="1"/>
  <c r="C78" i="1"/>
  <c r="D78" i="1"/>
  <c r="E78" i="1"/>
  <c r="F78" i="1"/>
  <c r="G78" i="1"/>
  <c r="H78" i="1"/>
  <c r="I78" i="1"/>
  <c r="J78" i="1"/>
  <c r="B79" i="1"/>
  <c r="C79" i="1"/>
  <c r="D79" i="1"/>
  <c r="E79" i="1"/>
  <c r="F79" i="1"/>
  <c r="G79" i="1"/>
  <c r="H79" i="1"/>
  <c r="I79" i="1"/>
  <c r="J79" i="1"/>
  <c r="B80" i="1"/>
  <c r="C80" i="1"/>
  <c r="D80" i="1"/>
  <c r="E80" i="1"/>
  <c r="F80" i="1"/>
  <c r="G80" i="1"/>
  <c r="H80" i="1"/>
  <c r="I80" i="1"/>
  <c r="J80" i="1"/>
  <c r="B81" i="1"/>
  <c r="C81" i="1"/>
  <c r="D81" i="1"/>
  <c r="E81" i="1"/>
  <c r="F81" i="1"/>
  <c r="G81" i="1"/>
  <c r="H81" i="1"/>
  <c r="I81" i="1"/>
  <c r="J81" i="1"/>
  <c r="B82" i="1"/>
  <c r="C82" i="1"/>
  <c r="D82" i="1"/>
  <c r="E82" i="1"/>
  <c r="F82" i="1"/>
  <c r="G82" i="1"/>
  <c r="H82" i="1"/>
  <c r="I82" i="1"/>
  <c r="J82" i="1"/>
  <c r="B83" i="1"/>
  <c r="C83" i="1"/>
  <c r="D83" i="1"/>
  <c r="E83" i="1"/>
  <c r="F83" i="1"/>
  <c r="G83" i="1"/>
  <c r="H83" i="1"/>
  <c r="I83" i="1"/>
  <c r="J83" i="1"/>
  <c r="B84" i="1"/>
  <c r="C84" i="1"/>
  <c r="D84" i="1"/>
  <c r="E84" i="1"/>
  <c r="F84" i="1"/>
  <c r="G84" i="1"/>
  <c r="H84" i="1"/>
  <c r="I84" i="1"/>
  <c r="J84" i="1"/>
  <c r="B85" i="1"/>
  <c r="C85" i="1"/>
  <c r="D85" i="1"/>
  <c r="E85" i="1"/>
  <c r="F85" i="1"/>
  <c r="G85" i="1"/>
  <c r="H85" i="1"/>
  <c r="I85" i="1"/>
  <c r="J85" i="1"/>
  <c r="B86" i="1"/>
  <c r="C86" i="1"/>
  <c r="D86" i="1"/>
  <c r="E86" i="1"/>
  <c r="F86" i="1"/>
  <c r="G86" i="1"/>
  <c r="H86" i="1"/>
  <c r="I86" i="1"/>
  <c r="J86" i="1"/>
  <c r="B87" i="1"/>
  <c r="C87" i="1"/>
  <c r="D87" i="1"/>
  <c r="E87" i="1"/>
  <c r="F87" i="1"/>
  <c r="G87" i="1"/>
  <c r="H87" i="1"/>
  <c r="I87" i="1"/>
  <c r="J87" i="1"/>
  <c r="B88" i="1"/>
  <c r="C88" i="1"/>
  <c r="D88" i="1"/>
  <c r="E88" i="1"/>
  <c r="F88" i="1"/>
  <c r="G88" i="1"/>
  <c r="H88" i="1"/>
  <c r="I88" i="1"/>
  <c r="J88" i="1"/>
  <c r="B89" i="1"/>
  <c r="C89" i="1"/>
  <c r="D89" i="1"/>
  <c r="E89" i="1"/>
  <c r="F89" i="1"/>
  <c r="G89" i="1"/>
  <c r="H89" i="1"/>
  <c r="I89" i="1"/>
  <c r="J89" i="1"/>
  <c r="B90" i="1"/>
  <c r="C90" i="1"/>
  <c r="D90" i="1"/>
  <c r="E90" i="1"/>
  <c r="F90" i="1"/>
  <c r="G90" i="1"/>
  <c r="H90" i="1"/>
  <c r="I90" i="1"/>
  <c r="J90" i="1"/>
  <c r="B91" i="1"/>
  <c r="C91" i="1"/>
  <c r="D91" i="1"/>
  <c r="E91" i="1"/>
  <c r="F91" i="1"/>
  <c r="G91" i="1"/>
  <c r="H91" i="1"/>
  <c r="I91" i="1"/>
  <c r="J91" i="1"/>
  <c r="B92" i="1"/>
  <c r="C92" i="1"/>
  <c r="D92" i="1"/>
  <c r="E92" i="1"/>
  <c r="F92" i="1"/>
  <c r="G92" i="1"/>
  <c r="H92" i="1"/>
  <c r="I92" i="1"/>
  <c r="J92" i="1"/>
  <c r="B93" i="1"/>
  <c r="C93" i="1"/>
  <c r="D93" i="1"/>
  <c r="E93" i="1"/>
  <c r="F93" i="1"/>
  <c r="G93" i="1"/>
  <c r="H93" i="1"/>
  <c r="I93" i="1"/>
  <c r="J93" i="1"/>
  <c r="B94" i="1"/>
  <c r="C94" i="1"/>
  <c r="D94" i="1"/>
  <c r="E94" i="1"/>
  <c r="F94" i="1"/>
  <c r="G94" i="1"/>
  <c r="H94" i="1"/>
  <c r="I94" i="1"/>
  <c r="J94" i="1"/>
  <c r="B95" i="1"/>
  <c r="C95" i="1"/>
  <c r="D95" i="1"/>
  <c r="E95" i="1"/>
  <c r="F95" i="1"/>
  <c r="G95" i="1"/>
  <c r="H95" i="1"/>
  <c r="I95" i="1"/>
  <c r="J95" i="1"/>
  <c r="B96" i="1"/>
  <c r="C96" i="1"/>
  <c r="D96" i="1"/>
  <c r="E96" i="1"/>
  <c r="F96" i="1"/>
  <c r="G96" i="1"/>
  <c r="H96" i="1"/>
  <c r="I96" i="1"/>
  <c r="J96" i="1"/>
  <c r="B97" i="1"/>
  <c r="C97" i="1"/>
  <c r="D97" i="1"/>
  <c r="E97" i="1"/>
  <c r="F97" i="1"/>
  <c r="G97" i="1"/>
  <c r="H97" i="1"/>
  <c r="I97" i="1"/>
  <c r="J97" i="1"/>
  <c r="B98" i="1"/>
  <c r="C98" i="1"/>
  <c r="D98" i="1"/>
  <c r="E98" i="1"/>
  <c r="F98" i="1"/>
  <c r="G98" i="1"/>
  <c r="H98" i="1"/>
  <c r="I98" i="1"/>
  <c r="J98" i="1"/>
  <c r="B99" i="1"/>
  <c r="C99" i="1"/>
  <c r="D99" i="1"/>
  <c r="E99" i="1"/>
  <c r="F99" i="1"/>
  <c r="G99" i="1"/>
  <c r="H99" i="1"/>
  <c r="I99" i="1"/>
  <c r="J99" i="1"/>
  <c r="B100" i="1"/>
  <c r="C100" i="1"/>
  <c r="D100" i="1"/>
  <c r="E100" i="1"/>
  <c r="F100" i="1"/>
  <c r="G100" i="1"/>
  <c r="H100" i="1"/>
  <c r="I100" i="1"/>
  <c r="J100" i="1"/>
  <c r="B101" i="1"/>
  <c r="C101" i="1"/>
  <c r="D101" i="1"/>
  <c r="E101" i="1"/>
  <c r="F101" i="1"/>
  <c r="G101" i="1"/>
  <c r="H101" i="1"/>
  <c r="I101" i="1"/>
  <c r="J101" i="1"/>
  <c r="B102" i="1"/>
  <c r="C102" i="1"/>
  <c r="D102" i="1"/>
  <c r="E102" i="1"/>
  <c r="F102" i="1"/>
  <c r="G102" i="1"/>
  <c r="H102" i="1"/>
  <c r="I102" i="1"/>
  <c r="J102" i="1"/>
  <c r="B103" i="1"/>
  <c r="C103" i="1"/>
  <c r="D103" i="1"/>
  <c r="E103" i="1"/>
  <c r="F103" i="1"/>
  <c r="G103" i="1"/>
  <c r="H103" i="1"/>
  <c r="I103" i="1"/>
  <c r="J103" i="1"/>
  <c r="B104" i="1"/>
  <c r="C104" i="1"/>
  <c r="D104" i="1"/>
  <c r="E104" i="1"/>
  <c r="F104" i="1"/>
  <c r="G104" i="1"/>
  <c r="H104" i="1"/>
  <c r="I104" i="1"/>
  <c r="J104" i="1"/>
  <c r="B105" i="1"/>
  <c r="C105" i="1"/>
  <c r="D105" i="1"/>
  <c r="E105" i="1"/>
  <c r="F105" i="1"/>
  <c r="G105" i="1"/>
  <c r="H105" i="1"/>
  <c r="I105" i="1"/>
  <c r="J105" i="1"/>
  <c r="B106" i="1"/>
  <c r="C106" i="1"/>
  <c r="D106" i="1"/>
  <c r="E106" i="1"/>
  <c r="F106" i="1"/>
  <c r="G106" i="1"/>
  <c r="H106" i="1"/>
  <c r="I106" i="1"/>
  <c r="J106" i="1"/>
  <c r="B107" i="1"/>
  <c r="C107" i="1"/>
  <c r="D107" i="1"/>
  <c r="E107" i="1"/>
  <c r="F107" i="1"/>
  <c r="G107" i="1"/>
  <c r="H107" i="1"/>
  <c r="I107" i="1"/>
  <c r="J107" i="1"/>
  <c r="B108" i="1"/>
  <c r="C108" i="1"/>
  <c r="D108" i="1"/>
  <c r="E108" i="1"/>
  <c r="F108" i="1"/>
  <c r="G108" i="1"/>
  <c r="H108" i="1"/>
  <c r="I108" i="1"/>
  <c r="J108" i="1"/>
  <c r="B109" i="1"/>
  <c r="C109" i="1"/>
  <c r="D109" i="1"/>
  <c r="E109" i="1"/>
  <c r="F109" i="1"/>
  <c r="G109" i="1"/>
  <c r="H109" i="1"/>
  <c r="I109" i="1"/>
  <c r="J109" i="1"/>
  <c r="B110" i="1"/>
  <c r="C110" i="1"/>
  <c r="D110" i="1"/>
  <c r="E110" i="1"/>
  <c r="F110" i="1"/>
  <c r="G110" i="1"/>
  <c r="H110" i="1"/>
  <c r="I110" i="1"/>
  <c r="J110" i="1"/>
  <c r="B111" i="1"/>
  <c r="C111" i="1"/>
  <c r="D111" i="1"/>
  <c r="E111" i="1"/>
  <c r="F111" i="1"/>
  <c r="G111" i="1"/>
  <c r="H111" i="1"/>
  <c r="I111" i="1"/>
  <c r="J111" i="1"/>
  <c r="B112" i="1"/>
  <c r="C112" i="1"/>
  <c r="D112" i="1"/>
  <c r="E112" i="1"/>
  <c r="F112" i="1"/>
  <c r="G112" i="1"/>
  <c r="H112" i="1"/>
  <c r="I112" i="1"/>
  <c r="J112" i="1"/>
  <c r="B113" i="1"/>
  <c r="C113" i="1"/>
  <c r="D113" i="1"/>
  <c r="E113" i="1"/>
  <c r="F113" i="1"/>
  <c r="G113" i="1"/>
  <c r="H113" i="1"/>
  <c r="I113" i="1"/>
  <c r="J113" i="1"/>
  <c r="B114" i="1"/>
  <c r="C114" i="1"/>
  <c r="D114" i="1"/>
  <c r="E114" i="1"/>
  <c r="F114" i="1"/>
  <c r="G114" i="1"/>
  <c r="H114" i="1"/>
  <c r="I114" i="1"/>
  <c r="J114" i="1"/>
  <c r="B115" i="1"/>
  <c r="C115" i="1"/>
  <c r="D115" i="1"/>
  <c r="E115" i="1"/>
  <c r="F115" i="1"/>
  <c r="G115" i="1"/>
  <c r="H115" i="1"/>
  <c r="I115" i="1"/>
  <c r="J115" i="1"/>
  <c r="B116" i="1"/>
  <c r="C116" i="1"/>
  <c r="D116" i="1"/>
  <c r="E116" i="1"/>
  <c r="F116" i="1"/>
  <c r="G116" i="1"/>
  <c r="H116" i="1"/>
  <c r="I116" i="1"/>
  <c r="J116" i="1"/>
  <c r="B117" i="1"/>
  <c r="C117" i="1"/>
  <c r="D117" i="1"/>
  <c r="E117" i="1"/>
  <c r="F117" i="1"/>
  <c r="G117" i="1"/>
  <c r="H117" i="1"/>
  <c r="I117" i="1"/>
  <c r="J117" i="1"/>
  <c r="B118" i="1"/>
  <c r="C118" i="1"/>
  <c r="D118" i="1"/>
  <c r="E118" i="1"/>
  <c r="F118" i="1"/>
  <c r="G118" i="1"/>
  <c r="H118" i="1"/>
  <c r="I118" i="1"/>
  <c r="J118" i="1"/>
  <c r="B119" i="1"/>
  <c r="C119" i="1"/>
  <c r="D119" i="1"/>
  <c r="E119" i="1"/>
  <c r="F119" i="1"/>
  <c r="G119" i="1"/>
  <c r="H119" i="1"/>
  <c r="I119" i="1"/>
  <c r="J119" i="1"/>
  <c r="B120" i="1"/>
  <c r="C120" i="1"/>
  <c r="D120" i="1"/>
  <c r="E120" i="1"/>
  <c r="F120" i="1"/>
  <c r="G120" i="1"/>
  <c r="H120" i="1"/>
  <c r="I120" i="1"/>
  <c r="J120" i="1"/>
  <c r="B121" i="1"/>
  <c r="C121" i="1"/>
  <c r="D121" i="1"/>
  <c r="E121" i="1"/>
  <c r="F121" i="1"/>
  <c r="G121" i="1"/>
  <c r="H121" i="1"/>
  <c r="I121" i="1"/>
  <c r="J121" i="1"/>
  <c r="B122" i="1"/>
  <c r="C122" i="1"/>
  <c r="D122" i="1"/>
  <c r="E122" i="1"/>
  <c r="F122" i="1"/>
  <c r="G122" i="1"/>
  <c r="H122" i="1"/>
  <c r="I122" i="1"/>
  <c r="J122" i="1"/>
  <c r="B123" i="1"/>
  <c r="C123" i="1"/>
  <c r="D123" i="1"/>
  <c r="E123" i="1"/>
  <c r="F123" i="1"/>
  <c r="G123" i="1"/>
  <c r="H123" i="1"/>
  <c r="I123" i="1"/>
  <c r="J123" i="1"/>
  <c r="B124" i="1"/>
  <c r="C124" i="1"/>
  <c r="D124" i="1"/>
  <c r="E124" i="1"/>
  <c r="F124" i="1"/>
  <c r="G124" i="1"/>
  <c r="H124" i="1"/>
  <c r="I124" i="1"/>
  <c r="J124" i="1"/>
  <c r="B125" i="1"/>
  <c r="C125" i="1"/>
  <c r="D125" i="1"/>
  <c r="E125" i="1"/>
  <c r="F125" i="1"/>
  <c r="G125" i="1"/>
  <c r="H125" i="1"/>
  <c r="I125" i="1"/>
  <c r="J125" i="1"/>
  <c r="B126" i="1"/>
  <c r="C126" i="1"/>
  <c r="D126" i="1"/>
  <c r="E126" i="1"/>
  <c r="F126" i="1"/>
  <c r="G126" i="1"/>
  <c r="H126" i="1"/>
  <c r="I126" i="1"/>
  <c r="J126" i="1"/>
  <c r="B127" i="1"/>
  <c r="C127" i="1"/>
  <c r="D127" i="1"/>
  <c r="E127" i="1"/>
  <c r="F127" i="1"/>
  <c r="G127" i="1"/>
  <c r="H127" i="1"/>
  <c r="I127" i="1"/>
  <c r="J127" i="1"/>
  <c r="B128" i="1"/>
  <c r="C128" i="1"/>
  <c r="D128" i="1"/>
  <c r="E128" i="1"/>
  <c r="F128" i="1"/>
  <c r="G128" i="1"/>
  <c r="H128" i="1"/>
  <c r="I128" i="1"/>
  <c r="J128" i="1"/>
  <c r="B129" i="1"/>
  <c r="C129" i="1"/>
  <c r="D129" i="1"/>
  <c r="E129" i="1"/>
  <c r="F129" i="1"/>
  <c r="G129" i="1"/>
  <c r="H129" i="1"/>
  <c r="I129" i="1"/>
  <c r="J129" i="1"/>
  <c r="B130" i="1"/>
  <c r="C130" i="1"/>
  <c r="D130" i="1"/>
  <c r="E130" i="1"/>
  <c r="F130" i="1"/>
  <c r="G130" i="1"/>
  <c r="H130" i="1"/>
  <c r="I130" i="1"/>
  <c r="J130" i="1"/>
  <c r="B131" i="1"/>
  <c r="C131" i="1"/>
  <c r="D131" i="1"/>
  <c r="E131" i="1"/>
  <c r="F131" i="1"/>
  <c r="G131" i="1"/>
  <c r="H131" i="1"/>
  <c r="I131" i="1"/>
  <c r="J131" i="1"/>
  <c r="B132" i="1"/>
  <c r="C132" i="1"/>
  <c r="D132" i="1"/>
  <c r="E132" i="1"/>
  <c r="F132" i="1"/>
  <c r="G132" i="1"/>
  <c r="H132" i="1"/>
  <c r="I132" i="1"/>
  <c r="J132" i="1"/>
  <c r="B133" i="1"/>
  <c r="C133" i="1"/>
  <c r="D133" i="1"/>
  <c r="E133" i="1"/>
  <c r="F133" i="1"/>
  <c r="G133" i="1"/>
  <c r="H133" i="1"/>
  <c r="I133" i="1"/>
  <c r="J133" i="1"/>
  <c r="B134" i="1"/>
  <c r="C134" i="1"/>
  <c r="D134" i="1"/>
  <c r="E134" i="1"/>
  <c r="F134" i="1"/>
  <c r="G134" i="1"/>
  <c r="H134" i="1"/>
  <c r="I134" i="1"/>
  <c r="J134" i="1"/>
  <c r="B135" i="1"/>
  <c r="C135" i="1"/>
  <c r="D135" i="1"/>
  <c r="E135" i="1"/>
  <c r="F135" i="1"/>
  <c r="G135" i="1"/>
  <c r="H135" i="1"/>
  <c r="I135" i="1"/>
  <c r="J135" i="1"/>
  <c r="B136" i="1"/>
  <c r="C136" i="1"/>
  <c r="D136" i="1"/>
  <c r="E136" i="1"/>
  <c r="F136" i="1"/>
  <c r="G136" i="1"/>
  <c r="H136" i="1"/>
  <c r="I136" i="1"/>
  <c r="J136" i="1"/>
  <c r="B137" i="1"/>
  <c r="C137" i="1"/>
  <c r="D137" i="1"/>
  <c r="E137" i="1"/>
  <c r="F137" i="1"/>
  <c r="G137" i="1"/>
  <c r="H137" i="1"/>
  <c r="I137" i="1"/>
  <c r="J137" i="1"/>
  <c r="B138" i="1"/>
  <c r="C138" i="1"/>
  <c r="D138" i="1"/>
  <c r="E138" i="1"/>
  <c r="F138" i="1"/>
  <c r="G138" i="1"/>
  <c r="H138" i="1"/>
  <c r="I138" i="1"/>
  <c r="J138" i="1"/>
  <c r="B139" i="1"/>
  <c r="C139" i="1"/>
  <c r="D139" i="1"/>
  <c r="E139" i="1"/>
  <c r="F139" i="1"/>
  <c r="G139" i="1"/>
  <c r="H139" i="1"/>
  <c r="I139" i="1"/>
  <c r="J139" i="1"/>
  <c r="B140" i="1"/>
  <c r="C140" i="1"/>
  <c r="D140" i="1"/>
  <c r="E140" i="1"/>
  <c r="F140" i="1"/>
  <c r="G140" i="1"/>
  <c r="H140" i="1"/>
  <c r="I140" i="1"/>
  <c r="J140" i="1"/>
  <c r="B141" i="1"/>
  <c r="C141" i="1"/>
  <c r="D141" i="1"/>
  <c r="E141" i="1"/>
  <c r="F141" i="1"/>
  <c r="G141" i="1"/>
  <c r="H141" i="1"/>
  <c r="I141" i="1"/>
  <c r="J141" i="1"/>
  <c r="B142" i="1"/>
  <c r="C142" i="1"/>
  <c r="D142" i="1"/>
  <c r="E142" i="1"/>
  <c r="F142" i="1"/>
  <c r="G142" i="1"/>
  <c r="H142" i="1"/>
  <c r="I142" i="1"/>
  <c r="J142" i="1"/>
  <c r="B143" i="1"/>
  <c r="C143" i="1"/>
  <c r="D143" i="1"/>
  <c r="E143" i="1"/>
  <c r="F143" i="1"/>
  <c r="G143" i="1"/>
  <c r="H143" i="1"/>
  <c r="I143" i="1"/>
  <c r="J143" i="1"/>
  <c r="B144" i="1"/>
  <c r="C144" i="1"/>
  <c r="D144" i="1"/>
  <c r="E144" i="1"/>
  <c r="F144" i="1"/>
  <c r="G144" i="1"/>
  <c r="H144" i="1"/>
  <c r="I144" i="1"/>
  <c r="J144" i="1"/>
  <c r="B145" i="1"/>
  <c r="C145" i="1"/>
  <c r="D145" i="1"/>
  <c r="E145" i="1"/>
  <c r="F145" i="1"/>
  <c r="G145" i="1"/>
  <c r="H145" i="1"/>
  <c r="I145" i="1"/>
  <c r="J145" i="1"/>
  <c r="B146" i="1"/>
  <c r="C146" i="1"/>
  <c r="D146" i="1"/>
  <c r="E146" i="1"/>
  <c r="F146" i="1"/>
  <c r="G146" i="1"/>
  <c r="H146" i="1"/>
  <c r="I146" i="1"/>
  <c r="J146" i="1"/>
  <c r="B147" i="1"/>
  <c r="C147" i="1"/>
  <c r="D147" i="1"/>
  <c r="E147" i="1"/>
  <c r="F147" i="1"/>
  <c r="G147" i="1"/>
  <c r="H147" i="1"/>
  <c r="I147" i="1"/>
  <c r="J147" i="1"/>
  <c r="B148" i="1"/>
  <c r="C148" i="1"/>
  <c r="D148" i="1"/>
  <c r="E148" i="1"/>
  <c r="F148" i="1"/>
  <c r="G148" i="1"/>
  <c r="H148" i="1"/>
  <c r="I148" i="1"/>
  <c r="J148" i="1"/>
  <c r="B149" i="1"/>
  <c r="C149" i="1"/>
  <c r="D149" i="1"/>
  <c r="E149" i="1"/>
  <c r="F149" i="1"/>
  <c r="G149" i="1"/>
  <c r="H149" i="1"/>
  <c r="I149" i="1"/>
  <c r="J149" i="1"/>
  <c r="B150" i="1"/>
  <c r="C150" i="1"/>
  <c r="D150" i="1"/>
  <c r="E150" i="1"/>
  <c r="F150" i="1"/>
  <c r="G150" i="1"/>
  <c r="H150" i="1"/>
  <c r="I150" i="1"/>
  <c r="J150" i="1"/>
  <c r="B151" i="1"/>
  <c r="C151" i="1"/>
  <c r="D151" i="1"/>
  <c r="E151" i="1"/>
  <c r="F151" i="1"/>
  <c r="G151" i="1"/>
  <c r="H151" i="1"/>
  <c r="I151" i="1"/>
  <c r="J151" i="1"/>
  <c r="B152" i="1"/>
  <c r="C152" i="1"/>
  <c r="D152" i="1"/>
  <c r="E152" i="1"/>
  <c r="F152" i="1"/>
  <c r="G152" i="1"/>
  <c r="H152" i="1"/>
  <c r="I152" i="1"/>
  <c r="J152" i="1"/>
  <c r="B153" i="1"/>
  <c r="C153" i="1"/>
  <c r="D153" i="1"/>
  <c r="E153" i="1"/>
  <c r="F153" i="1"/>
  <c r="G153" i="1"/>
  <c r="H153" i="1"/>
  <c r="I153" i="1"/>
  <c r="J153" i="1"/>
  <c r="B154" i="1"/>
  <c r="C154" i="1"/>
  <c r="D154" i="1"/>
  <c r="E154" i="1"/>
  <c r="F154" i="1"/>
  <c r="G154" i="1"/>
  <c r="H154" i="1"/>
  <c r="I154" i="1"/>
  <c r="J154" i="1"/>
  <c r="B155" i="1"/>
  <c r="C155" i="1"/>
  <c r="D155" i="1"/>
  <c r="E155" i="1"/>
  <c r="F155" i="1"/>
  <c r="G155" i="1"/>
  <c r="H155" i="1"/>
  <c r="I155" i="1"/>
  <c r="J155" i="1"/>
  <c r="B156" i="1"/>
  <c r="C156" i="1"/>
  <c r="D156" i="1"/>
  <c r="E156" i="1"/>
  <c r="F156" i="1"/>
  <c r="G156" i="1"/>
  <c r="H156" i="1"/>
  <c r="I156" i="1"/>
  <c r="J156" i="1"/>
  <c r="B157" i="1"/>
  <c r="C157" i="1"/>
  <c r="D157" i="1"/>
  <c r="E157" i="1"/>
  <c r="F157" i="1"/>
  <c r="G157" i="1"/>
  <c r="H157" i="1"/>
  <c r="I157" i="1"/>
  <c r="J157" i="1"/>
  <c r="B158" i="1"/>
  <c r="C158" i="1"/>
  <c r="D158" i="1"/>
  <c r="E158" i="1"/>
  <c r="F158" i="1"/>
  <c r="G158" i="1"/>
  <c r="H158" i="1"/>
  <c r="I158" i="1"/>
  <c r="J158" i="1"/>
  <c r="B159" i="1"/>
  <c r="C159" i="1"/>
  <c r="D159" i="1"/>
  <c r="E159" i="1"/>
  <c r="F159" i="1"/>
  <c r="G159" i="1"/>
  <c r="H159" i="1"/>
  <c r="I159" i="1"/>
  <c r="J159" i="1"/>
  <c r="B160" i="1"/>
  <c r="C160" i="1"/>
  <c r="D160" i="1"/>
  <c r="E160" i="1"/>
  <c r="F160" i="1"/>
  <c r="G160" i="1"/>
  <c r="H160" i="1"/>
  <c r="I160" i="1"/>
  <c r="J160" i="1"/>
  <c r="B161" i="1"/>
  <c r="C161" i="1"/>
  <c r="D161" i="1"/>
  <c r="E161" i="1"/>
  <c r="F161" i="1"/>
  <c r="G161" i="1"/>
  <c r="H161" i="1"/>
  <c r="I161" i="1"/>
  <c r="J161" i="1"/>
  <c r="B162" i="1"/>
  <c r="C162" i="1"/>
  <c r="D162" i="1"/>
  <c r="E162" i="1"/>
  <c r="F162" i="1"/>
  <c r="G162" i="1"/>
  <c r="H162" i="1"/>
  <c r="I162" i="1"/>
  <c r="J162" i="1"/>
  <c r="B163" i="1"/>
  <c r="C163" i="1"/>
  <c r="D163" i="1"/>
  <c r="E163" i="1"/>
  <c r="F163" i="1"/>
  <c r="G163" i="1"/>
  <c r="H163" i="1"/>
  <c r="I163" i="1"/>
  <c r="J163" i="1"/>
  <c r="B164" i="1"/>
  <c r="C164" i="1"/>
  <c r="D164" i="1"/>
  <c r="E164" i="1"/>
  <c r="F164" i="1"/>
  <c r="G164" i="1"/>
  <c r="H164" i="1"/>
  <c r="I164" i="1"/>
  <c r="J164" i="1"/>
  <c r="B165" i="1"/>
  <c r="C165" i="1"/>
  <c r="D165" i="1"/>
  <c r="E165" i="1"/>
  <c r="F165" i="1"/>
  <c r="G165" i="1"/>
  <c r="H165" i="1"/>
  <c r="I165" i="1"/>
  <c r="J165" i="1"/>
  <c r="B166" i="1"/>
  <c r="C166" i="1"/>
  <c r="D166" i="1"/>
  <c r="E166" i="1"/>
  <c r="F166" i="1"/>
  <c r="G166" i="1"/>
  <c r="H166" i="1"/>
  <c r="I166" i="1"/>
  <c r="J166" i="1"/>
  <c r="B167" i="1"/>
  <c r="C167" i="1"/>
  <c r="D167" i="1"/>
  <c r="E167" i="1"/>
  <c r="F167" i="1"/>
  <c r="G167" i="1"/>
  <c r="H167" i="1"/>
  <c r="I167" i="1"/>
  <c r="J167" i="1"/>
  <c r="B168" i="1"/>
  <c r="C168" i="1"/>
  <c r="D168" i="1"/>
  <c r="E168" i="1"/>
  <c r="F168" i="1"/>
  <c r="G168" i="1"/>
  <c r="H168" i="1"/>
  <c r="I168" i="1"/>
  <c r="J168" i="1"/>
  <c r="B169" i="1"/>
  <c r="C169" i="1"/>
  <c r="D169" i="1"/>
  <c r="E169" i="1"/>
  <c r="F169" i="1"/>
  <c r="G169" i="1"/>
  <c r="H169" i="1"/>
  <c r="I169" i="1"/>
  <c r="J169" i="1"/>
  <c r="B170" i="1"/>
  <c r="C170" i="1"/>
  <c r="D170" i="1"/>
  <c r="E170" i="1"/>
  <c r="F170" i="1"/>
  <c r="G170" i="1"/>
  <c r="H170" i="1"/>
  <c r="I170" i="1"/>
  <c r="J170" i="1"/>
  <c r="B171" i="1"/>
  <c r="C171" i="1"/>
  <c r="D171" i="1"/>
  <c r="E171" i="1"/>
  <c r="F171" i="1"/>
  <c r="G171" i="1"/>
  <c r="H171" i="1"/>
  <c r="I171" i="1"/>
  <c r="J171" i="1"/>
  <c r="B172" i="1"/>
  <c r="C172" i="1"/>
  <c r="D172" i="1"/>
  <c r="E172" i="1"/>
  <c r="F172" i="1"/>
  <c r="G172" i="1"/>
  <c r="H172" i="1"/>
  <c r="I172" i="1"/>
  <c r="J172" i="1"/>
  <c r="B173" i="1"/>
  <c r="C173" i="1"/>
  <c r="D173" i="1"/>
  <c r="E173" i="1"/>
  <c r="F173" i="1"/>
  <c r="G173" i="1"/>
  <c r="H173" i="1"/>
  <c r="I173" i="1"/>
  <c r="J173" i="1"/>
  <c r="B174" i="1"/>
  <c r="C174" i="1"/>
  <c r="D174" i="1"/>
  <c r="E174" i="1"/>
  <c r="F174" i="1"/>
  <c r="G174" i="1"/>
  <c r="H174" i="1"/>
  <c r="I174" i="1"/>
  <c r="J174" i="1"/>
  <c r="B175" i="1"/>
  <c r="C175" i="1"/>
  <c r="D175" i="1"/>
  <c r="E175" i="1"/>
  <c r="F175" i="1"/>
  <c r="G175" i="1"/>
  <c r="H175" i="1"/>
  <c r="I175" i="1"/>
  <c r="J175" i="1"/>
  <c r="B176" i="1"/>
  <c r="C176" i="1"/>
  <c r="D176" i="1"/>
  <c r="E176" i="1"/>
  <c r="F176" i="1"/>
  <c r="G176" i="1"/>
  <c r="H176" i="1"/>
  <c r="I176" i="1"/>
  <c r="J176" i="1"/>
  <c r="B177" i="1"/>
  <c r="C177" i="1"/>
  <c r="D177" i="1"/>
  <c r="E177" i="1"/>
  <c r="F177" i="1"/>
  <c r="G177" i="1"/>
  <c r="H177" i="1"/>
  <c r="I177" i="1"/>
  <c r="J177" i="1"/>
  <c r="B178" i="1"/>
  <c r="C178" i="1"/>
  <c r="D178" i="1"/>
  <c r="E178" i="1"/>
  <c r="F178" i="1"/>
  <c r="G178" i="1"/>
  <c r="H178" i="1"/>
  <c r="I178" i="1"/>
  <c r="J178" i="1"/>
  <c r="B179" i="1"/>
  <c r="C179" i="1"/>
  <c r="D179" i="1"/>
  <c r="E179" i="1"/>
  <c r="F179" i="1"/>
  <c r="G179" i="1"/>
  <c r="H179" i="1"/>
  <c r="I179" i="1"/>
  <c r="J179" i="1"/>
  <c r="B180" i="1"/>
  <c r="C180" i="1"/>
  <c r="D180" i="1"/>
  <c r="E180" i="1"/>
  <c r="F180" i="1"/>
  <c r="G180" i="1"/>
  <c r="H180" i="1"/>
  <c r="I180" i="1"/>
  <c r="J180" i="1"/>
  <c r="B181" i="1"/>
  <c r="C181" i="1"/>
  <c r="D181" i="1"/>
  <c r="E181" i="1"/>
  <c r="F181" i="1"/>
  <c r="G181" i="1"/>
  <c r="H181" i="1"/>
  <c r="I181" i="1"/>
  <c r="J181" i="1"/>
  <c r="B182" i="1"/>
  <c r="C182" i="1"/>
  <c r="D182" i="1"/>
  <c r="E182" i="1"/>
  <c r="F182" i="1"/>
  <c r="G182" i="1"/>
  <c r="H182" i="1"/>
  <c r="I182" i="1"/>
  <c r="J182" i="1"/>
  <c r="B183" i="1"/>
  <c r="C183" i="1"/>
  <c r="D183" i="1"/>
  <c r="E183" i="1"/>
  <c r="F183" i="1"/>
  <c r="G183" i="1"/>
  <c r="H183" i="1"/>
  <c r="I183" i="1"/>
  <c r="J183" i="1"/>
  <c r="B184" i="1"/>
  <c r="C184" i="1"/>
  <c r="D184" i="1"/>
  <c r="E184" i="1"/>
  <c r="F184" i="1"/>
  <c r="G184" i="1"/>
  <c r="H184" i="1"/>
  <c r="I184" i="1"/>
  <c r="J184" i="1"/>
  <c r="B185" i="1"/>
  <c r="C185" i="1"/>
  <c r="D185" i="1"/>
  <c r="E185" i="1"/>
  <c r="F185" i="1"/>
  <c r="G185" i="1"/>
  <c r="H185" i="1"/>
  <c r="I185" i="1"/>
  <c r="J185" i="1"/>
  <c r="B186" i="1"/>
  <c r="C186" i="1"/>
  <c r="D186" i="1"/>
  <c r="E186" i="1"/>
  <c r="F186" i="1"/>
  <c r="G186" i="1"/>
  <c r="H186" i="1"/>
  <c r="I186" i="1"/>
  <c r="J186" i="1"/>
  <c r="B187" i="1"/>
  <c r="C187" i="1"/>
  <c r="D187" i="1"/>
  <c r="E187" i="1"/>
  <c r="F187" i="1"/>
  <c r="G187" i="1"/>
  <c r="H187" i="1"/>
  <c r="I187" i="1"/>
  <c r="J187" i="1"/>
  <c r="B188" i="1"/>
  <c r="C188" i="1"/>
  <c r="D188" i="1"/>
  <c r="E188" i="1"/>
  <c r="F188" i="1"/>
  <c r="G188" i="1"/>
  <c r="H188" i="1"/>
  <c r="I188" i="1"/>
  <c r="J188" i="1"/>
  <c r="B189" i="1"/>
  <c r="C189" i="1"/>
  <c r="D189" i="1"/>
  <c r="E189" i="1"/>
  <c r="F189" i="1"/>
  <c r="G189" i="1"/>
  <c r="H189" i="1"/>
  <c r="I189" i="1"/>
  <c r="J189" i="1"/>
  <c r="B190" i="1"/>
  <c r="C190" i="1"/>
  <c r="D190" i="1"/>
  <c r="E190" i="1"/>
  <c r="F190" i="1"/>
  <c r="G190" i="1"/>
  <c r="H190" i="1"/>
  <c r="I190" i="1"/>
  <c r="J190" i="1"/>
  <c r="B191" i="1"/>
  <c r="C191" i="1"/>
  <c r="D191" i="1"/>
  <c r="E191" i="1"/>
  <c r="F191" i="1"/>
  <c r="G191" i="1"/>
  <c r="H191" i="1"/>
  <c r="I191" i="1"/>
  <c r="J191" i="1"/>
  <c r="B192" i="1"/>
  <c r="C192" i="1"/>
  <c r="D192" i="1"/>
  <c r="E192" i="1"/>
  <c r="F192" i="1"/>
  <c r="G192" i="1"/>
  <c r="H192" i="1"/>
  <c r="I192" i="1"/>
  <c r="J192" i="1"/>
  <c r="B193" i="1"/>
  <c r="C193" i="1"/>
  <c r="D193" i="1"/>
  <c r="E193" i="1"/>
  <c r="F193" i="1"/>
  <c r="G193" i="1"/>
  <c r="H193" i="1"/>
  <c r="I193" i="1"/>
  <c r="J193" i="1"/>
  <c r="B194" i="1"/>
  <c r="C194" i="1"/>
  <c r="D194" i="1"/>
  <c r="E194" i="1"/>
  <c r="F194" i="1"/>
  <c r="G194" i="1"/>
  <c r="H194" i="1"/>
  <c r="I194" i="1"/>
  <c r="J194" i="1"/>
  <c r="B195" i="1"/>
  <c r="C195" i="1"/>
  <c r="D195" i="1"/>
  <c r="E195" i="1"/>
  <c r="F195" i="1"/>
  <c r="G195" i="1"/>
  <c r="H195" i="1"/>
  <c r="I195" i="1"/>
  <c r="J195" i="1"/>
  <c r="B196" i="1"/>
  <c r="C196" i="1"/>
  <c r="D196" i="1"/>
  <c r="E196" i="1"/>
  <c r="F196" i="1"/>
  <c r="G196" i="1"/>
  <c r="H196" i="1"/>
  <c r="I196" i="1"/>
  <c r="J196" i="1"/>
  <c r="B197" i="1"/>
  <c r="C197" i="1"/>
  <c r="D197" i="1"/>
  <c r="E197" i="1"/>
  <c r="F197" i="1"/>
  <c r="G197" i="1"/>
  <c r="H197" i="1"/>
  <c r="I197" i="1"/>
  <c r="J197" i="1"/>
  <c r="B198" i="1"/>
  <c r="C198" i="1"/>
  <c r="D198" i="1"/>
  <c r="E198" i="1"/>
  <c r="F198" i="1"/>
  <c r="G198" i="1"/>
  <c r="H198" i="1"/>
  <c r="I198" i="1"/>
  <c r="J198" i="1"/>
  <c r="B199" i="1"/>
  <c r="C199" i="1"/>
  <c r="D199" i="1"/>
  <c r="E199" i="1"/>
  <c r="F199" i="1"/>
  <c r="G199" i="1"/>
  <c r="H199" i="1"/>
  <c r="I199" i="1"/>
  <c r="J199" i="1"/>
  <c r="B200" i="1"/>
  <c r="C200" i="1"/>
  <c r="D200" i="1"/>
  <c r="E200" i="1"/>
  <c r="F200" i="1"/>
  <c r="G200" i="1"/>
  <c r="H200" i="1"/>
  <c r="I200" i="1"/>
  <c r="J200" i="1"/>
  <c r="B201" i="1"/>
  <c r="C201" i="1"/>
  <c r="D201" i="1"/>
  <c r="E201" i="1"/>
  <c r="F201" i="1"/>
  <c r="G201" i="1"/>
  <c r="H201" i="1"/>
  <c r="I201" i="1"/>
  <c r="J201" i="1"/>
  <c r="B202" i="1"/>
  <c r="C202" i="1"/>
  <c r="D202" i="1"/>
  <c r="E202" i="1"/>
  <c r="F202" i="1"/>
  <c r="G202" i="1"/>
  <c r="H202" i="1"/>
  <c r="I202" i="1"/>
  <c r="J202" i="1"/>
  <c r="B203" i="1"/>
  <c r="C203" i="1"/>
  <c r="D203" i="1"/>
  <c r="E203" i="1"/>
  <c r="F203" i="1"/>
  <c r="G203" i="1"/>
  <c r="H203" i="1"/>
  <c r="I203" i="1"/>
  <c r="J203" i="1"/>
  <c r="B204" i="1"/>
  <c r="C204" i="1"/>
  <c r="D204" i="1"/>
  <c r="E204" i="1"/>
  <c r="F204" i="1"/>
  <c r="G204" i="1"/>
  <c r="H204" i="1"/>
  <c r="I204" i="1"/>
  <c r="J204" i="1"/>
  <c r="B205" i="1"/>
  <c r="C205" i="1"/>
  <c r="D205" i="1"/>
  <c r="E205" i="1"/>
  <c r="F205" i="1"/>
  <c r="G205" i="1"/>
  <c r="H205" i="1"/>
  <c r="I205" i="1"/>
  <c r="J205" i="1"/>
  <c r="B206" i="1"/>
  <c r="C206" i="1"/>
  <c r="D206" i="1"/>
  <c r="E206" i="1"/>
  <c r="F206" i="1"/>
  <c r="G206" i="1"/>
  <c r="H206" i="1"/>
  <c r="I206" i="1"/>
  <c r="J206" i="1"/>
  <c r="B207" i="1"/>
  <c r="C207" i="1"/>
  <c r="D207" i="1"/>
  <c r="E207" i="1"/>
  <c r="F207" i="1"/>
  <c r="G207" i="1"/>
  <c r="H207" i="1"/>
  <c r="I207" i="1"/>
  <c r="J207" i="1"/>
  <c r="B208" i="1"/>
  <c r="C208" i="1"/>
  <c r="D208" i="1"/>
  <c r="E208" i="1"/>
  <c r="F208" i="1"/>
  <c r="G208" i="1"/>
  <c r="H208" i="1"/>
  <c r="I208" i="1"/>
  <c r="J208" i="1"/>
  <c r="B209" i="1"/>
  <c r="C209" i="1"/>
  <c r="D209" i="1"/>
  <c r="E209" i="1"/>
  <c r="F209" i="1"/>
  <c r="G209" i="1"/>
  <c r="H209" i="1"/>
  <c r="I209" i="1"/>
  <c r="J209" i="1"/>
  <c r="B210" i="1"/>
  <c r="C210" i="1"/>
  <c r="D210" i="1"/>
  <c r="E210" i="1"/>
  <c r="F210" i="1"/>
  <c r="G210" i="1"/>
  <c r="H210" i="1"/>
  <c r="I210" i="1"/>
  <c r="J210" i="1"/>
  <c r="B211" i="1"/>
  <c r="C211" i="1"/>
  <c r="D211" i="1"/>
  <c r="E211" i="1"/>
  <c r="F211" i="1"/>
  <c r="G211" i="1"/>
  <c r="H211" i="1"/>
  <c r="I211" i="1"/>
  <c r="J211" i="1"/>
  <c r="B212" i="1"/>
  <c r="C212" i="1"/>
  <c r="D212" i="1"/>
  <c r="E212" i="1"/>
  <c r="F212" i="1"/>
  <c r="G212" i="1"/>
  <c r="H212" i="1"/>
  <c r="I212" i="1"/>
  <c r="J212" i="1"/>
  <c r="B213" i="1"/>
  <c r="C213" i="1"/>
  <c r="D213" i="1"/>
  <c r="E213" i="1"/>
  <c r="F213" i="1"/>
  <c r="G213" i="1"/>
  <c r="H213" i="1"/>
  <c r="I213" i="1"/>
  <c r="J213" i="1"/>
  <c r="B214" i="1"/>
  <c r="C214" i="1"/>
  <c r="D214" i="1"/>
  <c r="E214" i="1"/>
  <c r="F214" i="1"/>
  <c r="G214" i="1"/>
  <c r="H214" i="1"/>
  <c r="I214" i="1"/>
  <c r="J214" i="1"/>
  <c r="B215" i="1"/>
  <c r="C215" i="1"/>
  <c r="D215" i="1"/>
  <c r="E215" i="1"/>
  <c r="F215" i="1"/>
  <c r="G215" i="1"/>
  <c r="H215" i="1"/>
  <c r="I215" i="1"/>
  <c r="J215" i="1"/>
  <c r="B216" i="1"/>
  <c r="C216" i="1"/>
  <c r="D216" i="1"/>
  <c r="E216" i="1"/>
  <c r="F216" i="1"/>
  <c r="G216" i="1"/>
  <c r="H216" i="1"/>
  <c r="I216" i="1"/>
  <c r="J216" i="1"/>
  <c r="B217" i="1"/>
  <c r="C217" i="1"/>
  <c r="D217" i="1"/>
  <c r="E217" i="1"/>
  <c r="F217" i="1"/>
  <c r="G217" i="1"/>
  <c r="H217" i="1"/>
  <c r="I217" i="1"/>
  <c r="J217" i="1"/>
  <c r="B218" i="1"/>
  <c r="C218" i="1"/>
  <c r="D218" i="1"/>
  <c r="E218" i="1"/>
  <c r="F218" i="1"/>
  <c r="G218" i="1"/>
  <c r="H218" i="1"/>
  <c r="I218" i="1"/>
  <c r="J218" i="1"/>
  <c r="B219" i="1"/>
  <c r="C219" i="1"/>
  <c r="D219" i="1"/>
  <c r="E219" i="1"/>
  <c r="F219" i="1"/>
  <c r="G219" i="1"/>
  <c r="H219" i="1"/>
  <c r="I219" i="1"/>
  <c r="J219" i="1"/>
  <c r="B220" i="1"/>
  <c r="C220" i="1"/>
  <c r="D220" i="1"/>
  <c r="E220" i="1"/>
  <c r="F220" i="1"/>
  <c r="G220" i="1"/>
  <c r="H220" i="1"/>
  <c r="I220" i="1"/>
  <c r="J220" i="1"/>
  <c r="B221" i="1"/>
  <c r="C221" i="1"/>
  <c r="D221" i="1"/>
  <c r="E221" i="1"/>
  <c r="F221" i="1"/>
  <c r="G221" i="1"/>
  <c r="H221" i="1"/>
  <c r="I221" i="1"/>
  <c r="J221" i="1"/>
  <c r="B222" i="1"/>
  <c r="C222" i="1"/>
  <c r="D222" i="1"/>
  <c r="E222" i="1"/>
  <c r="F222" i="1"/>
  <c r="G222" i="1"/>
  <c r="H222" i="1"/>
  <c r="I222" i="1"/>
  <c r="J222" i="1"/>
  <c r="B223" i="1"/>
  <c r="C223" i="1"/>
  <c r="D223" i="1"/>
  <c r="E223" i="1"/>
  <c r="F223" i="1"/>
  <c r="G223" i="1"/>
  <c r="H223" i="1"/>
  <c r="I223" i="1"/>
  <c r="J223" i="1"/>
  <c r="B224" i="1"/>
  <c r="C224" i="1"/>
  <c r="D224" i="1"/>
  <c r="E224" i="1"/>
  <c r="F224" i="1"/>
  <c r="G224" i="1"/>
  <c r="H224" i="1"/>
  <c r="I224" i="1"/>
  <c r="J224" i="1"/>
  <c r="B225" i="1"/>
  <c r="C225" i="1"/>
  <c r="D225" i="1"/>
  <c r="E225" i="1"/>
  <c r="F225" i="1"/>
  <c r="G225" i="1"/>
  <c r="H225" i="1"/>
  <c r="I225" i="1"/>
  <c r="J225" i="1"/>
  <c r="B226" i="1"/>
  <c r="C226" i="1"/>
  <c r="D226" i="1"/>
  <c r="E226" i="1"/>
  <c r="F226" i="1"/>
  <c r="G226" i="1"/>
  <c r="H226" i="1"/>
  <c r="I226" i="1"/>
  <c r="J226" i="1"/>
  <c r="B227" i="1"/>
  <c r="C227" i="1"/>
  <c r="D227" i="1"/>
  <c r="E227" i="1"/>
  <c r="F227" i="1"/>
  <c r="G227" i="1"/>
  <c r="H227" i="1"/>
  <c r="I227" i="1"/>
  <c r="J227" i="1"/>
  <c r="B228" i="1"/>
  <c r="C228" i="1"/>
  <c r="D228" i="1"/>
  <c r="E228" i="1"/>
  <c r="F228" i="1"/>
  <c r="G228" i="1"/>
  <c r="H228" i="1"/>
  <c r="I228" i="1"/>
  <c r="J228" i="1"/>
  <c r="B229" i="1"/>
  <c r="C229" i="1"/>
  <c r="D229" i="1"/>
  <c r="E229" i="1"/>
  <c r="F229" i="1"/>
  <c r="G229" i="1"/>
  <c r="H229" i="1"/>
  <c r="I229" i="1"/>
  <c r="J229" i="1"/>
  <c r="B230" i="1"/>
  <c r="C230" i="1"/>
  <c r="D230" i="1"/>
  <c r="E230" i="1"/>
  <c r="F230" i="1"/>
  <c r="G230" i="1"/>
  <c r="H230" i="1"/>
  <c r="I230" i="1"/>
  <c r="J230" i="1"/>
  <c r="B231" i="1"/>
  <c r="C231" i="1"/>
  <c r="D231" i="1"/>
  <c r="E231" i="1"/>
  <c r="F231" i="1"/>
  <c r="G231" i="1"/>
  <c r="H231" i="1"/>
  <c r="I231" i="1"/>
  <c r="J231" i="1"/>
  <c r="B232" i="1"/>
  <c r="C232" i="1"/>
  <c r="D232" i="1"/>
  <c r="E232" i="1"/>
  <c r="F232" i="1"/>
  <c r="G232" i="1"/>
  <c r="H232" i="1"/>
  <c r="I232" i="1"/>
  <c r="J232" i="1"/>
  <c r="B233" i="1"/>
  <c r="C233" i="1"/>
  <c r="D233" i="1"/>
  <c r="E233" i="1"/>
  <c r="F233" i="1"/>
  <c r="G233" i="1"/>
  <c r="H233" i="1"/>
  <c r="I233" i="1"/>
  <c r="J233" i="1"/>
  <c r="B234" i="1"/>
  <c r="C234" i="1"/>
  <c r="D234" i="1"/>
  <c r="E234" i="1"/>
  <c r="F234" i="1"/>
  <c r="G234" i="1"/>
  <c r="H234" i="1"/>
  <c r="I234" i="1"/>
  <c r="J234" i="1"/>
  <c r="B235" i="1"/>
  <c r="C235" i="1"/>
  <c r="D235" i="1"/>
  <c r="E235" i="1"/>
  <c r="F235" i="1"/>
  <c r="G235" i="1"/>
  <c r="H235" i="1"/>
  <c r="I235" i="1"/>
  <c r="J235" i="1"/>
  <c r="B236" i="1"/>
  <c r="C236" i="1"/>
  <c r="D236" i="1"/>
  <c r="E236" i="1"/>
  <c r="F236" i="1"/>
  <c r="G236" i="1"/>
  <c r="H236" i="1"/>
  <c r="I236" i="1"/>
  <c r="J236" i="1"/>
  <c r="B237" i="1"/>
  <c r="C237" i="1"/>
  <c r="D237" i="1"/>
  <c r="E237" i="1"/>
  <c r="F237" i="1"/>
  <c r="G237" i="1"/>
  <c r="H237" i="1"/>
  <c r="I237" i="1"/>
  <c r="J237" i="1"/>
  <c r="B238" i="1"/>
  <c r="C238" i="1"/>
  <c r="D238" i="1"/>
  <c r="E238" i="1"/>
  <c r="F238" i="1"/>
  <c r="G238" i="1"/>
  <c r="H238" i="1"/>
  <c r="I238" i="1"/>
  <c r="J238" i="1"/>
  <c r="B239" i="1"/>
  <c r="C239" i="1"/>
  <c r="D239" i="1"/>
  <c r="E239" i="1"/>
  <c r="F239" i="1"/>
  <c r="G239" i="1"/>
  <c r="H239" i="1"/>
  <c r="I239" i="1"/>
  <c r="J239" i="1"/>
  <c r="B240" i="1"/>
  <c r="C240" i="1"/>
  <c r="D240" i="1"/>
  <c r="E240" i="1"/>
  <c r="F240" i="1"/>
  <c r="G240" i="1"/>
  <c r="H240" i="1"/>
  <c r="I240" i="1"/>
  <c r="J240" i="1"/>
  <c r="B241" i="1"/>
  <c r="C241" i="1"/>
  <c r="D241" i="1"/>
  <c r="E241" i="1"/>
  <c r="F241" i="1"/>
  <c r="G241" i="1"/>
  <c r="H241" i="1"/>
  <c r="I241" i="1"/>
  <c r="J241" i="1"/>
  <c r="B242" i="1"/>
  <c r="C242" i="1"/>
  <c r="D242" i="1"/>
  <c r="E242" i="1"/>
  <c r="F242" i="1"/>
  <c r="G242" i="1"/>
  <c r="H242" i="1"/>
  <c r="I242" i="1"/>
  <c r="J242" i="1"/>
  <c r="B243" i="1"/>
  <c r="C243" i="1"/>
  <c r="D243" i="1"/>
  <c r="E243" i="1"/>
  <c r="F243" i="1"/>
  <c r="G243" i="1"/>
  <c r="H243" i="1"/>
  <c r="I243" i="1"/>
  <c r="J243" i="1"/>
  <c r="B244" i="1"/>
  <c r="C244" i="1"/>
  <c r="D244" i="1"/>
  <c r="E244" i="1"/>
  <c r="F244" i="1"/>
  <c r="G244" i="1"/>
  <c r="H244" i="1"/>
  <c r="I244" i="1"/>
  <c r="J244" i="1"/>
  <c r="B245" i="1"/>
  <c r="C245" i="1"/>
  <c r="D245" i="1"/>
  <c r="E245" i="1"/>
  <c r="F245" i="1"/>
  <c r="G245" i="1"/>
  <c r="H245" i="1"/>
  <c r="I245" i="1"/>
  <c r="J245" i="1"/>
  <c r="B246" i="1"/>
  <c r="C246" i="1"/>
  <c r="D246" i="1"/>
  <c r="E246" i="1"/>
  <c r="F246" i="1"/>
  <c r="G246" i="1"/>
  <c r="H246" i="1"/>
  <c r="I246" i="1"/>
  <c r="J246" i="1"/>
  <c r="B247" i="1"/>
  <c r="C247" i="1"/>
  <c r="D247" i="1"/>
  <c r="E247" i="1"/>
  <c r="F247" i="1"/>
  <c r="G247" i="1"/>
  <c r="H247" i="1"/>
  <c r="I247" i="1"/>
  <c r="J247" i="1"/>
  <c r="B248" i="1"/>
  <c r="C248" i="1"/>
  <c r="D248" i="1"/>
  <c r="E248" i="1"/>
  <c r="F248" i="1"/>
  <c r="G248" i="1"/>
  <c r="H248" i="1"/>
  <c r="I248" i="1"/>
  <c r="J248" i="1"/>
  <c r="B249" i="1"/>
  <c r="C249" i="1"/>
  <c r="D249" i="1"/>
  <c r="E249" i="1"/>
  <c r="F249" i="1"/>
  <c r="G249" i="1"/>
  <c r="H249" i="1"/>
  <c r="I249" i="1"/>
  <c r="J249" i="1"/>
  <c r="B250" i="1"/>
  <c r="C250" i="1"/>
  <c r="D250" i="1"/>
  <c r="E250" i="1"/>
  <c r="F250" i="1"/>
  <c r="G250" i="1"/>
  <c r="H250" i="1"/>
  <c r="I250" i="1"/>
  <c r="J250" i="1"/>
  <c r="B251" i="1"/>
  <c r="C251" i="1"/>
  <c r="D251" i="1"/>
  <c r="E251" i="1"/>
  <c r="F251" i="1"/>
  <c r="G251" i="1"/>
  <c r="H251" i="1"/>
  <c r="I251" i="1"/>
  <c r="J251" i="1"/>
  <c r="B252" i="1"/>
  <c r="C252" i="1"/>
  <c r="D252" i="1"/>
  <c r="E252" i="1"/>
  <c r="F252" i="1"/>
  <c r="G252" i="1"/>
  <c r="H252" i="1"/>
  <c r="I252" i="1"/>
  <c r="J252" i="1"/>
  <c r="B253" i="1"/>
  <c r="C253" i="1"/>
  <c r="D253" i="1"/>
  <c r="E253" i="1"/>
  <c r="F253" i="1"/>
  <c r="G253" i="1"/>
  <c r="H253" i="1"/>
  <c r="I253" i="1"/>
  <c r="J253" i="1"/>
  <c r="B254" i="1"/>
  <c r="C254" i="1"/>
  <c r="D254" i="1"/>
  <c r="E254" i="1"/>
  <c r="F254" i="1"/>
  <c r="G254" i="1"/>
  <c r="H254" i="1"/>
  <c r="I254" i="1"/>
  <c r="J254" i="1"/>
  <c r="B255" i="1"/>
  <c r="C255" i="1"/>
  <c r="D255" i="1"/>
  <c r="E255" i="1"/>
  <c r="F255" i="1"/>
  <c r="G255" i="1"/>
  <c r="H255" i="1"/>
  <c r="I255" i="1"/>
  <c r="J255" i="1"/>
  <c r="B256" i="1"/>
  <c r="C256" i="1"/>
  <c r="D256" i="1"/>
  <c r="E256" i="1"/>
  <c r="F256" i="1"/>
  <c r="G256" i="1"/>
  <c r="H256" i="1"/>
  <c r="I256" i="1"/>
  <c r="J256" i="1"/>
  <c r="B257" i="1"/>
  <c r="C257" i="1"/>
  <c r="D257" i="1"/>
  <c r="E257" i="1"/>
  <c r="F257" i="1"/>
  <c r="G257" i="1"/>
  <c r="H257" i="1"/>
  <c r="I257" i="1"/>
  <c r="J257" i="1"/>
  <c r="B258" i="1"/>
  <c r="C258" i="1"/>
  <c r="D258" i="1"/>
  <c r="E258" i="1"/>
  <c r="F258" i="1"/>
  <c r="G258" i="1"/>
  <c r="H258" i="1"/>
  <c r="I258" i="1"/>
  <c r="J258" i="1"/>
  <c r="B259" i="1"/>
  <c r="C259" i="1"/>
  <c r="D259" i="1"/>
  <c r="E259" i="1"/>
  <c r="F259" i="1"/>
  <c r="G259" i="1"/>
  <c r="H259" i="1"/>
  <c r="I259" i="1"/>
  <c r="J259" i="1"/>
  <c r="B260" i="1"/>
  <c r="C260" i="1"/>
  <c r="D260" i="1"/>
  <c r="E260" i="1"/>
  <c r="F260" i="1"/>
  <c r="G260" i="1"/>
  <c r="H260" i="1"/>
  <c r="I260" i="1"/>
  <c r="J260" i="1"/>
  <c r="B261" i="1"/>
  <c r="C261" i="1"/>
  <c r="D261" i="1"/>
  <c r="E261" i="1"/>
  <c r="F261" i="1"/>
  <c r="G261" i="1"/>
  <c r="H261" i="1"/>
  <c r="I261" i="1"/>
  <c r="J261" i="1"/>
  <c r="B262" i="1"/>
  <c r="C262" i="1"/>
  <c r="D262" i="1"/>
  <c r="E262" i="1"/>
  <c r="F262" i="1"/>
  <c r="G262" i="1"/>
  <c r="H262" i="1"/>
  <c r="I262" i="1"/>
  <c r="J262" i="1"/>
  <c r="B263" i="1"/>
  <c r="C263" i="1"/>
  <c r="D263" i="1"/>
  <c r="E263" i="1"/>
  <c r="F263" i="1"/>
  <c r="G263" i="1"/>
  <c r="H263" i="1"/>
  <c r="I263" i="1"/>
  <c r="J263" i="1"/>
  <c r="B264" i="1"/>
  <c r="C264" i="1"/>
  <c r="D264" i="1"/>
  <c r="E264" i="1"/>
  <c r="F264" i="1"/>
  <c r="G264" i="1"/>
  <c r="H264" i="1"/>
  <c r="I264" i="1"/>
  <c r="J264" i="1"/>
  <c r="B265" i="1"/>
  <c r="C265" i="1"/>
  <c r="D265" i="1"/>
  <c r="E265" i="1"/>
  <c r="F265" i="1"/>
  <c r="G265" i="1"/>
  <c r="H265" i="1"/>
  <c r="I265" i="1"/>
  <c r="J265" i="1"/>
  <c r="B266" i="1"/>
  <c r="C266" i="1"/>
  <c r="D266" i="1"/>
  <c r="E266" i="1"/>
  <c r="F266" i="1"/>
  <c r="G266" i="1"/>
  <c r="H266" i="1"/>
  <c r="I266" i="1"/>
  <c r="J266" i="1"/>
  <c r="B267" i="1"/>
  <c r="C267" i="1"/>
  <c r="D267" i="1"/>
  <c r="E267" i="1"/>
  <c r="F267" i="1"/>
  <c r="G267" i="1"/>
  <c r="H267" i="1"/>
  <c r="I267" i="1"/>
  <c r="J267" i="1"/>
  <c r="B268" i="1"/>
  <c r="C268" i="1"/>
  <c r="D268" i="1"/>
  <c r="E268" i="1"/>
  <c r="F268" i="1"/>
  <c r="G268" i="1"/>
  <c r="H268" i="1"/>
  <c r="I268" i="1"/>
  <c r="J268" i="1"/>
  <c r="B269" i="1"/>
  <c r="C269" i="1"/>
  <c r="D269" i="1"/>
  <c r="E269" i="1"/>
  <c r="F269" i="1"/>
  <c r="G269" i="1"/>
  <c r="H269" i="1"/>
  <c r="I269" i="1"/>
  <c r="J269" i="1"/>
  <c r="B270" i="1"/>
  <c r="C270" i="1"/>
  <c r="D270" i="1"/>
  <c r="E270" i="1"/>
  <c r="F270" i="1"/>
  <c r="G270" i="1"/>
  <c r="H270" i="1"/>
  <c r="I270" i="1"/>
  <c r="J270" i="1"/>
  <c r="B271" i="1"/>
  <c r="C271" i="1"/>
  <c r="D271" i="1"/>
  <c r="E271" i="1"/>
  <c r="F271" i="1"/>
  <c r="G271" i="1"/>
  <c r="H271" i="1"/>
  <c r="I271" i="1"/>
  <c r="J271" i="1"/>
  <c r="B272" i="1"/>
  <c r="C272" i="1"/>
  <c r="D272" i="1"/>
  <c r="E272" i="1"/>
  <c r="F272" i="1"/>
  <c r="G272" i="1"/>
  <c r="H272" i="1"/>
  <c r="I272" i="1"/>
  <c r="J272" i="1"/>
  <c r="B273" i="1"/>
  <c r="C273" i="1"/>
  <c r="D273" i="1"/>
  <c r="E273" i="1"/>
  <c r="F273" i="1"/>
  <c r="G273" i="1"/>
  <c r="H273" i="1"/>
  <c r="I273" i="1"/>
  <c r="J273" i="1"/>
  <c r="B274" i="1"/>
  <c r="C274" i="1"/>
  <c r="D274" i="1"/>
  <c r="E274" i="1"/>
  <c r="F274" i="1"/>
  <c r="G274" i="1"/>
  <c r="H274" i="1"/>
  <c r="I274" i="1"/>
  <c r="J274" i="1"/>
  <c r="B275" i="1"/>
  <c r="C275" i="1"/>
  <c r="D275" i="1"/>
  <c r="E275" i="1"/>
  <c r="F275" i="1"/>
  <c r="G275" i="1"/>
  <c r="H275" i="1"/>
  <c r="I275" i="1"/>
  <c r="J275" i="1"/>
  <c r="B276" i="1"/>
  <c r="C276" i="1"/>
  <c r="D276" i="1"/>
  <c r="E276" i="1"/>
  <c r="F276" i="1"/>
  <c r="G276" i="1"/>
  <c r="H276" i="1"/>
  <c r="I276" i="1"/>
  <c r="J276" i="1"/>
  <c r="B277" i="1"/>
  <c r="C277" i="1"/>
  <c r="D277" i="1"/>
  <c r="E277" i="1"/>
  <c r="F277" i="1"/>
  <c r="G277" i="1"/>
  <c r="H277" i="1"/>
  <c r="I277" i="1"/>
  <c r="J277" i="1"/>
  <c r="B278" i="1"/>
  <c r="C278" i="1"/>
  <c r="D278" i="1"/>
  <c r="E278" i="1"/>
  <c r="F278" i="1"/>
  <c r="G278" i="1"/>
  <c r="H278" i="1"/>
  <c r="I278" i="1"/>
  <c r="J278" i="1"/>
  <c r="B279" i="1"/>
  <c r="C279" i="1"/>
  <c r="D279" i="1"/>
  <c r="E279" i="1"/>
  <c r="F279" i="1"/>
  <c r="G279" i="1"/>
  <c r="H279" i="1"/>
  <c r="I279" i="1"/>
  <c r="J279" i="1"/>
  <c r="B280" i="1"/>
  <c r="C280" i="1"/>
  <c r="D280" i="1"/>
  <c r="E280" i="1"/>
  <c r="F280" i="1"/>
  <c r="G280" i="1"/>
  <c r="H280" i="1"/>
  <c r="I280" i="1"/>
  <c r="J280" i="1"/>
  <c r="B281" i="1"/>
  <c r="C281" i="1"/>
  <c r="D281" i="1"/>
  <c r="E281" i="1"/>
  <c r="F281" i="1"/>
  <c r="G281" i="1"/>
  <c r="H281" i="1"/>
  <c r="I281" i="1"/>
  <c r="J281" i="1"/>
  <c r="B282" i="1"/>
  <c r="C282" i="1"/>
  <c r="D282" i="1"/>
  <c r="E282" i="1"/>
  <c r="F282" i="1"/>
  <c r="G282" i="1"/>
  <c r="H282" i="1"/>
  <c r="I282" i="1"/>
  <c r="J282" i="1"/>
  <c r="B283" i="1"/>
  <c r="C283" i="1"/>
  <c r="D283" i="1"/>
  <c r="E283" i="1"/>
  <c r="F283" i="1"/>
  <c r="G283" i="1"/>
  <c r="H283" i="1"/>
  <c r="I283" i="1"/>
  <c r="J283" i="1"/>
  <c r="B284" i="1"/>
  <c r="C284" i="1"/>
  <c r="D284" i="1"/>
  <c r="E284" i="1"/>
  <c r="F284" i="1"/>
  <c r="G284" i="1"/>
  <c r="H284" i="1"/>
  <c r="I284" i="1"/>
  <c r="J284" i="1"/>
  <c r="B285" i="1"/>
  <c r="C285" i="1"/>
  <c r="D285" i="1"/>
  <c r="E285" i="1"/>
  <c r="F285" i="1"/>
  <c r="G285" i="1"/>
  <c r="H285" i="1"/>
  <c r="I285" i="1"/>
  <c r="J285" i="1"/>
  <c r="B286" i="1"/>
  <c r="C286" i="1"/>
  <c r="D286" i="1"/>
  <c r="E286" i="1"/>
  <c r="F286" i="1"/>
  <c r="G286" i="1"/>
  <c r="H286" i="1"/>
  <c r="I286" i="1"/>
  <c r="J286" i="1"/>
  <c r="B287" i="1"/>
  <c r="C287" i="1"/>
  <c r="D287" i="1"/>
  <c r="E287" i="1"/>
  <c r="F287" i="1"/>
  <c r="G287" i="1"/>
  <c r="H287" i="1"/>
  <c r="I287" i="1"/>
  <c r="J287" i="1"/>
  <c r="B288" i="1"/>
  <c r="C288" i="1"/>
  <c r="D288" i="1"/>
  <c r="E288" i="1"/>
  <c r="F288" i="1"/>
  <c r="G288" i="1"/>
  <c r="H288" i="1"/>
  <c r="I288" i="1"/>
  <c r="J288" i="1"/>
  <c r="B289" i="1"/>
  <c r="C289" i="1"/>
  <c r="D289" i="1"/>
  <c r="E289" i="1"/>
  <c r="F289" i="1"/>
  <c r="G289" i="1"/>
  <c r="H289" i="1"/>
  <c r="I289" i="1"/>
  <c r="J289" i="1"/>
  <c r="B290" i="1"/>
  <c r="C290" i="1"/>
  <c r="D290" i="1"/>
  <c r="E290" i="1"/>
  <c r="F290" i="1"/>
  <c r="G290" i="1"/>
  <c r="H290" i="1"/>
  <c r="I290" i="1"/>
  <c r="J290" i="1"/>
  <c r="B291" i="1"/>
  <c r="C291" i="1"/>
  <c r="D291" i="1"/>
  <c r="E291" i="1"/>
  <c r="F291" i="1"/>
  <c r="G291" i="1"/>
  <c r="H291" i="1"/>
  <c r="I291" i="1"/>
  <c r="J291" i="1"/>
  <c r="B292" i="1"/>
  <c r="C292" i="1"/>
  <c r="D292" i="1"/>
  <c r="E292" i="1"/>
  <c r="F292" i="1"/>
  <c r="G292" i="1"/>
  <c r="H292" i="1"/>
  <c r="I292" i="1"/>
  <c r="J292" i="1"/>
  <c r="B293" i="1"/>
  <c r="C293" i="1"/>
  <c r="D293" i="1"/>
  <c r="E293" i="1"/>
  <c r="F293" i="1"/>
  <c r="G293" i="1"/>
  <c r="H293" i="1"/>
  <c r="I293" i="1"/>
  <c r="J293" i="1"/>
  <c r="B294" i="1"/>
  <c r="C294" i="1"/>
  <c r="D294" i="1"/>
  <c r="E294" i="1"/>
  <c r="F294" i="1"/>
  <c r="G294" i="1"/>
  <c r="H294" i="1"/>
  <c r="I294" i="1"/>
  <c r="J294" i="1"/>
  <c r="B295" i="1"/>
  <c r="C295" i="1"/>
  <c r="D295" i="1"/>
  <c r="E295" i="1"/>
  <c r="F295" i="1"/>
  <c r="G295" i="1"/>
  <c r="H295" i="1"/>
  <c r="I295" i="1"/>
  <c r="J295" i="1"/>
  <c r="B296" i="1"/>
  <c r="C296" i="1"/>
  <c r="D296" i="1"/>
  <c r="E296" i="1"/>
  <c r="F296" i="1"/>
  <c r="G296" i="1"/>
  <c r="H296" i="1"/>
  <c r="I296" i="1"/>
  <c r="J296" i="1"/>
  <c r="B297" i="1"/>
  <c r="C297" i="1"/>
  <c r="D297" i="1"/>
  <c r="E297" i="1"/>
  <c r="F297" i="1"/>
  <c r="G297" i="1"/>
  <c r="H297" i="1"/>
  <c r="I297" i="1"/>
  <c r="J297" i="1"/>
  <c r="B298" i="1"/>
  <c r="C298" i="1"/>
  <c r="D298" i="1"/>
  <c r="E298" i="1"/>
  <c r="F298" i="1"/>
  <c r="G298" i="1"/>
  <c r="H298" i="1"/>
  <c r="I298" i="1"/>
  <c r="J298" i="1"/>
  <c r="B299" i="1"/>
  <c r="C299" i="1"/>
  <c r="D299" i="1"/>
  <c r="E299" i="1"/>
  <c r="F299" i="1"/>
  <c r="G299" i="1"/>
  <c r="H299" i="1"/>
  <c r="I299" i="1"/>
  <c r="J299" i="1"/>
  <c r="B300" i="1"/>
  <c r="C300" i="1"/>
  <c r="D300" i="1"/>
  <c r="E300" i="1"/>
  <c r="F300" i="1"/>
  <c r="G300" i="1"/>
  <c r="H300" i="1"/>
  <c r="I300" i="1"/>
  <c r="J300" i="1"/>
  <c r="B301" i="1"/>
  <c r="C301" i="1"/>
  <c r="D301" i="1"/>
  <c r="E301" i="1"/>
  <c r="F301" i="1"/>
  <c r="G301" i="1"/>
  <c r="H301" i="1"/>
  <c r="I301" i="1"/>
  <c r="J301" i="1"/>
  <c r="B302" i="1"/>
  <c r="C302" i="1"/>
  <c r="D302" i="1"/>
  <c r="E302" i="1"/>
  <c r="F302" i="1"/>
  <c r="G302" i="1"/>
  <c r="H302" i="1"/>
  <c r="I302" i="1"/>
  <c r="J302" i="1"/>
  <c r="B303" i="1"/>
  <c r="C303" i="1"/>
  <c r="D303" i="1"/>
  <c r="E303" i="1"/>
  <c r="F303" i="1"/>
  <c r="G303" i="1"/>
  <c r="H303" i="1"/>
  <c r="I303" i="1"/>
  <c r="J303" i="1"/>
  <c r="B304" i="1"/>
  <c r="C304" i="1"/>
  <c r="D304" i="1"/>
  <c r="E304" i="1"/>
  <c r="F304" i="1"/>
  <c r="G304" i="1"/>
  <c r="H304" i="1"/>
  <c r="I304" i="1"/>
  <c r="J304" i="1"/>
  <c r="B305" i="1"/>
  <c r="C305" i="1"/>
  <c r="D305" i="1"/>
  <c r="E305" i="1"/>
  <c r="F305" i="1"/>
  <c r="G305" i="1"/>
  <c r="H305" i="1"/>
  <c r="I305" i="1"/>
  <c r="J305" i="1"/>
  <c r="B306" i="1"/>
  <c r="C306" i="1"/>
  <c r="D306" i="1"/>
  <c r="E306" i="1"/>
  <c r="F306" i="1"/>
  <c r="G306" i="1"/>
  <c r="H306" i="1"/>
  <c r="I306" i="1"/>
  <c r="J306" i="1"/>
  <c r="B307" i="1"/>
  <c r="C307" i="1"/>
  <c r="D307" i="1"/>
  <c r="E307" i="1"/>
  <c r="F307" i="1"/>
  <c r="G307" i="1"/>
  <c r="H307" i="1"/>
  <c r="I307" i="1"/>
  <c r="J307" i="1"/>
  <c r="B308" i="1"/>
  <c r="C308" i="1"/>
  <c r="D308" i="1"/>
  <c r="E308" i="1"/>
  <c r="F308" i="1"/>
  <c r="G308" i="1"/>
  <c r="H308" i="1"/>
  <c r="I308" i="1"/>
  <c r="J308" i="1"/>
  <c r="B309" i="1"/>
  <c r="C309" i="1"/>
  <c r="D309" i="1"/>
  <c r="E309" i="1"/>
  <c r="F309" i="1"/>
  <c r="G309" i="1"/>
  <c r="H309" i="1"/>
  <c r="I309" i="1"/>
  <c r="J309" i="1"/>
  <c r="B310" i="1"/>
  <c r="C310" i="1"/>
  <c r="D310" i="1"/>
  <c r="E310" i="1"/>
  <c r="F310" i="1"/>
  <c r="G310" i="1"/>
  <c r="H310" i="1"/>
  <c r="I310" i="1"/>
  <c r="J310" i="1"/>
  <c r="B311" i="1"/>
  <c r="C311" i="1"/>
  <c r="D311" i="1"/>
  <c r="E311" i="1"/>
  <c r="F311" i="1"/>
  <c r="G311" i="1"/>
  <c r="H311" i="1"/>
  <c r="I311" i="1"/>
  <c r="J311" i="1"/>
  <c r="B312" i="1"/>
  <c r="C312" i="1"/>
  <c r="D312" i="1"/>
  <c r="E312" i="1"/>
  <c r="F312" i="1"/>
  <c r="G312" i="1"/>
  <c r="H312" i="1"/>
  <c r="I312" i="1"/>
  <c r="J312" i="1"/>
  <c r="B313" i="1"/>
  <c r="C313" i="1"/>
  <c r="D313" i="1"/>
  <c r="E313" i="1"/>
  <c r="F313" i="1"/>
  <c r="G313" i="1"/>
  <c r="H313" i="1"/>
  <c r="I313" i="1"/>
  <c r="J313" i="1"/>
  <c r="B314" i="1"/>
  <c r="C314" i="1"/>
  <c r="D314" i="1"/>
  <c r="E314" i="1"/>
  <c r="F314" i="1"/>
  <c r="G314" i="1"/>
  <c r="H314" i="1"/>
  <c r="I314" i="1"/>
  <c r="J314" i="1"/>
  <c r="B315" i="1"/>
  <c r="C315" i="1"/>
  <c r="D315" i="1"/>
  <c r="E315" i="1"/>
  <c r="F315" i="1"/>
  <c r="G315" i="1"/>
  <c r="H315" i="1"/>
  <c r="I315" i="1"/>
  <c r="J315" i="1"/>
  <c r="B316" i="1"/>
  <c r="C316" i="1"/>
  <c r="D316" i="1"/>
  <c r="E316" i="1"/>
  <c r="F316" i="1"/>
  <c r="G316" i="1"/>
  <c r="H316" i="1"/>
  <c r="I316" i="1"/>
  <c r="J316" i="1"/>
  <c r="B317" i="1"/>
  <c r="C317" i="1"/>
  <c r="D317" i="1"/>
  <c r="E317" i="1"/>
  <c r="F317" i="1"/>
  <c r="G317" i="1"/>
  <c r="H317" i="1"/>
  <c r="I317" i="1"/>
  <c r="J317" i="1"/>
  <c r="B318" i="1"/>
  <c r="C318" i="1"/>
  <c r="D318" i="1"/>
  <c r="E318" i="1"/>
  <c r="F318" i="1"/>
  <c r="G318" i="1"/>
  <c r="H318" i="1"/>
  <c r="I318" i="1"/>
  <c r="J318" i="1"/>
  <c r="B319" i="1"/>
  <c r="C319" i="1"/>
  <c r="D319" i="1"/>
  <c r="E319" i="1"/>
  <c r="F319" i="1"/>
  <c r="G319" i="1"/>
  <c r="H319" i="1"/>
  <c r="I319" i="1"/>
  <c r="J319" i="1"/>
  <c r="B320" i="1"/>
  <c r="C320" i="1"/>
  <c r="D320" i="1"/>
  <c r="E320" i="1"/>
  <c r="F320" i="1"/>
  <c r="G320" i="1"/>
  <c r="H320" i="1"/>
  <c r="I320" i="1"/>
  <c r="J320" i="1"/>
  <c r="B321" i="1"/>
  <c r="C321" i="1"/>
  <c r="D321" i="1"/>
  <c r="E321" i="1"/>
  <c r="F321" i="1"/>
  <c r="G321" i="1"/>
  <c r="H321" i="1"/>
  <c r="I321" i="1"/>
  <c r="J321" i="1"/>
  <c r="B322" i="1"/>
  <c r="C322" i="1"/>
  <c r="D322" i="1"/>
  <c r="E322" i="1"/>
  <c r="F322" i="1"/>
  <c r="G322" i="1"/>
  <c r="H322" i="1"/>
  <c r="I322" i="1"/>
  <c r="J322" i="1"/>
  <c r="B323" i="1"/>
  <c r="C323" i="1"/>
  <c r="D323" i="1"/>
  <c r="E323" i="1"/>
  <c r="F323" i="1"/>
  <c r="G323" i="1"/>
  <c r="H323" i="1"/>
  <c r="I323" i="1"/>
  <c r="J323" i="1"/>
  <c r="B324" i="1"/>
  <c r="C324" i="1"/>
  <c r="D324" i="1"/>
  <c r="E324" i="1"/>
  <c r="F324" i="1"/>
  <c r="G324" i="1"/>
  <c r="H324" i="1"/>
  <c r="I324" i="1"/>
  <c r="J324" i="1"/>
  <c r="B325" i="1"/>
  <c r="C325" i="1"/>
  <c r="D325" i="1"/>
  <c r="E325" i="1"/>
  <c r="F325" i="1"/>
  <c r="G325" i="1"/>
  <c r="H325" i="1"/>
  <c r="I325" i="1"/>
  <c r="J325" i="1"/>
  <c r="B326" i="1"/>
  <c r="C326" i="1"/>
  <c r="D326" i="1"/>
  <c r="E326" i="1"/>
  <c r="F326" i="1"/>
  <c r="G326" i="1"/>
  <c r="H326" i="1"/>
  <c r="I326" i="1"/>
  <c r="J326" i="1"/>
  <c r="B327" i="1"/>
  <c r="C327" i="1"/>
  <c r="D327" i="1"/>
  <c r="E327" i="1"/>
  <c r="F327" i="1"/>
  <c r="G327" i="1"/>
  <c r="H327" i="1"/>
  <c r="I327" i="1"/>
  <c r="J327" i="1"/>
  <c r="B328" i="1"/>
  <c r="C328" i="1"/>
  <c r="D328" i="1"/>
  <c r="E328" i="1"/>
  <c r="F328" i="1"/>
  <c r="G328" i="1"/>
  <c r="H328" i="1"/>
  <c r="I328" i="1"/>
  <c r="J328" i="1"/>
  <c r="B329" i="1"/>
  <c r="C329" i="1"/>
  <c r="D329" i="1"/>
  <c r="E329" i="1"/>
  <c r="F329" i="1"/>
  <c r="G329" i="1"/>
  <c r="H329" i="1"/>
  <c r="I329" i="1"/>
  <c r="J329" i="1"/>
  <c r="B330" i="1"/>
  <c r="C330" i="1"/>
  <c r="D330" i="1"/>
  <c r="E330" i="1"/>
  <c r="F330" i="1"/>
  <c r="G330" i="1"/>
  <c r="H330" i="1"/>
  <c r="I330" i="1"/>
  <c r="J330" i="1"/>
  <c r="B331" i="1"/>
  <c r="C331" i="1"/>
  <c r="D331" i="1"/>
  <c r="E331" i="1"/>
  <c r="F331" i="1"/>
  <c r="G331" i="1"/>
  <c r="H331" i="1"/>
  <c r="I331" i="1"/>
  <c r="J331" i="1"/>
  <c r="B332" i="1"/>
  <c r="C332" i="1"/>
  <c r="D332" i="1"/>
  <c r="E332" i="1"/>
  <c r="F332" i="1"/>
  <c r="G332" i="1"/>
  <c r="H332" i="1"/>
  <c r="I332" i="1"/>
  <c r="J332" i="1"/>
  <c r="B333" i="1"/>
  <c r="C333" i="1"/>
  <c r="D333" i="1"/>
  <c r="E333" i="1"/>
  <c r="F333" i="1"/>
  <c r="G333" i="1"/>
  <c r="H333" i="1"/>
  <c r="I333" i="1"/>
  <c r="J333" i="1"/>
  <c r="B334" i="1"/>
  <c r="C334" i="1"/>
  <c r="D334" i="1"/>
  <c r="E334" i="1"/>
  <c r="F334" i="1"/>
  <c r="G334" i="1"/>
  <c r="H334" i="1"/>
  <c r="I334" i="1"/>
  <c r="J334" i="1"/>
  <c r="B335" i="1"/>
  <c r="C335" i="1"/>
  <c r="D335" i="1"/>
  <c r="E335" i="1"/>
  <c r="F335" i="1"/>
  <c r="G335" i="1"/>
  <c r="H335" i="1"/>
  <c r="I335" i="1"/>
  <c r="J335" i="1"/>
  <c r="B336" i="1"/>
  <c r="C336" i="1"/>
  <c r="D336" i="1"/>
  <c r="E336" i="1"/>
  <c r="F336" i="1"/>
  <c r="G336" i="1"/>
  <c r="H336" i="1"/>
  <c r="I336" i="1"/>
  <c r="J336" i="1"/>
  <c r="B337" i="1"/>
  <c r="C337" i="1"/>
  <c r="D337" i="1"/>
  <c r="E337" i="1"/>
  <c r="F337" i="1"/>
  <c r="G337" i="1"/>
  <c r="H337" i="1"/>
  <c r="I337" i="1"/>
  <c r="J337" i="1"/>
  <c r="B338" i="1"/>
  <c r="C338" i="1"/>
  <c r="D338" i="1"/>
  <c r="E338" i="1"/>
  <c r="F338" i="1"/>
  <c r="G338" i="1"/>
  <c r="H338" i="1"/>
  <c r="I338" i="1"/>
  <c r="J338" i="1"/>
  <c r="B339" i="1"/>
  <c r="C339" i="1"/>
  <c r="D339" i="1"/>
  <c r="E339" i="1"/>
  <c r="F339" i="1"/>
  <c r="G339" i="1"/>
  <c r="H339" i="1"/>
  <c r="I339" i="1"/>
  <c r="J339" i="1"/>
  <c r="B340" i="1"/>
  <c r="C340" i="1"/>
  <c r="D340" i="1"/>
  <c r="E340" i="1"/>
  <c r="F340" i="1"/>
  <c r="G340" i="1"/>
  <c r="H340" i="1"/>
  <c r="I340" i="1"/>
  <c r="J340" i="1"/>
  <c r="B341" i="1"/>
  <c r="C341" i="1"/>
  <c r="D341" i="1"/>
  <c r="E341" i="1"/>
  <c r="F341" i="1"/>
  <c r="G341" i="1"/>
  <c r="H341" i="1"/>
  <c r="I341" i="1"/>
  <c r="J341" i="1"/>
  <c r="B342" i="1"/>
  <c r="C342" i="1"/>
  <c r="D342" i="1"/>
  <c r="E342" i="1"/>
  <c r="F342" i="1"/>
  <c r="G342" i="1"/>
  <c r="H342" i="1"/>
  <c r="I342" i="1"/>
  <c r="J342" i="1"/>
  <c r="B343" i="1"/>
  <c r="C343" i="1"/>
  <c r="D343" i="1"/>
  <c r="E343" i="1"/>
  <c r="F343" i="1"/>
  <c r="G343" i="1"/>
  <c r="H343" i="1"/>
  <c r="I343" i="1"/>
  <c r="J343" i="1"/>
  <c r="B344" i="1"/>
  <c r="C344" i="1"/>
  <c r="D344" i="1"/>
  <c r="E344" i="1"/>
  <c r="F344" i="1"/>
  <c r="G344" i="1"/>
  <c r="H344" i="1"/>
  <c r="I344" i="1"/>
  <c r="J344" i="1"/>
  <c r="B345" i="1"/>
  <c r="C345" i="1"/>
  <c r="D345" i="1"/>
  <c r="E345" i="1"/>
  <c r="F345" i="1"/>
  <c r="G345" i="1"/>
  <c r="H345" i="1"/>
  <c r="I345" i="1"/>
  <c r="J345" i="1"/>
  <c r="B346" i="1"/>
  <c r="C346" i="1"/>
  <c r="D346" i="1"/>
  <c r="E346" i="1"/>
  <c r="F346" i="1"/>
  <c r="G346" i="1"/>
  <c r="H346" i="1"/>
  <c r="I346" i="1"/>
  <c r="J346" i="1"/>
  <c r="B347" i="1"/>
  <c r="C347" i="1"/>
  <c r="D347" i="1"/>
  <c r="E347" i="1"/>
  <c r="F347" i="1"/>
  <c r="G347" i="1"/>
  <c r="H347" i="1"/>
  <c r="I347" i="1"/>
  <c r="J347" i="1"/>
  <c r="B348" i="1"/>
  <c r="C348" i="1"/>
  <c r="D348" i="1"/>
  <c r="E348" i="1"/>
  <c r="F348" i="1"/>
  <c r="G348" i="1"/>
  <c r="H348" i="1"/>
  <c r="I348" i="1"/>
  <c r="J348" i="1"/>
  <c r="B349" i="1"/>
  <c r="C349" i="1"/>
  <c r="D349" i="1"/>
  <c r="E349" i="1"/>
  <c r="F349" i="1"/>
  <c r="G349" i="1"/>
  <c r="H349" i="1"/>
  <c r="I349" i="1"/>
  <c r="J349" i="1"/>
  <c r="B350" i="1"/>
  <c r="C350" i="1"/>
  <c r="D350" i="1"/>
  <c r="E350" i="1"/>
  <c r="F350" i="1"/>
  <c r="G350" i="1"/>
  <c r="H350" i="1"/>
  <c r="I350" i="1"/>
  <c r="J350" i="1"/>
  <c r="B351" i="1"/>
  <c r="C351" i="1"/>
  <c r="D351" i="1"/>
  <c r="E351" i="1"/>
  <c r="F351" i="1"/>
  <c r="G351" i="1"/>
  <c r="H351" i="1"/>
  <c r="I351" i="1"/>
  <c r="J351" i="1"/>
  <c r="B352" i="1"/>
  <c r="C352" i="1"/>
  <c r="D352" i="1"/>
  <c r="E352" i="1"/>
  <c r="F352" i="1"/>
  <c r="G352" i="1"/>
  <c r="H352" i="1"/>
  <c r="I352" i="1"/>
  <c r="J352" i="1"/>
  <c r="B353" i="1"/>
  <c r="C353" i="1"/>
  <c r="D353" i="1"/>
  <c r="E353" i="1"/>
  <c r="F353" i="1"/>
  <c r="G353" i="1"/>
  <c r="H353" i="1"/>
  <c r="I353" i="1"/>
  <c r="J353" i="1"/>
  <c r="B354" i="1"/>
  <c r="C354" i="1"/>
  <c r="D354" i="1"/>
  <c r="E354" i="1"/>
  <c r="F354" i="1"/>
  <c r="G354" i="1"/>
  <c r="H354" i="1"/>
  <c r="I354" i="1"/>
  <c r="J354" i="1"/>
  <c r="B355" i="1"/>
  <c r="C355" i="1"/>
  <c r="D355" i="1"/>
  <c r="E355" i="1"/>
  <c r="F355" i="1"/>
  <c r="G355" i="1"/>
  <c r="H355" i="1"/>
  <c r="I355" i="1"/>
  <c r="J355" i="1"/>
  <c r="B356" i="1"/>
  <c r="C356" i="1"/>
  <c r="D356" i="1"/>
  <c r="E356" i="1"/>
  <c r="F356" i="1"/>
  <c r="G356" i="1"/>
  <c r="H356" i="1"/>
  <c r="I356" i="1"/>
  <c r="J356" i="1"/>
  <c r="B357" i="1"/>
  <c r="C357" i="1"/>
  <c r="D357" i="1"/>
  <c r="E357" i="1"/>
  <c r="F357" i="1"/>
  <c r="G357" i="1"/>
  <c r="H357" i="1"/>
  <c r="I357" i="1"/>
  <c r="J357" i="1"/>
  <c r="B358" i="1"/>
  <c r="C358" i="1"/>
  <c r="D358" i="1"/>
  <c r="E358" i="1"/>
  <c r="F358" i="1"/>
  <c r="G358" i="1"/>
  <c r="H358" i="1"/>
  <c r="I358" i="1"/>
  <c r="J358" i="1"/>
  <c r="B359" i="1"/>
  <c r="C359" i="1"/>
  <c r="D359" i="1"/>
  <c r="E359" i="1"/>
  <c r="F359" i="1"/>
  <c r="G359" i="1"/>
  <c r="H359" i="1"/>
  <c r="I359" i="1"/>
  <c r="J359" i="1"/>
  <c r="B360" i="1"/>
  <c r="C360" i="1"/>
  <c r="D360" i="1"/>
  <c r="E360" i="1"/>
  <c r="F360" i="1"/>
  <c r="G360" i="1"/>
  <c r="H360" i="1"/>
  <c r="I360" i="1"/>
  <c r="J360" i="1"/>
  <c r="B361" i="1"/>
  <c r="C361" i="1"/>
  <c r="D361" i="1"/>
  <c r="E361" i="1"/>
  <c r="F361" i="1"/>
  <c r="G361" i="1"/>
  <c r="H361" i="1"/>
  <c r="I361" i="1"/>
  <c r="J361" i="1"/>
  <c r="B362" i="1"/>
  <c r="C362" i="1"/>
  <c r="D362" i="1"/>
  <c r="E362" i="1"/>
  <c r="F362" i="1"/>
  <c r="G362" i="1"/>
  <c r="H362" i="1"/>
  <c r="I362" i="1"/>
  <c r="J362" i="1"/>
  <c r="B363" i="1"/>
  <c r="C363" i="1"/>
  <c r="D363" i="1"/>
  <c r="E363" i="1"/>
  <c r="F363" i="1"/>
  <c r="G363" i="1"/>
  <c r="H363" i="1"/>
  <c r="I363" i="1"/>
  <c r="J363" i="1"/>
  <c r="B364" i="1"/>
  <c r="C364" i="1"/>
  <c r="D364" i="1"/>
  <c r="E364" i="1"/>
  <c r="F364" i="1"/>
  <c r="G364" i="1"/>
  <c r="H364" i="1"/>
  <c r="I364" i="1"/>
  <c r="J364" i="1"/>
  <c r="B365" i="1"/>
  <c r="C365" i="1"/>
  <c r="D365" i="1"/>
  <c r="E365" i="1"/>
  <c r="F365" i="1"/>
  <c r="G365" i="1"/>
  <c r="H365" i="1"/>
  <c r="I365" i="1"/>
  <c r="J365" i="1"/>
  <c r="B366" i="1"/>
  <c r="C366" i="1"/>
  <c r="D366" i="1"/>
  <c r="E366" i="1"/>
  <c r="F366" i="1"/>
  <c r="G366" i="1"/>
  <c r="H366" i="1"/>
  <c r="I366" i="1"/>
  <c r="J366" i="1"/>
  <c r="B367" i="1"/>
  <c r="C367" i="1"/>
  <c r="D367" i="1"/>
  <c r="E367" i="1"/>
  <c r="F367" i="1"/>
  <c r="G367" i="1"/>
  <c r="H367" i="1"/>
  <c r="I367" i="1"/>
  <c r="J367" i="1"/>
  <c r="B368" i="1"/>
  <c r="C368" i="1"/>
  <c r="D368" i="1"/>
  <c r="E368" i="1"/>
  <c r="F368" i="1"/>
  <c r="G368" i="1"/>
  <c r="H368" i="1"/>
  <c r="I368" i="1"/>
  <c r="J368" i="1"/>
  <c r="B369" i="1"/>
  <c r="C369" i="1"/>
  <c r="D369" i="1"/>
  <c r="E369" i="1"/>
  <c r="F369" i="1"/>
  <c r="G369" i="1"/>
  <c r="H369" i="1"/>
  <c r="I369" i="1"/>
  <c r="J369" i="1"/>
  <c r="B370" i="1"/>
  <c r="C370" i="1"/>
  <c r="D370" i="1"/>
  <c r="E370" i="1"/>
  <c r="F370" i="1"/>
  <c r="G370" i="1"/>
  <c r="H370" i="1"/>
  <c r="I370" i="1"/>
  <c r="J370" i="1"/>
  <c r="B371" i="1"/>
  <c r="C371" i="1"/>
  <c r="D371" i="1"/>
  <c r="E371" i="1"/>
  <c r="F371" i="1"/>
  <c r="G371" i="1"/>
  <c r="H371" i="1"/>
  <c r="I371" i="1"/>
  <c r="J371" i="1"/>
  <c r="B372" i="1"/>
  <c r="C372" i="1"/>
  <c r="D372" i="1"/>
  <c r="E372" i="1"/>
  <c r="F372" i="1"/>
  <c r="G372" i="1"/>
  <c r="H372" i="1"/>
  <c r="I372" i="1"/>
  <c r="J372" i="1"/>
  <c r="B373" i="1"/>
  <c r="C373" i="1"/>
  <c r="D373" i="1"/>
  <c r="E373" i="1"/>
  <c r="F373" i="1"/>
  <c r="G373" i="1"/>
  <c r="H373" i="1"/>
  <c r="I373" i="1"/>
  <c r="J373" i="1"/>
  <c r="B374" i="1"/>
  <c r="C374" i="1"/>
  <c r="D374" i="1"/>
  <c r="E374" i="1"/>
  <c r="F374" i="1"/>
  <c r="G374" i="1"/>
  <c r="H374" i="1"/>
  <c r="I374" i="1"/>
  <c r="J374" i="1"/>
  <c r="B375" i="1"/>
  <c r="C375" i="1"/>
  <c r="D375" i="1"/>
  <c r="E375" i="1"/>
  <c r="F375" i="1"/>
  <c r="G375" i="1"/>
  <c r="H375" i="1"/>
  <c r="I375" i="1"/>
  <c r="J375" i="1"/>
  <c r="B376" i="1"/>
  <c r="C376" i="1"/>
  <c r="D376" i="1"/>
  <c r="E376" i="1"/>
  <c r="F376" i="1"/>
  <c r="G376" i="1"/>
  <c r="H376" i="1"/>
  <c r="I376" i="1"/>
  <c r="J376" i="1"/>
  <c r="B377" i="1"/>
  <c r="C377" i="1"/>
  <c r="D377" i="1"/>
  <c r="E377" i="1"/>
  <c r="F377" i="1"/>
  <c r="G377" i="1"/>
  <c r="H377" i="1"/>
  <c r="I377" i="1"/>
  <c r="J377" i="1"/>
  <c r="B378" i="1"/>
  <c r="C378" i="1"/>
  <c r="D378" i="1"/>
  <c r="E378" i="1"/>
  <c r="F378" i="1"/>
  <c r="G378" i="1"/>
  <c r="H378" i="1"/>
  <c r="I378" i="1"/>
  <c r="J378" i="1"/>
  <c r="B379" i="1"/>
  <c r="C379" i="1"/>
  <c r="D379" i="1"/>
  <c r="E379" i="1"/>
  <c r="F379" i="1"/>
  <c r="G379" i="1"/>
  <c r="H379" i="1"/>
  <c r="I379" i="1"/>
  <c r="J379" i="1"/>
  <c r="B380" i="1"/>
  <c r="C380" i="1"/>
  <c r="D380" i="1"/>
  <c r="E380" i="1"/>
  <c r="F380" i="1"/>
  <c r="G380" i="1"/>
  <c r="H380" i="1"/>
  <c r="I380" i="1"/>
  <c r="J380" i="1"/>
  <c r="B381" i="1"/>
  <c r="C381" i="1"/>
  <c r="D381" i="1"/>
  <c r="E381" i="1"/>
  <c r="F381" i="1"/>
  <c r="G381" i="1"/>
  <c r="H381" i="1"/>
  <c r="I381" i="1"/>
  <c r="J381" i="1"/>
  <c r="B382" i="1"/>
  <c r="C382" i="1"/>
  <c r="D382" i="1"/>
  <c r="E382" i="1"/>
  <c r="F382" i="1"/>
  <c r="G382" i="1"/>
  <c r="H382" i="1"/>
  <c r="I382" i="1"/>
  <c r="J382" i="1"/>
  <c r="B383" i="1"/>
  <c r="C383" i="1"/>
  <c r="D383" i="1"/>
  <c r="E383" i="1"/>
  <c r="F383" i="1"/>
  <c r="G383" i="1"/>
  <c r="H383" i="1"/>
  <c r="I383" i="1"/>
  <c r="J383" i="1"/>
  <c r="B384" i="1"/>
  <c r="C384" i="1"/>
  <c r="D384" i="1"/>
  <c r="E384" i="1"/>
  <c r="F384" i="1"/>
  <c r="G384" i="1"/>
  <c r="H384" i="1"/>
  <c r="I384" i="1"/>
  <c r="J384" i="1"/>
  <c r="B385" i="1"/>
  <c r="C385" i="1"/>
  <c r="D385" i="1"/>
  <c r="E385" i="1"/>
  <c r="F385" i="1"/>
  <c r="G385" i="1"/>
  <c r="H385" i="1"/>
  <c r="I385" i="1"/>
  <c r="J385" i="1"/>
  <c r="B386" i="1"/>
  <c r="C386" i="1"/>
  <c r="D386" i="1"/>
  <c r="E386" i="1"/>
  <c r="F386" i="1"/>
  <c r="G386" i="1"/>
  <c r="H386" i="1"/>
  <c r="I386" i="1"/>
  <c r="J386" i="1"/>
  <c r="B387" i="1"/>
  <c r="C387" i="1"/>
  <c r="D387" i="1"/>
  <c r="E387" i="1"/>
  <c r="F387" i="1"/>
  <c r="G387" i="1"/>
  <c r="H387" i="1"/>
  <c r="I387" i="1"/>
  <c r="J387" i="1"/>
  <c r="B388" i="1"/>
  <c r="C388" i="1"/>
  <c r="D388" i="1"/>
  <c r="E388" i="1"/>
  <c r="F388" i="1"/>
  <c r="G388" i="1"/>
  <c r="H388" i="1"/>
  <c r="I388" i="1"/>
  <c r="J388" i="1"/>
  <c r="B389" i="1"/>
  <c r="C389" i="1"/>
  <c r="D389" i="1"/>
  <c r="E389" i="1"/>
  <c r="F389" i="1"/>
  <c r="G389" i="1"/>
  <c r="H389" i="1"/>
  <c r="I389" i="1"/>
  <c r="J389" i="1"/>
  <c r="B390" i="1"/>
  <c r="C390" i="1"/>
  <c r="D390" i="1"/>
  <c r="E390" i="1"/>
  <c r="F390" i="1"/>
  <c r="G390" i="1"/>
  <c r="H390" i="1"/>
  <c r="I390" i="1"/>
  <c r="J390" i="1"/>
  <c r="B391" i="1"/>
  <c r="C391" i="1"/>
  <c r="D391" i="1"/>
  <c r="E391" i="1"/>
  <c r="F391" i="1"/>
  <c r="G391" i="1"/>
  <c r="H391" i="1"/>
  <c r="I391" i="1"/>
  <c r="J391" i="1"/>
  <c r="B392" i="1"/>
  <c r="C392" i="1"/>
  <c r="D392" i="1"/>
  <c r="E392" i="1"/>
  <c r="F392" i="1"/>
  <c r="G392" i="1"/>
  <c r="H392" i="1"/>
  <c r="I392" i="1"/>
  <c r="J392" i="1"/>
  <c r="B393" i="1"/>
  <c r="C393" i="1"/>
  <c r="D393" i="1"/>
  <c r="E393" i="1"/>
  <c r="F393" i="1"/>
  <c r="G393" i="1"/>
  <c r="H393" i="1"/>
  <c r="I393" i="1"/>
  <c r="J393" i="1"/>
  <c r="B394" i="1"/>
  <c r="C394" i="1"/>
  <c r="D394" i="1"/>
  <c r="E394" i="1"/>
  <c r="F394" i="1"/>
  <c r="G394" i="1"/>
  <c r="H394" i="1"/>
  <c r="I394" i="1"/>
  <c r="J394" i="1"/>
  <c r="B395" i="1"/>
  <c r="C395" i="1"/>
  <c r="D395" i="1"/>
  <c r="E395" i="1"/>
  <c r="F395" i="1"/>
  <c r="G395" i="1"/>
  <c r="H395" i="1"/>
  <c r="I395" i="1"/>
  <c r="J395" i="1"/>
  <c r="B396" i="1"/>
  <c r="C396" i="1"/>
  <c r="D396" i="1"/>
  <c r="E396" i="1"/>
  <c r="F396" i="1"/>
  <c r="G396" i="1"/>
  <c r="H396" i="1"/>
  <c r="I396" i="1"/>
  <c r="J396" i="1"/>
  <c r="B397" i="1"/>
  <c r="C397" i="1"/>
  <c r="D397" i="1"/>
  <c r="E397" i="1"/>
  <c r="F397" i="1"/>
  <c r="G397" i="1"/>
  <c r="H397" i="1"/>
  <c r="I397" i="1"/>
  <c r="J397" i="1"/>
  <c r="B398" i="1"/>
  <c r="C398" i="1"/>
  <c r="D398" i="1"/>
  <c r="E398" i="1"/>
  <c r="F398" i="1"/>
  <c r="G398" i="1"/>
  <c r="H398" i="1"/>
  <c r="I398" i="1"/>
  <c r="J398" i="1"/>
  <c r="B399" i="1"/>
  <c r="C399" i="1"/>
  <c r="D399" i="1"/>
  <c r="E399" i="1"/>
  <c r="F399" i="1"/>
  <c r="G399" i="1"/>
  <c r="H399" i="1"/>
  <c r="I399" i="1"/>
  <c r="J399" i="1"/>
  <c r="B400" i="1"/>
  <c r="C400" i="1"/>
  <c r="D400" i="1"/>
  <c r="E400" i="1"/>
  <c r="F400" i="1"/>
  <c r="G400" i="1"/>
  <c r="H400" i="1"/>
  <c r="I400" i="1"/>
  <c r="J400" i="1"/>
  <c r="B401" i="1"/>
  <c r="C401" i="1"/>
  <c r="D401" i="1"/>
  <c r="E401" i="1"/>
  <c r="F401" i="1"/>
  <c r="G401" i="1"/>
  <c r="H401" i="1"/>
  <c r="I401" i="1"/>
  <c r="J401" i="1"/>
  <c r="B402" i="1"/>
  <c r="C402" i="1"/>
  <c r="D402" i="1"/>
  <c r="E402" i="1"/>
  <c r="F402" i="1"/>
  <c r="G402" i="1"/>
  <c r="H402" i="1"/>
  <c r="I402" i="1"/>
  <c r="J402" i="1"/>
  <c r="B403" i="1"/>
  <c r="C403" i="1"/>
  <c r="D403" i="1"/>
  <c r="E403" i="1"/>
  <c r="F403" i="1"/>
  <c r="G403" i="1"/>
  <c r="H403" i="1"/>
  <c r="I403" i="1"/>
  <c r="J403" i="1"/>
  <c r="B404" i="1"/>
  <c r="C404" i="1"/>
  <c r="D404" i="1"/>
  <c r="E404" i="1"/>
  <c r="F404" i="1"/>
  <c r="G404" i="1"/>
  <c r="H404" i="1"/>
  <c r="I404" i="1"/>
  <c r="J404" i="1"/>
  <c r="B405" i="1"/>
  <c r="C405" i="1"/>
  <c r="D405" i="1"/>
  <c r="E405" i="1"/>
  <c r="F405" i="1"/>
  <c r="G405" i="1"/>
  <c r="H405" i="1"/>
  <c r="I405" i="1"/>
  <c r="J405" i="1"/>
  <c r="B406" i="1"/>
  <c r="C406" i="1"/>
  <c r="D406" i="1"/>
  <c r="E406" i="1"/>
  <c r="F406" i="1"/>
  <c r="G406" i="1"/>
  <c r="H406" i="1"/>
  <c r="I406" i="1"/>
  <c r="J406" i="1"/>
  <c r="B407" i="1"/>
  <c r="C407" i="1"/>
  <c r="D407" i="1"/>
  <c r="E407" i="1"/>
  <c r="F407" i="1"/>
  <c r="G407" i="1"/>
  <c r="H407" i="1"/>
  <c r="I407" i="1"/>
  <c r="J407" i="1"/>
  <c r="B408" i="1"/>
  <c r="C408" i="1"/>
  <c r="D408" i="1"/>
  <c r="E408" i="1"/>
  <c r="F408" i="1"/>
  <c r="G408" i="1"/>
  <c r="H408" i="1"/>
  <c r="I408" i="1"/>
  <c r="J408" i="1"/>
  <c r="B409" i="1"/>
  <c r="C409" i="1"/>
  <c r="D409" i="1"/>
  <c r="E409" i="1"/>
  <c r="F409" i="1"/>
  <c r="G409" i="1"/>
  <c r="H409" i="1"/>
  <c r="I409" i="1"/>
  <c r="J409" i="1"/>
  <c r="B410" i="1"/>
  <c r="C410" i="1"/>
  <c r="D410" i="1"/>
  <c r="E410" i="1"/>
  <c r="F410" i="1"/>
  <c r="G410" i="1"/>
  <c r="H410" i="1"/>
  <c r="I410" i="1"/>
  <c r="J410" i="1"/>
  <c r="B411" i="1"/>
  <c r="C411" i="1"/>
  <c r="D411" i="1"/>
  <c r="E411" i="1"/>
  <c r="F411" i="1"/>
  <c r="G411" i="1"/>
  <c r="H411" i="1"/>
  <c r="I411" i="1"/>
  <c r="J411" i="1"/>
  <c r="B412" i="1"/>
  <c r="C412" i="1"/>
  <c r="D412" i="1"/>
  <c r="E412" i="1"/>
  <c r="F412" i="1"/>
  <c r="G412" i="1"/>
  <c r="H412" i="1"/>
  <c r="I412" i="1"/>
  <c r="J412" i="1"/>
  <c r="B413" i="1"/>
  <c r="C413" i="1"/>
  <c r="D413" i="1"/>
  <c r="E413" i="1"/>
  <c r="F413" i="1"/>
  <c r="G413" i="1"/>
  <c r="H413" i="1"/>
  <c r="I413" i="1"/>
  <c r="J413" i="1"/>
  <c r="B414" i="1"/>
  <c r="C414" i="1"/>
  <c r="D414" i="1"/>
  <c r="E414" i="1"/>
  <c r="F414" i="1"/>
  <c r="G414" i="1"/>
  <c r="H414" i="1"/>
  <c r="I414" i="1"/>
  <c r="J414" i="1"/>
  <c r="B415" i="1"/>
  <c r="C415" i="1"/>
  <c r="D415" i="1"/>
  <c r="E415" i="1"/>
  <c r="F415" i="1"/>
  <c r="G415" i="1"/>
  <c r="H415" i="1"/>
  <c r="I415" i="1"/>
  <c r="J415" i="1"/>
  <c r="B416" i="1"/>
  <c r="C416" i="1"/>
  <c r="D416" i="1"/>
  <c r="E416" i="1"/>
  <c r="F416" i="1"/>
  <c r="G416" i="1"/>
  <c r="H416" i="1"/>
  <c r="I416" i="1"/>
  <c r="J416" i="1"/>
  <c r="B417" i="1"/>
  <c r="C417" i="1"/>
  <c r="D417" i="1"/>
  <c r="E417" i="1"/>
  <c r="F417" i="1"/>
  <c r="G417" i="1"/>
  <c r="H417" i="1"/>
  <c r="I417" i="1"/>
  <c r="J417" i="1"/>
  <c r="B418" i="1"/>
  <c r="C418" i="1"/>
  <c r="D418" i="1"/>
  <c r="E418" i="1"/>
  <c r="F418" i="1"/>
  <c r="G418" i="1"/>
  <c r="H418" i="1"/>
  <c r="I418" i="1"/>
  <c r="J418" i="1"/>
  <c r="B419" i="1"/>
  <c r="C419" i="1"/>
  <c r="D419" i="1"/>
  <c r="E419" i="1"/>
  <c r="F419" i="1"/>
  <c r="G419" i="1"/>
  <c r="H419" i="1"/>
  <c r="I419" i="1"/>
  <c r="J419" i="1"/>
  <c r="B420" i="1"/>
  <c r="C420" i="1"/>
  <c r="D420" i="1"/>
  <c r="E420" i="1"/>
  <c r="F420" i="1"/>
  <c r="G420" i="1"/>
  <c r="H420" i="1"/>
  <c r="I420" i="1"/>
  <c r="J420" i="1"/>
  <c r="B421" i="1"/>
  <c r="C421" i="1"/>
  <c r="D421" i="1"/>
  <c r="E421" i="1"/>
  <c r="F421" i="1"/>
  <c r="G421" i="1"/>
  <c r="H421" i="1"/>
  <c r="I421" i="1"/>
  <c r="J421" i="1"/>
  <c r="B422" i="1"/>
  <c r="C422" i="1"/>
  <c r="D422" i="1"/>
  <c r="E422" i="1"/>
  <c r="F422" i="1"/>
  <c r="G422" i="1"/>
  <c r="H422" i="1"/>
  <c r="I422" i="1"/>
  <c r="J422" i="1"/>
  <c r="B423" i="1"/>
  <c r="C423" i="1"/>
  <c r="D423" i="1"/>
  <c r="E423" i="1"/>
  <c r="F423" i="1"/>
  <c r="G423" i="1"/>
  <c r="H423" i="1"/>
  <c r="I423" i="1"/>
  <c r="J423" i="1"/>
  <c r="B424" i="1"/>
  <c r="C424" i="1"/>
  <c r="D424" i="1"/>
  <c r="E424" i="1"/>
  <c r="F424" i="1"/>
  <c r="G424" i="1"/>
  <c r="H424" i="1"/>
  <c r="I424" i="1"/>
  <c r="J424" i="1"/>
  <c r="B425" i="1"/>
  <c r="C425" i="1"/>
  <c r="D425" i="1"/>
  <c r="E425" i="1"/>
  <c r="F425" i="1"/>
  <c r="G425" i="1"/>
  <c r="H425" i="1"/>
  <c r="I425" i="1"/>
  <c r="J425" i="1"/>
  <c r="B426" i="1"/>
  <c r="C426" i="1"/>
  <c r="D426" i="1"/>
  <c r="E426" i="1"/>
  <c r="F426" i="1"/>
  <c r="G426" i="1"/>
  <c r="H426" i="1"/>
  <c r="I426" i="1"/>
  <c r="J426" i="1"/>
  <c r="B427" i="1"/>
  <c r="C427" i="1"/>
  <c r="D427" i="1"/>
  <c r="E427" i="1"/>
  <c r="F427" i="1"/>
  <c r="G427" i="1"/>
  <c r="H427" i="1"/>
  <c r="I427" i="1"/>
  <c r="J427" i="1"/>
  <c r="B428" i="1"/>
  <c r="C428" i="1"/>
  <c r="D428" i="1"/>
  <c r="E428" i="1"/>
  <c r="F428" i="1"/>
  <c r="G428" i="1"/>
  <c r="H428" i="1"/>
  <c r="I428" i="1"/>
  <c r="J428" i="1"/>
  <c r="B429" i="1"/>
  <c r="C429" i="1"/>
  <c r="D429" i="1"/>
  <c r="E429" i="1"/>
  <c r="F429" i="1"/>
  <c r="G429" i="1"/>
  <c r="H429" i="1"/>
  <c r="I429" i="1"/>
  <c r="J429" i="1"/>
  <c r="B430" i="1"/>
  <c r="C430" i="1"/>
  <c r="D430" i="1"/>
  <c r="E430" i="1"/>
  <c r="F430" i="1"/>
  <c r="G430" i="1"/>
  <c r="H430" i="1"/>
  <c r="I430" i="1"/>
  <c r="J430" i="1"/>
  <c r="B431" i="1"/>
  <c r="C431" i="1"/>
  <c r="D431" i="1"/>
  <c r="E431" i="1"/>
  <c r="F431" i="1"/>
  <c r="G431" i="1"/>
  <c r="H431" i="1"/>
  <c r="I431" i="1"/>
  <c r="J431" i="1"/>
  <c r="B432" i="1"/>
  <c r="C432" i="1"/>
  <c r="D432" i="1"/>
  <c r="E432" i="1"/>
  <c r="F432" i="1"/>
  <c r="G432" i="1"/>
  <c r="H432" i="1"/>
  <c r="I432" i="1"/>
  <c r="J432" i="1"/>
  <c r="B433" i="1"/>
  <c r="C433" i="1"/>
  <c r="D433" i="1"/>
  <c r="E433" i="1"/>
  <c r="F433" i="1"/>
  <c r="G433" i="1"/>
  <c r="H433" i="1"/>
  <c r="I433" i="1"/>
  <c r="J433" i="1"/>
  <c r="B434" i="1"/>
  <c r="C434" i="1"/>
  <c r="D434" i="1"/>
  <c r="E434" i="1"/>
  <c r="F434" i="1"/>
  <c r="G434" i="1"/>
  <c r="H434" i="1"/>
  <c r="I434" i="1"/>
  <c r="J434" i="1"/>
  <c r="B435" i="1"/>
  <c r="C435" i="1"/>
  <c r="D435" i="1"/>
  <c r="E435" i="1"/>
  <c r="F435" i="1"/>
  <c r="G435" i="1"/>
  <c r="H435" i="1"/>
  <c r="I435" i="1"/>
  <c r="J435" i="1"/>
  <c r="B436" i="1"/>
  <c r="C436" i="1"/>
  <c r="D436" i="1"/>
  <c r="E436" i="1"/>
  <c r="F436" i="1"/>
  <c r="G436" i="1"/>
  <c r="H436" i="1"/>
  <c r="I436" i="1"/>
  <c r="J436" i="1"/>
  <c r="B437" i="1"/>
  <c r="C437" i="1"/>
  <c r="D437" i="1"/>
  <c r="E437" i="1"/>
  <c r="F437" i="1"/>
  <c r="G437" i="1"/>
  <c r="H437" i="1"/>
  <c r="I437" i="1"/>
  <c r="J437" i="1"/>
  <c r="B438" i="1"/>
  <c r="C438" i="1"/>
  <c r="D438" i="1"/>
  <c r="E438" i="1"/>
  <c r="F438" i="1"/>
  <c r="G438" i="1"/>
  <c r="H438" i="1"/>
  <c r="I438" i="1"/>
  <c r="J438" i="1"/>
  <c r="B439" i="1"/>
  <c r="C439" i="1"/>
  <c r="D439" i="1"/>
  <c r="E439" i="1"/>
  <c r="F439" i="1"/>
  <c r="G439" i="1"/>
  <c r="H439" i="1"/>
  <c r="I439" i="1"/>
  <c r="J439" i="1"/>
  <c r="B440" i="1"/>
  <c r="C440" i="1"/>
  <c r="D440" i="1"/>
  <c r="E440" i="1"/>
  <c r="F440" i="1"/>
  <c r="G440" i="1"/>
  <c r="H440" i="1"/>
  <c r="I440" i="1"/>
  <c r="J440" i="1"/>
  <c r="B441" i="1"/>
  <c r="C441" i="1"/>
  <c r="D441" i="1"/>
  <c r="E441" i="1"/>
  <c r="F441" i="1"/>
  <c r="G441" i="1"/>
  <c r="H441" i="1"/>
  <c r="I441" i="1"/>
  <c r="J441" i="1"/>
  <c r="B442" i="1"/>
  <c r="C442" i="1"/>
  <c r="D442" i="1"/>
  <c r="E442" i="1"/>
  <c r="F442" i="1"/>
  <c r="G442" i="1"/>
  <c r="H442" i="1"/>
  <c r="I442" i="1"/>
  <c r="J442" i="1"/>
  <c r="B443" i="1"/>
  <c r="C443" i="1"/>
  <c r="D443" i="1"/>
  <c r="E443" i="1"/>
  <c r="F443" i="1"/>
  <c r="G443" i="1"/>
  <c r="H443" i="1"/>
  <c r="I443" i="1"/>
  <c r="J443" i="1"/>
  <c r="B444" i="1"/>
  <c r="C444" i="1"/>
  <c r="D444" i="1"/>
  <c r="E444" i="1"/>
  <c r="F444" i="1"/>
  <c r="G444" i="1"/>
  <c r="H444" i="1"/>
  <c r="I444" i="1"/>
  <c r="J444" i="1"/>
  <c r="B445" i="1"/>
  <c r="C445" i="1"/>
  <c r="D445" i="1"/>
  <c r="E445" i="1"/>
  <c r="F445" i="1"/>
  <c r="G445" i="1"/>
  <c r="H445" i="1"/>
  <c r="I445" i="1"/>
  <c r="J445" i="1"/>
  <c r="B446" i="1"/>
  <c r="C446" i="1"/>
  <c r="D446" i="1"/>
  <c r="E446" i="1"/>
  <c r="F446" i="1"/>
  <c r="G446" i="1"/>
  <c r="H446" i="1"/>
  <c r="I446" i="1"/>
  <c r="J446" i="1"/>
  <c r="B447" i="1"/>
  <c r="C447" i="1"/>
  <c r="D447" i="1"/>
  <c r="E447" i="1"/>
  <c r="F447" i="1"/>
  <c r="G447" i="1"/>
  <c r="H447" i="1"/>
  <c r="I447" i="1"/>
  <c r="J447" i="1"/>
  <c r="B448" i="1"/>
  <c r="C448" i="1"/>
  <c r="D448" i="1"/>
  <c r="E448" i="1"/>
  <c r="F448" i="1"/>
  <c r="G448" i="1"/>
  <c r="H448" i="1"/>
  <c r="I448" i="1"/>
  <c r="J448" i="1"/>
  <c r="B449" i="1"/>
  <c r="C449" i="1"/>
  <c r="D449" i="1"/>
  <c r="E449" i="1"/>
  <c r="F449" i="1"/>
  <c r="G449" i="1"/>
  <c r="H449" i="1"/>
  <c r="I449" i="1"/>
  <c r="J449" i="1"/>
  <c r="B450" i="1"/>
  <c r="C450" i="1"/>
  <c r="D450" i="1"/>
  <c r="E450" i="1"/>
  <c r="F450" i="1"/>
  <c r="G450" i="1"/>
  <c r="H450" i="1"/>
  <c r="I450" i="1"/>
  <c r="J450" i="1"/>
  <c r="B451" i="1"/>
  <c r="C451" i="1"/>
  <c r="D451" i="1"/>
  <c r="E451" i="1"/>
  <c r="F451" i="1"/>
  <c r="G451" i="1"/>
  <c r="H451" i="1"/>
  <c r="I451" i="1"/>
  <c r="J451" i="1"/>
  <c r="B452" i="1"/>
  <c r="C452" i="1"/>
  <c r="D452" i="1"/>
  <c r="E452" i="1"/>
  <c r="F452" i="1"/>
  <c r="G452" i="1"/>
  <c r="H452" i="1"/>
  <c r="I452" i="1"/>
  <c r="J452" i="1"/>
  <c r="B453" i="1"/>
  <c r="C453" i="1"/>
  <c r="D453" i="1"/>
  <c r="E453" i="1"/>
  <c r="F453" i="1"/>
  <c r="G453" i="1"/>
  <c r="H453" i="1"/>
  <c r="I453" i="1"/>
  <c r="J453" i="1"/>
  <c r="B454" i="1"/>
  <c r="C454" i="1"/>
  <c r="D454" i="1"/>
  <c r="E454" i="1"/>
  <c r="F454" i="1"/>
  <c r="G454" i="1"/>
  <c r="H454" i="1"/>
  <c r="I454" i="1"/>
  <c r="J454" i="1"/>
  <c r="B455" i="1"/>
  <c r="C455" i="1"/>
  <c r="D455" i="1"/>
  <c r="E455" i="1"/>
  <c r="F455" i="1"/>
  <c r="G455" i="1"/>
  <c r="H455" i="1"/>
  <c r="I455" i="1"/>
  <c r="J455" i="1"/>
  <c r="B456" i="1"/>
  <c r="C456" i="1"/>
  <c r="D456" i="1"/>
  <c r="E456" i="1"/>
  <c r="F456" i="1"/>
  <c r="G456" i="1"/>
  <c r="H456" i="1"/>
  <c r="I456" i="1"/>
  <c r="J456" i="1"/>
  <c r="B457" i="1"/>
  <c r="C457" i="1"/>
  <c r="D457" i="1"/>
  <c r="E457" i="1"/>
  <c r="F457" i="1"/>
  <c r="G457" i="1"/>
  <c r="H457" i="1"/>
  <c r="I457" i="1"/>
  <c r="J457" i="1"/>
  <c r="B458" i="1"/>
  <c r="C458" i="1"/>
  <c r="D458" i="1"/>
  <c r="E458" i="1"/>
  <c r="F458" i="1"/>
  <c r="G458" i="1"/>
  <c r="H458" i="1"/>
  <c r="I458" i="1"/>
  <c r="J458" i="1"/>
  <c r="B459" i="1"/>
  <c r="C459" i="1"/>
  <c r="D459" i="1"/>
  <c r="E459" i="1"/>
  <c r="F459" i="1"/>
  <c r="G459" i="1"/>
  <c r="H459" i="1"/>
  <c r="I459" i="1"/>
  <c r="J459" i="1"/>
  <c r="B460" i="1"/>
  <c r="C460" i="1"/>
  <c r="D460" i="1"/>
  <c r="E460" i="1"/>
  <c r="F460" i="1"/>
  <c r="G460" i="1"/>
  <c r="H460" i="1"/>
  <c r="I460" i="1"/>
  <c r="J460" i="1"/>
  <c r="B461" i="1"/>
  <c r="C461" i="1"/>
  <c r="D461" i="1"/>
  <c r="E461" i="1"/>
  <c r="F461" i="1"/>
  <c r="G461" i="1"/>
  <c r="H461" i="1"/>
  <c r="I461" i="1"/>
  <c r="J461" i="1"/>
  <c r="B462" i="1"/>
  <c r="C462" i="1"/>
  <c r="D462" i="1"/>
  <c r="E462" i="1"/>
  <c r="F462" i="1"/>
  <c r="G462" i="1"/>
  <c r="H462" i="1"/>
  <c r="I462" i="1"/>
  <c r="J462" i="1"/>
  <c r="B463" i="1"/>
  <c r="C463" i="1"/>
  <c r="D463" i="1"/>
  <c r="E463" i="1"/>
  <c r="F463" i="1"/>
  <c r="G463" i="1"/>
  <c r="H463" i="1"/>
  <c r="I463" i="1"/>
  <c r="J463" i="1"/>
  <c r="B464" i="1"/>
  <c r="C464" i="1"/>
  <c r="D464" i="1"/>
  <c r="E464" i="1"/>
  <c r="F464" i="1"/>
  <c r="G464" i="1"/>
  <c r="H464" i="1"/>
  <c r="I464" i="1"/>
  <c r="J464" i="1"/>
  <c r="B465" i="1"/>
  <c r="C465" i="1"/>
  <c r="D465" i="1"/>
  <c r="E465" i="1"/>
  <c r="F465" i="1"/>
  <c r="G465" i="1"/>
  <c r="H465" i="1"/>
  <c r="I465" i="1"/>
  <c r="J465" i="1"/>
  <c r="B466" i="1"/>
  <c r="C466" i="1"/>
  <c r="D466" i="1"/>
  <c r="E466" i="1"/>
  <c r="F466" i="1"/>
  <c r="G466" i="1"/>
  <c r="H466" i="1"/>
  <c r="I466" i="1"/>
  <c r="J466" i="1"/>
  <c r="B467" i="1"/>
  <c r="C467" i="1"/>
  <c r="D467" i="1"/>
  <c r="E467" i="1"/>
  <c r="F467" i="1"/>
  <c r="G467" i="1"/>
  <c r="H467" i="1"/>
  <c r="I467" i="1"/>
  <c r="J467" i="1"/>
  <c r="B468" i="1"/>
  <c r="C468" i="1"/>
  <c r="D468" i="1"/>
  <c r="E468" i="1"/>
  <c r="F468" i="1"/>
  <c r="G468" i="1"/>
  <c r="H468" i="1"/>
  <c r="I468" i="1"/>
  <c r="J468" i="1"/>
  <c r="B469" i="1"/>
  <c r="C469" i="1"/>
  <c r="D469" i="1"/>
  <c r="E469" i="1"/>
  <c r="F469" i="1"/>
  <c r="G469" i="1"/>
  <c r="H469" i="1"/>
  <c r="I469" i="1"/>
  <c r="J469" i="1"/>
  <c r="B470" i="1"/>
  <c r="C470" i="1"/>
  <c r="D470" i="1"/>
  <c r="E470" i="1"/>
  <c r="F470" i="1"/>
  <c r="G470" i="1"/>
  <c r="H470" i="1"/>
  <c r="I470" i="1"/>
  <c r="J470" i="1"/>
  <c r="B471" i="1"/>
  <c r="C471" i="1"/>
  <c r="D471" i="1"/>
  <c r="E471" i="1"/>
  <c r="F471" i="1"/>
  <c r="G471" i="1"/>
  <c r="H471" i="1"/>
  <c r="I471" i="1"/>
  <c r="J471" i="1"/>
  <c r="B472" i="1"/>
  <c r="C472" i="1"/>
  <c r="D472" i="1"/>
  <c r="E472" i="1"/>
  <c r="F472" i="1"/>
  <c r="G472" i="1"/>
  <c r="H472" i="1"/>
  <c r="I472" i="1"/>
  <c r="J472" i="1"/>
  <c r="B473" i="1"/>
  <c r="C473" i="1"/>
  <c r="D473" i="1"/>
  <c r="E473" i="1"/>
  <c r="F473" i="1"/>
  <c r="G473" i="1"/>
  <c r="H473" i="1"/>
  <c r="I473" i="1"/>
  <c r="J473" i="1"/>
  <c r="B474" i="1"/>
  <c r="C474" i="1"/>
  <c r="D474" i="1"/>
  <c r="E474" i="1"/>
  <c r="F474" i="1"/>
  <c r="G474" i="1"/>
  <c r="H474" i="1"/>
  <c r="I474" i="1"/>
  <c r="J474" i="1"/>
  <c r="B475" i="1"/>
  <c r="C475" i="1"/>
  <c r="D475" i="1"/>
  <c r="E475" i="1"/>
  <c r="F475" i="1"/>
  <c r="G475" i="1"/>
  <c r="H475" i="1"/>
  <c r="I475" i="1"/>
  <c r="J475" i="1"/>
  <c r="B476" i="1"/>
  <c r="C476" i="1"/>
  <c r="D476" i="1"/>
  <c r="E476" i="1"/>
  <c r="F476" i="1"/>
  <c r="G476" i="1"/>
  <c r="H476" i="1"/>
  <c r="I476" i="1"/>
  <c r="J476" i="1"/>
  <c r="B477" i="1"/>
  <c r="C477" i="1"/>
  <c r="D477" i="1"/>
  <c r="E477" i="1"/>
  <c r="F477" i="1"/>
  <c r="G477" i="1"/>
  <c r="H477" i="1"/>
  <c r="I477" i="1"/>
  <c r="J477" i="1"/>
  <c r="B478" i="1"/>
  <c r="C478" i="1"/>
  <c r="D478" i="1"/>
  <c r="E478" i="1"/>
  <c r="F478" i="1"/>
  <c r="G478" i="1"/>
  <c r="H478" i="1"/>
  <c r="I478" i="1"/>
  <c r="J478" i="1"/>
  <c r="B479" i="1"/>
  <c r="C479" i="1"/>
  <c r="D479" i="1"/>
  <c r="E479" i="1"/>
  <c r="F479" i="1"/>
  <c r="G479" i="1"/>
  <c r="H479" i="1"/>
  <c r="I479" i="1"/>
  <c r="J479" i="1"/>
  <c r="B480" i="1"/>
  <c r="C480" i="1"/>
  <c r="D480" i="1"/>
  <c r="E480" i="1"/>
  <c r="F480" i="1"/>
  <c r="G480" i="1"/>
  <c r="H480" i="1"/>
  <c r="I480" i="1"/>
  <c r="J480" i="1"/>
  <c r="B481" i="1"/>
  <c r="C481" i="1"/>
  <c r="D481" i="1"/>
  <c r="E481" i="1"/>
  <c r="F481" i="1"/>
  <c r="G481" i="1"/>
  <c r="H481" i="1"/>
  <c r="I481" i="1"/>
  <c r="J481" i="1"/>
  <c r="B482" i="1"/>
  <c r="C482" i="1"/>
  <c r="D482" i="1"/>
  <c r="E482" i="1"/>
  <c r="F482" i="1"/>
  <c r="G482" i="1"/>
  <c r="H482" i="1"/>
  <c r="I482" i="1"/>
  <c r="J482" i="1"/>
  <c r="B483" i="1"/>
  <c r="C483" i="1"/>
  <c r="D483" i="1"/>
  <c r="E483" i="1"/>
  <c r="F483" i="1"/>
  <c r="G483" i="1"/>
  <c r="H483" i="1"/>
  <c r="I483" i="1"/>
  <c r="J483" i="1"/>
  <c r="B484" i="1"/>
  <c r="C484" i="1"/>
  <c r="D484" i="1"/>
  <c r="E484" i="1"/>
  <c r="F484" i="1"/>
  <c r="G484" i="1"/>
  <c r="H484" i="1"/>
  <c r="I484" i="1"/>
  <c r="J484" i="1"/>
  <c r="B485" i="1"/>
  <c r="C485" i="1"/>
  <c r="D485" i="1"/>
  <c r="E485" i="1"/>
  <c r="F485" i="1"/>
  <c r="G485" i="1"/>
  <c r="H485" i="1"/>
  <c r="I485" i="1"/>
  <c r="J485" i="1"/>
  <c r="B486" i="1"/>
  <c r="C486" i="1"/>
  <c r="D486" i="1"/>
  <c r="E486" i="1"/>
  <c r="F486" i="1"/>
  <c r="G486" i="1"/>
  <c r="H486" i="1"/>
  <c r="I486" i="1"/>
  <c r="J486" i="1"/>
  <c r="B487" i="1"/>
  <c r="C487" i="1"/>
  <c r="D487" i="1"/>
  <c r="E487" i="1"/>
  <c r="F487" i="1"/>
  <c r="G487" i="1"/>
  <c r="H487" i="1"/>
  <c r="I487" i="1"/>
  <c r="J487" i="1"/>
  <c r="B488" i="1"/>
  <c r="C488" i="1"/>
  <c r="D488" i="1"/>
  <c r="E488" i="1"/>
  <c r="F488" i="1"/>
  <c r="G488" i="1"/>
  <c r="H488" i="1"/>
  <c r="I488" i="1"/>
  <c r="J488" i="1"/>
  <c r="B489" i="1"/>
  <c r="C489" i="1"/>
  <c r="D489" i="1"/>
  <c r="E489" i="1"/>
  <c r="F489" i="1"/>
  <c r="G489" i="1"/>
  <c r="H489" i="1"/>
  <c r="I489" i="1"/>
  <c r="J489" i="1"/>
  <c r="B490" i="1"/>
  <c r="C490" i="1"/>
  <c r="D490" i="1"/>
  <c r="E490" i="1"/>
  <c r="F490" i="1"/>
  <c r="G490" i="1"/>
  <c r="H490" i="1"/>
  <c r="I490" i="1"/>
  <c r="J490" i="1"/>
  <c r="B491" i="1"/>
  <c r="C491" i="1"/>
  <c r="D491" i="1"/>
  <c r="E491" i="1"/>
  <c r="F491" i="1"/>
  <c r="G491" i="1"/>
  <c r="H491" i="1"/>
  <c r="I491" i="1"/>
  <c r="J491" i="1"/>
  <c r="B492" i="1"/>
  <c r="C492" i="1"/>
  <c r="D492" i="1"/>
  <c r="E492" i="1"/>
  <c r="F492" i="1"/>
  <c r="G492" i="1"/>
  <c r="H492" i="1"/>
  <c r="I492" i="1"/>
  <c r="J492" i="1"/>
  <c r="B493" i="1"/>
  <c r="C493" i="1"/>
  <c r="D493" i="1"/>
  <c r="E493" i="1"/>
  <c r="F493" i="1"/>
  <c r="G493" i="1"/>
  <c r="H493" i="1"/>
  <c r="I493" i="1"/>
  <c r="J493" i="1"/>
  <c r="B494" i="1"/>
  <c r="C494" i="1"/>
  <c r="D494" i="1"/>
  <c r="E494" i="1"/>
  <c r="F494" i="1"/>
  <c r="G494" i="1"/>
  <c r="H494" i="1"/>
  <c r="I494" i="1"/>
  <c r="J494" i="1"/>
  <c r="B495" i="1"/>
  <c r="C495" i="1"/>
  <c r="D495" i="1"/>
  <c r="E495" i="1"/>
  <c r="F495" i="1"/>
  <c r="G495" i="1"/>
  <c r="H495" i="1"/>
  <c r="I495" i="1"/>
  <c r="J495" i="1"/>
  <c r="B496" i="1"/>
  <c r="C496" i="1"/>
  <c r="D496" i="1"/>
  <c r="E496" i="1"/>
  <c r="F496" i="1"/>
  <c r="G496" i="1"/>
  <c r="H496" i="1"/>
  <c r="I496" i="1"/>
  <c r="J496" i="1"/>
  <c r="B497" i="1"/>
  <c r="C497" i="1"/>
  <c r="D497" i="1"/>
  <c r="E497" i="1"/>
  <c r="F497" i="1"/>
  <c r="G497" i="1"/>
  <c r="H497" i="1"/>
  <c r="I497" i="1"/>
  <c r="J497" i="1"/>
  <c r="B498" i="1"/>
  <c r="C498" i="1"/>
  <c r="D498" i="1"/>
  <c r="E498" i="1"/>
  <c r="F498" i="1"/>
  <c r="G498" i="1"/>
  <c r="H498" i="1"/>
  <c r="I498" i="1"/>
  <c r="J498" i="1"/>
  <c r="B499" i="1"/>
  <c r="C499" i="1"/>
  <c r="D499" i="1"/>
  <c r="E499" i="1"/>
  <c r="F499" i="1"/>
  <c r="G499" i="1"/>
  <c r="H499" i="1"/>
  <c r="I499" i="1"/>
  <c r="J499" i="1"/>
  <c r="B500" i="1"/>
  <c r="C500" i="1"/>
  <c r="D500" i="1"/>
  <c r="E500" i="1"/>
  <c r="F500" i="1"/>
  <c r="G500" i="1"/>
  <c r="H500" i="1"/>
  <c r="I500" i="1"/>
  <c r="J500" i="1"/>
  <c r="B501" i="1"/>
  <c r="C501" i="1"/>
  <c r="D501" i="1"/>
  <c r="E501" i="1"/>
  <c r="F501" i="1"/>
  <c r="G501" i="1"/>
  <c r="H501" i="1"/>
  <c r="I501" i="1"/>
  <c r="J501" i="1"/>
  <c r="B502" i="1"/>
  <c r="C502" i="1"/>
  <c r="D502" i="1"/>
  <c r="E502" i="1"/>
  <c r="F502" i="1"/>
  <c r="G502" i="1"/>
  <c r="H502" i="1"/>
  <c r="I502" i="1"/>
  <c r="J502" i="1"/>
  <c r="B503" i="1"/>
  <c r="C503" i="1"/>
  <c r="D503" i="1"/>
  <c r="E503" i="1"/>
  <c r="F503" i="1"/>
  <c r="G503" i="1"/>
  <c r="H503" i="1"/>
  <c r="I503" i="1"/>
  <c r="J503" i="1"/>
  <c r="B504" i="1"/>
  <c r="C504" i="1"/>
  <c r="D504" i="1"/>
  <c r="E504" i="1"/>
  <c r="F504" i="1"/>
  <c r="G504" i="1"/>
  <c r="H504" i="1"/>
  <c r="I504" i="1"/>
  <c r="J504" i="1"/>
  <c r="B505" i="1"/>
  <c r="C505" i="1"/>
  <c r="D505" i="1"/>
  <c r="E505" i="1"/>
  <c r="F505" i="1"/>
  <c r="G505" i="1"/>
  <c r="H505" i="1"/>
  <c r="I505" i="1"/>
  <c r="J505" i="1"/>
  <c r="B506" i="1"/>
  <c r="C506" i="1"/>
  <c r="D506" i="1"/>
  <c r="E506" i="1"/>
  <c r="F506" i="1"/>
  <c r="G506" i="1"/>
  <c r="H506" i="1"/>
  <c r="I506" i="1"/>
  <c r="J506" i="1"/>
  <c r="B507" i="1"/>
  <c r="C507" i="1"/>
  <c r="D507" i="1"/>
  <c r="E507" i="1"/>
  <c r="F507" i="1"/>
  <c r="G507" i="1"/>
  <c r="H507" i="1"/>
  <c r="I507" i="1"/>
  <c r="J507" i="1"/>
  <c r="B508" i="1"/>
  <c r="C508" i="1"/>
  <c r="D508" i="1"/>
  <c r="E508" i="1"/>
  <c r="F508" i="1"/>
  <c r="G508" i="1"/>
  <c r="H508" i="1"/>
  <c r="I508" i="1"/>
  <c r="J508" i="1"/>
  <c r="B509" i="1"/>
  <c r="C509" i="1"/>
  <c r="D509" i="1"/>
  <c r="E509" i="1"/>
  <c r="F509" i="1"/>
  <c r="G509" i="1"/>
  <c r="H509" i="1"/>
  <c r="I509" i="1"/>
  <c r="J509" i="1"/>
  <c r="B510" i="1"/>
  <c r="C510" i="1"/>
  <c r="D510" i="1"/>
  <c r="E510" i="1"/>
  <c r="F510" i="1"/>
  <c r="G510" i="1"/>
  <c r="H510" i="1"/>
  <c r="I510" i="1"/>
  <c r="J510" i="1"/>
  <c r="B511" i="1"/>
  <c r="C511" i="1"/>
  <c r="D511" i="1"/>
  <c r="E511" i="1"/>
  <c r="F511" i="1"/>
  <c r="G511" i="1"/>
  <c r="H511" i="1"/>
  <c r="I511" i="1"/>
  <c r="J511" i="1"/>
  <c r="B512" i="1"/>
  <c r="C512" i="1"/>
  <c r="D512" i="1"/>
  <c r="E512" i="1"/>
  <c r="F512" i="1"/>
  <c r="G512" i="1"/>
  <c r="H512" i="1"/>
  <c r="I512" i="1"/>
  <c r="J512" i="1"/>
  <c r="B513" i="1"/>
  <c r="C513" i="1"/>
  <c r="D513" i="1"/>
  <c r="E513" i="1"/>
  <c r="F513" i="1"/>
  <c r="G513" i="1"/>
  <c r="H513" i="1"/>
  <c r="I513" i="1"/>
  <c r="J513" i="1"/>
  <c r="B514" i="1"/>
  <c r="C514" i="1"/>
  <c r="D514" i="1"/>
  <c r="E514" i="1"/>
  <c r="F514" i="1"/>
  <c r="G514" i="1"/>
  <c r="H514" i="1"/>
  <c r="I514" i="1"/>
  <c r="J514" i="1"/>
  <c r="B515" i="1"/>
  <c r="C515" i="1"/>
  <c r="D515" i="1"/>
  <c r="E515" i="1"/>
  <c r="F515" i="1"/>
  <c r="G515" i="1"/>
  <c r="H515" i="1"/>
  <c r="I515" i="1"/>
  <c r="J515" i="1"/>
  <c r="B516" i="1"/>
  <c r="C516" i="1"/>
  <c r="D516" i="1"/>
  <c r="E516" i="1"/>
  <c r="F516" i="1"/>
  <c r="G516" i="1"/>
  <c r="H516" i="1"/>
  <c r="I516" i="1"/>
  <c r="J516" i="1"/>
  <c r="B517" i="1"/>
  <c r="C517" i="1"/>
  <c r="D517" i="1"/>
  <c r="E517" i="1"/>
  <c r="F517" i="1"/>
  <c r="G517" i="1"/>
  <c r="H517" i="1"/>
  <c r="I517" i="1"/>
  <c r="J517" i="1"/>
  <c r="B518" i="1"/>
  <c r="C518" i="1"/>
  <c r="D518" i="1"/>
  <c r="E518" i="1"/>
  <c r="F518" i="1"/>
  <c r="G518" i="1"/>
  <c r="H518" i="1"/>
  <c r="I518" i="1"/>
  <c r="J518" i="1"/>
  <c r="B519" i="1"/>
  <c r="C519" i="1"/>
  <c r="D519" i="1"/>
  <c r="E519" i="1"/>
  <c r="F519" i="1"/>
  <c r="G519" i="1"/>
  <c r="H519" i="1"/>
  <c r="I519" i="1"/>
  <c r="J519" i="1"/>
  <c r="B520" i="1"/>
  <c r="C520" i="1"/>
  <c r="D520" i="1"/>
  <c r="E520" i="1"/>
  <c r="F520" i="1"/>
  <c r="G520" i="1"/>
  <c r="H520" i="1"/>
  <c r="I520" i="1"/>
  <c r="J520" i="1"/>
  <c r="B521" i="1"/>
  <c r="C521" i="1"/>
  <c r="D521" i="1"/>
  <c r="E521" i="1"/>
  <c r="F521" i="1"/>
  <c r="G521" i="1"/>
  <c r="H521" i="1"/>
  <c r="I521" i="1"/>
  <c r="J521" i="1"/>
  <c r="B522" i="1"/>
  <c r="C522" i="1"/>
  <c r="D522" i="1"/>
  <c r="E522" i="1"/>
  <c r="F522" i="1"/>
  <c r="G522" i="1"/>
  <c r="H522" i="1"/>
  <c r="I522" i="1"/>
  <c r="J522" i="1"/>
  <c r="B523" i="1"/>
  <c r="C523" i="1"/>
  <c r="D523" i="1"/>
  <c r="E523" i="1"/>
  <c r="F523" i="1"/>
  <c r="G523" i="1"/>
  <c r="H523" i="1"/>
  <c r="I523" i="1"/>
  <c r="J523" i="1"/>
  <c r="B524" i="1"/>
  <c r="C524" i="1"/>
  <c r="D524" i="1"/>
  <c r="E524" i="1"/>
  <c r="F524" i="1"/>
  <c r="G524" i="1"/>
  <c r="H524" i="1"/>
  <c r="I524" i="1"/>
  <c r="J524" i="1"/>
  <c r="B525" i="1"/>
  <c r="C525" i="1"/>
  <c r="D525" i="1"/>
  <c r="E525" i="1"/>
  <c r="F525" i="1"/>
  <c r="G525" i="1"/>
  <c r="H525" i="1"/>
  <c r="I525" i="1"/>
  <c r="J525" i="1"/>
  <c r="B526" i="1"/>
  <c r="C526" i="1"/>
  <c r="D526" i="1"/>
  <c r="E526" i="1"/>
  <c r="F526" i="1"/>
  <c r="G526" i="1"/>
  <c r="H526" i="1"/>
  <c r="I526" i="1"/>
  <c r="J526" i="1"/>
  <c r="B527" i="1"/>
  <c r="C527" i="1"/>
  <c r="D527" i="1"/>
  <c r="E527" i="1"/>
  <c r="F527" i="1"/>
  <c r="G527" i="1"/>
  <c r="H527" i="1"/>
  <c r="I527" i="1"/>
  <c r="J527" i="1"/>
  <c r="B528" i="1"/>
  <c r="C528" i="1"/>
  <c r="D528" i="1"/>
  <c r="E528" i="1"/>
  <c r="F528" i="1"/>
  <c r="G528" i="1"/>
  <c r="H528" i="1"/>
  <c r="I528" i="1"/>
  <c r="J528" i="1"/>
  <c r="B529" i="1"/>
  <c r="C529" i="1"/>
  <c r="D529" i="1"/>
  <c r="E529" i="1"/>
  <c r="F529" i="1"/>
  <c r="G529" i="1"/>
  <c r="H529" i="1"/>
  <c r="I529" i="1"/>
  <c r="J529" i="1"/>
  <c r="B530" i="1"/>
  <c r="C530" i="1"/>
  <c r="D530" i="1"/>
  <c r="E530" i="1"/>
  <c r="F530" i="1"/>
  <c r="G530" i="1"/>
  <c r="H530" i="1"/>
  <c r="I530" i="1"/>
  <c r="J530" i="1"/>
  <c r="B531" i="1"/>
  <c r="C531" i="1"/>
  <c r="D531" i="1"/>
  <c r="E531" i="1"/>
  <c r="F531" i="1"/>
  <c r="G531" i="1"/>
  <c r="H531" i="1"/>
  <c r="I531" i="1"/>
  <c r="J531" i="1"/>
  <c r="B532" i="1"/>
  <c r="C532" i="1"/>
  <c r="D532" i="1"/>
  <c r="E532" i="1"/>
  <c r="F532" i="1"/>
  <c r="G532" i="1"/>
  <c r="H532" i="1"/>
  <c r="I532" i="1"/>
  <c r="J532" i="1"/>
  <c r="B533" i="1"/>
  <c r="C533" i="1"/>
  <c r="D533" i="1"/>
  <c r="E533" i="1"/>
  <c r="F533" i="1"/>
  <c r="G533" i="1"/>
  <c r="H533" i="1"/>
  <c r="I533" i="1"/>
  <c r="J533" i="1"/>
  <c r="B534" i="1"/>
  <c r="C534" i="1"/>
  <c r="D534" i="1"/>
  <c r="E534" i="1"/>
  <c r="F534" i="1"/>
  <c r="G534" i="1"/>
  <c r="H534" i="1"/>
  <c r="I534" i="1"/>
  <c r="J534" i="1"/>
  <c r="B535" i="1"/>
  <c r="C535" i="1"/>
  <c r="D535" i="1"/>
  <c r="E535" i="1"/>
  <c r="F535" i="1"/>
  <c r="G535" i="1"/>
  <c r="H535" i="1"/>
  <c r="I535" i="1"/>
  <c r="J535" i="1"/>
  <c r="B536" i="1"/>
  <c r="C536" i="1"/>
  <c r="D536" i="1"/>
  <c r="E536" i="1"/>
  <c r="F536" i="1"/>
  <c r="G536" i="1"/>
  <c r="H536" i="1"/>
  <c r="I536" i="1"/>
  <c r="J536" i="1"/>
  <c r="B537" i="1"/>
  <c r="C537" i="1"/>
  <c r="D537" i="1"/>
  <c r="E537" i="1"/>
  <c r="F537" i="1"/>
  <c r="G537" i="1"/>
  <c r="H537" i="1"/>
  <c r="I537" i="1"/>
  <c r="J537" i="1"/>
  <c r="B538" i="1"/>
  <c r="C538" i="1"/>
  <c r="D538" i="1"/>
  <c r="E538" i="1"/>
  <c r="F538" i="1"/>
  <c r="G538" i="1"/>
  <c r="H538" i="1"/>
  <c r="I538" i="1"/>
  <c r="J538" i="1"/>
  <c r="B539" i="1"/>
  <c r="C539" i="1"/>
  <c r="D539" i="1"/>
  <c r="E539" i="1"/>
  <c r="F539" i="1"/>
  <c r="G539" i="1"/>
  <c r="H539" i="1"/>
  <c r="I539" i="1"/>
  <c r="J539" i="1"/>
  <c r="B540" i="1"/>
  <c r="C540" i="1"/>
  <c r="D540" i="1"/>
  <c r="E540" i="1"/>
  <c r="F540" i="1"/>
  <c r="G540" i="1"/>
  <c r="H540" i="1"/>
  <c r="I540" i="1"/>
  <c r="J540" i="1"/>
  <c r="B541" i="1"/>
  <c r="C541" i="1"/>
  <c r="D541" i="1"/>
  <c r="E541" i="1"/>
  <c r="F541" i="1"/>
  <c r="G541" i="1"/>
  <c r="H541" i="1"/>
  <c r="I541" i="1"/>
  <c r="J541" i="1"/>
  <c r="B542" i="1"/>
  <c r="C542" i="1"/>
  <c r="D542" i="1"/>
  <c r="E542" i="1"/>
  <c r="F542" i="1"/>
  <c r="G542" i="1"/>
  <c r="H542" i="1"/>
  <c r="I542" i="1"/>
  <c r="J542" i="1"/>
  <c r="B543" i="1"/>
  <c r="C543" i="1"/>
  <c r="D543" i="1"/>
  <c r="E543" i="1"/>
  <c r="F543" i="1"/>
  <c r="G543" i="1"/>
  <c r="H543" i="1"/>
  <c r="I543" i="1"/>
  <c r="J543" i="1"/>
  <c r="B544" i="1"/>
  <c r="C544" i="1"/>
  <c r="D544" i="1"/>
  <c r="E544" i="1"/>
  <c r="F544" i="1"/>
  <c r="G544" i="1"/>
  <c r="H544" i="1"/>
  <c r="I544" i="1"/>
  <c r="J544" i="1"/>
  <c r="B545" i="1"/>
  <c r="C545" i="1"/>
  <c r="D545" i="1"/>
  <c r="E545" i="1"/>
  <c r="F545" i="1"/>
  <c r="G545" i="1"/>
  <c r="H545" i="1"/>
  <c r="I545" i="1"/>
  <c r="J545" i="1"/>
  <c r="B546" i="1"/>
  <c r="C546" i="1"/>
  <c r="D546" i="1"/>
  <c r="E546" i="1"/>
  <c r="F546" i="1"/>
  <c r="G546" i="1"/>
  <c r="H546" i="1"/>
  <c r="I546" i="1"/>
  <c r="J546" i="1"/>
  <c r="B547" i="1"/>
  <c r="C547" i="1"/>
  <c r="D547" i="1"/>
  <c r="E547" i="1"/>
  <c r="F547" i="1"/>
  <c r="G547" i="1"/>
  <c r="H547" i="1"/>
  <c r="I547" i="1"/>
  <c r="J547" i="1"/>
  <c r="B548" i="1"/>
  <c r="C548" i="1"/>
  <c r="D548" i="1"/>
  <c r="E548" i="1"/>
  <c r="F548" i="1"/>
  <c r="G548" i="1"/>
  <c r="H548" i="1"/>
  <c r="I548" i="1"/>
  <c r="J548" i="1"/>
  <c r="B549" i="1"/>
  <c r="C549" i="1"/>
  <c r="D549" i="1"/>
  <c r="E549" i="1"/>
  <c r="F549" i="1"/>
  <c r="G549" i="1"/>
  <c r="H549" i="1"/>
  <c r="I549" i="1"/>
  <c r="J549" i="1"/>
  <c r="B550" i="1"/>
  <c r="C550" i="1"/>
  <c r="D550" i="1"/>
  <c r="E550" i="1"/>
  <c r="F550" i="1"/>
  <c r="G550" i="1"/>
  <c r="H550" i="1"/>
  <c r="I550" i="1"/>
  <c r="J550" i="1"/>
  <c r="B551" i="1"/>
  <c r="C551" i="1"/>
  <c r="D551" i="1"/>
  <c r="E551" i="1"/>
  <c r="F551" i="1"/>
  <c r="G551" i="1"/>
  <c r="H551" i="1"/>
  <c r="I551" i="1"/>
  <c r="J551" i="1"/>
  <c r="B552" i="1"/>
  <c r="C552" i="1"/>
  <c r="D552" i="1"/>
  <c r="E552" i="1"/>
  <c r="F552" i="1"/>
  <c r="G552" i="1"/>
  <c r="H552" i="1"/>
  <c r="I552" i="1"/>
  <c r="J552" i="1"/>
  <c r="B553" i="1"/>
  <c r="C553" i="1"/>
  <c r="D553" i="1"/>
  <c r="E553" i="1"/>
  <c r="F553" i="1"/>
  <c r="G553" i="1"/>
  <c r="H553" i="1"/>
  <c r="I553" i="1"/>
  <c r="J553" i="1"/>
  <c r="B554" i="1"/>
  <c r="C554" i="1"/>
  <c r="D554" i="1"/>
  <c r="E554" i="1"/>
  <c r="F554" i="1"/>
  <c r="G554" i="1"/>
  <c r="H554" i="1"/>
  <c r="I554" i="1"/>
  <c r="J554" i="1"/>
  <c r="B555" i="1"/>
  <c r="C555" i="1"/>
  <c r="D555" i="1"/>
  <c r="E555" i="1"/>
  <c r="F555" i="1"/>
  <c r="G555" i="1"/>
  <c r="H555" i="1"/>
  <c r="I555" i="1"/>
  <c r="J555" i="1"/>
  <c r="B556" i="1"/>
  <c r="C556" i="1"/>
  <c r="D556" i="1"/>
  <c r="E556" i="1"/>
  <c r="F556" i="1"/>
  <c r="G556" i="1"/>
  <c r="H556" i="1"/>
  <c r="I556" i="1"/>
  <c r="J556" i="1"/>
  <c r="B557" i="1"/>
  <c r="C557" i="1"/>
  <c r="D557" i="1"/>
  <c r="E557" i="1"/>
  <c r="F557" i="1"/>
  <c r="G557" i="1"/>
  <c r="H557" i="1"/>
  <c r="I557" i="1"/>
  <c r="J557" i="1"/>
  <c r="B558" i="1"/>
  <c r="C558" i="1"/>
  <c r="D558" i="1"/>
  <c r="E558" i="1"/>
  <c r="F558" i="1"/>
  <c r="G558" i="1"/>
  <c r="H558" i="1"/>
  <c r="I558" i="1"/>
  <c r="J558" i="1"/>
  <c r="B559" i="1"/>
  <c r="C559" i="1"/>
  <c r="D559" i="1"/>
  <c r="E559" i="1"/>
  <c r="F559" i="1"/>
  <c r="G559" i="1"/>
  <c r="H559" i="1"/>
  <c r="I559" i="1"/>
  <c r="J559" i="1"/>
  <c r="B560" i="1"/>
  <c r="C560" i="1"/>
  <c r="D560" i="1"/>
  <c r="E560" i="1"/>
  <c r="F560" i="1"/>
  <c r="G560" i="1"/>
  <c r="H560" i="1"/>
  <c r="I560" i="1"/>
  <c r="J560" i="1"/>
  <c r="B561" i="1"/>
  <c r="C561" i="1"/>
  <c r="D561" i="1"/>
  <c r="E561" i="1"/>
  <c r="F561" i="1"/>
  <c r="G561" i="1"/>
  <c r="H561" i="1"/>
  <c r="I561" i="1"/>
  <c r="J561" i="1"/>
  <c r="B562" i="1"/>
  <c r="C562" i="1"/>
  <c r="D562" i="1"/>
  <c r="E562" i="1"/>
  <c r="F562" i="1"/>
  <c r="G562" i="1"/>
  <c r="H562" i="1"/>
  <c r="I562" i="1"/>
  <c r="J562" i="1"/>
  <c r="B563" i="1"/>
  <c r="C563" i="1"/>
  <c r="D563" i="1"/>
  <c r="E563" i="1"/>
  <c r="F563" i="1"/>
  <c r="G563" i="1"/>
  <c r="H563" i="1"/>
  <c r="I563" i="1"/>
  <c r="J563" i="1"/>
  <c r="B564" i="1"/>
  <c r="C564" i="1"/>
  <c r="D564" i="1"/>
  <c r="E564" i="1"/>
  <c r="F564" i="1"/>
  <c r="G564" i="1"/>
  <c r="H564" i="1"/>
  <c r="I564" i="1"/>
  <c r="J564" i="1"/>
  <c r="B565" i="1"/>
  <c r="C565" i="1"/>
  <c r="D565" i="1"/>
  <c r="E565" i="1"/>
  <c r="F565" i="1"/>
  <c r="G565" i="1"/>
  <c r="H565" i="1"/>
  <c r="I565" i="1"/>
  <c r="J565" i="1"/>
  <c r="B566" i="1"/>
  <c r="C566" i="1"/>
  <c r="D566" i="1"/>
  <c r="E566" i="1"/>
  <c r="F566" i="1"/>
  <c r="G566" i="1"/>
  <c r="H566" i="1"/>
  <c r="I566" i="1"/>
  <c r="J566" i="1"/>
  <c r="B567" i="1"/>
  <c r="C567" i="1"/>
  <c r="D567" i="1"/>
  <c r="E567" i="1"/>
  <c r="F567" i="1"/>
  <c r="G567" i="1"/>
  <c r="H567" i="1"/>
  <c r="I567" i="1"/>
  <c r="J567" i="1"/>
  <c r="B568" i="1"/>
  <c r="C568" i="1"/>
  <c r="D568" i="1"/>
  <c r="E568" i="1"/>
  <c r="F568" i="1"/>
  <c r="G568" i="1"/>
  <c r="H568" i="1"/>
  <c r="I568" i="1"/>
  <c r="J568" i="1"/>
  <c r="B569" i="1"/>
  <c r="C569" i="1"/>
  <c r="D569" i="1"/>
  <c r="E569" i="1"/>
  <c r="F569" i="1"/>
  <c r="G569" i="1"/>
  <c r="H569" i="1"/>
  <c r="I569" i="1"/>
  <c r="J569" i="1"/>
  <c r="B570" i="1"/>
  <c r="C570" i="1"/>
  <c r="D570" i="1"/>
  <c r="E570" i="1"/>
  <c r="F570" i="1"/>
  <c r="G570" i="1"/>
  <c r="H570" i="1"/>
  <c r="I570" i="1"/>
  <c r="J570" i="1"/>
  <c r="B571" i="1"/>
  <c r="C571" i="1"/>
  <c r="D571" i="1"/>
  <c r="E571" i="1"/>
  <c r="F571" i="1"/>
  <c r="G571" i="1"/>
  <c r="H571" i="1"/>
  <c r="I571" i="1"/>
  <c r="J571" i="1"/>
  <c r="B572" i="1"/>
  <c r="C572" i="1"/>
  <c r="D572" i="1"/>
  <c r="E572" i="1"/>
  <c r="F572" i="1"/>
  <c r="G572" i="1"/>
  <c r="H572" i="1"/>
  <c r="I572" i="1"/>
  <c r="J572" i="1"/>
  <c r="B573" i="1"/>
  <c r="C573" i="1"/>
  <c r="D573" i="1"/>
  <c r="E573" i="1"/>
  <c r="F573" i="1"/>
  <c r="G573" i="1"/>
  <c r="H573" i="1"/>
  <c r="I573" i="1"/>
  <c r="J573" i="1"/>
  <c r="B574" i="1"/>
  <c r="C574" i="1"/>
  <c r="D574" i="1"/>
  <c r="E574" i="1"/>
  <c r="F574" i="1"/>
  <c r="G574" i="1"/>
  <c r="H574" i="1"/>
  <c r="I574" i="1"/>
  <c r="J574" i="1"/>
  <c r="B575" i="1"/>
  <c r="C575" i="1"/>
  <c r="D575" i="1"/>
  <c r="E575" i="1"/>
  <c r="F575" i="1"/>
  <c r="G575" i="1"/>
  <c r="H575" i="1"/>
  <c r="I575" i="1"/>
  <c r="J575" i="1"/>
  <c r="B576" i="1"/>
  <c r="C576" i="1"/>
  <c r="D576" i="1"/>
  <c r="E576" i="1"/>
  <c r="F576" i="1"/>
  <c r="G576" i="1"/>
  <c r="H576" i="1"/>
  <c r="I576" i="1"/>
  <c r="J576" i="1"/>
  <c r="B577" i="1"/>
  <c r="C577" i="1"/>
  <c r="D577" i="1"/>
  <c r="E577" i="1"/>
  <c r="F577" i="1"/>
  <c r="G577" i="1"/>
  <c r="H577" i="1"/>
  <c r="I577" i="1"/>
  <c r="J577" i="1"/>
  <c r="B578" i="1"/>
  <c r="C578" i="1"/>
  <c r="D578" i="1"/>
  <c r="E578" i="1"/>
  <c r="F578" i="1"/>
  <c r="G578" i="1"/>
  <c r="H578" i="1"/>
  <c r="I578" i="1"/>
  <c r="J578" i="1"/>
  <c r="B579" i="1"/>
  <c r="C579" i="1"/>
  <c r="D579" i="1"/>
  <c r="E579" i="1"/>
  <c r="F579" i="1"/>
  <c r="G579" i="1"/>
  <c r="H579" i="1"/>
  <c r="I579" i="1"/>
  <c r="J579" i="1"/>
  <c r="B580" i="1"/>
  <c r="C580" i="1"/>
  <c r="D580" i="1"/>
  <c r="E580" i="1"/>
  <c r="F580" i="1"/>
  <c r="G580" i="1"/>
  <c r="H580" i="1"/>
  <c r="I580" i="1"/>
  <c r="J580" i="1"/>
  <c r="B581" i="1"/>
  <c r="C581" i="1"/>
  <c r="D581" i="1"/>
  <c r="E581" i="1"/>
  <c r="F581" i="1"/>
  <c r="G581" i="1"/>
  <c r="H581" i="1"/>
  <c r="I581" i="1"/>
  <c r="J581" i="1"/>
  <c r="B582" i="1"/>
  <c r="C582" i="1"/>
  <c r="D582" i="1"/>
  <c r="E582" i="1"/>
  <c r="F582" i="1"/>
  <c r="G582" i="1"/>
  <c r="H582" i="1"/>
  <c r="I582" i="1"/>
  <c r="J582" i="1"/>
  <c r="B583" i="1"/>
  <c r="C583" i="1"/>
  <c r="D583" i="1"/>
  <c r="E583" i="1"/>
  <c r="F583" i="1"/>
  <c r="G583" i="1"/>
  <c r="H583" i="1"/>
  <c r="I583" i="1"/>
  <c r="J583" i="1"/>
  <c r="B584" i="1"/>
  <c r="C584" i="1"/>
  <c r="D584" i="1"/>
  <c r="E584" i="1"/>
  <c r="F584" i="1"/>
  <c r="G584" i="1"/>
  <c r="H584" i="1"/>
  <c r="I584" i="1"/>
  <c r="J584" i="1"/>
  <c r="B585" i="1"/>
  <c r="C585" i="1"/>
  <c r="D585" i="1"/>
  <c r="E585" i="1"/>
  <c r="F585" i="1"/>
  <c r="G585" i="1"/>
  <c r="H585" i="1"/>
  <c r="I585" i="1"/>
  <c r="J585" i="1"/>
  <c r="B586" i="1"/>
  <c r="C586" i="1"/>
  <c r="D586" i="1"/>
  <c r="E586" i="1"/>
  <c r="F586" i="1"/>
  <c r="G586" i="1"/>
  <c r="H586" i="1"/>
  <c r="I586" i="1"/>
  <c r="J586" i="1"/>
  <c r="B587" i="1"/>
  <c r="C587" i="1"/>
  <c r="D587" i="1"/>
  <c r="E587" i="1"/>
  <c r="F587" i="1"/>
  <c r="G587" i="1"/>
  <c r="H587" i="1"/>
  <c r="I587" i="1"/>
  <c r="J587" i="1"/>
  <c r="B588" i="1"/>
  <c r="C588" i="1"/>
  <c r="D588" i="1"/>
  <c r="E588" i="1"/>
  <c r="F588" i="1"/>
  <c r="G588" i="1"/>
  <c r="H588" i="1"/>
  <c r="I588" i="1"/>
  <c r="J588" i="1"/>
  <c r="B589" i="1"/>
  <c r="C589" i="1"/>
  <c r="D589" i="1"/>
  <c r="E589" i="1"/>
  <c r="F589" i="1"/>
  <c r="G589" i="1"/>
  <c r="H589" i="1"/>
  <c r="I589" i="1"/>
  <c r="J589" i="1"/>
  <c r="B590" i="1"/>
  <c r="C590" i="1"/>
  <c r="D590" i="1"/>
  <c r="E590" i="1"/>
  <c r="F590" i="1"/>
  <c r="G590" i="1"/>
  <c r="H590" i="1"/>
  <c r="I590" i="1"/>
  <c r="J590" i="1"/>
  <c r="B591" i="1"/>
  <c r="C591" i="1"/>
  <c r="D591" i="1"/>
  <c r="E591" i="1"/>
  <c r="F591" i="1"/>
  <c r="G591" i="1"/>
  <c r="H591" i="1"/>
  <c r="I591" i="1"/>
  <c r="J591" i="1"/>
  <c r="B592" i="1"/>
  <c r="C592" i="1"/>
  <c r="D592" i="1"/>
  <c r="E592" i="1"/>
  <c r="F592" i="1"/>
  <c r="G592" i="1"/>
  <c r="H592" i="1"/>
  <c r="I592" i="1"/>
  <c r="J592" i="1"/>
  <c r="B593" i="1"/>
  <c r="C593" i="1"/>
  <c r="D593" i="1"/>
  <c r="E593" i="1"/>
  <c r="F593" i="1"/>
  <c r="G593" i="1"/>
  <c r="H593" i="1"/>
  <c r="I593" i="1"/>
  <c r="J593" i="1"/>
  <c r="B594" i="1"/>
  <c r="C594" i="1"/>
  <c r="D594" i="1"/>
  <c r="E594" i="1"/>
  <c r="F594" i="1"/>
  <c r="G594" i="1"/>
  <c r="H594" i="1"/>
  <c r="I594" i="1"/>
  <c r="J594" i="1"/>
  <c r="B595" i="1"/>
  <c r="C595" i="1"/>
  <c r="D595" i="1"/>
  <c r="E595" i="1"/>
  <c r="F595" i="1"/>
  <c r="G595" i="1"/>
  <c r="H595" i="1"/>
  <c r="I595" i="1"/>
  <c r="J595" i="1"/>
  <c r="B596" i="1"/>
  <c r="C596" i="1"/>
  <c r="D596" i="1"/>
  <c r="E596" i="1"/>
  <c r="F596" i="1"/>
  <c r="G596" i="1"/>
  <c r="H596" i="1"/>
  <c r="I596" i="1"/>
  <c r="J596" i="1"/>
  <c r="B597" i="1"/>
  <c r="C597" i="1"/>
  <c r="D597" i="1"/>
  <c r="E597" i="1"/>
  <c r="F597" i="1"/>
  <c r="G597" i="1"/>
  <c r="H597" i="1"/>
  <c r="I597" i="1"/>
  <c r="J597" i="1"/>
  <c r="B598" i="1"/>
  <c r="C598" i="1"/>
  <c r="D598" i="1"/>
  <c r="E598" i="1"/>
  <c r="F598" i="1"/>
  <c r="G598" i="1"/>
  <c r="H598" i="1"/>
  <c r="I598" i="1"/>
  <c r="J598" i="1"/>
  <c r="B599" i="1"/>
  <c r="C599" i="1"/>
  <c r="D599" i="1"/>
  <c r="E599" i="1"/>
  <c r="F599" i="1"/>
  <c r="G599" i="1"/>
  <c r="H599" i="1"/>
  <c r="I599" i="1"/>
  <c r="J599" i="1"/>
  <c r="B600" i="1"/>
  <c r="C600" i="1"/>
  <c r="D600" i="1"/>
  <c r="E600" i="1"/>
  <c r="F600" i="1"/>
  <c r="G600" i="1"/>
  <c r="H600" i="1"/>
  <c r="I600" i="1"/>
  <c r="J600" i="1"/>
  <c r="B601" i="1"/>
  <c r="C601" i="1"/>
  <c r="D601" i="1"/>
  <c r="E601" i="1"/>
  <c r="F601" i="1"/>
  <c r="G601" i="1"/>
  <c r="H601" i="1"/>
  <c r="I601" i="1"/>
  <c r="J601" i="1"/>
  <c r="B602" i="1"/>
  <c r="C602" i="1"/>
  <c r="D602" i="1"/>
  <c r="E602" i="1"/>
  <c r="F602" i="1"/>
  <c r="G602" i="1"/>
  <c r="H602" i="1"/>
  <c r="I602" i="1"/>
  <c r="J602" i="1"/>
  <c r="B603" i="1"/>
  <c r="C603" i="1"/>
  <c r="D603" i="1"/>
  <c r="E603" i="1"/>
  <c r="F603" i="1"/>
  <c r="G603" i="1"/>
  <c r="H603" i="1"/>
  <c r="I603" i="1"/>
  <c r="J603" i="1"/>
  <c r="B604" i="1"/>
  <c r="C604" i="1"/>
  <c r="D604" i="1"/>
  <c r="E604" i="1"/>
  <c r="F604" i="1"/>
  <c r="G604" i="1"/>
  <c r="H604" i="1"/>
  <c r="I604" i="1"/>
  <c r="J604" i="1"/>
  <c r="B605" i="1"/>
  <c r="C605" i="1"/>
  <c r="D605" i="1"/>
  <c r="E605" i="1"/>
  <c r="F605" i="1"/>
  <c r="G605" i="1"/>
  <c r="H605" i="1"/>
  <c r="I605" i="1"/>
  <c r="J605" i="1"/>
  <c r="B606" i="1"/>
  <c r="C606" i="1"/>
  <c r="D606" i="1"/>
  <c r="E606" i="1"/>
  <c r="F606" i="1"/>
  <c r="G606" i="1"/>
  <c r="H606" i="1"/>
  <c r="I606" i="1"/>
  <c r="J606" i="1"/>
  <c r="B607" i="1"/>
  <c r="C607" i="1"/>
  <c r="D607" i="1"/>
  <c r="E607" i="1"/>
  <c r="F607" i="1"/>
  <c r="G607" i="1"/>
  <c r="H607" i="1"/>
  <c r="I607" i="1"/>
  <c r="J607" i="1"/>
  <c r="B608" i="1"/>
  <c r="C608" i="1"/>
  <c r="D608" i="1"/>
  <c r="E608" i="1"/>
  <c r="F608" i="1"/>
  <c r="G608" i="1"/>
  <c r="H608" i="1"/>
  <c r="I608" i="1"/>
  <c r="J608" i="1"/>
  <c r="B609" i="1"/>
  <c r="C609" i="1"/>
  <c r="D609" i="1"/>
  <c r="E609" i="1"/>
  <c r="F609" i="1"/>
  <c r="G609" i="1"/>
  <c r="H609" i="1"/>
  <c r="I609" i="1"/>
  <c r="J609" i="1"/>
  <c r="B610" i="1"/>
  <c r="C610" i="1"/>
  <c r="D610" i="1"/>
  <c r="E610" i="1"/>
  <c r="F610" i="1"/>
  <c r="G610" i="1"/>
  <c r="H610" i="1"/>
  <c r="I610" i="1"/>
  <c r="J610" i="1"/>
  <c r="B611" i="1"/>
  <c r="C611" i="1"/>
  <c r="D611" i="1"/>
  <c r="E611" i="1"/>
  <c r="F611" i="1"/>
  <c r="G611" i="1"/>
  <c r="H611" i="1"/>
  <c r="I611" i="1"/>
  <c r="J611" i="1"/>
  <c r="B612" i="1"/>
  <c r="C612" i="1"/>
  <c r="D612" i="1"/>
  <c r="E612" i="1"/>
  <c r="F612" i="1"/>
  <c r="G612" i="1"/>
  <c r="H612" i="1"/>
  <c r="I612" i="1"/>
  <c r="J612" i="1"/>
  <c r="B613" i="1"/>
  <c r="C613" i="1"/>
  <c r="D613" i="1"/>
  <c r="E613" i="1"/>
  <c r="F613" i="1"/>
  <c r="G613" i="1"/>
  <c r="H613" i="1"/>
  <c r="I613" i="1"/>
  <c r="J613" i="1"/>
  <c r="B614" i="1"/>
  <c r="C614" i="1"/>
  <c r="D614" i="1"/>
  <c r="E614" i="1"/>
  <c r="F614" i="1"/>
  <c r="G614" i="1"/>
  <c r="H614" i="1"/>
  <c r="I614" i="1"/>
  <c r="J614" i="1"/>
  <c r="B615" i="1"/>
  <c r="C615" i="1"/>
  <c r="D615" i="1"/>
  <c r="E615" i="1"/>
  <c r="F615" i="1"/>
  <c r="G615" i="1"/>
  <c r="H615" i="1"/>
  <c r="I615" i="1"/>
  <c r="J615" i="1"/>
  <c r="B616" i="1"/>
  <c r="C616" i="1"/>
  <c r="D616" i="1"/>
  <c r="E616" i="1"/>
  <c r="F616" i="1"/>
  <c r="G616" i="1"/>
  <c r="H616" i="1"/>
  <c r="I616" i="1"/>
  <c r="J616" i="1"/>
  <c r="B617" i="1"/>
  <c r="C617" i="1"/>
  <c r="D617" i="1"/>
  <c r="E617" i="1"/>
  <c r="F617" i="1"/>
  <c r="G617" i="1"/>
  <c r="H617" i="1"/>
  <c r="I617" i="1"/>
  <c r="J617" i="1"/>
  <c r="B618" i="1"/>
  <c r="C618" i="1"/>
  <c r="D618" i="1"/>
  <c r="E618" i="1"/>
  <c r="F618" i="1"/>
  <c r="G618" i="1"/>
  <c r="H618" i="1"/>
  <c r="I618" i="1"/>
  <c r="J618" i="1"/>
  <c r="B619" i="1"/>
  <c r="C619" i="1"/>
  <c r="D619" i="1"/>
  <c r="E619" i="1"/>
  <c r="F619" i="1"/>
  <c r="G619" i="1"/>
  <c r="H619" i="1"/>
  <c r="I619" i="1"/>
  <c r="J619" i="1"/>
  <c r="B620" i="1"/>
  <c r="C620" i="1"/>
  <c r="D620" i="1"/>
  <c r="E620" i="1"/>
  <c r="F620" i="1"/>
  <c r="G620" i="1"/>
  <c r="H620" i="1"/>
  <c r="I620" i="1"/>
  <c r="J620" i="1"/>
  <c r="B621" i="1"/>
  <c r="C621" i="1"/>
  <c r="D621" i="1"/>
  <c r="E621" i="1"/>
  <c r="F621" i="1"/>
  <c r="G621" i="1"/>
  <c r="H621" i="1"/>
  <c r="I621" i="1"/>
  <c r="J621" i="1"/>
  <c r="B622" i="1"/>
  <c r="C622" i="1"/>
  <c r="D622" i="1"/>
  <c r="E622" i="1"/>
  <c r="F622" i="1"/>
  <c r="G622" i="1"/>
  <c r="H622" i="1"/>
  <c r="I622" i="1"/>
  <c r="J622" i="1"/>
  <c r="B623" i="1"/>
  <c r="C623" i="1"/>
  <c r="D623" i="1"/>
  <c r="E623" i="1"/>
  <c r="F623" i="1"/>
  <c r="G623" i="1"/>
  <c r="H623" i="1"/>
  <c r="I623" i="1"/>
  <c r="J623" i="1"/>
  <c r="B624" i="1"/>
  <c r="C624" i="1"/>
  <c r="D624" i="1"/>
  <c r="E624" i="1"/>
  <c r="F624" i="1"/>
  <c r="G624" i="1"/>
  <c r="H624" i="1"/>
  <c r="I624" i="1"/>
  <c r="J624" i="1"/>
  <c r="B625" i="1"/>
  <c r="C625" i="1"/>
  <c r="D625" i="1"/>
  <c r="E625" i="1"/>
  <c r="F625" i="1"/>
  <c r="G625" i="1"/>
  <c r="H625" i="1"/>
  <c r="I625" i="1"/>
  <c r="J625" i="1"/>
  <c r="B626" i="1"/>
  <c r="C626" i="1"/>
  <c r="D626" i="1"/>
  <c r="E626" i="1"/>
  <c r="F626" i="1"/>
  <c r="G626" i="1"/>
  <c r="H626" i="1"/>
  <c r="I626" i="1"/>
  <c r="J626" i="1"/>
  <c r="B627" i="1"/>
  <c r="C627" i="1"/>
  <c r="D627" i="1"/>
  <c r="E627" i="1"/>
  <c r="F627" i="1"/>
  <c r="G627" i="1"/>
  <c r="H627" i="1"/>
  <c r="I627" i="1"/>
  <c r="J627" i="1"/>
  <c r="B628" i="1"/>
  <c r="C628" i="1"/>
  <c r="D628" i="1"/>
  <c r="E628" i="1"/>
  <c r="F628" i="1"/>
  <c r="G628" i="1"/>
  <c r="H628" i="1"/>
  <c r="I628" i="1"/>
  <c r="J628" i="1"/>
  <c r="B629" i="1"/>
  <c r="C629" i="1"/>
  <c r="D629" i="1"/>
  <c r="E629" i="1"/>
  <c r="F629" i="1"/>
  <c r="G629" i="1"/>
  <c r="H629" i="1"/>
  <c r="I629" i="1"/>
  <c r="J629" i="1"/>
  <c r="B630" i="1"/>
  <c r="C630" i="1"/>
  <c r="D630" i="1"/>
  <c r="E630" i="1"/>
  <c r="F630" i="1"/>
  <c r="G630" i="1"/>
  <c r="H630" i="1"/>
  <c r="I630" i="1"/>
  <c r="J630" i="1"/>
  <c r="B631" i="1"/>
  <c r="C631" i="1"/>
  <c r="D631" i="1"/>
  <c r="E631" i="1"/>
  <c r="F631" i="1"/>
  <c r="G631" i="1"/>
  <c r="H631" i="1"/>
  <c r="I631" i="1"/>
  <c r="J631" i="1"/>
  <c r="B632" i="1"/>
  <c r="C632" i="1"/>
  <c r="D632" i="1"/>
  <c r="E632" i="1"/>
  <c r="F632" i="1"/>
  <c r="G632" i="1"/>
  <c r="H632" i="1"/>
  <c r="I632" i="1"/>
  <c r="J632" i="1"/>
  <c r="B633" i="1"/>
  <c r="C633" i="1"/>
  <c r="D633" i="1"/>
  <c r="E633" i="1"/>
  <c r="F633" i="1"/>
  <c r="G633" i="1"/>
  <c r="H633" i="1"/>
  <c r="I633" i="1"/>
  <c r="J633" i="1"/>
  <c r="B634" i="1"/>
  <c r="C634" i="1"/>
  <c r="D634" i="1"/>
  <c r="E634" i="1"/>
  <c r="F634" i="1"/>
  <c r="G634" i="1"/>
  <c r="H634" i="1"/>
  <c r="I634" i="1"/>
  <c r="J634" i="1"/>
  <c r="B635" i="1"/>
  <c r="C635" i="1"/>
  <c r="D635" i="1"/>
  <c r="E635" i="1"/>
  <c r="F635" i="1"/>
  <c r="G635" i="1"/>
  <c r="H635" i="1"/>
  <c r="I635" i="1"/>
  <c r="J635" i="1"/>
  <c r="B636" i="1"/>
  <c r="C636" i="1"/>
  <c r="D636" i="1"/>
  <c r="E636" i="1"/>
  <c r="F636" i="1"/>
  <c r="G636" i="1"/>
  <c r="H636" i="1"/>
  <c r="I636" i="1"/>
  <c r="J636" i="1"/>
  <c r="B637" i="1"/>
  <c r="C637" i="1"/>
  <c r="D637" i="1"/>
  <c r="E637" i="1"/>
  <c r="F637" i="1"/>
  <c r="G637" i="1"/>
  <c r="H637" i="1"/>
  <c r="I637" i="1"/>
  <c r="J637" i="1"/>
  <c r="B638" i="1"/>
  <c r="C638" i="1"/>
  <c r="D638" i="1"/>
  <c r="E638" i="1"/>
  <c r="F638" i="1"/>
  <c r="G638" i="1"/>
  <c r="H638" i="1"/>
  <c r="I638" i="1"/>
  <c r="J638" i="1"/>
  <c r="B639" i="1"/>
  <c r="C639" i="1"/>
  <c r="D639" i="1"/>
  <c r="E639" i="1"/>
  <c r="F639" i="1"/>
  <c r="G639" i="1"/>
  <c r="H639" i="1"/>
  <c r="I639" i="1"/>
  <c r="J639" i="1"/>
  <c r="B640" i="1"/>
  <c r="C640" i="1"/>
  <c r="D640" i="1"/>
  <c r="E640" i="1"/>
  <c r="F640" i="1"/>
  <c r="G640" i="1"/>
  <c r="H640" i="1"/>
  <c r="I640" i="1"/>
  <c r="J640" i="1"/>
  <c r="B641" i="1"/>
  <c r="C641" i="1"/>
  <c r="D641" i="1"/>
  <c r="E641" i="1"/>
  <c r="F641" i="1"/>
  <c r="G641" i="1"/>
  <c r="H641" i="1"/>
  <c r="I641" i="1"/>
  <c r="J641" i="1"/>
  <c r="B642" i="1"/>
  <c r="C642" i="1"/>
  <c r="D642" i="1"/>
  <c r="E642" i="1"/>
  <c r="F642" i="1"/>
  <c r="G642" i="1"/>
  <c r="H642" i="1"/>
  <c r="I642" i="1"/>
  <c r="J642" i="1"/>
  <c r="B643" i="1"/>
  <c r="C643" i="1"/>
  <c r="D643" i="1"/>
  <c r="E643" i="1"/>
  <c r="F643" i="1"/>
  <c r="G643" i="1"/>
  <c r="H643" i="1"/>
  <c r="I643" i="1"/>
  <c r="J643" i="1"/>
  <c r="B644" i="1"/>
  <c r="C644" i="1"/>
  <c r="D644" i="1"/>
  <c r="E644" i="1"/>
  <c r="F644" i="1"/>
  <c r="G644" i="1"/>
  <c r="H644" i="1"/>
  <c r="I644" i="1"/>
  <c r="J644" i="1"/>
  <c r="B645" i="1"/>
  <c r="C645" i="1"/>
  <c r="D645" i="1"/>
  <c r="E645" i="1"/>
  <c r="F645" i="1"/>
  <c r="G645" i="1"/>
  <c r="H645" i="1"/>
  <c r="I645" i="1"/>
  <c r="J645" i="1"/>
  <c r="B646" i="1"/>
  <c r="C646" i="1"/>
  <c r="D646" i="1"/>
  <c r="E646" i="1"/>
  <c r="F646" i="1"/>
  <c r="G646" i="1"/>
  <c r="H646" i="1"/>
  <c r="I646" i="1"/>
  <c r="J646" i="1"/>
  <c r="B647" i="1"/>
  <c r="C647" i="1"/>
  <c r="D647" i="1"/>
  <c r="E647" i="1"/>
  <c r="F647" i="1"/>
  <c r="G647" i="1"/>
  <c r="H647" i="1"/>
  <c r="I647" i="1"/>
  <c r="J647" i="1"/>
  <c r="B648" i="1"/>
  <c r="C648" i="1"/>
  <c r="D648" i="1"/>
  <c r="E648" i="1"/>
  <c r="F648" i="1"/>
  <c r="G648" i="1"/>
  <c r="H648" i="1"/>
  <c r="I648" i="1"/>
  <c r="J648" i="1"/>
  <c r="B649" i="1"/>
  <c r="C649" i="1"/>
  <c r="D649" i="1"/>
  <c r="E649" i="1"/>
  <c r="F649" i="1"/>
  <c r="G649" i="1"/>
  <c r="H649" i="1"/>
  <c r="I649" i="1"/>
  <c r="J649" i="1"/>
  <c r="B650" i="1"/>
  <c r="C650" i="1"/>
  <c r="D650" i="1"/>
  <c r="E650" i="1"/>
  <c r="F650" i="1"/>
  <c r="G650" i="1"/>
  <c r="H650" i="1"/>
  <c r="I650" i="1"/>
  <c r="J650" i="1"/>
  <c r="B651" i="1"/>
  <c r="C651" i="1"/>
  <c r="D651" i="1"/>
  <c r="E651" i="1"/>
  <c r="F651" i="1"/>
  <c r="G651" i="1"/>
  <c r="H651" i="1"/>
  <c r="I651" i="1"/>
  <c r="J651" i="1"/>
  <c r="B652" i="1"/>
  <c r="C652" i="1"/>
  <c r="D652" i="1"/>
  <c r="E652" i="1"/>
  <c r="F652" i="1"/>
  <c r="G652" i="1"/>
  <c r="H652" i="1"/>
  <c r="I652" i="1"/>
  <c r="J652" i="1"/>
  <c r="B653" i="1"/>
  <c r="C653" i="1"/>
  <c r="D653" i="1"/>
  <c r="E653" i="1"/>
  <c r="F653" i="1"/>
  <c r="G653" i="1"/>
  <c r="H653" i="1"/>
  <c r="I653" i="1"/>
  <c r="J653" i="1"/>
  <c r="B654" i="1"/>
  <c r="C654" i="1"/>
  <c r="D654" i="1"/>
  <c r="E654" i="1"/>
  <c r="F654" i="1"/>
  <c r="G654" i="1"/>
  <c r="H654" i="1"/>
  <c r="I654" i="1"/>
  <c r="J654" i="1"/>
  <c r="B655" i="1"/>
  <c r="C655" i="1"/>
  <c r="D655" i="1"/>
  <c r="E655" i="1"/>
  <c r="F655" i="1"/>
  <c r="G655" i="1"/>
  <c r="H655" i="1"/>
  <c r="I655" i="1"/>
  <c r="J655" i="1"/>
  <c r="B656" i="1"/>
  <c r="C656" i="1"/>
  <c r="D656" i="1"/>
  <c r="E656" i="1"/>
  <c r="F656" i="1"/>
  <c r="G656" i="1"/>
  <c r="H656" i="1"/>
  <c r="I656" i="1"/>
  <c r="J656" i="1"/>
  <c r="B657" i="1"/>
  <c r="C657" i="1"/>
  <c r="D657" i="1"/>
  <c r="E657" i="1"/>
  <c r="F657" i="1"/>
  <c r="G657" i="1"/>
  <c r="H657" i="1"/>
  <c r="I657" i="1"/>
  <c r="J657" i="1"/>
  <c r="B658" i="1"/>
  <c r="C658" i="1"/>
  <c r="D658" i="1"/>
  <c r="E658" i="1"/>
  <c r="F658" i="1"/>
  <c r="G658" i="1"/>
  <c r="H658" i="1"/>
  <c r="I658" i="1"/>
  <c r="J658" i="1"/>
  <c r="B659" i="1"/>
  <c r="C659" i="1"/>
  <c r="D659" i="1"/>
  <c r="E659" i="1"/>
  <c r="F659" i="1"/>
  <c r="G659" i="1"/>
  <c r="H659" i="1"/>
  <c r="I659" i="1"/>
  <c r="J659" i="1"/>
  <c r="B660" i="1"/>
  <c r="C660" i="1"/>
  <c r="D660" i="1"/>
  <c r="E660" i="1"/>
  <c r="F660" i="1"/>
  <c r="G660" i="1"/>
  <c r="H660" i="1"/>
  <c r="I660" i="1"/>
  <c r="J660" i="1"/>
  <c r="B661" i="1"/>
  <c r="C661" i="1"/>
  <c r="D661" i="1"/>
  <c r="E661" i="1"/>
  <c r="F661" i="1"/>
  <c r="G661" i="1"/>
  <c r="H661" i="1"/>
  <c r="I661" i="1"/>
  <c r="J661" i="1"/>
  <c r="B662" i="1"/>
  <c r="C662" i="1"/>
  <c r="D662" i="1"/>
  <c r="E662" i="1"/>
  <c r="F662" i="1"/>
  <c r="G662" i="1"/>
  <c r="H662" i="1"/>
  <c r="I662" i="1"/>
  <c r="J662" i="1"/>
  <c r="B663" i="1"/>
  <c r="C663" i="1"/>
  <c r="D663" i="1"/>
  <c r="E663" i="1"/>
  <c r="F663" i="1"/>
  <c r="G663" i="1"/>
  <c r="H663" i="1"/>
  <c r="I663" i="1"/>
  <c r="J663" i="1"/>
  <c r="B664" i="1"/>
  <c r="C664" i="1"/>
  <c r="D664" i="1"/>
  <c r="E664" i="1"/>
  <c r="F664" i="1"/>
  <c r="G664" i="1"/>
  <c r="H664" i="1"/>
  <c r="I664" i="1"/>
  <c r="J664" i="1"/>
  <c r="B665" i="1"/>
  <c r="C665" i="1"/>
  <c r="D665" i="1"/>
  <c r="E665" i="1"/>
  <c r="F665" i="1"/>
  <c r="G665" i="1"/>
  <c r="H665" i="1"/>
  <c r="I665" i="1"/>
  <c r="J665" i="1"/>
  <c r="B666" i="1"/>
  <c r="C666" i="1"/>
  <c r="D666" i="1"/>
  <c r="E666" i="1"/>
  <c r="F666" i="1"/>
  <c r="G666" i="1"/>
  <c r="H666" i="1"/>
  <c r="I666" i="1"/>
  <c r="J666" i="1"/>
  <c r="B667" i="1"/>
  <c r="C667" i="1"/>
  <c r="D667" i="1"/>
  <c r="E667" i="1"/>
  <c r="F667" i="1"/>
  <c r="G667" i="1"/>
  <c r="H667" i="1"/>
  <c r="I667" i="1"/>
  <c r="J667" i="1"/>
  <c r="B668" i="1"/>
  <c r="C668" i="1"/>
  <c r="D668" i="1"/>
  <c r="E668" i="1"/>
  <c r="F668" i="1"/>
  <c r="G668" i="1"/>
  <c r="H668" i="1"/>
  <c r="I668" i="1"/>
  <c r="J668" i="1"/>
  <c r="B669" i="1"/>
  <c r="C669" i="1"/>
  <c r="D669" i="1"/>
  <c r="E669" i="1"/>
  <c r="F669" i="1"/>
  <c r="G669" i="1"/>
  <c r="H669" i="1"/>
  <c r="I669" i="1"/>
  <c r="J669" i="1"/>
  <c r="B670" i="1"/>
  <c r="C670" i="1"/>
  <c r="D670" i="1"/>
  <c r="E670" i="1"/>
  <c r="F670" i="1"/>
  <c r="G670" i="1"/>
  <c r="H670" i="1"/>
  <c r="I670" i="1"/>
  <c r="J670" i="1"/>
  <c r="B671" i="1"/>
  <c r="C671" i="1"/>
  <c r="D671" i="1"/>
  <c r="E671" i="1"/>
  <c r="F671" i="1"/>
  <c r="G671" i="1"/>
  <c r="H671" i="1"/>
  <c r="I671" i="1"/>
  <c r="J671" i="1"/>
  <c r="B672" i="1"/>
  <c r="C672" i="1"/>
  <c r="D672" i="1"/>
  <c r="E672" i="1"/>
  <c r="F672" i="1"/>
  <c r="G672" i="1"/>
  <c r="H672" i="1"/>
  <c r="I672" i="1"/>
  <c r="J672" i="1"/>
  <c r="B673" i="1"/>
  <c r="C673" i="1"/>
  <c r="D673" i="1"/>
  <c r="E673" i="1"/>
  <c r="F673" i="1"/>
  <c r="G673" i="1"/>
  <c r="H673" i="1"/>
  <c r="I673" i="1"/>
  <c r="J673" i="1"/>
  <c r="B674" i="1"/>
  <c r="C674" i="1"/>
  <c r="D674" i="1"/>
  <c r="E674" i="1"/>
  <c r="F674" i="1"/>
  <c r="G674" i="1"/>
  <c r="H674" i="1"/>
  <c r="I674" i="1"/>
  <c r="J674" i="1"/>
  <c r="B675" i="1"/>
  <c r="C675" i="1"/>
  <c r="D675" i="1"/>
  <c r="E675" i="1"/>
  <c r="F675" i="1"/>
  <c r="G675" i="1"/>
  <c r="H675" i="1"/>
  <c r="I675" i="1"/>
  <c r="J675" i="1"/>
  <c r="B676" i="1"/>
  <c r="C676" i="1"/>
  <c r="D676" i="1"/>
  <c r="E676" i="1"/>
  <c r="F676" i="1"/>
  <c r="G676" i="1"/>
  <c r="H676" i="1"/>
  <c r="I676" i="1"/>
  <c r="J676" i="1"/>
  <c r="B677" i="1"/>
  <c r="C677" i="1"/>
  <c r="D677" i="1"/>
  <c r="E677" i="1"/>
  <c r="F677" i="1"/>
  <c r="G677" i="1"/>
  <c r="H677" i="1"/>
  <c r="I677" i="1"/>
  <c r="J677" i="1"/>
  <c r="B678" i="1"/>
  <c r="C678" i="1"/>
  <c r="D678" i="1"/>
  <c r="E678" i="1"/>
  <c r="F678" i="1"/>
  <c r="G678" i="1"/>
  <c r="H678" i="1"/>
  <c r="I678" i="1"/>
  <c r="J678" i="1"/>
  <c r="B679" i="1"/>
  <c r="C679" i="1"/>
  <c r="D679" i="1"/>
  <c r="E679" i="1"/>
  <c r="F679" i="1"/>
  <c r="G679" i="1"/>
  <c r="H679" i="1"/>
  <c r="I679" i="1"/>
  <c r="J679" i="1"/>
  <c r="B680" i="1"/>
  <c r="C680" i="1"/>
  <c r="D680" i="1"/>
  <c r="E680" i="1"/>
  <c r="F680" i="1"/>
  <c r="G680" i="1"/>
  <c r="H680" i="1"/>
  <c r="I680" i="1"/>
  <c r="J680" i="1"/>
  <c r="B681" i="1"/>
  <c r="C681" i="1"/>
  <c r="D681" i="1"/>
  <c r="E681" i="1"/>
  <c r="F681" i="1"/>
  <c r="G681" i="1"/>
  <c r="H681" i="1"/>
  <c r="I681" i="1"/>
  <c r="J681" i="1"/>
  <c r="B682" i="1"/>
  <c r="C682" i="1"/>
  <c r="D682" i="1"/>
  <c r="E682" i="1"/>
  <c r="F682" i="1"/>
  <c r="G682" i="1"/>
  <c r="H682" i="1"/>
  <c r="I682" i="1"/>
  <c r="J682" i="1"/>
  <c r="B683" i="1"/>
  <c r="C683" i="1"/>
  <c r="D683" i="1"/>
  <c r="E683" i="1"/>
  <c r="F683" i="1"/>
  <c r="G683" i="1"/>
  <c r="H683" i="1"/>
  <c r="I683" i="1"/>
  <c r="J683" i="1"/>
  <c r="B684" i="1"/>
  <c r="C684" i="1"/>
  <c r="D684" i="1"/>
  <c r="E684" i="1"/>
  <c r="F684" i="1"/>
  <c r="G684" i="1"/>
  <c r="H684" i="1"/>
  <c r="I684" i="1"/>
  <c r="J684" i="1"/>
  <c r="B685" i="1"/>
  <c r="C685" i="1"/>
  <c r="D685" i="1"/>
  <c r="E685" i="1"/>
  <c r="F685" i="1"/>
  <c r="G685" i="1"/>
  <c r="H685" i="1"/>
  <c r="I685" i="1"/>
  <c r="J685" i="1"/>
  <c r="B686" i="1"/>
  <c r="C686" i="1"/>
  <c r="D686" i="1"/>
  <c r="E686" i="1"/>
  <c r="F686" i="1"/>
  <c r="G686" i="1"/>
  <c r="H686" i="1"/>
  <c r="I686" i="1"/>
  <c r="J686" i="1"/>
  <c r="B687" i="1"/>
  <c r="C687" i="1"/>
  <c r="D687" i="1"/>
  <c r="E687" i="1"/>
  <c r="F687" i="1"/>
  <c r="G687" i="1"/>
  <c r="H687" i="1"/>
  <c r="I687" i="1"/>
  <c r="J687" i="1"/>
  <c r="B688" i="1"/>
  <c r="C688" i="1"/>
  <c r="D688" i="1"/>
  <c r="E688" i="1"/>
  <c r="F688" i="1"/>
  <c r="G688" i="1"/>
  <c r="H688" i="1"/>
  <c r="I688" i="1"/>
  <c r="J688" i="1"/>
  <c r="B689" i="1"/>
  <c r="C689" i="1"/>
  <c r="D689" i="1"/>
  <c r="E689" i="1"/>
  <c r="F689" i="1"/>
  <c r="G689" i="1"/>
  <c r="H689" i="1"/>
  <c r="I689" i="1"/>
  <c r="J689" i="1"/>
  <c r="B690" i="1"/>
  <c r="C690" i="1"/>
  <c r="D690" i="1"/>
  <c r="E690" i="1"/>
  <c r="F690" i="1"/>
  <c r="G690" i="1"/>
  <c r="H690" i="1"/>
  <c r="I690" i="1"/>
  <c r="J690" i="1"/>
  <c r="B691" i="1"/>
  <c r="C691" i="1"/>
  <c r="D691" i="1"/>
  <c r="E691" i="1"/>
  <c r="F691" i="1"/>
  <c r="G691" i="1"/>
  <c r="H691" i="1"/>
  <c r="I691" i="1"/>
  <c r="J691" i="1"/>
  <c r="B692" i="1"/>
  <c r="C692" i="1"/>
  <c r="D692" i="1"/>
  <c r="E692" i="1"/>
  <c r="F692" i="1"/>
  <c r="G692" i="1"/>
  <c r="H692" i="1"/>
  <c r="I692" i="1"/>
  <c r="J692" i="1"/>
  <c r="B693" i="1"/>
  <c r="C693" i="1"/>
  <c r="D693" i="1"/>
  <c r="E693" i="1"/>
  <c r="F693" i="1"/>
  <c r="G693" i="1"/>
  <c r="H693" i="1"/>
  <c r="I693" i="1"/>
  <c r="J693" i="1"/>
  <c r="B694" i="1"/>
  <c r="C694" i="1"/>
  <c r="D694" i="1"/>
  <c r="E694" i="1"/>
  <c r="F694" i="1"/>
  <c r="G694" i="1"/>
  <c r="H694" i="1"/>
  <c r="I694" i="1"/>
  <c r="J694" i="1"/>
  <c r="B695" i="1"/>
  <c r="C695" i="1"/>
  <c r="D695" i="1"/>
  <c r="E695" i="1"/>
  <c r="F695" i="1"/>
  <c r="G695" i="1"/>
  <c r="H695" i="1"/>
  <c r="I695" i="1"/>
  <c r="J695" i="1"/>
  <c r="B696" i="1"/>
  <c r="C696" i="1"/>
  <c r="D696" i="1"/>
  <c r="E696" i="1"/>
  <c r="F696" i="1"/>
  <c r="G696" i="1"/>
  <c r="H696" i="1"/>
  <c r="I696" i="1"/>
  <c r="J696" i="1"/>
  <c r="B697" i="1"/>
  <c r="C697" i="1"/>
  <c r="D697" i="1"/>
  <c r="E697" i="1"/>
  <c r="F697" i="1"/>
  <c r="G697" i="1"/>
  <c r="H697" i="1"/>
  <c r="I697" i="1"/>
  <c r="J697" i="1"/>
  <c r="B698" i="1"/>
  <c r="C698" i="1"/>
  <c r="D698" i="1"/>
  <c r="E698" i="1"/>
  <c r="F698" i="1"/>
  <c r="G698" i="1"/>
  <c r="H698" i="1"/>
  <c r="I698" i="1"/>
  <c r="J698" i="1"/>
  <c r="B699" i="1"/>
  <c r="C699" i="1"/>
  <c r="D699" i="1"/>
  <c r="E699" i="1"/>
  <c r="F699" i="1"/>
  <c r="G699" i="1"/>
  <c r="H699" i="1"/>
  <c r="I699" i="1"/>
  <c r="J699" i="1"/>
  <c r="B700" i="1"/>
  <c r="C700" i="1"/>
  <c r="D700" i="1"/>
  <c r="E700" i="1"/>
  <c r="F700" i="1"/>
  <c r="G700" i="1"/>
  <c r="H700" i="1"/>
  <c r="I700" i="1"/>
  <c r="J700" i="1"/>
  <c r="B701" i="1"/>
  <c r="C701" i="1"/>
  <c r="D701" i="1"/>
  <c r="E701" i="1"/>
  <c r="F701" i="1"/>
  <c r="G701" i="1"/>
  <c r="H701" i="1"/>
  <c r="I701" i="1"/>
  <c r="J701" i="1"/>
  <c r="B702" i="1"/>
  <c r="C702" i="1"/>
  <c r="D702" i="1"/>
  <c r="E702" i="1"/>
  <c r="F702" i="1"/>
  <c r="G702" i="1"/>
  <c r="H702" i="1"/>
  <c r="I702" i="1"/>
  <c r="J702" i="1"/>
  <c r="B703" i="1"/>
  <c r="C703" i="1"/>
  <c r="D703" i="1"/>
  <c r="E703" i="1"/>
  <c r="F703" i="1"/>
  <c r="G703" i="1"/>
  <c r="H703" i="1"/>
  <c r="I703" i="1"/>
  <c r="J703" i="1"/>
  <c r="B704" i="1"/>
  <c r="C704" i="1"/>
  <c r="D704" i="1"/>
  <c r="E704" i="1"/>
  <c r="F704" i="1"/>
  <c r="G704" i="1"/>
  <c r="H704" i="1"/>
  <c r="I704" i="1"/>
  <c r="J704" i="1"/>
  <c r="B705" i="1"/>
  <c r="C705" i="1"/>
  <c r="D705" i="1"/>
  <c r="E705" i="1"/>
  <c r="F705" i="1"/>
  <c r="G705" i="1"/>
  <c r="H705" i="1"/>
  <c r="I705" i="1"/>
  <c r="J705" i="1"/>
  <c r="B706" i="1"/>
  <c r="C706" i="1"/>
  <c r="D706" i="1"/>
  <c r="E706" i="1"/>
  <c r="F706" i="1"/>
  <c r="G706" i="1"/>
  <c r="H706" i="1"/>
  <c r="I706" i="1"/>
  <c r="J706" i="1"/>
  <c r="B707" i="1"/>
  <c r="C707" i="1"/>
  <c r="D707" i="1"/>
  <c r="E707" i="1"/>
  <c r="F707" i="1"/>
  <c r="G707" i="1"/>
  <c r="H707" i="1"/>
  <c r="I707" i="1"/>
  <c r="J707" i="1"/>
  <c r="B708" i="1"/>
  <c r="C708" i="1"/>
  <c r="D708" i="1"/>
  <c r="E708" i="1"/>
  <c r="F708" i="1"/>
  <c r="G708" i="1"/>
  <c r="H708" i="1"/>
  <c r="I708" i="1"/>
  <c r="J708" i="1"/>
  <c r="B709" i="1"/>
  <c r="C709" i="1"/>
  <c r="D709" i="1"/>
  <c r="E709" i="1"/>
  <c r="F709" i="1"/>
  <c r="G709" i="1"/>
  <c r="H709" i="1"/>
  <c r="I709" i="1"/>
  <c r="J709" i="1"/>
  <c r="B710" i="1"/>
  <c r="C710" i="1"/>
  <c r="D710" i="1"/>
  <c r="E710" i="1"/>
  <c r="F710" i="1"/>
  <c r="G710" i="1"/>
  <c r="H710" i="1"/>
  <c r="I710" i="1"/>
  <c r="J710" i="1"/>
  <c r="B711" i="1"/>
  <c r="C711" i="1"/>
  <c r="D711" i="1"/>
  <c r="E711" i="1"/>
  <c r="F711" i="1"/>
  <c r="G711" i="1"/>
  <c r="H711" i="1"/>
  <c r="I711" i="1"/>
  <c r="J711" i="1"/>
  <c r="B712" i="1"/>
  <c r="C712" i="1"/>
  <c r="D712" i="1"/>
  <c r="E712" i="1"/>
  <c r="F712" i="1"/>
  <c r="G712" i="1"/>
  <c r="H712" i="1"/>
  <c r="I712" i="1"/>
  <c r="J712" i="1"/>
  <c r="B713" i="1"/>
  <c r="C713" i="1"/>
  <c r="D713" i="1"/>
  <c r="E713" i="1"/>
  <c r="F713" i="1"/>
  <c r="G713" i="1"/>
  <c r="H713" i="1"/>
  <c r="I713" i="1"/>
  <c r="J713" i="1"/>
  <c r="B714" i="1"/>
  <c r="C714" i="1"/>
  <c r="D714" i="1"/>
  <c r="E714" i="1"/>
  <c r="F714" i="1"/>
  <c r="G714" i="1"/>
  <c r="H714" i="1"/>
  <c r="I714" i="1"/>
  <c r="J714" i="1"/>
  <c r="B715" i="1"/>
  <c r="C715" i="1"/>
  <c r="D715" i="1"/>
  <c r="E715" i="1"/>
  <c r="F715" i="1"/>
  <c r="G715" i="1"/>
  <c r="H715" i="1"/>
  <c r="I715" i="1"/>
  <c r="J715" i="1"/>
  <c r="B716" i="1"/>
  <c r="C716" i="1"/>
  <c r="D716" i="1"/>
  <c r="E716" i="1"/>
  <c r="F716" i="1"/>
  <c r="G716" i="1"/>
  <c r="H716" i="1"/>
  <c r="I716" i="1"/>
  <c r="J716" i="1"/>
  <c r="B717" i="1"/>
  <c r="C717" i="1"/>
  <c r="D717" i="1"/>
  <c r="E717" i="1"/>
  <c r="F717" i="1"/>
  <c r="G717" i="1"/>
  <c r="H717" i="1"/>
  <c r="I717" i="1"/>
  <c r="J717" i="1"/>
  <c r="B718" i="1"/>
  <c r="C718" i="1"/>
  <c r="D718" i="1"/>
  <c r="E718" i="1"/>
  <c r="F718" i="1"/>
  <c r="G718" i="1"/>
  <c r="H718" i="1"/>
  <c r="I718" i="1"/>
  <c r="J718" i="1"/>
  <c r="B719" i="1"/>
  <c r="C719" i="1"/>
  <c r="D719" i="1"/>
  <c r="E719" i="1"/>
  <c r="F719" i="1"/>
  <c r="G719" i="1"/>
  <c r="H719" i="1"/>
  <c r="I719" i="1"/>
  <c r="J719" i="1"/>
  <c r="B720" i="1"/>
  <c r="C720" i="1"/>
  <c r="D720" i="1"/>
  <c r="E720" i="1"/>
  <c r="F720" i="1"/>
  <c r="G720" i="1"/>
  <c r="H720" i="1"/>
  <c r="I720" i="1"/>
  <c r="J720" i="1"/>
  <c r="B721" i="1"/>
  <c r="C721" i="1"/>
  <c r="D721" i="1"/>
  <c r="E721" i="1"/>
  <c r="F721" i="1"/>
  <c r="G721" i="1"/>
  <c r="H721" i="1"/>
  <c r="I721" i="1"/>
  <c r="J721" i="1"/>
  <c r="B722" i="1"/>
  <c r="C722" i="1"/>
  <c r="D722" i="1"/>
  <c r="E722" i="1"/>
  <c r="F722" i="1"/>
  <c r="G722" i="1"/>
  <c r="H722" i="1"/>
  <c r="I722" i="1"/>
  <c r="J722" i="1"/>
  <c r="B723" i="1"/>
  <c r="C723" i="1"/>
  <c r="D723" i="1"/>
  <c r="E723" i="1"/>
  <c r="F723" i="1"/>
  <c r="G723" i="1"/>
  <c r="H723" i="1"/>
  <c r="I723" i="1"/>
  <c r="J723" i="1"/>
  <c r="B724" i="1"/>
  <c r="C724" i="1"/>
  <c r="D724" i="1"/>
  <c r="E724" i="1"/>
  <c r="F724" i="1"/>
  <c r="G724" i="1"/>
  <c r="H724" i="1"/>
  <c r="I724" i="1"/>
  <c r="J724" i="1"/>
  <c r="B725" i="1"/>
  <c r="C725" i="1"/>
  <c r="D725" i="1"/>
  <c r="E725" i="1"/>
  <c r="F725" i="1"/>
  <c r="G725" i="1"/>
  <c r="H725" i="1"/>
  <c r="I725" i="1"/>
  <c r="J725" i="1"/>
  <c r="B726" i="1"/>
  <c r="C726" i="1"/>
  <c r="D726" i="1"/>
  <c r="E726" i="1"/>
  <c r="F726" i="1"/>
  <c r="G726" i="1"/>
  <c r="H726" i="1"/>
  <c r="I726" i="1"/>
  <c r="J726" i="1"/>
  <c r="B727" i="1"/>
  <c r="C727" i="1"/>
  <c r="D727" i="1"/>
  <c r="E727" i="1"/>
  <c r="F727" i="1"/>
  <c r="G727" i="1"/>
  <c r="H727" i="1"/>
  <c r="I727" i="1"/>
  <c r="J727" i="1"/>
  <c r="B728" i="1"/>
  <c r="C728" i="1"/>
  <c r="D728" i="1"/>
  <c r="E728" i="1"/>
  <c r="F728" i="1"/>
  <c r="G728" i="1"/>
  <c r="H728" i="1"/>
  <c r="I728" i="1"/>
  <c r="J728" i="1"/>
  <c r="B729" i="1"/>
  <c r="C729" i="1"/>
  <c r="D729" i="1"/>
  <c r="E729" i="1"/>
  <c r="F729" i="1"/>
  <c r="G729" i="1"/>
  <c r="H729" i="1"/>
  <c r="I729" i="1"/>
  <c r="J729" i="1"/>
  <c r="B730" i="1"/>
  <c r="C730" i="1"/>
  <c r="D730" i="1"/>
  <c r="E730" i="1"/>
  <c r="F730" i="1"/>
  <c r="G730" i="1"/>
  <c r="H730" i="1"/>
  <c r="I730" i="1"/>
  <c r="J730" i="1"/>
  <c r="B731" i="1"/>
  <c r="C731" i="1"/>
  <c r="D731" i="1"/>
  <c r="E731" i="1"/>
  <c r="F731" i="1"/>
  <c r="G731" i="1"/>
  <c r="H731" i="1"/>
  <c r="I731" i="1"/>
  <c r="J731" i="1"/>
  <c r="B732" i="1"/>
  <c r="C732" i="1"/>
  <c r="D732" i="1"/>
  <c r="E732" i="1"/>
  <c r="F732" i="1"/>
  <c r="G732" i="1"/>
  <c r="H732" i="1"/>
  <c r="I732" i="1"/>
  <c r="J732" i="1"/>
  <c r="B733" i="1"/>
  <c r="C733" i="1"/>
  <c r="D733" i="1"/>
  <c r="E733" i="1"/>
  <c r="F733" i="1"/>
  <c r="G733" i="1"/>
  <c r="H733" i="1"/>
  <c r="I733" i="1"/>
  <c r="J733" i="1"/>
  <c r="B734" i="1"/>
  <c r="C734" i="1"/>
  <c r="D734" i="1"/>
  <c r="E734" i="1"/>
  <c r="F734" i="1"/>
  <c r="G734" i="1"/>
  <c r="H734" i="1"/>
  <c r="I734" i="1"/>
  <c r="J734" i="1"/>
  <c r="B735" i="1"/>
  <c r="C735" i="1"/>
  <c r="D735" i="1"/>
  <c r="E735" i="1"/>
  <c r="F735" i="1"/>
  <c r="G735" i="1"/>
  <c r="H735" i="1"/>
  <c r="I735" i="1"/>
  <c r="J735" i="1"/>
  <c r="B736" i="1"/>
  <c r="C736" i="1"/>
  <c r="D736" i="1"/>
  <c r="E736" i="1"/>
  <c r="F736" i="1"/>
  <c r="G736" i="1"/>
  <c r="H736" i="1"/>
  <c r="I736" i="1"/>
  <c r="J736" i="1"/>
  <c r="B737" i="1"/>
  <c r="C737" i="1"/>
  <c r="D737" i="1"/>
  <c r="E737" i="1"/>
  <c r="F737" i="1"/>
  <c r="G737" i="1"/>
  <c r="H737" i="1"/>
  <c r="I737" i="1"/>
  <c r="J737" i="1"/>
  <c r="B738" i="1"/>
  <c r="C738" i="1"/>
  <c r="D738" i="1"/>
  <c r="E738" i="1"/>
  <c r="F738" i="1"/>
  <c r="G738" i="1"/>
  <c r="H738" i="1"/>
  <c r="I738" i="1"/>
  <c r="J738" i="1"/>
  <c r="B739" i="1"/>
  <c r="C739" i="1"/>
  <c r="D739" i="1"/>
  <c r="E739" i="1"/>
  <c r="F739" i="1"/>
  <c r="G739" i="1"/>
  <c r="H739" i="1"/>
  <c r="I739" i="1"/>
  <c r="J739" i="1"/>
  <c r="B740" i="1"/>
  <c r="C740" i="1"/>
  <c r="D740" i="1"/>
  <c r="E740" i="1"/>
  <c r="F740" i="1"/>
  <c r="G740" i="1"/>
  <c r="H740" i="1"/>
  <c r="I740" i="1"/>
  <c r="J740" i="1"/>
  <c r="B741" i="1"/>
  <c r="C741" i="1"/>
  <c r="D741" i="1"/>
  <c r="E741" i="1"/>
  <c r="F741" i="1"/>
  <c r="G741" i="1"/>
  <c r="H741" i="1"/>
  <c r="I741" i="1"/>
  <c r="J741" i="1"/>
  <c r="B742" i="1"/>
  <c r="C742" i="1"/>
  <c r="D742" i="1"/>
  <c r="E742" i="1"/>
  <c r="F742" i="1"/>
  <c r="G742" i="1"/>
  <c r="H742" i="1"/>
  <c r="I742" i="1"/>
  <c r="J742" i="1"/>
  <c r="B743" i="1"/>
  <c r="C743" i="1"/>
  <c r="D743" i="1"/>
  <c r="E743" i="1"/>
  <c r="F743" i="1"/>
  <c r="G743" i="1"/>
  <c r="H743" i="1"/>
  <c r="I743" i="1"/>
  <c r="J743" i="1"/>
  <c r="B744" i="1"/>
  <c r="C744" i="1"/>
  <c r="D744" i="1"/>
  <c r="E744" i="1"/>
  <c r="F744" i="1"/>
  <c r="G744" i="1"/>
  <c r="H744" i="1"/>
  <c r="I744" i="1"/>
  <c r="J744" i="1"/>
  <c r="B745" i="1"/>
  <c r="C745" i="1"/>
  <c r="D745" i="1"/>
  <c r="E745" i="1"/>
  <c r="F745" i="1"/>
  <c r="G745" i="1"/>
  <c r="H745" i="1"/>
  <c r="I745" i="1"/>
  <c r="J745" i="1"/>
  <c r="B746" i="1"/>
  <c r="C746" i="1"/>
  <c r="D746" i="1"/>
  <c r="E746" i="1"/>
  <c r="F746" i="1"/>
  <c r="G746" i="1"/>
  <c r="H746" i="1"/>
  <c r="I746" i="1"/>
  <c r="J746" i="1"/>
  <c r="B747" i="1"/>
  <c r="C747" i="1"/>
  <c r="D747" i="1"/>
  <c r="E747" i="1"/>
  <c r="F747" i="1"/>
  <c r="G747" i="1"/>
  <c r="H747" i="1"/>
  <c r="I747" i="1"/>
  <c r="J747" i="1"/>
  <c r="B748" i="1"/>
  <c r="C748" i="1"/>
  <c r="D748" i="1"/>
  <c r="E748" i="1"/>
  <c r="F748" i="1"/>
  <c r="G748" i="1"/>
  <c r="H748" i="1"/>
  <c r="I748" i="1"/>
  <c r="J748" i="1"/>
  <c r="B749" i="1"/>
  <c r="C749" i="1"/>
  <c r="D749" i="1"/>
  <c r="E749" i="1"/>
  <c r="F749" i="1"/>
  <c r="G749" i="1"/>
  <c r="H749" i="1"/>
  <c r="I749" i="1"/>
  <c r="J749" i="1"/>
  <c r="B750" i="1"/>
  <c r="C750" i="1"/>
  <c r="D750" i="1"/>
  <c r="E750" i="1"/>
  <c r="F750" i="1"/>
  <c r="G750" i="1"/>
  <c r="H750" i="1"/>
  <c r="I750" i="1"/>
  <c r="J750" i="1"/>
  <c r="B751" i="1"/>
  <c r="C751" i="1"/>
  <c r="D751" i="1"/>
  <c r="E751" i="1"/>
  <c r="F751" i="1"/>
  <c r="G751" i="1"/>
  <c r="H751" i="1"/>
  <c r="I751" i="1"/>
  <c r="J751" i="1"/>
  <c r="B752" i="1"/>
  <c r="C752" i="1"/>
  <c r="D752" i="1"/>
  <c r="E752" i="1"/>
  <c r="F752" i="1"/>
  <c r="G752" i="1"/>
  <c r="H752" i="1"/>
  <c r="I752" i="1"/>
  <c r="J752" i="1"/>
  <c r="B753" i="1"/>
  <c r="C753" i="1"/>
  <c r="D753" i="1"/>
  <c r="E753" i="1"/>
  <c r="F753" i="1"/>
  <c r="G753" i="1"/>
  <c r="H753" i="1"/>
  <c r="I753" i="1"/>
  <c r="J753" i="1"/>
  <c r="B754" i="1"/>
  <c r="C754" i="1"/>
  <c r="D754" i="1"/>
  <c r="E754" i="1"/>
  <c r="F754" i="1"/>
  <c r="G754" i="1"/>
  <c r="H754" i="1"/>
  <c r="I754" i="1"/>
  <c r="J754" i="1"/>
  <c r="B755" i="1"/>
  <c r="C755" i="1"/>
  <c r="D755" i="1"/>
  <c r="E755" i="1"/>
  <c r="F755" i="1"/>
  <c r="G755" i="1"/>
  <c r="H755" i="1"/>
  <c r="I755" i="1"/>
  <c r="J755" i="1"/>
  <c r="B756" i="1"/>
  <c r="C756" i="1"/>
  <c r="D756" i="1"/>
  <c r="E756" i="1"/>
  <c r="F756" i="1"/>
  <c r="G756" i="1"/>
  <c r="H756" i="1"/>
  <c r="I756" i="1"/>
  <c r="J756" i="1"/>
  <c r="B757" i="1"/>
  <c r="C757" i="1"/>
  <c r="D757" i="1"/>
  <c r="E757" i="1"/>
  <c r="F757" i="1"/>
  <c r="G757" i="1"/>
  <c r="H757" i="1"/>
  <c r="I757" i="1"/>
  <c r="J757" i="1"/>
  <c r="B758" i="1"/>
  <c r="C758" i="1"/>
  <c r="D758" i="1"/>
  <c r="E758" i="1"/>
  <c r="F758" i="1"/>
  <c r="G758" i="1"/>
  <c r="H758" i="1"/>
  <c r="I758" i="1"/>
  <c r="J758" i="1"/>
  <c r="B759" i="1"/>
  <c r="C759" i="1"/>
  <c r="D759" i="1"/>
  <c r="E759" i="1"/>
  <c r="F759" i="1"/>
  <c r="G759" i="1"/>
  <c r="H759" i="1"/>
  <c r="I759" i="1"/>
  <c r="J759" i="1"/>
  <c r="B760" i="1"/>
  <c r="C760" i="1"/>
  <c r="D760" i="1"/>
  <c r="E760" i="1"/>
  <c r="F760" i="1"/>
  <c r="G760" i="1"/>
  <c r="H760" i="1"/>
  <c r="I760" i="1"/>
  <c r="J760" i="1"/>
  <c r="B761" i="1"/>
  <c r="C761" i="1"/>
  <c r="D761" i="1"/>
  <c r="E761" i="1"/>
  <c r="F761" i="1"/>
  <c r="G761" i="1"/>
  <c r="H761" i="1"/>
  <c r="I761" i="1"/>
  <c r="J761" i="1"/>
  <c r="B762" i="1"/>
  <c r="C762" i="1"/>
  <c r="D762" i="1"/>
  <c r="E762" i="1"/>
  <c r="F762" i="1"/>
  <c r="G762" i="1"/>
  <c r="H762" i="1"/>
  <c r="I762" i="1"/>
  <c r="J762" i="1"/>
  <c r="B763" i="1"/>
  <c r="C763" i="1"/>
  <c r="D763" i="1"/>
  <c r="E763" i="1"/>
  <c r="F763" i="1"/>
  <c r="G763" i="1"/>
  <c r="H763" i="1"/>
  <c r="I763" i="1"/>
  <c r="J763" i="1"/>
  <c r="B764" i="1"/>
  <c r="C764" i="1"/>
  <c r="D764" i="1"/>
  <c r="E764" i="1"/>
  <c r="F764" i="1"/>
  <c r="G764" i="1"/>
  <c r="H764" i="1"/>
  <c r="I764" i="1"/>
  <c r="J764" i="1"/>
  <c r="B765" i="1"/>
  <c r="C765" i="1"/>
  <c r="D765" i="1"/>
  <c r="E765" i="1"/>
  <c r="F765" i="1"/>
  <c r="G765" i="1"/>
  <c r="H765" i="1"/>
  <c r="I765" i="1"/>
  <c r="J765" i="1"/>
  <c r="B766" i="1"/>
  <c r="C766" i="1"/>
  <c r="D766" i="1"/>
  <c r="E766" i="1"/>
  <c r="F766" i="1"/>
  <c r="G766" i="1"/>
  <c r="H766" i="1"/>
  <c r="I766" i="1"/>
  <c r="J766" i="1"/>
  <c r="B767" i="1"/>
  <c r="C767" i="1"/>
  <c r="D767" i="1"/>
  <c r="E767" i="1"/>
  <c r="F767" i="1"/>
  <c r="G767" i="1"/>
  <c r="H767" i="1"/>
  <c r="I767" i="1"/>
  <c r="J767" i="1"/>
  <c r="B768" i="1"/>
  <c r="C768" i="1"/>
  <c r="D768" i="1"/>
  <c r="E768" i="1"/>
  <c r="F768" i="1"/>
  <c r="G768" i="1"/>
  <c r="H768" i="1"/>
  <c r="I768" i="1"/>
  <c r="J768" i="1"/>
  <c r="B769" i="1"/>
  <c r="C769" i="1"/>
  <c r="D769" i="1"/>
  <c r="E769" i="1"/>
  <c r="F769" i="1"/>
  <c r="G769" i="1"/>
  <c r="H769" i="1"/>
  <c r="I769" i="1"/>
  <c r="J769" i="1"/>
  <c r="B770" i="1"/>
  <c r="C770" i="1"/>
  <c r="D770" i="1"/>
  <c r="E770" i="1"/>
  <c r="F770" i="1"/>
  <c r="G770" i="1"/>
  <c r="H770" i="1"/>
  <c r="I770" i="1"/>
  <c r="J770" i="1"/>
  <c r="B771" i="1"/>
  <c r="C771" i="1"/>
  <c r="D771" i="1"/>
  <c r="E771" i="1"/>
  <c r="F771" i="1"/>
  <c r="G771" i="1"/>
  <c r="H771" i="1"/>
  <c r="I771" i="1"/>
  <c r="J771" i="1"/>
  <c r="B772" i="1"/>
  <c r="C772" i="1"/>
  <c r="D772" i="1"/>
  <c r="E772" i="1"/>
  <c r="F772" i="1"/>
  <c r="G772" i="1"/>
  <c r="H772" i="1"/>
  <c r="I772" i="1"/>
  <c r="J772" i="1"/>
  <c r="B773" i="1"/>
  <c r="C773" i="1"/>
  <c r="D773" i="1"/>
  <c r="E773" i="1"/>
  <c r="F773" i="1"/>
  <c r="G773" i="1"/>
  <c r="H773" i="1"/>
  <c r="I773" i="1"/>
  <c r="J773" i="1"/>
  <c r="B774" i="1"/>
  <c r="C774" i="1"/>
  <c r="D774" i="1"/>
  <c r="E774" i="1"/>
  <c r="F774" i="1"/>
  <c r="G774" i="1"/>
  <c r="H774" i="1"/>
  <c r="I774" i="1"/>
  <c r="J774" i="1"/>
  <c r="B775" i="1"/>
  <c r="C775" i="1"/>
  <c r="D775" i="1"/>
  <c r="E775" i="1"/>
  <c r="F775" i="1"/>
  <c r="G775" i="1"/>
  <c r="H775" i="1"/>
  <c r="I775" i="1"/>
  <c r="J775" i="1"/>
  <c r="B776" i="1"/>
  <c r="C776" i="1"/>
  <c r="D776" i="1"/>
  <c r="E776" i="1"/>
  <c r="F776" i="1"/>
  <c r="G776" i="1"/>
  <c r="H776" i="1"/>
  <c r="I776" i="1"/>
  <c r="J776" i="1"/>
  <c r="B777" i="1"/>
  <c r="C777" i="1"/>
  <c r="D777" i="1"/>
  <c r="E777" i="1"/>
  <c r="F777" i="1"/>
  <c r="G777" i="1"/>
  <c r="H777" i="1"/>
  <c r="I777" i="1"/>
  <c r="J777" i="1"/>
  <c r="B778" i="1"/>
  <c r="C778" i="1"/>
  <c r="D778" i="1"/>
  <c r="E778" i="1"/>
  <c r="F778" i="1"/>
  <c r="G778" i="1"/>
  <c r="H778" i="1"/>
  <c r="I778" i="1"/>
  <c r="J778" i="1"/>
  <c r="B779" i="1"/>
  <c r="C779" i="1"/>
  <c r="D779" i="1"/>
  <c r="E779" i="1"/>
  <c r="F779" i="1"/>
  <c r="G779" i="1"/>
  <c r="H779" i="1"/>
  <c r="I779" i="1"/>
  <c r="J779" i="1"/>
  <c r="B780" i="1"/>
  <c r="C780" i="1"/>
  <c r="D780" i="1"/>
  <c r="E780" i="1"/>
  <c r="F780" i="1"/>
  <c r="G780" i="1"/>
  <c r="H780" i="1"/>
  <c r="I780" i="1"/>
  <c r="J780" i="1"/>
  <c r="B781" i="1"/>
  <c r="C781" i="1"/>
  <c r="D781" i="1"/>
  <c r="E781" i="1"/>
  <c r="F781" i="1"/>
  <c r="G781" i="1"/>
  <c r="H781" i="1"/>
  <c r="I781" i="1"/>
  <c r="J781" i="1"/>
  <c r="B782" i="1"/>
  <c r="C782" i="1"/>
  <c r="D782" i="1"/>
  <c r="E782" i="1"/>
  <c r="F782" i="1"/>
  <c r="G782" i="1"/>
  <c r="H782" i="1"/>
  <c r="I782" i="1"/>
  <c r="J782" i="1"/>
  <c r="B783" i="1"/>
  <c r="C783" i="1"/>
  <c r="D783" i="1"/>
  <c r="E783" i="1"/>
  <c r="F783" i="1"/>
  <c r="G783" i="1"/>
  <c r="H783" i="1"/>
  <c r="I783" i="1"/>
  <c r="J783" i="1"/>
  <c r="B784" i="1"/>
  <c r="C784" i="1"/>
  <c r="D784" i="1"/>
  <c r="E784" i="1"/>
  <c r="F784" i="1"/>
  <c r="G784" i="1"/>
  <c r="H784" i="1"/>
  <c r="I784" i="1"/>
  <c r="J784" i="1"/>
  <c r="B785" i="1"/>
  <c r="C785" i="1"/>
  <c r="D785" i="1"/>
  <c r="E785" i="1"/>
  <c r="F785" i="1"/>
  <c r="G785" i="1"/>
  <c r="H785" i="1"/>
  <c r="I785" i="1"/>
  <c r="J785" i="1"/>
  <c r="B786" i="1"/>
  <c r="C786" i="1"/>
  <c r="D786" i="1"/>
  <c r="E786" i="1"/>
  <c r="F786" i="1"/>
  <c r="G786" i="1"/>
  <c r="H786" i="1"/>
  <c r="I786" i="1"/>
  <c r="J786" i="1"/>
  <c r="B787" i="1"/>
  <c r="C787" i="1"/>
  <c r="D787" i="1"/>
  <c r="E787" i="1"/>
  <c r="F787" i="1"/>
  <c r="G787" i="1"/>
  <c r="H787" i="1"/>
  <c r="I787" i="1"/>
  <c r="J787" i="1"/>
  <c r="B788" i="1"/>
  <c r="C788" i="1"/>
  <c r="D788" i="1"/>
  <c r="E788" i="1"/>
  <c r="F788" i="1"/>
  <c r="G788" i="1"/>
  <c r="H788" i="1"/>
  <c r="I788" i="1"/>
  <c r="J788" i="1"/>
  <c r="B789" i="1"/>
  <c r="C789" i="1"/>
  <c r="D789" i="1"/>
  <c r="E789" i="1"/>
  <c r="F789" i="1"/>
  <c r="G789" i="1"/>
  <c r="H789" i="1"/>
  <c r="I789" i="1"/>
  <c r="J789" i="1"/>
  <c r="B790" i="1"/>
  <c r="C790" i="1"/>
  <c r="D790" i="1"/>
  <c r="E790" i="1"/>
  <c r="F790" i="1"/>
  <c r="G790" i="1"/>
  <c r="H790" i="1"/>
  <c r="I790" i="1"/>
  <c r="J790" i="1"/>
  <c r="B791" i="1"/>
  <c r="C791" i="1"/>
  <c r="D791" i="1"/>
  <c r="E791" i="1"/>
  <c r="F791" i="1"/>
  <c r="G791" i="1"/>
  <c r="H791" i="1"/>
  <c r="I791" i="1"/>
  <c r="J791" i="1"/>
  <c r="B792" i="1"/>
  <c r="C792" i="1"/>
  <c r="D792" i="1"/>
  <c r="E792" i="1"/>
  <c r="F792" i="1"/>
  <c r="G792" i="1"/>
  <c r="H792" i="1"/>
  <c r="I792" i="1"/>
  <c r="J792" i="1"/>
  <c r="B793" i="1"/>
  <c r="C793" i="1"/>
  <c r="D793" i="1"/>
  <c r="E793" i="1"/>
  <c r="F793" i="1"/>
  <c r="G793" i="1"/>
  <c r="H793" i="1"/>
  <c r="I793" i="1"/>
  <c r="J793" i="1"/>
  <c r="B794" i="1"/>
  <c r="C794" i="1"/>
  <c r="D794" i="1"/>
  <c r="E794" i="1"/>
  <c r="F794" i="1"/>
  <c r="G794" i="1"/>
  <c r="H794" i="1"/>
  <c r="I794" i="1"/>
  <c r="J794" i="1"/>
  <c r="B795" i="1"/>
  <c r="C795" i="1"/>
  <c r="D795" i="1"/>
  <c r="E795" i="1"/>
  <c r="F795" i="1"/>
  <c r="G795" i="1"/>
  <c r="H795" i="1"/>
  <c r="I795" i="1"/>
  <c r="J795" i="1"/>
  <c r="B796" i="1"/>
  <c r="C796" i="1"/>
  <c r="D796" i="1"/>
  <c r="E796" i="1"/>
  <c r="F796" i="1"/>
  <c r="G796" i="1"/>
  <c r="H796" i="1"/>
  <c r="I796" i="1"/>
  <c r="J796" i="1"/>
  <c r="B797" i="1"/>
  <c r="C797" i="1"/>
  <c r="D797" i="1"/>
  <c r="E797" i="1"/>
  <c r="F797" i="1"/>
  <c r="G797" i="1"/>
  <c r="H797" i="1"/>
  <c r="I797" i="1"/>
  <c r="J797" i="1"/>
  <c r="B798" i="1"/>
  <c r="C798" i="1"/>
  <c r="D798" i="1"/>
  <c r="E798" i="1"/>
  <c r="F798" i="1"/>
  <c r="G798" i="1"/>
  <c r="H798" i="1"/>
  <c r="I798" i="1"/>
  <c r="J798" i="1"/>
  <c r="B799" i="1"/>
  <c r="C799" i="1"/>
  <c r="D799" i="1"/>
  <c r="E799" i="1"/>
  <c r="F799" i="1"/>
  <c r="G799" i="1"/>
  <c r="H799" i="1"/>
  <c r="I799" i="1"/>
  <c r="J799" i="1"/>
  <c r="B800" i="1"/>
  <c r="C800" i="1"/>
  <c r="D800" i="1"/>
  <c r="E800" i="1"/>
  <c r="F800" i="1"/>
  <c r="G800" i="1"/>
  <c r="H800" i="1"/>
  <c r="I800" i="1"/>
  <c r="J800" i="1"/>
  <c r="B801" i="1"/>
  <c r="C801" i="1"/>
  <c r="D801" i="1"/>
  <c r="E801" i="1"/>
  <c r="F801" i="1"/>
  <c r="G801" i="1"/>
  <c r="H801" i="1"/>
  <c r="I801" i="1"/>
  <c r="J801" i="1"/>
  <c r="B802" i="1"/>
  <c r="C802" i="1"/>
  <c r="D802" i="1"/>
  <c r="E802" i="1"/>
  <c r="F802" i="1"/>
  <c r="G802" i="1"/>
  <c r="H802" i="1"/>
  <c r="I802" i="1"/>
  <c r="J802" i="1"/>
  <c r="B803" i="1"/>
  <c r="C803" i="1"/>
  <c r="D803" i="1"/>
  <c r="E803" i="1"/>
  <c r="F803" i="1"/>
  <c r="G803" i="1"/>
  <c r="H803" i="1"/>
  <c r="I803" i="1"/>
  <c r="J803" i="1"/>
  <c r="B804" i="1"/>
  <c r="C804" i="1"/>
  <c r="D804" i="1"/>
  <c r="E804" i="1"/>
  <c r="F804" i="1"/>
  <c r="G804" i="1"/>
  <c r="H804" i="1"/>
  <c r="I804" i="1"/>
  <c r="J804" i="1"/>
  <c r="B805" i="1"/>
  <c r="C805" i="1"/>
  <c r="D805" i="1"/>
  <c r="E805" i="1"/>
  <c r="F805" i="1"/>
  <c r="G805" i="1"/>
  <c r="H805" i="1"/>
  <c r="I805" i="1"/>
  <c r="J805" i="1"/>
  <c r="B806" i="1"/>
  <c r="C806" i="1"/>
  <c r="D806" i="1"/>
  <c r="E806" i="1"/>
  <c r="F806" i="1"/>
  <c r="G806" i="1"/>
  <c r="H806" i="1"/>
  <c r="I806" i="1"/>
  <c r="J806" i="1"/>
  <c r="B807" i="1"/>
  <c r="C807" i="1"/>
  <c r="D807" i="1"/>
  <c r="E807" i="1"/>
  <c r="F807" i="1"/>
  <c r="G807" i="1"/>
  <c r="H807" i="1"/>
  <c r="I807" i="1"/>
  <c r="J807" i="1"/>
  <c r="B808" i="1"/>
  <c r="C808" i="1"/>
  <c r="D808" i="1"/>
  <c r="E808" i="1"/>
  <c r="F808" i="1"/>
  <c r="G808" i="1"/>
  <c r="H808" i="1"/>
  <c r="I808" i="1"/>
  <c r="J808" i="1"/>
  <c r="B809" i="1"/>
  <c r="C809" i="1"/>
  <c r="D809" i="1"/>
  <c r="E809" i="1"/>
  <c r="F809" i="1"/>
  <c r="G809" i="1"/>
  <c r="H809" i="1"/>
  <c r="I809" i="1"/>
  <c r="J809" i="1"/>
  <c r="B810" i="1"/>
  <c r="C810" i="1"/>
  <c r="D810" i="1"/>
  <c r="E810" i="1"/>
  <c r="F810" i="1"/>
  <c r="G810" i="1"/>
  <c r="H810" i="1"/>
  <c r="I810" i="1"/>
  <c r="J810" i="1"/>
  <c r="B811" i="1"/>
  <c r="C811" i="1"/>
  <c r="D811" i="1"/>
  <c r="E811" i="1"/>
  <c r="F811" i="1"/>
  <c r="G811" i="1"/>
  <c r="H811" i="1"/>
  <c r="I811" i="1"/>
  <c r="J811" i="1"/>
  <c r="B812" i="1"/>
  <c r="C812" i="1"/>
  <c r="D812" i="1"/>
  <c r="E812" i="1"/>
  <c r="F812" i="1"/>
  <c r="G812" i="1"/>
  <c r="H812" i="1"/>
  <c r="I812" i="1"/>
  <c r="J812" i="1"/>
  <c r="B813" i="1"/>
  <c r="C813" i="1"/>
  <c r="D813" i="1"/>
  <c r="E813" i="1"/>
  <c r="F813" i="1"/>
  <c r="G813" i="1"/>
  <c r="H813" i="1"/>
  <c r="I813" i="1"/>
  <c r="J813" i="1"/>
  <c r="B814" i="1"/>
  <c r="C814" i="1"/>
  <c r="D814" i="1"/>
  <c r="E814" i="1"/>
  <c r="F814" i="1"/>
  <c r="G814" i="1"/>
  <c r="H814" i="1"/>
  <c r="I814" i="1"/>
  <c r="J814" i="1"/>
  <c r="B815" i="1"/>
  <c r="C815" i="1"/>
  <c r="D815" i="1"/>
  <c r="E815" i="1"/>
  <c r="F815" i="1"/>
  <c r="G815" i="1"/>
  <c r="H815" i="1"/>
  <c r="I815" i="1"/>
  <c r="J815" i="1"/>
  <c r="B816" i="1"/>
  <c r="C816" i="1"/>
  <c r="D816" i="1"/>
  <c r="E816" i="1"/>
  <c r="F816" i="1"/>
  <c r="G816" i="1"/>
  <c r="H816" i="1"/>
  <c r="I816" i="1"/>
  <c r="J816" i="1"/>
  <c r="B817" i="1"/>
  <c r="C817" i="1"/>
  <c r="D817" i="1"/>
  <c r="E817" i="1"/>
  <c r="F817" i="1"/>
  <c r="G817" i="1"/>
  <c r="H817" i="1"/>
  <c r="I817" i="1"/>
  <c r="J817" i="1"/>
  <c r="B818" i="1"/>
  <c r="C818" i="1"/>
  <c r="D818" i="1"/>
  <c r="E818" i="1"/>
  <c r="F818" i="1"/>
  <c r="G818" i="1"/>
  <c r="H818" i="1"/>
  <c r="I818" i="1"/>
  <c r="J818" i="1"/>
  <c r="B819" i="1"/>
  <c r="C819" i="1"/>
  <c r="D819" i="1"/>
  <c r="E819" i="1"/>
  <c r="F819" i="1"/>
  <c r="G819" i="1"/>
  <c r="H819" i="1"/>
  <c r="I819" i="1"/>
  <c r="J819" i="1"/>
  <c r="B820" i="1"/>
  <c r="C820" i="1"/>
  <c r="D820" i="1"/>
  <c r="E820" i="1"/>
  <c r="F820" i="1"/>
  <c r="G820" i="1"/>
  <c r="H820" i="1"/>
  <c r="I820" i="1"/>
  <c r="J820" i="1"/>
  <c r="B821" i="1"/>
  <c r="C821" i="1"/>
  <c r="D821" i="1"/>
  <c r="E821" i="1"/>
  <c r="F821" i="1"/>
  <c r="G821" i="1"/>
  <c r="H821" i="1"/>
  <c r="I821" i="1"/>
  <c r="J821" i="1"/>
  <c r="B822" i="1"/>
  <c r="C822" i="1"/>
  <c r="D822" i="1"/>
  <c r="E822" i="1"/>
  <c r="F822" i="1"/>
  <c r="G822" i="1"/>
  <c r="H822" i="1"/>
  <c r="I822" i="1"/>
  <c r="J822" i="1"/>
  <c r="B823" i="1"/>
  <c r="C823" i="1"/>
  <c r="D823" i="1"/>
  <c r="E823" i="1"/>
  <c r="F823" i="1"/>
  <c r="G823" i="1"/>
  <c r="H823" i="1"/>
  <c r="I823" i="1"/>
  <c r="J823" i="1"/>
  <c r="B824" i="1"/>
  <c r="C824" i="1"/>
  <c r="D824" i="1"/>
  <c r="E824" i="1"/>
  <c r="F824" i="1"/>
  <c r="G824" i="1"/>
  <c r="H824" i="1"/>
  <c r="I824" i="1"/>
  <c r="J824" i="1"/>
  <c r="B825" i="1"/>
  <c r="C825" i="1"/>
  <c r="D825" i="1"/>
  <c r="E825" i="1"/>
  <c r="F825" i="1"/>
  <c r="G825" i="1"/>
  <c r="H825" i="1"/>
  <c r="I825" i="1"/>
  <c r="J825" i="1"/>
  <c r="B826" i="1"/>
  <c r="C826" i="1"/>
  <c r="D826" i="1"/>
  <c r="E826" i="1"/>
  <c r="F826" i="1"/>
  <c r="G826" i="1"/>
  <c r="H826" i="1"/>
  <c r="I826" i="1"/>
  <c r="J826" i="1"/>
  <c r="B827" i="1"/>
  <c r="C827" i="1"/>
  <c r="D827" i="1"/>
  <c r="E827" i="1"/>
  <c r="F827" i="1"/>
  <c r="G827" i="1"/>
  <c r="H827" i="1"/>
  <c r="I827" i="1"/>
  <c r="J827" i="1"/>
  <c r="B828" i="1"/>
  <c r="C828" i="1"/>
  <c r="D828" i="1"/>
  <c r="E828" i="1"/>
  <c r="F828" i="1"/>
  <c r="G828" i="1"/>
  <c r="H828" i="1"/>
  <c r="I828" i="1"/>
  <c r="J828" i="1"/>
  <c r="B829" i="1"/>
  <c r="C829" i="1"/>
  <c r="D829" i="1"/>
  <c r="E829" i="1"/>
  <c r="F829" i="1"/>
  <c r="G829" i="1"/>
  <c r="H829" i="1"/>
  <c r="I829" i="1"/>
  <c r="J829" i="1"/>
  <c r="B830" i="1"/>
  <c r="C830" i="1"/>
  <c r="D830" i="1"/>
  <c r="E830" i="1"/>
  <c r="F830" i="1"/>
  <c r="G830" i="1"/>
  <c r="H830" i="1"/>
  <c r="I830" i="1"/>
  <c r="J830" i="1"/>
  <c r="B831" i="1"/>
  <c r="C831" i="1"/>
  <c r="D831" i="1"/>
  <c r="E831" i="1"/>
  <c r="F831" i="1"/>
  <c r="G831" i="1"/>
  <c r="H831" i="1"/>
  <c r="I831" i="1"/>
  <c r="J831" i="1"/>
  <c r="B832" i="1"/>
  <c r="C832" i="1"/>
  <c r="D832" i="1"/>
  <c r="E832" i="1"/>
  <c r="F832" i="1"/>
  <c r="G832" i="1"/>
  <c r="H832" i="1"/>
  <c r="I832" i="1"/>
  <c r="J832" i="1"/>
  <c r="B833" i="1"/>
  <c r="C833" i="1"/>
  <c r="D833" i="1"/>
  <c r="E833" i="1"/>
  <c r="F833" i="1"/>
  <c r="G833" i="1"/>
  <c r="H833" i="1"/>
  <c r="I833" i="1"/>
  <c r="J833" i="1"/>
  <c r="B834" i="1"/>
  <c r="C834" i="1"/>
  <c r="D834" i="1"/>
  <c r="E834" i="1"/>
  <c r="F834" i="1"/>
  <c r="G834" i="1"/>
  <c r="H834" i="1"/>
  <c r="I834" i="1"/>
  <c r="J834" i="1"/>
  <c r="B835" i="1"/>
  <c r="C835" i="1"/>
  <c r="D835" i="1"/>
  <c r="E835" i="1"/>
  <c r="F835" i="1"/>
  <c r="G835" i="1"/>
  <c r="H835" i="1"/>
  <c r="I835" i="1"/>
  <c r="J835" i="1"/>
  <c r="B836" i="1"/>
  <c r="C836" i="1"/>
  <c r="D836" i="1"/>
  <c r="E836" i="1"/>
  <c r="F836" i="1"/>
  <c r="G836" i="1"/>
  <c r="H836" i="1"/>
  <c r="I836" i="1"/>
  <c r="J836" i="1"/>
  <c r="B837" i="1"/>
  <c r="C837" i="1"/>
  <c r="D837" i="1"/>
  <c r="E837" i="1"/>
  <c r="F837" i="1"/>
  <c r="G837" i="1"/>
  <c r="H837" i="1"/>
  <c r="I837" i="1"/>
  <c r="J837" i="1"/>
  <c r="B838" i="1"/>
  <c r="C838" i="1"/>
  <c r="D838" i="1"/>
  <c r="E838" i="1"/>
  <c r="F838" i="1"/>
  <c r="G838" i="1"/>
  <c r="H838" i="1"/>
  <c r="I838" i="1"/>
  <c r="J838" i="1"/>
  <c r="B839" i="1"/>
  <c r="C839" i="1"/>
  <c r="D839" i="1"/>
  <c r="E839" i="1"/>
  <c r="F839" i="1"/>
  <c r="G839" i="1"/>
  <c r="H839" i="1"/>
  <c r="I839" i="1"/>
  <c r="J839" i="1"/>
  <c r="B840" i="1"/>
  <c r="C840" i="1"/>
  <c r="D840" i="1"/>
  <c r="E840" i="1"/>
  <c r="F840" i="1"/>
  <c r="G840" i="1"/>
  <c r="H840" i="1"/>
  <c r="I840" i="1"/>
  <c r="J840" i="1"/>
  <c r="B841" i="1"/>
  <c r="C841" i="1"/>
  <c r="D841" i="1"/>
  <c r="E841" i="1"/>
  <c r="F841" i="1"/>
  <c r="G841" i="1"/>
  <c r="H841" i="1"/>
  <c r="I841" i="1"/>
  <c r="J841" i="1"/>
  <c r="B842" i="1"/>
  <c r="C842" i="1"/>
  <c r="D842" i="1"/>
  <c r="E842" i="1"/>
  <c r="F842" i="1"/>
  <c r="G842" i="1"/>
  <c r="H842" i="1"/>
  <c r="I842" i="1"/>
  <c r="J842" i="1"/>
  <c r="B843" i="1"/>
  <c r="C843" i="1"/>
  <c r="D843" i="1"/>
  <c r="E843" i="1"/>
  <c r="F843" i="1"/>
  <c r="G843" i="1"/>
  <c r="H843" i="1"/>
  <c r="I843" i="1"/>
  <c r="J843" i="1"/>
  <c r="B844" i="1"/>
  <c r="C844" i="1"/>
  <c r="D844" i="1"/>
  <c r="E844" i="1"/>
  <c r="F844" i="1"/>
  <c r="G844" i="1"/>
  <c r="H844" i="1"/>
  <c r="I844" i="1"/>
  <c r="J844" i="1"/>
  <c r="B845" i="1"/>
  <c r="C845" i="1"/>
  <c r="D845" i="1"/>
  <c r="E845" i="1"/>
  <c r="F845" i="1"/>
  <c r="G845" i="1"/>
  <c r="H845" i="1"/>
  <c r="I845" i="1"/>
  <c r="J845" i="1"/>
  <c r="B846" i="1"/>
  <c r="C846" i="1"/>
  <c r="D846" i="1"/>
  <c r="E846" i="1"/>
  <c r="F846" i="1"/>
  <c r="G846" i="1"/>
  <c r="H846" i="1"/>
  <c r="I846" i="1"/>
  <c r="J846" i="1"/>
  <c r="B847" i="1"/>
  <c r="C847" i="1"/>
  <c r="D847" i="1"/>
  <c r="E847" i="1"/>
  <c r="F847" i="1"/>
  <c r="G847" i="1"/>
  <c r="H847" i="1"/>
  <c r="I847" i="1"/>
  <c r="J847" i="1"/>
  <c r="B848" i="1"/>
  <c r="C848" i="1"/>
  <c r="D848" i="1"/>
  <c r="E848" i="1"/>
  <c r="F848" i="1"/>
  <c r="G848" i="1"/>
  <c r="H848" i="1"/>
  <c r="I848" i="1"/>
  <c r="J848" i="1"/>
  <c r="B849" i="1"/>
  <c r="C849" i="1"/>
  <c r="D849" i="1"/>
  <c r="E849" i="1"/>
  <c r="F849" i="1"/>
  <c r="G849" i="1"/>
  <c r="H849" i="1"/>
  <c r="I849" i="1"/>
  <c r="J849" i="1"/>
  <c r="B850" i="1"/>
  <c r="C850" i="1"/>
  <c r="D850" i="1"/>
  <c r="E850" i="1"/>
  <c r="F850" i="1"/>
  <c r="G850" i="1"/>
  <c r="H850" i="1"/>
  <c r="I850" i="1"/>
  <c r="J850" i="1"/>
  <c r="B851" i="1"/>
  <c r="C851" i="1"/>
  <c r="D851" i="1"/>
  <c r="E851" i="1"/>
  <c r="F851" i="1"/>
  <c r="G851" i="1"/>
  <c r="H851" i="1"/>
  <c r="I851" i="1"/>
  <c r="J851" i="1"/>
  <c r="B852" i="1"/>
  <c r="C852" i="1"/>
  <c r="D852" i="1"/>
  <c r="E852" i="1"/>
  <c r="F852" i="1"/>
  <c r="G852" i="1"/>
  <c r="H852" i="1"/>
  <c r="I852" i="1"/>
  <c r="J852" i="1"/>
  <c r="B853" i="1"/>
  <c r="C853" i="1"/>
  <c r="D853" i="1"/>
  <c r="E853" i="1"/>
  <c r="F853" i="1"/>
  <c r="G853" i="1"/>
  <c r="H853" i="1"/>
  <c r="I853" i="1"/>
  <c r="J853" i="1"/>
  <c r="B854" i="1"/>
  <c r="C854" i="1"/>
  <c r="D854" i="1"/>
  <c r="E854" i="1"/>
  <c r="F854" i="1"/>
  <c r="G854" i="1"/>
  <c r="H854" i="1"/>
  <c r="I854" i="1"/>
  <c r="J854" i="1"/>
  <c r="B855" i="1"/>
  <c r="C855" i="1"/>
  <c r="D855" i="1"/>
  <c r="E855" i="1"/>
  <c r="F855" i="1"/>
  <c r="G855" i="1"/>
  <c r="H855" i="1"/>
  <c r="I855" i="1"/>
  <c r="J855" i="1"/>
  <c r="B856" i="1"/>
  <c r="C856" i="1"/>
  <c r="D856" i="1"/>
  <c r="E856" i="1"/>
  <c r="F856" i="1"/>
  <c r="G856" i="1"/>
  <c r="H856" i="1"/>
  <c r="I856" i="1"/>
  <c r="J856" i="1"/>
  <c r="B857" i="1"/>
  <c r="C857" i="1"/>
  <c r="D857" i="1"/>
  <c r="E857" i="1"/>
  <c r="F857" i="1"/>
  <c r="G857" i="1"/>
  <c r="H857" i="1"/>
  <c r="I857" i="1"/>
  <c r="J857" i="1"/>
  <c r="B858" i="1"/>
  <c r="C858" i="1"/>
  <c r="D858" i="1"/>
  <c r="E858" i="1"/>
  <c r="F858" i="1"/>
  <c r="G858" i="1"/>
  <c r="H858" i="1"/>
  <c r="I858" i="1"/>
  <c r="J858" i="1"/>
  <c r="B859" i="1"/>
  <c r="C859" i="1"/>
  <c r="D859" i="1"/>
  <c r="E859" i="1"/>
  <c r="F859" i="1"/>
  <c r="G859" i="1"/>
  <c r="H859" i="1"/>
  <c r="I859" i="1"/>
  <c r="J859" i="1"/>
  <c r="B860" i="1"/>
  <c r="C860" i="1"/>
  <c r="D860" i="1"/>
  <c r="E860" i="1"/>
  <c r="F860" i="1"/>
  <c r="G860" i="1"/>
  <c r="H860" i="1"/>
  <c r="I860" i="1"/>
  <c r="J860" i="1"/>
  <c r="B861" i="1"/>
  <c r="C861" i="1"/>
  <c r="D861" i="1"/>
  <c r="E861" i="1"/>
  <c r="F861" i="1"/>
  <c r="G861" i="1"/>
  <c r="H861" i="1"/>
  <c r="I861" i="1"/>
  <c r="J861" i="1"/>
  <c r="B862" i="1"/>
  <c r="C862" i="1"/>
  <c r="D862" i="1"/>
  <c r="E862" i="1"/>
  <c r="F862" i="1"/>
  <c r="G862" i="1"/>
  <c r="H862" i="1"/>
  <c r="I862" i="1"/>
  <c r="J862" i="1"/>
  <c r="B863" i="1"/>
  <c r="C863" i="1"/>
  <c r="D863" i="1"/>
  <c r="E863" i="1"/>
  <c r="F863" i="1"/>
  <c r="G863" i="1"/>
  <c r="H863" i="1"/>
  <c r="I863" i="1"/>
  <c r="J863" i="1"/>
  <c r="B864" i="1"/>
  <c r="C864" i="1"/>
  <c r="D864" i="1"/>
  <c r="E864" i="1"/>
  <c r="F864" i="1"/>
  <c r="G864" i="1"/>
  <c r="H864" i="1"/>
  <c r="I864" i="1"/>
  <c r="J864" i="1"/>
  <c r="B865" i="1"/>
  <c r="C865" i="1"/>
  <c r="D865" i="1"/>
  <c r="E865" i="1"/>
  <c r="F865" i="1"/>
  <c r="G865" i="1"/>
  <c r="H865" i="1"/>
  <c r="I865" i="1"/>
  <c r="J865" i="1"/>
  <c r="B866" i="1"/>
  <c r="C866" i="1"/>
  <c r="D866" i="1"/>
  <c r="E866" i="1"/>
  <c r="F866" i="1"/>
  <c r="G866" i="1"/>
  <c r="H866" i="1"/>
  <c r="I866" i="1"/>
  <c r="J866" i="1"/>
  <c r="B867" i="1"/>
  <c r="C867" i="1"/>
  <c r="D867" i="1"/>
  <c r="E867" i="1"/>
  <c r="F867" i="1"/>
  <c r="G867" i="1"/>
  <c r="H867" i="1"/>
  <c r="I867" i="1"/>
  <c r="J867" i="1"/>
  <c r="B868" i="1"/>
  <c r="C868" i="1"/>
  <c r="D868" i="1"/>
  <c r="E868" i="1"/>
  <c r="F868" i="1"/>
  <c r="G868" i="1"/>
  <c r="H868" i="1"/>
  <c r="I868" i="1"/>
  <c r="J868" i="1"/>
  <c r="B869" i="1"/>
  <c r="C869" i="1"/>
  <c r="D869" i="1"/>
  <c r="E869" i="1"/>
  <c r="F869" i="1"/>
  <c r="G869" i="1"/>
  <c r="H869" i="1"/>
  <c r="I869" i="1"/>
  <c r="J869" i="1"/>
  <c r="B870" i="1"/>
  <c r="C870" i="1"/>
  <c r="D870" i="1"/>
  <c r="E870" i="1"/>
  <c r="F870" i="1"/>
  <c r="G870" i="1"/>
  <c r="H870" i="1"/>
  <c r="I870" i="1"/>
  <c r="J870" i="1"/>
  <c r="B871" i="1"/>
  <c r="C871" i="1"/>
  <c r="D871" i="1"/>
  <c r="E871" i="1"/>
  <c r="F871" i="1"/>
  <c r="G871" i="1"/>
  <c r="H871" i="1"/>
  <c r="I871" i="1"/>
  <c r="J871" i="1"/>
  <c r="B872" i="1"/>
  <c r="C872" i="1"/>
  <c r="D872" i="1"/>
  <c r="E872" i="1"/>
  <c r="F872" i="1"/>
  <c r="G872" i="1"/>
  <c r="H872" i="1"/>
  <c r="I872" i="1"/>
  <c r="J872" i="1"/>
  <c r="B873" i="1"/>
  <c r="C873" i="1"/>
  <c r="D873" i="1"/>
  <c r="E873" i="1"/>
  <c r="F873" i="1"/>
  <c r="G873" i="1"/>
  <c r="H873" i="1"/>
  <c r="I873" i="1"/>
  <c r="J873" i="1"/>
  <c r="B874" i="1"/>
  <c r="C874" i="1"/>
  <c r="D874" i="1"/>
  <c r="E874" i="1"/>
  <c r="F874" i="1"/>
  <c r="G874" i="1"/>
  <c r="H874" i="1"/>
  <c r="I874" i="1"/>
  <c r="J874" i="1"/>
  <c r="B875" i="1"/>
  <c r="C875" i="1"/>
  <c r="D875" i="1"/>
  <c r="E875" i="1"/>
  <c r="F875" i="1"/>
  <c r="G875" i="1"/>
  <c r="H875" i="1"/>
  <c r="I875" i="1"/>
  <c r="J875" i="1"/>
  <c r="B876" i="1"/>
  <c r="C876" i="1"/>
  <c r="D876" i="1"/>
  <c r="E876" i="1"/>
  <c r="F876" i="1"/>
  <c r="G876" i="1"/>
  <c r="H876" i="1"/>
  <c r="I876" i="1"/>
  <c r="J876" i="1"/>
  <c r="B877" i="1"/>
  <c r="C877" i="1"/>
  <c r="D877" i="1"/>
  <c r="E877" i="1"/>
  <c r="F877" i="1"/>
  <c r="G877" i="1"/>
  <c r="H877" i="1"/>
  <c r="I877" i="1"/>
  <c r="J877" i="1"/>
  <c r="B878" i="1"/>
  <c r="C878" i="1"/>
  <c r="D878" i="1"/>
  <c r="E878" i="1"/>
  <c r="F878" i="1"/>
  <c r="G878" i="1"/>
  <c r="H878" i="1"/>
  <c r="I878" i="1"/>
  <c r="J878" i="1"/>
  <c r="B879" i="1"/>
  <c r="C879" i="1"/>
  <c r="D879" i="1"/>
  <c r="E879" i="1"/>
  <c r="F879" i="1"/>
  <c r="G879" i="1"/>
  <c r="H879" i="1"/>
  <c r="I879" i="1"/>
  <c r="J879" i="1"/>
  <c r="B880" i="1"/>
  <c r="C880" i="1"/>
  <c r="D880" i="1"/>
  <c r="E880" i="1"/>
  <c r="F880" i="1"/>
  <c r="G880" i="1"/>
  <c r="H880" i="1"/>
  <c r="I880" i="1"/>
  <c r="J880" i="1"/>
  <c r="B881" i="1"/>
  <c r="C881" i="1"/>
  <c r="D881" i="1"/>
  <c r="E881" i="1"/>
  <c r="F881" i="1"/>
  <c r="G881" i="1"/>
  <c r="H881" i="1"/>
  <c r="I881" i="1"/>
  <c r="J881" i="1"/>
  <c r="B882" i="1"/>
  <c r="C882" i="1"/>
  <c r="D882" i="1"/>
  <c r="E882" i="1"/>
  <c r="F882" i="1"/>
  <c r="G882" i="1"/>
  <c r="H882" i="1"/>
  <c r="I882" i="1"/>
  <c r="J882" i="1"/>
  <c r="B883" i="1"/>
  <c r="C883" i="1"/>
  <c r="D883" i="1"/>
  <c r="E883" i="1"/>
  <c r="F883" i="1"/>
  <c r="G883" i="1"/>
  <c r="H883" i="1"/>
  <c r="I883" i="1"/>
  <c r="J883" i="1"/>
  <c r="B884" i="1"/>
  <c r="C884" i="1"/>
  <c r="D884" i="1"/>
  <c r="E884" i="1"/>
  <c r="F884" i="1"/>
  <c r="G884" i="1"/>
  <c r="H884" i="1"/>
  <c r="I884" i="1"/>
  <c r="J884" i="1"/>
  <c r="B885" i="1"/>
  <c r="C885" i="1"/>
  <c r="D885" i="1"/>
  <c r="E885" i="1"/>
  <c r="F885" i="1"/>
  <c r="G885" i="1"/>
  <c r="H885" i="1"/>
  <c r="I885" i="1"/>
  <c r="J885" i="1"/>
  <c r="B886" i="1"/>
  <c r="C886" i="1"/>
  <c r="D886" i="1"/>
  <c r="E886" i="1"/>
  <c r="F886" i="1"/>
  <c r="G886" i="1"/>
  <c r="H886" i="1"/>
  <c r="I886" i="1"/>
  <c r="J886" i="1"/>
  <c r="B887" i="1"/>
  <c r="C887" i="1"/>
  <c r="D887" i="1"/>
  <c r="E887" i="1"/>
  <c r="F887" i="1"/>
  <c r="G887" i="1"/>
  <c r="H887" i="1"/>
  <c r="I887" i="1"/>
  <c r="J887" i="1"/>
  <c r="B888" i="1"/>
  <c r="C888" i="1"/>
  <c r="D888" i="1"/>
  <c r="E888" i="1"/>
  <c r="F888" i="1"/>
  <c r="G888" i="1"/>
  <c r="H888" i="1"/>
  <c r="I888" i="1"/>
  <c r="J888" i="1"/>
  <c r="B889" i="1"/>
  <c r="C889" i="1"/>
  <c r="D889" i="1"/>
  <c r="E889" i="1"/>
  <c r="F889" i="1"/>
  <c r="G889" i="1"/>
  <c r="H889" i="1"/>
  <c r="I889" i="1"/>
  <c r="J889" i="1"/>
  <c r="B890" i="1"/>
  <c r="C890" i="1"/>
  <c r="D890" i="1"/>
  <c r="E890" i="1"/>
  <c r="F890" i="1"/>
  <c r="G890" i="1"/>
  <c r="H890" i="1"/>
  <c r="I890" i="1"/>
  <c r="J890" i="1"/>
  <c r="B891" i="1"/>
  <c r="C891" i="1"/>
  <c r="D891" i="1"/>
  <c r="E891" i="1"/>
  <c r="F891" i="1"/>
  <c r="G891" i="1"/>
  <c r="H891" i="1"/>
  <c r="I891" i="1"/>
  <c r="J891" i="1"/>
  <c r="B892" i="1"/>
  <c r="C892" i="1"/>
  <c r="D892" i="1"/>
  <c r="E892" i="1"/>
  <c r="F892" i="1"/>
  <c r="G892" i="1"/>
  <c r="H892" i="1"/>
  <c r="I892" i="1"/>
  <c r="J892" i="1"/>
  <c r="B893" i="1"/>
  <c r="C893" i="1"/>
  <c r="D893" i="1"/>
  <c r="E893" i="1"/>
  <c r="F893" i="1"/>
  <c r="G893" i="1"/>
  <c r="H893" i="1"/>
  <c r="I893" i="1"/>
  <c r="J893" i="1"/>
  <c r="B894" i="1"/>
  <c r="C894" i="1"/>
  <c r="D894" i="1"/>
  <c r="E894" i="1"/>
  <c r="F894" i="1"/>
  <c r="G894" i="1"/>
  <c r="H894" i="1"/>
  <c r="I894" i="1"/>
  <c r="J894" i="1"/>
  <c r="B895" i="1"/>
  <c r="C895" i="1"/>
  <c r="D895" i="1"/>
  <c r="E895" i="1"/>
  <c r="F895" i="1"/>
  <c r="G895" i="1"/>
  <c r="H895" i="1"/>
  <c r="I895" i="1"/>
  <c r="J895" i="1"/>
  <c r="B896" i="1"/>
  <c r="C896" i="1"/>
  <c r="D896" i="1"/>
  <c r="E896" i="1"/>
  <c r="F896" i="1"/>
  <c r="G896" i="1"/>
  <c r="H896" i="1"/>
  <c r="I896" i="1"/>
  <c r="J896" i="1"/>
  <c r="B897" i="1"/>
  <c r="C897" i="1"/>
  <c r="D897" i="1"/>
  <c r="E897" i="1"/>
  <c r="F897" i="1"/>
  <c r="G897" i="1"/>
  <c r="H897" i="1"/>
  <c r="I897" i="1"/>
  <c r="J897" i="1"/>
  <c r="B898" i="1"/>
  <c r="C898" i="1"/>
  <c r="D898" i="1"/>
  <c r="E898" i="1"/>
  <c r="F898" i="1"/>
  <c r="G898" i="1"/>
  <c r="H898" i="1"/>
  <c r="I898" i="1"/>
  <c r="J898" i="1"/>
  <c r="B899" i="1"/>
  <c r="C899" i="1"/>
  <c r="D899" i="1"/>
  <c r="E899" i="1"/>
  <c r="F899" i="1"/>
  <c r="G899" i="1"/>
  <c r="H899" i="1"/>
  <c r="I899" i="1"/>
  <c r="J899" i="1"/>
  <c r="B900" i="1"/>
  <c r="C900" i="1"/>
  <c r="D900" i="1"/>
  <c r="E900" i="1"/>
  <c r="F900" i="1"/>
  <c r="G900" i="1"/>
  <c r="H900" i="1"/>
  <c r="I900" i="1"/>
  <c r="J900" i="1"/>
  <c r="B901" i="1"/>
  <c r="C901" i="1"/>
  <c r="D901" i="1"/>
  <c r="E901" i="1"/>
  <c r="F901" i="1"/>
  <c r="G901" i="1"/>
  <c r="H901" i="1"/>
  <c r="I901" i="1"/>
  <c r="J901" i="1"/>
  <c r="B902" i="1"/>
  <c r="C902" i="1"/>
  <c r="D902" i="1"/>
  <c r="E902" i="1"/>
  <c r="F902" i="1"/>
  <c r="G902" i="1"/>
  <c r="H902" i="1"/>
  <c r="I902" i="1"/>
  <c r="J902" i="1"/>
  <c r="B903" i="1"/>
  <c r="C903" i="1"/>
  <c r="D903" i="1"/>
  <c r="E903" i="1"/>
  <c r="F903" i="1"/>
  <c r="G903" i="1"/>
  <c r="H903" i="1"/>
  <c r="I903" i="1"/>
  <c r="J903" i="1"/>
  <c r="B904" i="1"/>
  <c r="C904" i="1"/>
  <c r="D904" i="1"/>
  <c r="E904" i="1"/>
  <c r="F904" i="1"/>
  <c r="G904" i="1"/>
  <c r="H904" i="1"/>
  <c r="I904" i="1"/>
  <c r="J904" i="1"/>
  <c r="B905" i="1"/>
  <c r="C905" i="1"/>
  <c r="D905" i="1"/>
  <c r="E905" i="1"/>
  <c r="F905" i="1"/>
  <c r="G905" i="1"/>
  <c r="H905" i="1"/>
  <c r="I905" i="1"/>
  <c r="J905" i="1"/>
  <c r="B906" i="1"/>
  <c r="C906" i="1"/>
  <c r="D906" i="1"/>
  <c r="E906" i="1"/>
  <c r="F906" i="1"/>
  <c r="G906" i="1"/>
  <c r="H906" i="1"/>
  <c r="I906" i="1"/>
  <c r="J906" i="1"/>
  <c r="B907" i="1"/>
  <c r="C907" i="1"/>
  <c r="D907" i="1"/>
  <c r="E907" i="1"/>
  <c r="F907" i="1"/>
  <c r="G907" i="1"/>
  <c r="H907" i="1"/>
  <c r="I907" i="1"/>
  <c r="J907" i="1"/>
  <c r="B908" i="1"/>
  <c r="C908" i="1"/>
  <c r="D908" i="1"/>
  <c r="E908" i="1"/>
  <c r="F908" i="1"/>
  <c r="G908" i="1"/>
  <c r="H908" i="1"/>
  <c r="I908" i="1"/>
  <c r="J908" i="1"/>
  <c r="B909" i="1"/>
  <c r="C909" i="1"/>
  <c r="D909" i="1"/>
  <c r="E909" i="1"/>
  <c r="F909" i="1"/>
  <c r="G909" i="1"/>
  <c r="H909" i="1"/>
  <c r="I909" i="1"/>
  <c r="J909" i="1"/>
  <c r="B910" i="1"/>
  <c r="C910" i="1"/>
  <c r="D910" i="1"/>
  <c r="E910" i="1"/>
  <c r="F910" i="1"/>
  <c r="G910" i="1"/>
  <c r="H910" i="1"/>
  <c r="I910" i="1"/>
  <c r="J910" i="1"/>
  <c r="B911" i="1"/>
  <c r="C911" i="1"/>
  <c r="D911" i="1"/>
  <c r="E911" i="1"/>
  <c r="F911" i="1"/>
  <c r="G911" i="1"/>
  <c r="H911" i="1"/>
  <c r="I911" i="1"/>
  <c r="J911" i="1"/>
  <c r="B912" i="1"/>
  <c r="C912" i="1"/>
  <c r="D912" i="1"/>
  <c r="E912" i="1"/>
  <c r="F912" i="1"/>
  <c r="G912" i="1"/>
  <c r="H912" i="1"/>
  <c r="I912" i="1"/>
  <c r="J912" i="1"/>
  <c r="B913" i="1"/>
  <c r="C913" i="1"/>
  <c r="D913" i="1"/>
  <c r="E913" i="1"/>
  <c r="F913" i="1"/>
  <c r="G913" i="1"/>
  <c r="H913" i="1"/>
  <c r="I913" i="1"/>
  <c r="J913" i="1"/>
  <c r="B914" i="1"/>
  <c r="C914" i="1"/>
  <c r="D914" i="1"/>
  <c r="E914" i="1"/>
  <c r="F914" i="1"/>
  <c r="G914" i="1"/>
  <c r="H914" i="1"/>
  <c r="I914" i="1"/>
  <c r="J914" i="1"/>
  <c r="B915" i="1"/>
  <c r="C915" i="1"/>
  <c r="D915" i="1"/>
  <c r="E915" i="1"/>
  <c r="F915" i="1"/>
  <c r="G915" i="1"/>
  <c r="H915" i="1"/>
  <c r="I915" i="1"/>
  <c r="J915" i="1"/>
  <c r="B916" i="1"/>
  <c r="C916" i="1"/>
  <c r="D916" i="1"/>
  <c r="E916" i="1"/>
  <c r="F916" i="1"/>
  <c r="G916" i="1"/>
  <c r="H916" i="1"/>
  <c r="I916" i="1"/>
  <c r="J916" i="1"/>
  <c r="B917" i="1"/>
  <c r="C917" i="1"/>
  <c r="D917" i="1"/>
  <c r="E917" i="1"/>
  <c r="F917" i="1"/>
  <c r="G917" i="1"/>
  <c r="H917" i="1"/>
  <c r="I917" i="1"/>
  <c r="J917" i="1"/>
  <c r="B918" i="1"/>
  <c r="C918" i="1"/>
  <c r="D918" i="1"/>
  <c r="E918" i="1"/>
  <c r="F918" i="1"/>
  <c r="G918" i="1"/>
  <c r="H918" i="1"/>
  <c r="I918" i="1"/>
  <c r="J918" i="1"/>
  <c r="B919" i="1"/>
  <c r="C919" i="1"/>
  <c r="D919" i="1"/>
  <c r="E919" i="1"/>
  <c r="F919" i="1"/>
  <c r="G919" i="1"/>
  <c r="H919" i="1"/>
  <c r="I919" i="1"/>
  <c r="J919" i="1"/>
  <c r="B920" i="1"/>
  <c r="C920" i="1"/>
  <c r="D920" i="1"/>
  <c r="E920" i="1"/>
  <c r="F920" i="1"/>
  <c r="G920" i="1"/>
  <c r="H920" i="1"/>
  <c r="I920" i="1"/>
  <c r="J920" i="1"/>
  <c r="B921" i="1"/>
  <c r="C921" i="1"/>
  <c r="D921" i="1"/>
  <c r="E921" i="1"/>
  <c r="F921" i="1"/>
  <c r="G921" i="1"/>
  <c r="H921" i="1"/>
  <c r="I921" i="1"/>
  <c r="J921" i="1"/>
  <c r="B922" i="1"/>
  <c r="C922" i="1"/>
  <c r="D922" i="1"/>
  <c r="E922" i="1"/>
  <c r="F922" i="1"/>
  <c r="G922" i="1"/>
  <c r="H922" i="1"/>
  <c r="I922" i="1"/>
  <c r="J922" i="1"/>
  <c r="B923" i="1"/>
  <c r="C923" i="1"/>
  <c r="D923" i="1"/>
  <c r="E923" i="1"/>
  <c r="F923" i="1"/>
  <c r="G923" i="1"/>
  <c r="H923" i="1"/>
  <c r="I923" i="1"/>
  <c r="J923" i="1"/>
  <c r="B924" i="1"/>
  <c r="C924" i="1"/>
  <c r="D924" i="1"/>
  <c r="E924" i="1"/>
  <c r="F924" i="1"/>
  <c r="G924" i="1"/>
  <c r="H924" i="1"/>
  <c r="I924" i="1"/>
  <c r="J924" i="1"/>
  <c r="B925" i="1"/>
  <c r="C925" i="1"/>
  <c r="D925" i="1"/>
  <c r="E925" i="1"/>
  <c r="F925" i="1"/>
  <c r="G925" i="1"/>
  <c r="H925" i="1"/>
  <c r="I925" i="1"/>
  <c r="J925" i="1"/>
  <c r="B926" i="1"/>
  <c r="C926" i="1"/>
  <c r="D926" i="1"/>
  <c r="E926" i="1"/>
  <c r="F926" i="1"/>
  <c r="G926" i="1"/>
  <c r="H926" i="1"/>
  <c r="I926" i="1"/>
  <c r="J926" i="1"/>
  <c r="B927" i="1"/>
  <c r="C927" i="1"/>
  <c r="D927" i="1"/>
  <c r="E927" i="1"/>
  <c r="F927" i="1"/>
  <c r="G927" i="1"/>
  <c r="H927" i="1"/>
  <c r="I927" i="1"/>
  <c r="J927" i="1"/>
  <c r="B928" i="1"/>
  <c r="C928" i="1"/>
  <c r="D928" i="1"/>
  <c r="E928" i="1"/>
  <c r="F928" i="1"/>
  <c r="G928" i="1"/>
  <c r="H928" i="1"/>
  <c r="I928" i="1"/>
  <c r="J928" i="1"/>
  <c r="B929" i="1"/>
  <c r="C929" i="1"/>
  <c r="D929" i="1"/>
  <c r="E929" i="1"/>
  <c r="F929" i="1"/>
  <c r="G929" i="1"/>
  <c r="H929" i="1"/>
  <c r="I929" i="1"/>
  <c r="J929" i="1"/>
  <c r="B930" i="1"/>
  <c r="C930" i="1"/>
  <c r="D930" i="1"/>
  <c r="E930" i="1"/>
  <c r="F930" i="1"/>
  <c r="G930" i="1"/>
  <c r="H930" i="1"/>
  <c r="I930" i="1"/>
  <c r="J930" i="1"/>
  <c r="B931" i="1"/>
  <c r="C931" i="1"/>
  <c r="D931" i="1"/>
  <c r="E931" i="1"/>
  <c r="F931" i="1"/>
  <c r="G931" i="1"/>
  <c r="H931" i="1"/>
  <c r="I931" i="1"/>
  <c r="J931" i="1"/>
  <c r="B932" i="1"/>
  <c r="C932" i="1"/>
  <c r="D932" i="1"/>
  <c r="E932" i="1"/>
  <c r="F932" i="1"/>
  <c r="G932" i="1"/>
  <c r="H932" i="1"/>
  <c r="I932" i="1"/>
  <c r="J932" i="1"/>
  <c r="B933" i="1"/>
  <c r="C933" i="1"/>
  <c r="D933" i="1"/>
  <c r="E933" i="1"/>
  <c r="F933" i="1"/>
  <c r="G933" i="1"/>
  <c r="H933" i="1"/>
  <c r="I933" i="1"/>
  <c r="J933" i="1"/>
  <c r="B934" i="1"/>
  <c r="C934" i="1"/>
  <c r="D934" i="1"/>
  <c r="E934" i="1"/>
  <c r="F934" i="1"/>
  <c r="G934" i="1"/>
  <c r="H934" i="1"/>
  <c r="I934" i="1"/>
  <c r="J934" i="1"/>
  <c r="B935" i="1"/>
  <c r="C935" i="1"/>
  <c r="D935" i="1"/>
  <c r="E935" i="1"/>
  <c r="F935" i="1"/>
  <c r="G935" i="1"/>
  <c r="H935" i="1"/>
  <c r="I935" i="1"/>
  <c r="J935" i="1"/>
  <c r="B936" i="1"/>
  <c r="C936" i="1"/>
  <c r="D936" i="1"/>
  <c r="E936" i="1"/>
  <c r="F936" i="1"/>
  <c r="G936" i="1"/>
  <c r="H936" i="1"/>
  <c r="I936" i="1"/>
  <c r="J936" i="1"/>
  <c r="B937" i="1"/>
  <c r="C937" i="1"/>
  <c r="D937" i="1"/>
  <c r="E937" i="1"/>
  <c r="F937" i="1"/>
  <c r="G937" i="1"/>
  <c r="H937" i="1"/>
  <c r="I937" i="1"/>
  <c r="J937" i="1"/>
  <c r="B938" i="1"/>
  <c r="C938" i="1"/>
  <c r="D938" i="1"/>
  <c r="E938" i="1"/>
  <c r="F938" i="1"/>
  <c r="G938" i="1"/>
  <c r="H938" i="1"/>
  <c r="I938" i="1"/>
  <c r="J938" i="1"/>
  <c r="B939" i="1"/>
  <c r="C939" i="1"/>
  <c r="D939" i="1"/>
  <c r="E939" i="1"/>
  <c r="F939" i="1"/>
  <c r="G939" i="1"/>
  <c r="H939" i="1"/>
  <c r="I939" i="1"/>
  <c r="J939" i="1"/>
  <c r="B940" i="1"/>
  <c r="C940" i="1"/>
  <c r="D940" i="1"/>
  <c r="E940" i="1"/>
  <c r="F940" i="1"/>
  <c r="G940" i="1"/>
  <c r="H940" i="1"/>
  <c r="I940" i="1"/>
  <c r="J940" i="1"/>
  <c r="B941" i="1"/>
  <c r="C941" i="1"/>
  <c r="D941" i="1"/>
  <c r="E941" i="1"/>
  <c r="F941" i="1"/>
  <c r="G941" i="1"/>
  <c r="H941" i="1"/>
  <c r="I941" i="1"/>
  <c r="J941" i="1"/>
  <c r="B942" i="1"/>
  <c r="C942" i="1"/>
  <c r="D942" i="1"/>
  <c r="E942" i="1"/>
  <c r="F942" i="1"/>
  <c r="G942" i="1"/>
  <c r="H942" i="1"/>
  <c r="I942" i="1"/>
  <c r="J942" i="1"/>
  <c r="B943" i="1"/>
  <c r="C943" i="1"/>
  <c r="D943" i="1"/>
  <c r="E943" i="1"/>
  <c r="F943" i="1"/>
  <c r="G943" i="1"/>
  <c r="H943" i="1"/>
  <c r="I943" i="1"/>
  <c r="J943" i="1"/>
  <c r="B944" i="1"/>
  <c r="C944" i="1"/>
  <c r="D944" i="1"/>
  <c r="E944" i="1"/>
  <c r="F944" i="1"/>
  <c r="G944" i="1"/>
  <c r="H944" i="1"/>
  <c r="I944" i="1"/>
  <c r="J944" i="1"/>
  <c r="B945" i="1"/>
  <c r="C945" i="1"/>
  <c r="D945" i="1"/>
  <c r="E945" i="1"/>
  <c r="F945" i="1"/>
  <c r="G945" i="1"/>
  <c r="H945" i="1"/>
  <c r="I945" i="1"/>
  <c r="J945" i="1"/>
  <c r="B946" i="1"/>
  <c r="C946" i="1"/>
  <c r="D946" i="1"/>
  <c r="E946" i="1"/>
  <c r="F946" i="1"/>
  <c r="G946" i="1"/>
  <c r="H946" i="1"/>
  <c r="I946" i="1"/>
  <c r="J946" i="1"/>
  <c r="B947" i="1"/>
  <c r="C947" i="1"/>
  <c r="D947" i="1"/>
  <c r="E947" i="1"/>
  <c r="F947" i="1"/>
  <c r="G947" i="1"/>
  <c r="H947" i="1"/>
  <c r="I947" i="1"/>
  <c r="J947" i="1"/>
  <c r="B948" i="1"/>
  <c r="C948" i="1"/>
  <c r="D948" i="1"/>
  <c r="E948" i="1"/>
  <c r="F948" i="1"/>
  <c r="G948" i="1"/>
  <c r="H948" i="1"/>
  <c r="I948" i="1"/>
  <c r="J948" i="1"/>
  <c r="B949" i="1"/>
  <c r="C949" i="1"/>
  <c r="D949" i="1"/>
  <c r="E949" i="1"/>
  <c r="F949" i="1"/>
  <c r="G949" i="1"/>
  <c r="H949" i="1"/>
  <c r="I949" i="1"/>
  <c r="J949" i="1"/>
  <c r="B950" i="1"/>
  <c r="C950" i="1"/>
  <c r="D950" i="1"/>
  <c r="E950" i="1"/>
  <c r="F950" i="1"/>
  <c r="G950" i="1"/>
  <c r="H950" i="1"/>
  <c r="I950" i="1"/>
  <c r="J950" i="1"/>
  <c r="B951" i="1"/>
  <c r="C951" i="1"/>
  <c r="D951" i="1"/>
  <c r="E951" i="1"/>
  <c r="F951" i="1"/>
  <c r="G951" i="1"/>
  <c r="H951" i="1"/>
  <c r="I951" i="1"/>
  <c r="J951" i="1"/>
  <c r="B952" i="1"/>
  <c r="C952" i="1"/>
  <c r="D952" i="1"/>
  <c r="E952" i="1"/>
  <c r="F952" i="1"/>
  <c r="G952" i="1"/>
  <c r="H952" i="1"/>
  <c r="I952" i="1"/>
  <c r="J952" i="1"/>
  <c r="B953" i="1"/>
  <c r="C953" i="1"/>
  <c r="D953" i="1"/>
  <c r="E953" i="1"/>
  <c r="F953" i="1"/>
  <c r="G953" i="1"/>
  <c r="H953" i="1"/>
  <c r="I953" i="1"/>
  <c r="J953" i="1"/>
  <c r="B954" i="1"/>
  <c r="C954" i="1"/>
  <c r="D954" i="1"/>
  <c r="E954" i="1"/>
  <c r="F954" i="1"/>
  <c r="G954" i="1"/>
  <c r="H954" i="1"/>
  <c r="I954" i="1"/>
  <c r="J954" i="1"/>
  <c r="B955" i="1"/>
  <c r="C955" i="1"/>
  <c r="D955" i="1"/>
  <c r="E955" i="1"/>
  <c r="F955" i="1"/>
  <c r="G955" i="1"/>
  <c r="H955" i="1"/>
  <c r="I955" i="1"/>
  <c r="J955" i="1"/>
  <c r="B956" i="1"/>
  <c r="C956" i="1"/>
  <c r="D956" i="1"/>
  <c r="E956" i="1"/>
  <c r="F956" i="1"/>
  <c r="G956" i="1"/>
  <c r="H956" i="1"/>
  <c r="I956" i="1"/>
  <c r="J956" i="1"/>
  <c r="B957" i="1"/>
  <c r="C957" i="1"/>
  <c r="D957" i="1"/>
  <c r="E957" i="1"/>
  <c r="F957" i="1"/>
  <c r="G957" i="1"/>
  <c r="H957" i="1"/>
  <c r="I957" i="1"/>
  <c r="J957" i="1"/>
  <c r="B958" i="1"/>
  <c r="C958" i="1"/>
  <c r="D958" i="1"/>
  <c r="E958" i="1"/>
  <c r="F958" i="1"/>
  <c r="G958" i="1"/>
  <c r="H958" i="1"/>
  <c r="I958" i="1"/>
  <c r="J958" i="1"/>
  <c r="B959" i="1"/>
  <c r="C959" i="1"/>
  <c r="D959" i="1"/>
  <c r="E959" i="1"/>
  <c r="F959" i="1"/>
  <c r="G959" i="1"/>
  <c r="H959" i="1"/>
  <c r="I959" i="1"/>
  <c r="J959" i="1"/>
  <c r="B960" i="1"/>
  <c r="C960" i="1"/>
  <c r="D960" i="1"/>
  <c r="E960" i="1"/>
  <c r="F960" i="1"/>
  <c r="G960" i="1"/>
  <c r="H960" i="1"/>
  <c r="I960" i="1"/>
  <c r="J960" i="1"/>
  <c r="B961" i="1"/>
  <c r="C961" i="1"/>
  <c r="D961" i="1"/>
  <c r="E961" i="1"/>
  <c r="F961" i="1"/>
  <c r="G961" i="1"/>
  <c r="H961" i="1"/>
  <c r="I961" i="1"/>
  <c r="J961" i="1"/>
  <c r="B962" i="1"/>
  <c r="C962" i="1"/>
  <c r="D962" i="1"/>
  <c r="E962" i="1"/>
  <c r="F962" i="1"/>
  <c r="G962" i="1"/>
  <c r="H962" i="1"/>
  <c r="I962" i="1"/>
  <c r="J962" i="1"/>
  <c r="B963" i="1"/>
  <c r="C963" i="1"/>
  <c r="D963" i="1"/>
  <c r="E963" i="1"/>
  <c r="F963" i="1"/>
  <c r="G963" i="1"/>
  <c r="H963" i="1"/>
  <c r="I963" i="1"/>
  <c r="J963" i="1"/>
  <c r="B964" i="1"/>
  <c r="C964" i="1"/>
  <c r="D964" i="1"/>
  <c r="E964" i="1"/>
  <c r="F964" i="1"/>
  <c r="G964" i="1"/>
  <c r="H964" i="1"/>
  <c r="I964" i="1"/>
  <c r="J964" i="1"/>
  <c r="B965" i="1"/>
  <c r="C965" i="1"/>
  <c r="D965" i="1"/>
  <c r="E965" i="1"/>
  <c r="F965" i="1"/>
  <c r="G965" i="1"/>
  <c r="H965" i="1"/>
  <c r="I965" i="1"/>
  <c r="J965" i="1"/>
  <c r="B966" i="1"/>
  <c r="C966" i="1"/>
  <c r="D966" i="1"/>
  <c r="E966" i="1"/>
  <c r="F966" i="1"/>
  <c r="G966" i="1"/>
  <c r="H966" i="1"/>
  <c r="I966" i="1"/>
  <c r="J966" i="1"/>
  <c r="B967" i="1"/>
  <c r="C967" i="1"/>
  <c r="D967" i="1"/>
  <c r="E967" i="1"/>
  <c r="F967" i="1"/>
  <c r="G967" i="1"/>
  <c r="H967" i="1"/>
  <c r="I967" i="1"/>
  <c r="J967" i="1"/>
  <c r="B968" i="1"/>
  <c r="C968" i="1"/>
  <c r="D968" i="1"/>
  <c r="E968" i="1"/>
  <c r="F968" i="1"/>
  <c r="G968" i="1"/>
  <c r="H968" i="1"/>
  <c r="I968" i="1"/>
  <c r="J968" i="1"/>
  <c r="B969" i="1"/>
  <c r="C969" i="1"/>
  <c r="D969" i="1"/>
  <c r="E969" i="1"/>
  <c r="F969" i="1"/>
  <c r="G969" i="1"/>
  <c r="H969" i="1"/>
  <c r="I969" i="1"/>
  <c r="J969" i="1"/>
  <c r="B970" i="1"/>
  <c r="C970" i="1"/>
  <c r="D970" i="1"/>
  <c r="E970" i="1"/>
  <c r="F970" i="1"/>
  <c r="G970" i="1"/>
  <c r="H970" i="1"/>
  <c r="I970" i="1"/>
  <c r="J970" i="1"/>
  <c r="B971" i="1"/>
  <c r="C971" i="1"/>
  <c r="D971" i="1"/>
  <c r="E971" i="1"/>
  <c r="F971" i="1"/>
  <c r="G971" i="1"/>
  <c r="H971" i="1"/>
  <c r="I971" i="1"/>
  <c r="J971" i="1"/>
  <c r="B972" i="1"/>
  <c r="C972" i="1"/>
  <c r="D972" i="1"/>
  <c r="E972" i="1"/>
  <c r="F972" i="1"/>
  <c r="G972" i="1"/>
  <c r="H972" i="1"/>
  <c r="I972" i="1"/>
  <c r="J972" i="1"/>
  <c r="B973" i="1"/>
  <c r="C973" i="1"/>
  <c r="D973" i="1"/>
  <c r="E973" i="1"/>
  <c r="F973" i="1"/>
  <c r="G973" i="1"/>
  <c r="H973" i="1"/>
  <c r="I973" i="1"/>
  <c r="J973" i="1"/>
  <c r="B974" i="1"/>
  <c r="C974" i="1"/>
  <c r="D974" i="1"/>
  <c r="E974" i="1"/>
  <c r="F974" i="1"/>
  <c r="G974" i="1"/>
  <c r="H974" i="1"/>
  <c r="I974" i="1"/>
  <c r="J974" i="1"/>
  <c r="B975" i="1"/>
  <c r="C975" i="1"/>
  <c r="D975" i="1"/>
  <c r="E975" i="1"/>
  <c r="F975" i="1"/>
  <c r="G975" i="1"/>
  <c r="H975" i="1"/>
  <c r="I975" i="1"/>
  <c r="J975" i="1"/>
  <c r="B976" i="1"/>
  <c r="C976" i="1"/>
  <c r="D976" i="1"/>
  <c r="E976" i="1"/>
  <c r="F976" i="1"/>
  <c r="G976" i="1"/>
  <c r="H976" i="1"/>
  <c r="I976" i="1"/>
  <c r="J976" i="1"/>
  <c r="B977" i="1"/>
  <c r="C977" i="1"/>
  <c r="D977" i="1"/>
  <c r="E977" i="1"/>
  <c r="F977" i="1"/>
  <c r="G977" i="1"/>
  <c r="H977" i="1"/>
  <c r="I977" i="1"/>
  <c r="J977" i="1"/>
  <c r="B978" i="1"/>
  <c r="C978" i="1"/>
  <c r="D978" i="1"/>
  <c r="E978" i="1"/>
  <c r="F978" i="1"/>
  <c r="G978" i="1"/>
  <c r="H978" i="1"/>
  <c r="I978" i="1"/>
  <c r="J978" i="1"/>
  <c r="B979" i="1"/>
  <c r="C979" i="1"/>
  <c r="D979" i="1"/>
  <c r="E979" i="1"/>
  <c r="F979" i="1"/>
  <c r="G979" i="1"/>
  <c r="H979" i="1"/>
  <c r="I979" i="1"/>
  <c r="J979" i="1"/>
  <c r="B980" i="1"/>
  <c r="C980" i="1"/>
  <c r="D980" i="1"/>
  <c r="E980" i="1"/>
  <c r="F980" i="1"/>
  <c r="G980" i="1"/>
  <c r="H980" i="1"/>
  <c r="I980" i="1"/>
  <c r="J980" i="1"/>
  <c r="B981" i="1"/>
  <c r="C981" i="1"/>
  <c r="D981" i="1"/>
  <c r="E981" i="1"/>
  <c r="F981" i="1"/>
  <c r="G981" i="1"/>
  <c r="H981" i="1"/>
  <c r="I981" i="1"/>
  <c r="J981" i="1"/>
  <c r="B982" i="1"/>
  <c r="C982" i="1"/>
  <c r="D982" i="1"/>
  <c r="E982" i="1"/>
  <c r="F982" i="1"/>
  <c r="G982" i="1"/>
  <c r="H982" i="1"/>
  <c r="I982" i="1"/>
  <c r="J982" i="1"/>
  <c r="B983" i="1"/>
  <c r="C983" i="1"/>
  <c r="D983" i="1"/>
  <c r="E983" i="1"/>
  <c r="F983" i="1"/>
  <c r="G983" i="1"/>
  <c r="H983" i="1"/>
  <c r="I983" i="1"/>
  <c r="J983" i="1"/>
  <c r="B984" i="1"/>
  <c r="C984" i="1"/>
  <c r="D984" i="1"/>
  <c r="E984" i="1"/>
  <c r="F984" i="1"/>
  <c r="G984" i="1"/>
  <c r="H984" i="1"/>
  <c r="I984" i="1"/>
  <c r="J984" i="1"/>
  <c r="B985" i="1"/>
  <c r="C985" i="1"/>
  <c r="D985" i="1"/>
  <c r="E985" i="1"/>
  <c r="F985" i="1"/>
  <c r="G985" i="1"/>
  <c r="H985" i="1"/>
  <c r="I985" i="1"/>
  <c r="J985" i="1"/>
  <c r="B986" i="1"/>
  <c r="C986" i="1"/>
  <c r="D986" i="1"/>
  <c r="E986" i="1"/>
  <c r="F986" i="1"/>
  <c r="G986" i="1"/>
  <c r="H986" i="1"/>
  <c r="I986" i="1"/>
  <c r="J986" i="1"/>
  <c r="B987" i="1"/>
  <c r="C987" i="1"/>
  <c r="D987" i="1"/>
  <c r="E987" i="1"/>
  <c r="F987" i="1"/>
  <c r="G987" i="1"/>
  <c r="H987" i="1"/>
  <c r="I987" i="1"/>
  <c r="J987" i="1"/>
  <c r="B988" i="1"/>
  <c r="C988" i="1"/>
  <c r="D988" i="1"/>
  <c r="E988" i="1"/>
  <c r="F988" i="1"/>
  <c r="G988" i="1"/>
  <c r="H988" i="1"/>
  <c r="I988" i="1"/>
  <c r="J988" i="1"/>
  <c r="B989" i="1"/>
  <c r="C989" i="1"/>
  <c r="D989" i="1"/>
  <c r="E989" i="1"/>
  <c r="F989" i="1"/>
  <c r="G989" i="1"/>
  <c r="H989" i="1"/>
  <c r="I989" i="1"/>
  <c r="J989" i="1"/>
  <c r="B990" i="1"/>
  <c r="C990" i="1"/>
  <c r="D990" i="1"/>
  <c r="E990" i="1"/>
  <c r="F990" i="1"/>
  <c r="G990" i="1"/>
  <c r="H990" i="1"/>
  <c r="I990" i="1"/>
  <c r="J990" i="1"/>
  <c r="B991" i="1"/>
  <c r="C991" i="1"/>
  <c r="D991" i="1"/>
  <c r="E991" i="1"/>
  <c r="F991" i="1"/>
  <c r="G991" i="1"/>
  <c r="H991" i="1"/>
  <c r="I991" i="1"/>
  <c r="J991" i="1"/>
  <c r="B992" i="1"/>
  <c r="C992" i="1"/>
  <c r="D992" i="1"/>
  <c r="E992" i="1"/>
  <c r="F992" i="1"/>
  <c r="G992" i="1"/>
  <c r="H992" i="1"/>
  <c r="I992" i="1"/>
  <c r="J992" i="1"/>
  <c r="B993" i="1"/>
  <c r="C993" i="1"/>
  <c r="D993" i="1"/>
  <c r="E993" i="1"/>
  <c r="F993" i="1"/>
  <c r="G993" i="1"/>
  <c r="H993" i="1"/>
  <c r="I993" i="1"/>
  <c r="J993" i="1"/>
  <c r="B994" i="1"/>
  <c r="C994" i="1"/>
  <c r="D994" i="1"/>
  <c r="E994" i="1"/>
  <c r="F994" i="1"/>
  <c r="G994" i="1"/>
  <c r="H994" i="1"/>
  <c r="I994" i="1"/>
  <c r="J994" i="1"/>
  <c r="B995" i="1"/>
  <c r="C995" i="1"/>
  <c r="D995" i="1"/>
  <c r="E995" i="1"/>
  <c r="F995" i="1"/>
  <c r="G995" i="1"/>
  <c r="H995" i="1"/>
  <c r="I995" i="1"/>
  <c r="J995" i="1"/>
  <c r="B996" i="1"/>
  <c r="C996" i="1"/>
  <c r="D996" i="1"/>
  <c r="E996" i="1"/>
  <c r="F996" i="1"/>
  <c r="G996" i="1"/>
  <c r="H996" i="1"/>
  <c r="I996" i="1"/>
  <c r="J996" i="1"/>
  <c r="B997" i="1"/>
  <c r="C997" i="1"/>
  <c r="D997" i="1"/>
  <c r="E997" i="1"/>
  <c r="F997" i="1"/>
  <c r="G997" i="1"/>
  <c r="H997" i="1"/>
  <c r="I997" i="1"/>
  <c r="J997" i="1"/>
  <c r="B998" i="1"/>
  <c r="C998" i="1"/>
  <c r="D998" i="1"/>
  <c r="E998" i="1"/>
  <c r="F998" i="1"/>
  <c r="G998" i="1"/>
  <c r="H998" i="1"/>
  <c r="I998" i="1"/>
  <c r="J998" i="1"/>
  <c r="B999" i="1"/>
  <c r="C999" i="1"/>
  <c r="D999" i="1"/>
  <c r="E999" i="1"/>
  <c r="F999" i="1"/>
  <c r="G999" i="1"/>
  <c r="H999" i="1"/>
  <c r="I999" i="1"/>
  <c r="J999" i="1"/>
  <c r="B1000" i="1"/>
  <c r="C1000" i="1"/>
  <c r="D1000" i="1"/>
  <c r="E1000" i="1"/>
  <c r="F1000" i="1"/>
  <c r="G1000" i="1"/>
  <c r="H1000" i="1"/>
  <c r="I1000" i="1"/>
  <c r="J1000" i="1"/>
  <c r="B1001" i="1"/>
  <c r="C1001" i="1"/>
  <c r="D1001" i="1"/>
  <c r="E1001" i="1"/>
  <c r="F1001" i="1"/>
  <c r="G1001" i="1"/>
  <c r="H1001" i="1"/>
  <c r="I1001" i="1"/>
  <c r="J1001" i="1"/>
  <c r="B1002" i="1"/>
  <c r="C1002" i="1"/>
  <c r="D1002" i="1"/>
  <c r="E1002" i="1"/>
  <c r="F1002" i="1"/>
  <c r="G1002" i="1"/>
  <c r="H1002" i="1"/>
  <c r="I1002" i="1"/>
  <c r="J1002" i="1"/>
  <c r="B1003" i="1"/>
  <c r="C1003" i="1"/>
  <c r="D1003" i="1"/>
  <c r="E1003" i="1"/>
  <c r="F1003" i="1"/>
  <c r="G1003" i="1"/>
  <c r="H1003" i="1"/>
  <c r="I1003" i="1"/>
  <c r="J1003" i="1"/>
  <c r="B1004" i="1"/>
  <c r="C1004" i="1"/>
  <c r="D1004" i="1"/>
  <c r="E1004" i="1"/>
  <c r="F1004" i="1"/>
  <c r="G1004" i="1"/>
  <c r="H1004" i="1"/>
  <c r="I1004" i="1"/>
  <c r="J1004" i="1"/>
  <c r="B1005" i="1"/>
  <c r="C1005" i="1"/>
  <c r="D1005" i="1"/>
  <c r="E1005" i="1"/>
  <c r="F1005" i="1"/>
  <c r="G1005" i="1"/>
  <c r="H1005" i="1"/>
  <c r="I1005" i="1"/>
  <c r="J1005" i="1"/>
  <c r="B1006" i="1"/>
  <c r="C1006" i="1"/>
  <c r="D1006" i="1"/>
  <c r="E1006" i="1"/>
  <c r="F1006" i="1"/>
  <c r="G1006" i="1"/>
  <c r="H1006" i="1"/>
  <c r="I1006" i="1"/>
  <c r="J1006" i="1"/>
  <c r="B1007" i="1"/>
  <c r="C1007" i="1"/>
  <c r="D1007" i="1"/>
  <c r="E1007" i="1"/>
  <c r="F1007" i="1"/>
  <c r="G1007" i="1"/>
  <c r="H1007" i="1"/>
  <c r="I1007" i="1"/>
  <c r="J1007" i="1"/>
  <c r="B1008" i="1"/>
  <c r="C1008" i="1"/>
  <c r="D1008" i="1"/>
  <c r="E1008" i="1"/>
  <c r="F1008" i="1"/>
  <c r="G1008" i="1"/>
  <c r="H1008" i="1"/>
  <c r="I1008" i="1"/>
  <c r="J1008" i="1"/>
  <c r="B1009" i="1"/>
  <c r="C1009" i="1"/>
  <c r="D1009" i="1"/>
  <c r="E1009" i="1"/>
  <c r="F1009" i="1"/>
  <c r="G1009" i="1"/>
  <c r="H1009" i="1"/>
  <c r="I1009" i="1"/>
  <c r="J1009" i="1"/>
  <c r="B1010" i="1"/>
  <c r="C1010" i="1"/>
  <c r="D1010" i="1"/>
  <c r="E1010" i="1"/>
  <c r="F1010" i="1"/>
  <c r="G1010" i="1"/>
  <c r="H1010" i="1"/>
  <c r="I1010" i="1"/>
  <c r="J1010" i="1"/>
  <c r="B1011" i="1"/>
  <c r="C1011" i="1"/>
  <c r="D1011" i="1"/>
  <c r="E1011" i="1"/>
  <c r="F1011" i="1"/>
  <c r="G1011" i="1"/>
  <c r="H1011" i="1"/>
  <c r="I1011" i="1"/>
  <c r="J1011" i="1"/>
  <c r="B1012" i="1"/>
  <c r="C1012" i="1"/>
  <c r="D1012" i="1"/>
  <c r="E1012" i="1"/>
  <c r="F1012" i="1"/>
  <c r="G1012" i="1"/>
  <c r="H1012" i="1"/>
  <c r="I1012" i="1"/>
  <c r="J1012" i="1"/>
  <c r="B1013" i="1"/>
  <c r="C1013" i="1"/>
  <c r="D1013" i="1"/>
  <c r="E1013" i="1"/>
  <c r="F1013" i="1"/>
  <c r="G1013" i="1"/>
  <c r="H1013" i="1"/>
  <c r="I1013" i="1"/>
  <c r="J1013" i="1"/>
  <c r="B1014" i="1"/>
  <c r="C1014" i="1"/>
  <c r="D1014" i="1"/>
  <c r="E1014" i="1"/>
  <c r="F1014" i="1"/>
  <c r="G1014" i="1"/>
  <c r="H1014" i="1"/>
  <c r="I1014" i="1"/>
  <c r="J1014" i="1"/>
  <c r="B1015" i="1"/>
  <c r="C1015" i="1"/>
  <c r="D1015" i="1"/>
  <c r="E1015" i="1"/>
  <c r="F1015" i="1"/>
  <c r="G1015" i="1"/>
  <c r="H1015" i="1"/>
  <c r="I1015" i="1"/>
  <c r="J1015" i="1"/>
  <c r="B1016" i="1"/>
  <c r="C1016" i="1"/>
  <c r="D1016" i="1"/>
  <c r="E1016" i="1"/>
  <c r="F1016" i="1"/>
  <c r="G1016" i="1"/>
  <c r="H1016" i="1"/>
  <c r="I1016" i="1"/>
  <c r="J1016" i="1"/>
  <c r="B1017" i="1"/>
  <c r="C1017" i="1"/>
  <c r="D1017" i="1"/>
  <c r="E1017" i="1"/>
  <c r="F1017" i="1"/>
  <c r="G1017" i="1"/>
  <c r="H1017" i="1"/>
  <c r="I1017" i="1"/>
  <c r="J1017" i="1"/>
  <c r="B1018" i="1"/>
  <c r="C1018" i="1"/>
  <c r="D1018" i="1"/>
  <c r="E1018" i="1"/>
  <c r="F1018" i="1"/>
  <c r="G1018" i="1"/>
  <c r="H1018" i="1"/>
  <c r="I1018" i="1"/>
  <c r="J1018" i="1"/>
  <c r="B1019" i="1"/>
  <c r="C1019" i="1"/>
  <c r="D1019" i="1"/>
  <c r="E1019" i="1"/>
  <c r="F1019" i="1"/>
  <c r="G1019" i="1"/>
  <c r="H1019" i="1"/>
  <c r="I1019" i="1"/>
  <c r="J1019" i="1"/>
  <c r="B1020" i="1"/>
  <c r="C1020" i="1"/>
  <c r="D1020" i="1"/>
  <c r="E1020" i="1"/>
  <c r="F1020" i="1"/>
  <c r="G1020" i="1"/>
  <c r="H1020" i="1"/>
  <c r="I1020" i="1"/>
  <c r="J1020" i="1"/>
  <c r="B1021" i="1"/>
  <c r="C1021" i="1"/>
  <c r="D1021" i="1"/>
  <c r="E1021" i="1"/>
  <c r="F1021" i="1"/>
  <c r="G1021" i="1"/>
  <c r="H1021" i="1"/>
  <c r="I1021" i="1"/>
  <c r="J1021" i="1"/>
  <c r="B1022" i="1"/>
  <c r="C1022" i="1"/>
  <c r="D1022" i="1"/>
  <c r="E1022" i="1"/>
  <c r="F1022" i="1"/>
  <c r="G1022" i="1"/>
  <c r="H1022" i="1"/>
  <c r="I1022" i="1"/>
  <c r="J1022" i="1"/>
  <c r="B1023" i="1"/>
  <c r="C1023" i="1"/>
  <c r="D1023" i="1"/>
  <c r="E1023" i="1"/>
  <c r="F1023" i="1"/>
  <c r="G1023" i="1"/>
  <c r="H1023" i="1"/>
  <c r="I1023" i="1"/>
  <c r="J1023" i="1"/>
  <c r="B1024" i="1"/>
  <c r="C1024" i="1"/>
  <c r="D1024" i="1"/>
  <c r="E1024" i="1"/>
  <c r="F1024" i="1"/>
  <c r="G1024" i="1"/>
  <c r="H1024" i="1"/>
  <c r="I1024" i="1"/>
  <c r="J1024" i="1"/>
  <c r="B1025" i="1"/>
  <c r="C1025" i="1"/>
  <c r="D1025" i="1"/>
  <c r="E1025" i="1"/>
  <c r="F1025" i="1"/>
  <c r="G1025" i="1"/>
  <c r="H1025" i="1"/>
  <c r="I1025" i="1"/>
  <c r="J1025" i="1"/>
  <c r="B1026" i="1"/>
  <c r="C1026" i="1"/>
  <c r="D1026" i="1"/>
  <c r="E1026" i="1"/>
  <c r="F1026" i="1"/>
  <c r="G1026" i="1"/>
  <c r="H1026" i="1"/>
  <c r="I1026" i="1"/>
  <c r="J1026" i="1"/>
  <c r="B1027" i="1"/>
  <c r="C1027" i="1"/>
  <c r="D1027" i="1"/>
  <c r="E1027" i="1"/>
  <c r="F1027" i="1"/>
  <c r="G1027" i="1"/>
  <c r="H1027" i="1"/>
  <c r="I1027" i="1"/>
  <c r="J1027" i="1"/>
  <c r="B1028" i="1"/>
  <c r="C1028" i="1"/>
  <c r="D1028" i="1"/>
  <c r="E1028" i="1"/>
  <c r="F1028" i="1"/>
  <c r="G1028" i="1"/>
  <c r="H1028" i="1"/>
  <c r="I1028" i="1"/>
  <c r="J1028" i="1"/>
  <c r="B1029" i="1"/>
  <c r="C1029" i="1"/>
  <c r="D1029" i="1"/>
  <c r="E1029" i="1"/>
  <c r="F1029" i="1"/>
  <c r="G1029" i="1"/>
  <c r="H1029" i="1"/>
  <c r="I1029" i="1"/>
  <c r="J1029" i="1"/>
  <c r="B1030" i="1"/>
  <c r="C1030" i="1"/>
  <c r="D1030" i="1"/>
  <c r="E1030" i="1"/>
  <c r="F1030" i="1"/>
  <c r="G1030" i="1"/>
  <c r="H1030" i="1"/>
  <c r="I1030" i="1"/>
  <c r="J1030" i="1"/>
  <c r="B1031" i="1"/>
  <c r="C1031" i="1"/>
  <c r="D1031" i="1"/>
  <c r="E1031" i="1"/>
  <c r="F1031" i="1"/>
  <c r="G1031" i="1"/>
  <c r="H1031" i="1"/>
  <c r="I1031" i="1"/>
  <c r="J1031" i="1"/>
  <c r="B1032" i="1"/>
  <c r="C1032" i="1"/>
  <c r="D1032" i="1"/>
  <c r="E1032" i="1"/>
  <c r="F1032" i="1"/>
  <c r="G1032" i="1"/>
  <c r="H1032" i="1"/>
  <c r="I1032" i="1"/>
  <c r="J1032" i="1"/>
  <c r="B1033" i="1"/>
  <c r="C1033" i="1"/>
  <c r="D1033" i="1"/>
  <c r="E1033" i="1"/>
  <c r="F1033" i="1"/>
  <c r="G1033" i="1"/>
  <c r="H1033" i="1"/>
  <c r="I1033" i="1"/>
  <c r="J1033" i="1"/>
  <c r="B1034" i="1"/>
  <c r="C1034" i="1"/>
  <c r="D1034" i="1"/>
  <c r="E1034" i="1"/>
  <c r="F1034" i="1"/>
  <c r="G1034" i="1"/>
  <c r="H1034" i="1"/>
  <c r="I1034" i="1"/>
  <c r="J1034" i="1"/>
  <c r="B1035" i="1"/>
  <c r="C1035" i="1"/>
  <c r="D1035" i="1"/>
  <c r="E1035" i="1"/>
  <c r="F1035" i="1"/>
  <c r="G1035" i="1"/>
  <c r="H1035" i="1"/>
  <c r="I1035" i="1"/>
  <c r="J1035" i="1"/>
  <c r="B1036" i="1"/>
  <c r="C1036" i="1"/>
  <c r="D1036" i="1"/>
  <c r="E1036" i="1"/>
  <c r="F1036" i="1"/>
  <c r="G1036" i="1"/>
  <c r="H1036" i="1"/>
  <c r="I1036" i="1"/>
  <c r="J1036" i="1"/>
  <c r="B1037" i="1"/>
  <c r="C1037" i="1"/>
  <c r="D1037" i="1"/>
  <c r="E1037" i="1"/>
  <c r="F1037" i="1"/>
  <c r="G1037" i="1"/>
  <c r="H1037" i="1"/>
  <c r="I1037" i="1"/>
  <c r="J1037" i="1"/>
  <c r="B1038" i="1"/>
  <c r="C1038" i="1"/>
  <c r="D1038" i="1"/>
  <c r="E1038" i="1"/>
  <c r="F1038" i="1"/>
  <c r="G1038" i="1"/>
  <c r="H1038" i="1"/>
  <c r="I1038" i="1"/>
  <c r="J1038" i="1"/>
  <c r="B1039" i="1"/>
  <c r="C1039" i="1"/>
  <c r="D1039" i="1"/>
  <c r="E1039" i="1"/>
  <c r="F1039" i="1"/>
  <c r="G1039" i="1"/>
  <c r="H1039" i="1"/>
  <c r="I1039" i="1"/>
  <c r="J1039" i="1"/>
  <c r="B1040" i="1"/>
  <c r="C1040" i="1"/>
  <c r="D1040" i="1"/>
  <c r="E1040" i="1"/>
  <c r="F1040" i="1"/>
  <c r="G1040" i="1"/>
  <c r="H1040" i="1"/>
  <c r="I1040" i="1"/>
  <c r="J1040" i="1"/>
  <c r="B1041" i="1"/>
  <c r="C1041" i="1"/>
  <c r="D1041" i="1"/>
  <c r="E1041" i="1"/>
  <c r="F1041" i="1"/>
  <c r="G1041" i="1"/>
  <c r="H1041" i="1"/>
  <c r="I1041" i="1"/>
  <c r="J1041" i="1"/>
  <c r="B1042" i="1"/>
  <c r="C1042" i="1"/>
  <c r="D1042" i="1"/>
  <c r="E1042" i="1"/>
  <c r="F1042" i="1"/>
  <c r="G1042" i="1"/>
  <c r="H1042" i="1"/>
  <c r="I1042" i="1"/>
  <c r="J1042" i="1"/>
  <c r="B1043" i="1"/>
  <c r="C1043" i="1"/>
  <c r="D1043" i="1"/>
  <c r="E1043" i="1"/>
  <c r="F1043" i="1"/>
  <c r="G1043" i="1"/>
  <c r="H1043" i="1"/>
  <c r="I1043" i="1"/>
  <c r="J1043" i="1"/>
  <c r="B1044" i="1"/>
  <c r="C1044" i="1"/>
  <c r="D1044" i="1"/>
  <c r="E1044" i="1"/>
  <c r="F1044" i="1"/>
  <c r="G1044" i="1"/>
  <c r="H1044" i="1"/>
  <c r="I1044" i="1"/>
  <c r="J1044" i="1"/>
  <c r="B1045" i="1"/>
  <c r="C1045" i="1"/>
  <c r="D1045" i="1"/>
  <c r="E1045" i="1"/>
  <c r="F1045" i="1"/>
  <c r="G1045" i="1"/>
  <c r="H1045" i="1"/>
  <c r="I1045" i="1"/>
  <c r="J1045" i="1"/>
  <c r="B1046" i="1"/>
  <c r="C1046" i="1"/>
  <c r="D1046" i="1"/>
  <c r="E1046" i="1"/>
  <c r="F1046" i="1"/>
  <c r="G1046" i="1"/>
  <c r="H1046" i="1"/>
  <c r="I1046" i="1"/>
  <c r="J1046" i="1"/>
  <c r="B1047" i="1"/>
  <c r="C1047" i="1"/>
  <c r="D1047" i="1"/>
  <c r="E1047" i="1"/>
  <c r="F1047" i="1"/>
  <c r="G1047" i="1"/>
  <c r="H1047" i="1"/>
  <c r="I1047" i="1"/>
  <c r="J1047" i="1"/>
  <c r="B1048" i="1"/>
  <c r="C1048" i="1"/>
  <c r="D1048" i="1"/>
  <c r="E1048" i="1"/>
  <c r="F1048" i="1"/>
  <c r="G1048" i="1"/>
  <c r="H1048" i="1"/>
  <c r="I1048" i="1"/>
  <c r="J1048" i="1"/>
  <c r="B1049" i="1"/>
  <c r="C1049" i="1"/>
  <c r="D1049" i="1"/>
  <c r="E1049" i="1"/>
  <c r="F1049" i="1"/>
  <c r="G1049" i="1"/>
  <c r="H1049" i="1"/>
  <c r="I1049" i="1"/>
  <c r="J1049" i="1"/>
  <c r="B1050" i="1"/>
  <c r="C1050" i="1"/>
  <c r="D1050" i="1"/>
  <c r="E1050" i="1"/>
  <c r="F1050" i="1"/>
  <c r="G1050" i="1"/>
  <c r="H1050" i="1"/>
  <c r="I1050" i="1"/>
  <c r="J1050" i="1"/>
  <c r="B1051" i="1"/>
  <c r="C1051" i="1"/>
  <c r="D1051" i="1"/>
  <c r="E1051" i="1"/>
  <c r="F1051" i="1"/>
  <c r="G1051" i="1"/>
  <c r="H1051" i="1"/>
  <c r="I1051" i="1"/>
  <c r="J1051" i="1"/>
  <c r="B1052" i="1"/>
  <c r="C1052" i="1"/>
  <c r="D1052" i="1"/>
  <c r="E1052" i="1"/>
  <c r="F1052" i="1"/>
  <c r="G1052" i="1"/>
  <c r="H1052" i="1"/>
  <c r="I1052" i="1"/>
  <c r="J1052" i="1"/>
  <c r="B1053" i="1"/>
  <c r="C1053" i="1"/>
  <c r="D1053" i="1"/>
  <c r="E1053" i="1"/>
  <c r="F1053" i="1"/>
  <c r="G1053" i="1"/>
  <c r="H1053" i="1"/>
  <c r="I1053" i="1"/>
  <c r="J1053" i="1"/>
  <c r="B1054" i="1"/>
  <c r="C1054" i="1"/>
  <c r="D1054" i="1"/>
  <c r="E1054" i="1"/>
  <c r="F1054" i="1"/>
  <c r="G1054" i="1"/>
  <c r="H1054" i="1"/>
  <c r="I1054" i="1"/>
  <c r="J1054" i="1"/>
  <c r="B1055" i="1"/>
  <c r="C1055" i="1"/>
  <c r="D1055" i="1"/>
  <c r="E1055" i="1"/>
  <c r="F1055" i="1"/>
  <c r="G1055" i="1"/>
  <c r="H1055" i="1"/>
  <c r="I1055" i="1"/>
  <c r="J1055" i="1"/>
  <c r="B1056" i="1"/>
  <c r="C1056" i="1"/>
  <c r="D1056" i="1"/>
  <c r="E1056" i="1"/>
  <c r="F1056" i="1"/>
  <c r="G1056" i="1"/>
  <c r="H1056" i="1"/>
  <c r="I1056" i="1"/>
  <c r="J1056" i="1"/>
  <c r="B1057" i="1"/>
  <c r="C1057" i="1"/>
  <c r="D1057" i="1"/>
  <c r="E1057" i="1"/>
  <c r="F1057" i="1"/>
  <c r="G1057" i="1"/>
  <c r="H1057" i="1"/>
  <c r="I1057" i="1"/>
  <c r="J1057" i="1"/>
  <c r="B1058" i="1"/>
  <c r="C1058" i="1"/>
  <c r="D1058" i="1"/>
  <c r="E1058" i="1"/>
  <c r="F1058" i="1"/>
  <c r="G1058" i="1"/>
  <c r="H1058" i="1"/>
  <c r="I1058" i="1"/>
  <c r="J1058" i="1"/>
  <c r="B1059" i="1"/>
  <c r="C1059" i="1"/>
  <c r="D1059" i="1"/>
  <c r="E1059" i="1"/>
  <c r="F1059" i="1"/>
  <c r="G1059" i="1"/>
  <c r="H1059" i="1"/>
  <c r="I1059" i="1"/>
  <c r="J1059" i="1"/>
  <c r="B1060" i="1"/>
  <c r="C1060" i="1"/>
  <c r="D1060" i="1"/>
  <c r="E1060" i="1"/>
  <c r="F1060" i="1"/>
  <c r="G1060" i="1"/>
  <c r="H1060" i="1"/>
  <c r="I1060" i="1"/>
  <c r="J1060" i="1"/>
  <c r="B1062" i="1"/>
  <c r="D1062" i="1"/>
  <c r="H1062" i="1"/>
  <c r="K1062" i="1"/>
  <c r="L1062" i="1"/>
  <c r="M1062" i="1"/>
  <c r="N1062" i="1"/>
  <c r="O1062" i="1"/>
  <c r="P1062" i="1"/>
  <c r="R1062" i="1"/>
  <c r="S1062" i="1"/>
  <c r="B1063" i="1"/>
  <c r="D1063" i="1"/>
  <c r="H1063" i="1"/>
  <c r="J1063" i="1"/>
  <c r="K1063" i="1"/>
  <c r="L1063" i="1"/>
  <c r="M1063" i="1"/>
  <c r="N1063" i="1"/>
  <c r="O1063" i="1"/>
  <c r="P1063" i="1"/>
  <c r="R1063" i="1"/>
  <c r="S1063" i="1"/>
  <c r="B1064" i="1"/>
  <c r="D1064" i="1"/>
  <c r="H1064" i="1"/>
  <c r="J1064" i="1"/>
  <c r="L1064" i="1"/>
  <c r="M1064" i="1"/>
  <c r="N1064" i="1"/>
  <c r="O1064" i="1"/>
  <c r="P1064" i="1"/>
  <c r="B1065" i="1"/>
  <c r="C1065" i="1"/>
  <c r="F1065" i="1"/>
  <c r="J1065" i="1"/>
  <c r="L1065" i="1"/>
  <c r="M1065" i="1"/>
  <c r="N1065" i="1"/>
  <c r="O1065" i="1"/>
  <c r="P1065" i="1"/>
  <c r="Q1065" i="1"/>
  <c r="C1066" i="1"/>
  <c r="D1066" i="1"/>
  <c r="E1066" i="1"/>
  <c r="G1066" i="1"/>
  <c r="L1066" i="1"/>
  <c r="M1066" i="1"/>
  <c r="N1066" i="1"/>
  <c r="O1066" i="1"/>
  <c r="P1066" i="1"/>
  <c r="Q1066" i="1"/>
  <c r="D1067" i="1"/>
  <c r="E1067" i="1"/>
  <c r="F1067" i="1"/>
  <c r="H1067" i="1"/>
  <c r="L1067" i="1"/>
  <c r="M1067" i="1"/>
  <c r="N1067" i="1"/>
  <c r="O1067" i="1"/>
  <c r="P1067" i="1"/>
  <c r="Q1067" i="1"/>
  <c r="E1068" i="1"/>
  <c r="F1068" i="1"/>
  <c r="G1068" i="1"/>
  <c r="L1068" i="1"/>
  <c r="M1068" i="1"/>
  <c r="N1068" i="1"/>
  <c r="O1068" i="1"/>
  <c r="P1068" i="1"/>
  <c r="Q1068" i="1"/>
  <c r="B1069" i="1"/>
  <c r="G1069" i="1"/>
  <c r="H1069" i="1"/>
  <c r="J1069" i="1"/>
  <c r="L1069" i="1"/>
  <c r="M1069" i="1"/>
  <c r="N1069" i="1"/>
  <c r="O1069" i="1"/>
  <c r="P1069" i="1"/>
  <c r="Q1069" i="1"/>
  <c r="C1070" i="1"/>
  <c r="G1070" i="1"/>
  <c r="H1070" i="1"/>
  <c r="I1070" i="1"/>
  <c r="L1070" i="1"/>
  <c r="M1070" i="1"/>
  <c r="N1070" i="1"/>
  <c r="O1070" i="1"/>
  <c r="P1070" i="1"/>
  <c r="Q1070" i="1"/>
  <c r="B1071" i="1"/>
  <c r="D1071" i="1"/>
  <c r="I1071" i="1"/>
  <c r="L1071" i="1"/>
  <c r="M1071" i="1"/>
  <c r="N1071" i="1"/>
  <c r="O1071" i="1"/>
  <c r="P1071" i="1"/>
  <c r="Q1071" i="1"/>
  <c r="E1072" i="1"/>
  <c r="I1072" i="1"/>
  <c r="J1072" i="1"/>
  <c r="L1072" i="1"/>
  <c r="M1072" i="1"/>
  <c r="N1072" i="1"/>
  <c r="O1072" i="1"/>
  <c r="P1072" i="1"/>
  <c r="Q1072" i="1"/>
  <c r="B1073" i="1"/>
  <c r="C1073" i="1"/>
  <c r="D1073" i="1"/>
  <c r="F1073" i="1"/>
  <c r="L1073" i="1"/>
  <c r="M1073" i="1"/>
  <c r="N1073" i="1"/>
  <c r="O1073" i="1"/>
  <c r="P1073" i="1"/>
  <c r="Q1073" i="1"/>
  <c r="C1074" i="1"/>
  <c r="E1074" i="1"/>
  <c r="L1074" i="1"/>
  <c r="M1074" i="1"/>
  <c r="N1074" i="1"/>
  <c r="O1074" i="1"/>
  <c r="P1074" i="1"/>
  <c r="Q1074" i="1"/>
  <c r="F1075" i="1"/>
  <c r="L1075" i="1"/>
  <c r="M1075" i="1"/>
  <c r="N1075" i="1"/>
  <c r="O1075" i="1"/>
  <c r="P1075" i="1"/>
  <c r="Q1075" i="1"/>
  <c r="E1076" i="1"/>
  <c r="G1076" i="1"/>
  <c r="I1076" i="1"/>
  <c r="L1076" i="1"/>
  <c r="M1076" i="1"/>
  <c r="N1076" i="1"/>
  <c r="O1076" i="1"/>
  <c r="P1076" i="1"/>
  <c r="Q1076" i="1"/>
  <c r="B1077" i="1"/>
  <c r="F1077" i="1"/>
  <c r="G1077" i="1"/>
  <c r="H1077" i="1"/>
  <c r="J1077" i="1"/>
  <c r="L1077" i="1"/>
  <c r="M1077" i="1"/>
  <c r="N1077" i="1"/>
  <c r="O1077" i="1"/>
  <c r="P1077" i="1"/>
  <c r="Q1077" i="1"/>
  <c r="C1078" i="1"/>
  <c r="G1078" i="1"/>
  <c r="L1078" i="1"/>
  <c r="M1078" i="1"/>
  <c r="N1078" i="1"/>
  <c r="O1078" i="1"/>
  <c r="P1078" i="1"/>
  <c r="Q1078" i="1"/>
  <c r="D1079" i="1"/>
  <c r="I1079" i="1"/>
  <c r="L1079" i="1"/>
  <c r="M1079" i="1"/>
  <c r="N1079" i="1"/>
  <c r="O1079" i="1"/>
  <c r="P1079" i="1"/>
  <c r="Q1079" i="1"/>
  <c r="B1080" i="1"/>
  <c r="E1080" i="1"/>
  <c r="I1080" i="1"/>
  <c r="J1080" i="1"/>
  <c r="L1080" i="1"/>
  <c r="M1080" i="1"/>
  <c r="N1080" i="1"/>
  <c r="O1080" i="1"/>
  <c r="P1080" i="1"/>
  <c r="Q1080" i="1"/>
  <c r="B1081" i="1"/>
  <c r="C1081" i="1"/>
  <c r="F1081" i="1"/>
  <c r="J1081" i="1"/>
  <c r="L1081" i="1"/>
  <c r="M1081" i="1"/>
  <c r="N1081" i="1"/>
  <c r="O1081" i="1"/>
  <c r="P1081" i="1"/>
  <c r="Q1081" i="1"/>
  <c r="C1082" i="1"/>
  <c r="D1082" i="1"/>
  <c r="G1082" i="1"/>
  <c r="L1082" i="1"/>
  <c r="M1082" i="1"/>
  <c r="N1082" i="1"/>
  <c r="O1082" i="1"/>
  <c r="P1082" i="1"/>
  <c r="Q1082" i="1"/>
  <c r="E1083" i="1"/>
  <c r="H1083" i="1"/>
  <c r="L1083" i="1"/>
  <c r="M1083" i="1"/>
  <c r="N1083" i="1"/>
  <c r="O1083" i="1"/>
  <c r="P1083" i="1"/>
  <c r="Q1083" i="1"/>
  <c r="F1084" i="1"/>
  <c r="G1084" i="1"/>
  <c r="L1084" i="1"/>
  <c r="M1084" i="1"/>
  <c r="N1084" i="1"/>
  <c r="O1084" i="1"/>
  <c r="P1084" i="1"/>
  <c r="Q1084" i="1"/>
  <c r="B1085" i="1"/>
  <c r="G1085" i="1"/>
  <c r="H1085" i="1"/>
  <c r="J1085" i="1"/>
  <c r="L1085" i="1"/>
  <c r="M1085" i="1"/>
  <c r="N1085" i="1"/>
  <c r="O1085" i="1"/>
  <c r="P1085" i="1"/>
  <c r="Q1085" i="1"/>
  <c r="A1086" i="1"/>
  <c r="B1086" i="1"/>
  <c r="F1086" i="1"/>
  <c r="H1086" i="1"/>
  <c r="L1086" i="1"/>
  <c r="M1086" i="1"/>
  <c r="N1086" i="1"/>
  <c r="O1086" i="1"/>
  <c r="P1086" i="1"/>
  <c r="Q1086" i="1"/>
  <c r="A1087" i="1"/>
  <c r="G1087" i="1"/>
  <c r="H1087" i="1"/>
  <c r="J1087" i="1"/>
  <c r="L1087" i="1"/>
  <c r="M1087" i="1"/>
  <c r="N1087" i="1"/>
  <c r="O1087" i="1"/>
  <c r="P1087" i="1"/>
  <c r="Q1087" i="1"/>
  <c r="A1088" i="1"/>
  <c r="B1088" i="1"/>
  <c r="F1088" i="1"/>
  <c r="G1088" i="1"/>
  <c r="J1088" i="1"/>
  <c r="L1088" i="1"/>
  <c r="M1088" i="1"/>
  <c r="N1088" i="1"/>
  <c r="O1088" i="1"/>
  <c r="P1088" i="1"/>
  <c r="Q1088" i="1"/>
  <c r="A1089" i="1"/>
  <c r="B1089" i="1"/>
  <c r="G1089" i="1"/>
  <c r="H1089" i="1"/>
  <c r="J1089" i="1"/>
  <c r="L1089" i="1"/>
  <c r="M1089" i="1"/>
  <c r="N1089" i="1"/>
  <c r="O1089" i="1"/>
  <c r="P1089" i="1"/>
  <c r="Q1089" i="1"/>
  <c r="A1090" i="1"/>
  <c r="B1090" i="1"/>
  <c r="D1090" i="1"/>
  <c r="F1090" i="1"/>
  <c r="J1090" i="1"/>
  <c r="L1090" i="1"/>
  <c r="M1090" i="1"/>
  <c r="N1090" i="1"/>
  <c r="O1090" i="1"/>
  <c r="P1090" i="1"/>
  <c r="Q1090" i="1"/>
  <c r="A1091" i="1"/>
  <c r="B1091" i="1"/>
  <c r="F1091" i="1"/>
  <c r="G1091" i="1"/>
  <c r="H1091" i="1"/>
  <c r="J1091" i="1"/>
  <c r="L1091" i="1"/>
  <c r="M1091" i="1"/>
  <c r="N1091" i="1"/>
  <c r="O1091" i="1"/>
  <c r="P1091" i="1"/>
  <c r="Q1091" i="1"/>
  <c r="A1092" i="1"/>
  <c r="B1092" i="1"/>
  <c r="D1092" i="1"/>
  <c r="H1092" i="1"/>
  <c r="L1092" i="1"/>
  <c r="M1092" i="1"/>
  <c r="N1092" i="1"/>
  <c r="O1092" i="1"/>
  <c r="P1092" i="1"/>
  <c r="Q1092" i="1"/>
  <c r="A1093" i="1"/>
  <c r="D1093" i="1"/>
  <c r="F1093" i="1"/>
  <c r="G1093" i="1"/>
  <c r="H1093" i="1"/>
  <c r="L1093" i="1"/>
  <c r="M1093" i="1"/>
  <c r="N1093" i="1"/>
  <c r="O1093" i="1"/>
  <c r="P1093" i="1"/>
  <c r="Q1093" i="1"/>
  <c r="A1094" i="1"/>
  <c r="D1094" i="1"/>
  <c r="F1094" i="1"/>
  <c r="H1094" i="1"/>
  <c r="L1094" i="1"/>
  <c r="M1094" i="1"/>
  <c r="N1094" i="1"/>
  <c r="O1094" i="1"/>
  <c r="P1094" i="1"/>
  <c r="Q1094" i="1"/>
  <c r="A1095" i="1"/>
  <c r="D1095" i="1"/>
  <c r="F1095" i="1"/>
  <c r="H1095" i="1"/>
  <c r="J1095" i="1"/>
  <c r="L1095" i="1"/>
  <c r="M1095" i="1"/>
  <c r="N1095" i="1"/>
  <c r="O1095" i="1"/>
  <c r="P1095" i="1"/>
  <c r="Q1095" i="1"/>
  <c r="A1096" i="1"/>
  <c r="B1096" i="1"/>
  <c r="D1096" i="1"/>
  <c r="G1096" i="1"/>
  <c r="J1096" i="1"/>
  <c r="L1096" i="1"/>
  <c r="M1096" i="1"/>
  <c r="N1096" i="1"/>
  <c r="O1096" i="1"/>
  <c r="P1096" i="1"/>
  <c r="Q1096" i="1"/>
  <c r="A1097" i="1"/>
  <c r="B1097" i="1"/>
  <c r="F1097" i="1"/>
  <c r="G1097" i="1"/>
  <c r="H1097" i="1"/>
  <c r="J1097" i="1"/>
  <c r="L1097" i="1"/>
  <c r="M1097" i="1"/>
  <c r="N1097" i="1"/>
  <c r="O1097" i="1"/>
  <c r="P1097" i="1"/>
  <c r="Q1097" i="1"/>
  <c r="A1098" i="1"/>
  <c r="B1098" i="1"/>
  <c r="F1098" i="1"/>
  <c r="J1098" i="1"/>
  <c r="L1098" i="1"/>
  <c r="M1098" i="1"/>
  <c r="N1098" i="1"/>
  <c r="O1098" i="1"/>
  <c r="P1098" i="1"/>
  <c r="Q1098" i="1"/>
  <c r="A1099" i="1"/>
  <c r="B1099" i="1"/>
  <c r="D1099" i="1"/>
  <c r="F1099" i="1"/>
  <c r="G1099" i="1"/>
  <c r="H1099" i="1"/>
  <c r="L1099" i="1"/>
  <c r="M1099" i="1"/>
  <c r="N1099" i="1"/>
  <c r="O1099" i="1"/>
  <c r="P1099" i="1"/>
  <c r="Q1099" i="1"/>
  <c r="A1100" i="1"/>
  <c r="D1100" i="1"/>
  <c r="H1100" i="1"/>
  <c r="J1100" i="1"/>
  <c r="L1100" i="1"/>
  <c r="M1100" i="1"/>
  <c r="N1100" i="1"/>
  <c r="O1100" i="1"/>
  <c r="P1100" i="1"/>
  <c r="Q1100" i="1"/>
  <c r="A1101" i="1"/>
  <c r="B1101" i="1"/>
  <c r="D1101" i="1"/>
  <c r="F1101" i="1"/>
  <c r="G1101" i="1"/>
  <c r="L1101" i="1"/>
  <c r="M1101" i="1"/>
  <c r="N1101" i="1"/>
  <c r="O1101" i="1"/>
  <c r="P1101" i="1"/>
  <c r="Q1101" i="1"/>
  <c r="A1102" i="1"/>
  <c r="F1102" i="1"/>
  <c r="H1102" i="1"/>
  <c r="J1102" i="1"/>
  <c r="L1102" i="1"/>
  <c r="M1102" i="1"/>
  <c r="N1102" i="1"/>
  <c r="O1102" i="1"/>
  <c r="P1102" i="1"/>
  <c r="Q1102" i="1"/>
  <c r="A1103" i="1"/>
  <c r="B1103" i="1"/>
  <c r="D1103" i="1"/>
  <c r="F1103" i="1"/>
  <c r="H1103" i="1"/>
  <c r="L1103" i="1"/>
  <c r="M1103" i="1"/>
  <c r="N1103" i="1"/>
  <c r="O1103" i="1"/>
  <c r="P1103" i="1"/>
  <c r="Q1103" i="1"/>
  <c r="A1104" i="1"/>
  <c r="D1104" i="1"/>
  <c r="G1104" i="1"/>
  <c r="H1104" i="1"/>
  <c r="J1104" i="1"/>
  <c r="L1104" i="1"/>
  <c r="M1104" i="1"/>
  <c r="N1104" i="1"/>
  <c r="O1104" i="1"/>
  <c r="P1104" i="1"/>
  <c r="Q1104" i="1"/>
  <c r="A1105" i="1"/>
  <c r="B1105" i="1"/>
  <c r="F1105" i="1"/>
  <c r="G1105" i="1"/>
  <c r="J1105" i="1"/>
  <c r="L1105" i="1"/>
  <c r="M1105" i="1"/>
  <c r="N1105" i="1"/>
  <c r="O1105" i="1"/>
  <c r="P1105" i="1"/>
  <c r="Q1105" i="1"/>
  <c r="A1106" i="1"/>
  <c r="B1106" i="1"/>
  <c r="F1106" i="1"/>
  <c r="G1106" i="1"/>
  <c r="J1106" i="1"/>
  <c r="L1106" i="1"/>
  <c r="M1106" i="1"/>
  <c r="N1106" i="1"/>
  <c r="O1106" i="1"/>
  <c r="P1106" i="1"/>
  <c r="Q1106" i="1"/>
  <c r="A1107" i="1"/>
  <c r="B1107" i="1"/>
  <c r="D1107" i="1"/>
  <c r="F1107" i="1"/>
  <c r="H1107" i="1"/>
  <c r="L1107" i="1"/>
  <c r="M1107" i="1"/>
  <c r="N1107" i="1"/>
  <c r="O1107" i="1"/>
  <c r="P1107" i="1"/>
  <c r="Q1107" i="1"/>
  <c r="A1108" i="1"/>
  <c r="D1108" i="1"/>
  <c r="G1108" i="1"/>
  <c r="H1108" i="1"/>
  <c r="J1108" i="1"/>
  <c r="L1108" i="1"/>
  <c r="M1108" i="1"/>
  <c r="N1108" i="1"/>
  <c r="O1108" i="1"/>
  <c r="P1108" i="1"/>
  <c r="Q1108" i="1"/>
  <c r="A1109" i="1"/>
  <c r="B1109" i="1"/>
  <c r="D1109" i="1"/>
  <c r="G1109" i="1"/>
  <c r="L1109" i="1"/>
  <c r="M1109" i="1"/>
  <c r="N1109" i="1"/>
  <c r="O1109" i="1"/>
  <c r="P1109" i="1"/>
  <c r="Q1109" i="1"/>
  <c r="A1110" i="1"/>
  <c r="C1110" i="1" s="1"/>
  <c r="G1110" i="1"/>
  <c r="H1110" i="1"/>
  <c r="J1110" i="1"/>
  <c r="M1110" i="1"/>
  <c r="O1110" i="1"/>
  <c r="P1110" i="1"/>
  <c r="Q1110" i="1"/>
  <c r="A1111" i="1"/>
  <c r="B1111" i="1"/>
  <c r="D1111" i="1"/>
  <c r="F1111" i="1"/>
  <c r="G1111" i="1"/>
  <c r="M1111" i="1"/>
  <c r="O1111" i="1"/>
  <c r="P1111" i="1"/>
  <c r="Q1111" i="1"/>
  <c r="A1112" i="1"/>
  <c r="C1112" i="1" s="1"/>
  <c r="B1112" i="1"/>
  <c r="D1112" i="1"/>
  <c r="H1112" i="1"/>
  <c r="M1112" i="1"/>
  <c r="O1112" i="1"/>
  <c r="P1112" i="1"/>
  <c r="Q1112" i="1"/>
  <c r="A1113" i="1"/>
  <c r="D1113" i="1"/>
  <c r="G1113" i="1"/>
  <c r="H1113" i="1"/>
  <c r="J1113" i="1"/>
  <c r="M1113" i="1"/>
  <c r="O1113" i="1"/>
  <c r="P1113" i="1"/>
  <c r="Q1113" i="1"/>
  <c r="A1114" i="1"/>
  <c r="B1114" i="1"/>
  <c r="D1114" i="1"/>
  <c r="F1114" i="1"/>
  <c r="G1114" i="1"/>
  <c r="J1114" i="1"/>
  <c r="M1114" i="1"/>
  <c r="O1114" i="1"/>
  <c r="P1114" i="1"/>
  <c r="Q1114" i="1"/>
  <c r="A1115" i="1"/>
  <c r="C1115" i="1" s="1"/>
  <c r="B1115" i="1"/>
  <c r="F1115" i="1"/>
  <c r="G1115" i="1"/>
  <c r="M1115" i="1"/>
  <c r="O1115" i="1"/>
  <c r="P1115" i="1"/>
  <c r="Q1115" i="1"/>
  <c r="A1116" i="1"/>
  <c r="B1116" i="1"/>
  <c r="F1116" i="1"/>
  <c r="O1116" i="1"/>
  <c r="P1116" i="1"/>
  <c r="A1117" i="1"/>
  <c r="D1117" i="1"/>
  <c r="G1117" i="1"/>
  <c r="O1117" i="1"/>
  <c r="A1118" i="1"/>
  <c r="D1118" i="1"/>
  <c r="F1118" i="1"/>
  <c r="P1118" i="1"/>
  <c r="Q1118" i="1"/>
  <c r="E1109" i="3" l="1"/>
  <c r="E1107" i="3"/>
  <c r="E1103" i="3"/>
  <c r="E1100" i="3"/>
  <c r="E1093" i="3"/>
  <c r="E1091" i="3"/>
  <c r="E1075" i="3"/>
  <c r="B1113" i="1"/>
  <c r="J1107" i="1"/>
  <c r="B1104" i="1"/>
  <c r="D1102" i="1"/>
  <c r="H1101" i="1"/>
  <c r="G1100" i="1"/>
  <c r="I1100" i="1"/>
  <c r="B1100" i="1"/>
  <c r="J1099" i="1"/>
  <c r="E1099" i="1"/>
  <c r="G1098" i="1"/>
  <c r="I1098" i="1"/>
  <c r="D1098" i="1"/>
  <c r="E1097" i="1"/>
  <c r="F1096" i="1"/>
  <c r="H1096" i="1"/>
  <c r="I1096" i="1"/>
  <c r="B1095" i="1"/>
  <c r="E1095" i="1"/>
  <c r="G1094" i="1"/>
  <c r="I1094" i="1"/>
  <c r="J1094" i="1"/>
  <c r="J1093" i="1"/>
  <c r="B1093" i="1"/>
  <c r="E1093" i="1"/>
  <c r="F1092" i="1"/>
  <c r="G1092" i="1"/>
  <c r="I1092" i="1"/>
  <c r="J1092" i="1"/>
  <c r="D1091" i="1"/>
  <c r="E1091" i="1"/>
  <c r="G1090" i="1"/>
  <c r="H1090" i="1"/>
  <c r="I1090" i="1"/>
  <c r="D1089" i="1"/>
  <c r="E1089" i="1"/>
  <c r="F1089" i="1"/>
  <c r="H1088" i="1"/>
  <c r="I1088" i="1"/>
  <c r="B1087" i="1"/>
  <c r="E1087" i="1"/>
  <c r="G1086" i="1"/>
  <c r="I1086" i="1"/>
  <c r="J1086" i="1"/>
  <c r="E1085" i="1"/>
  <c r="I1084" i="1"/>
  <c r="E1084" i="1"/>
  <c r="D1083" i="1"/>
  <c r="F1083" i="1"/>
  <c r="I1082" i="1"/>
  <c r="E1082" i="1"/>
  <c r="D1081" i="1"/>
  <c r="E1081" i="1"/>
  <c r="C1080" i="1"/>
  <c r="J1079" i="1"/>
  <c r="B1079" i="1"/>
  <c r="E1079" i="1"/>
  <c r="H1079" i="1"/>
  <c r="H1078" i="1"/>
  <c r="I1078" i="1"/>
  <c r="E1077" i="1"/>
  <c r="F1076" i="1"/>
  <c r="D1075" i="1"/>
  <c r="E1075" i="1"/>
  <c r="H1075" i="1"/>
  <c r="G1074" i="1"/>
  <c r="I1074" i="1"/>
  <c r="D1074" i="1"/>
  <c r="J1073" i="1"/>
  <c r="E1073" i="1"/>
  <c r="B1072" i="1"/>
  <c r="J1071" i="1"/>
  <c r="E1071" i="1"/>
  <c r="H1071" i="1"/>
  <c r="E1069" i="1"/>
  <c r="I1068" i="1"/>
  <c r="I1066" i="1"/>
  <c r="D1065" i="1"/>
  <c r="E1063" i="1"/>
  <c r="J1062" i="1"/>
  <c r="C1062" i="1"/>
  <c r="C1109" i="3"/>
  <c r="C1086" i="3"/>
  <c r="C1084" i="3"/>
  <c r="C1065" i="3"/>
  <c r="J1115" i="1"/>
  <c r="F1110" i="1"/>
  <c r="F1100" i="1"/>
  <c r="H1098" i="1"/>
  <c r="D1097" i="1"/>
  <c r="F1130" i="4"/>
  <c r="B1088" i="4"/>
  <c r="G1147" i="4"/>
  <c r="K1146" i="4"/>
  <c r="K1145" i="4"/>
  <c r="K1144" i="4"/>
  <c r="C1143" i="4"/>
  <c r="K1142" i="4"/>
  <c r="E1141" i="4"/>
  <c r="G1141" i="4"/>
  <c r="I1140" i="4"/>
  <c r="K1140" i="4"/>
  <c r="C1140" i="4"/>
  <c r="E1140" i="4"/>
  <c r="G1140" i="4"/>
  <c r="I1139" i="4"/>
  <c r="K1139" i="4"/>
  <c r="C1139" i="4"/>
  <c r="E1139" i="4"/>
  <c r="G1139" i="4"/>
  <c r="I1138" i="4"/>
  <c r="K1138" i="4"/>
  <c r="C1138" i="4"/>
  <c r="E1138" i="4"/>
  <c r="G1138" i="4"/>
  <c r="I1137" i="4"/>
  <c r="K1137" i="4"/>
  <c r="C1137" i="4"/>
  <c r="E1137" i="4"/>
  <c r="G1137" i="4"/>
  <c r="I1136" i="4"/>
  <c r="K1136" i="4"/>
  <c r="C1136" i="4"/>
  <c r="E1136" i="4"/>
  <c r="G1136" i="4"/>
  <c r="I1135" i="4"/>
  <c r="K1135" i="4"/>
  <c r="C1135" i="4"/>
  <c r="E1135" i="4"/>
  <c r="G1135" i="4"/>
  <c r="I1134" i="4"/>
  <c r="K1134" i="4"/>
  <c r="C1134" i="4"/>
  <c r="E1134" i="4"/>
  <c r="G1134" i="4"/>
  <c r="I1133" i="4"/>
  <c r="K1133" i="4"/>
  <c r="C1133" i="4"/>
  <c r="E1133" i="4"/>
  <c r="G1133" i="4"/>
  <c r="I1132" i="4"/>
  <c r="K1132" i="4"/>
  <c r="C1132" i="4"/>
  <c r="E1132" i="4"/>
  <c r="G1132" i="4"/>
  <c r="I1131" i="4"/>
  <c r="K1131" i="4"/>
  <c r="C1131" i="4"/>
  <c r="E1131" i="4"/>
  <c r="G1131" i="4"/>
  <c r="I1130" i="4"/>
  <c r="K1130" i="4"/>
  <c r="C1130" i="4"/>
  <c r="E1130" i="4"/>
  <c r="G1130" i="4"/>
  <c r="I1129" i="4"/>
  <c r="K1129" i="4"/>
  <c r="C1129" i="4"/>
  <c r="E1129" i="4"/>
  <c r="G1129" i="4"/>
  <c r="I1128" i="4"/>
  <c r="K1128" i="4"/>
  <c r="C1128" i="4"/>
  <c r="E1128" i="4"/>
  <c r="G1128" i="4"/>
  <c r="I1127" i="4"/>
  <c r="K1127" i="4"/>
  <c r="C1127" i="4"/>
  <c r="E1127" i="4"/>
  <c r="G1127" i="4"/>
  <c r="I1126" i="4"/>
  <c r="K1126" i="4"/>
  <c r="C1126" i="4"/>
  <c r="E1126" i="4"/>
  <c r="G1126" i="4"/>
  <c r="I1125" i="4"/>
  <c r="K1125" i="4"/>
  <c r="C1125" i="4"/>
  <c r="E1125" i="4"/>
  <c r="G1125" i="4"/>
  <c r="I1124" i="4"/>
  <c r="K1124" i="4"/>
  <c r="C1124" i="4"/>
  <c r="E1124" i="4"/>
  <c r="G1124" i="4"/>
  <c r="I1123" i="4"/>
  <c r="K1123" i="4"/>
  <c r="C1123" i="4"/>
  <c r="E1123" i="4"/>
  <c r="G1123" i="4"/>
  <c r="I1122" i="4"/>
  <c r="K1122" i="4"/>
  <c r="C1122" i="4"/>
  <c r="E1122" i="4"/>
  <c r="G1122" i="4"/>
  <c r="I1121" i="4"/>
  <c r="K1121" i="4"/>
  <c r="C1121" i="4"/>
  <c r="E1121" i="4"/>
  <c r="G1121" i="4"/>
  <c r="I1120" i="4"/>
  <c r="K1120" i="4"/>
  <c r="C1120" i="4"/>
  <c r="E1120" i="4"/>
  <c r="G1120" i="4"/>
  <c r="I1119" i="4"/>
  <c r="K1119" i="4"/>
  <c r="C1119" i="4"/>
  <c r="E1119" i="4"/>
  <c r="G1119" i="4"/>
  <c r="I1118" i="4"/>
  <c r="K1118" i="4"/>
  <c r="C1118" i="4"/>
  <c r="E1118" i="4"/>
  <c r="G1118" i="4"/>
  <c r="I1117" i="4"/>
  <c r="K1117" i="4"/>
  <c r="C1117" i="4"/>
  <c r="E1117" i="4"/>
  <c r="G1117" i="4"/>
  <c r="I1116" i="4"/>
  <c r="K1116" i="4"/>
  <c r="C1116" i="4"/>
  <c r="E1116" i="4"/>
  <c r="G1116" i="4"/>
  <c r="I1115" i="4"/>
  <c r="K1115" i="4"/>
  <c r="C1115" i="4"/>
  <c r="E1115" i="4"/>
  <c r="G1115" i="4"/>
  <c r="I1114" i="4"/>
  <c r="K1114" i="4"/>
  <c r="C1114" i="4"/>
  <c r="E1114" i="4"/>
  <c r="G1114" i="4"/>
  <c r="I1113" i="4"/>
  <c r="K1113" i="4"/>
  <c r="C1113" i="4"/>
  <c r="E1113" i="4"/>
  <c r="G1113" i="4"/>
  <c r="I1112" i="4"/>
  <c r="K1112" i="4"/>
  <c r="C1112" i="4"/>
  <c r="E1112" i="4"/>
  <c r="G1112" i="4"/>
  <c r="I1111" i="4"/>
  <c r="K1111" i="4"/>
  <c r="C1111" i="4"/>
  <c r="E1111" i="4"/>
  <c r="G1111" i="4"/>
  <c r="I1110" i="4"/>
  <c r="K1110" i="4"/>
  <c r="C1110" i="4"/>
  <c r="E1110" i="4"/>
  <c r="G1110" i="4"/>
  <c r="I1109" i="4"/>
  <c r="K1109" i="4"/>
  <c r="C1109" i="4"/>
  <c r="E1109" i="4"/>
  <c r="G1109" i="4"/>
  <c r="I1108" i="4"/>
  <c r="K1108" i="4"/>
  <c r="C1108" i="4"/>
  <c r="E1108" i="4"/>
  <c r="G1108" i="4"/>
  <c r="I1107" i="4"/>
  <c r="K1107" i="4"/>
  <c r="C1107" i="4"/>
  <c r="E1107" i="4"/>
  <c r="G1107" i="4"/>
  <c r="I1106" i="4"/>
  <c r="K1106" i="4"/>
  <c r="C1106" i="4"/>
  <c r="E1106" i="4"/>
  <c r="G1106" i="4"/>
  <c r="I1105" i="4"/>
  <c r="K1105" i="4"/>
  <c r="C1105" i="4"/>
  <c r="E1105" i="4"/>
  <c r="G1105" i="4"/>
  <c r="I1104" i="4"/>
  <c r="K1104" i="4"/>
  <c r="C1104" i="4"/>
  <c r="E1104" i="4"/>
  <c r="G1104" i="4"/>
  <c r="I1102" i="4"/>
  <c r="K1102" i="4"/>
  <c r="C1102" i="4"/>
  <c r="E1102" i="4"/>
  <c r="G1102" i="4"/>
  <c r="I1101" i="4"/>
  <c r="K1101" i="4"/>
  <c r="C1101" i="4"/>
  <c r="E1101" i="4"/>
  <c r="G1101" i="4"/>
  <c r="I1100" i="4"/>
  <c r="K1100" i="4"/>
  <c r="C1100" i="4"/>
  <c r="E1100" i="4"/>
  <c r="G1100" i="4"/>
  <c r="I1099" i="4"/>
  <c r="K1099" i="4"/>
  <c r="C1099" i="4"/>
  <c r="E1099" i="4"/>
  <c r="G1099" i="4"/>
  <c r="I1098" i="4"/>
  <c r="K1098" i="4"/>
  <c r="C1098" i="4"/>
  <c r="E1098" i="4"/>
  <c r="G1098" i="4"/>
  <c r="I1097" i="4"/>
  <c r="K1097" i="4"/>
  <c r="C1097" i="4"/>
  <c r="E1097" i="4"/>
  <c r="G1097" i="4"/>
  <c r="I1096" i="4"/>
  <c r="K1096" i="4"/>
  <c r="C1096" i="4"/>
  <c r="E1096" i="4"/>
  <c r="G1096" i="4"/>
  <c r="I1095" i="4"/>
  <c r="K1095" i="4"/>
  <c r="C1095" i="4"/>
  <c r="E1095" i="4"/>
  <c r="G1095" i="4"/>
  <c r="I1094" i="4"/>
  <c r="K1094" i="4"/>
  <c r="C1094" i="4"/>
  <c r="E1094" i="4"/>
  <c r="G1094" i="4"/>
  <c r="I1093" i="4"/>
  <c r="K1093" i="4"/>
  <c r="C1093" i="4"/>
  <c r="E1093" i="4"/>
  <c r="G1093" i="4"/>
  <c r="I1092" i="4"/>
  <c r="K1092" i="4"/>
  <c r="C1092" i="4"/>
  <c r="E1092" i="4"/>
  <c r="G1092" i="4"/>
  <c r="I1091" i="4"/>
  <c r="K1091" i="4"/>
  <c r="C1091" i="4"/>
  <c r="E1091" i="4"/>
  <c r="G1091" i="4"/>
  <c r="I1090" i="4"/>
  <c r="K1090" i="4"/>
  <c r="C1090" i="4"/>
  <c r="E1090" i="4"/>
  <c r="G1090" i="4"/>
  <c r="I1089" i="4"/>
  <c r="K1089" i="4"/>
  <c r="C1089" i="4"/>
  <c r="E1089" i="4"/>
  <c r="G1089" i="4"/>
  <c r="I1088" i="4"/>
  <c r="K1088" i="4"/>
  <c r="C1088" i="4"/>
  <c r="E1088" i="4"/>
  <c r="G1088" i="4"/>
  <c r="I1087" i="4"/>
  <c r="K1087" i="4"/>
  <c r="C1087" i="4"/>
  <c r="E1087" i="4"/>
  <c r="G1087" i="4"/>
  <c r="I1086" i="4"/>
  <c r="K1086" i="4"/>
  <c r="C1086" i="4"/>
  <c r="E1086" i="4"/>
  <c r="G1086" i="4"/>
  <c r="I1085" i="4"/>
  <c r="K1085" i="4"/>
  <c r="C1085" i="4"/>
  <c r="E1085" i="4"/>
  <c r="G1085" i="4"/>
  <c r="I1084" i="4"/>
  <c r="K1084" i="4"/>
  <c r="C1084" i="4"/>
  <c r="E1084" i="4"/>
  <c r="G1084" i="4"/>
  <c r="I1083" i="4"/>
  <c r="K1083" i="4"/>
  <c r="C1083" i="4"/>
  <c r="E1083" i="4"/>
  <c r="G1083" i="4"/>
  <c r="I1082" i="4"/>
  <c r="K1082" i="4"/>
  <c r="C1082" i="4"/>
  <c r="E1082" i="4"/>
  <c r="G1082" i="4"/>
  <c r="I1081" i="4"/>
  <c r="K1081" i="4"/>
  <c r="C1081" i="4"/>
  <c r="E1081" i="4"/>
  <c r="G1081" i="4"/>
  <c r="I1080" i="4"/>
  <c r="K1080" i="4"/>
  <c r="C1080" i="4"/>
  <c r="E1080" i="4"/>
  <c r="G1080" i="4"/>
  <c r="I1079" i="4"/>
  <c r="K1079" i="4"/>
  <c r="C1079" i="4"/>
  <c r="E1079" i="4"/>
  <c r="G1079" i="4"/>
  <c r="G1148" i="4"/>
  <c r="C1147" i="4"/>
  <c r="E1146" i="4"/>
  <c r="C1145" i="4"/>
  <c r="I1144" i="4"/>
  <c r="G1144" i="4"/>
  <c r="E1143" i="4"/>
  <c r="C1142" i="4"/>
  <c r="C1141" i="4"/>
  <c r="D1148" i="4"/>
  <c r="D1145" i="4"/>
  <c r="D1144" i="4"/>
  <c r="B1142" i="4"/>
  <c r="D1139" i="4"/>
  <c r="D1138" i="4"/>
  <c r="J1136" i="4"/>
  <c r="J1134" i="4"/>
  <c r="H1132" i="4"/>
  <c r="D1132" i="4"/>
  <c r="J1131" i="4"/>
  <c r="J1130" i="4"/>
  <c r="J1129" i="4"/>
  <c r="J1128" i="4"/>
  <c r="H1127" i="4"/>
  <c r="D1127" i="4"/>
  <c r="D1126" i="4"/>
  <c r="B1125" i="4"/>
  <c r="B1124" i="4"/>
  <c r="J1123" i="4"/>
  <c r="B1122" i="4"/>
  <c r="J1121" i="4"/>
  <c r="J1120" i="4"/>
  <c r="H1119" i="4"/>
  <c r="D1119" i="4"/>
  <c r="B1118" i="4"/>
  <c r="B1117" i="4"/>
  <c r="J1116" i="4"/>
  <c r="H1115" i="4"/>
  <c r="D1115" i="4"/>
  <c r="F1114" i="4"/>
  <c r="J1114" i="4"/>
  <c r="D1113" i="4"/>
  <c r="J1112" i="4"/>
  <c r="D1112" i="4"/>
  <c r="H1111" i="4"/>
  <c r="B1111" i="4"/>
  <c r="H1110" i="4"/>
  <c r="D1110" i="4"/>
  <c r="H1109" i="4"/>
  <c r="B1109" i="4"/>
  <c r="H1108" i="4"/>
  <c r="B1108" i="4"/>
  <c r="J1107" i="4"/>
  <c r="D1107" i="4"/>
  <c r="H1106" i="4"/>
  <c r="D1106" i="4"/>
  <c r="H1105" i="4"/>
  <c r="B1105" i="4"/>
  <c r="J1104" i="4"/>
  <c r="D1104" i="4"/>
  <c r="H1102" i="4"/>
  <c r="B1102" i="4"/>
  <c r="H1101" i="4"/>
  <c r="B1101" i="4"/>
  <c r="H1100" i="4"/>
  <c r="B1100" i="4"/>
  <c r="H1099" i="4"/>
  <c r="B1099" i="4"/>
  <c r="J1098" i="4"/>
  <c r="D1098" i="4"/>
  <c r="H1097" i="4"/>
  <c r="D1097" i="4"/>
  <c r="J1096" i="4"/>
  <c r="D1096" i="4"/>
  <c r="J1095" i="4"/>
  <c r="D1095" i="4"/>
  <c r="H1094" i="4"/>
  <c r="B1094" i="4"/>
  <c r="H1093" i="4"/>
  <c r="D1093" i="4"/>
  <c r="J1092" i="4"/>
  <c r="D1092" i="4"/>
  <c r="H1091" i="4"/>
  <c r="B1091" i="4"/>
  <c r="H1090" i="4"/>
  <c r="K1147" i="4"/>
  <c r="I1146" i="4"/>
  <c r="G1146" i="4"/>
  <c r="E1145" i="4"/>
  <c r="E1144" i="4"/>
  <c r="K1143" i="4"/>
  <c r="G1142" i="4"/>
  <c r="K1141" i="4"/>
  <c r="J1148" i="4"/>
  <c r="D1147" i="4"/>
  <c r="D1146" i="4"/>
  <c r="B1144" i="4"/>
  <c r="D1143" i="4"/>
  <c r="D1142" i="4"/>
  <c r="D1140" i="4"/>
  <c r="B1138" i="4"/>
  <c r="H1137" i="4"/>
  <c r="B1136" i="4"/>
  <c r="H1135" i="4"/>
  <c r="D1134" i="4"/>
  <c r="D1133" i="4"/>
  <c r="J1132" i="4"/>
  <c r="D1131" i="4"/>
  <c r="B1130" i="4"/>
  <c r="H1129" i="4"/>
  <c r="D1129" i="4"/>
  <c r="H1128" i="4"/>
  <c r="B1128" i="4"/>
  <c r="J1127" i="4"/>
  <c r="H1126" i="4"/>
  <c r="B1126" i="4"/>
  <c r="J1125" i="4"/>
  <c r="H1124" i="4"/>
  <c r="D1124" i="4"/>
  <c r="H1123" i="4"/>
  <c r="D1123" i="4"/>
  <c r="J1122" i="4"/>
  <c r="H1121" i="4"/>
  <c r="D1121" i="4"/>
  <c r="H1120" i="4"/>
  <c r="D1120" i="4"/>
  <c r="B1119" i="4"/>
  <c r="J1118" i="4"/>
  <c r="J1117" i="4"/>
  <c r="B1116" i="4"/>
  <c r="F1115" i="4"/>
  <c r="B1115" i="4"/>
  <c r="H1114" i="4"/>
  <c r="B1114" i="4"/>
  <c r="H1113" i="4"/>
  <c r="B1113" i="4"/>
  <c r="H1112" i="4"/>
  <c r="B1112" i="4"/>
  <c r="J1111" i="4"/>
  <c r="D1111" i="4"/>
  <c r="J1110" i="4"/>
  <c r="B1110" i="4"/>
  <c r="J1109" i="4"/>
  <c r="D1109" i="4"/>
  <c r="J1108" i="4"/>
  <c r="D1108" i="4"/>
  <c r="H1107" i="4"/>
  <c r="B1107" i="4"/>
  <c r="J1106" i="4"/>
  <c r="B1106" i="4"/>
  <c r="J1105" i="4"/>
  <c r="D1105" i="4"/>
  <c r="H1104" i="4"/>
  <c r="B1104" i="4"/>
  <c r="J1102" i="4"/>
  <c r="D1102" i="4"/>
  <c r="J1101" i="4"/>
  <c r="D1101" i="4"/>
  <c r="J1100" i="4"/>
  <c r="D1100" i="4"/>
  <c r="J1099" i="4"/>
  <c r="D1099" i="4"/>
  <c r="H1098" i="4"/>
  <c r="B1098" i="4"/>
  <c r="J1097" i="4"/>
  <c r="B1097" i="4"/>
  <c r="H1096" i="4"/>
  <c r="B1096" i="4"/>
  <c r="H1095" i="4"/>
  <c r="B1095" i="4"/>
  <c r="J1094" i="4"/>
  <c r="D1094" i="4"/>
  <c r="J1093" i="4"/>
  <c r="B1093" i="4"/>
  <c r="H1092" i="4"/>
  <c r="B1092" i="4"/>
  <c r="J1091" i="4"/>
  <c r="D1091" i="4"/>
  <c r="J1090" i="4"/>
  <c r="B1090" i="4"/>
  <c r="D1090" i="4"/>
  <c r="H1089" i="4"/>
  <c r="J1089" i="4"/>
  <c r="B1089" i="4"/>
  <c r="D1089" i="4"/>
  <c r="H1088" i="4"/>
  <c r="J1088" i="4"/>
  <c r="D1088" i="4"/>
  <c r="H1087" i="4"/>
  <c r="J1087" i="4"/>
  <c r="B1087" i="4"/>
  <c r="D1087" i="4"/>
  <c r="H1086" i="4"/>
  <c r="J1086" i="4"/>
  <c r="B1086" i="4"/>
  <c r="D1086" i="4"/>
  <c r="H1085" i="4"/>
  <c r="J1085" i="4"/>
  <c r="B1085" i="4"/>
  <c r="D1085" i="4"/>
  <c r="H1084" i="4"/>
  <c r="J1084" i="4"/>
  <c r="B1084" i="4"/>
  <c r="D1084" i="4"/>
  <c r="C1118" i="1"/>
  <c r="L1118" i="1"/>
  <c r="E1118" i="1"/>
  <c r="N1118" i="1"/>
  <c r="J1118" i="1"/>
  <c r="M1118" i="1"/>
  <c r="H1118" i="1"/>
  <c r="G1118" i="1"/>
  <c r="I1118" i="1"/>
  <c r="O1118" i="1"/>
  <c r="B1118" i="1"/>
  <c r="A1119" i="1"/>
  <c r="E1148" i="4"/>
  <c r="I1147" i="4"/>
  <c r="E1147" i="4"/>
  <c r="C1146" i="4"/>
  <c r="I1145" i="4"/>
  <c r="G1145" i="4"/>
  <c r="C1144" i="4"/>
  <c r="I1143" i="4"/>
  <c r="G1143" i="4"/>
  <c r="I1142" i="4"/>
  <c r="E1142" i="4"/>
  <c r="I1141" i="4"/>
  <c r="H1147" i="4"/>
  <c r="H1145" i="4"/>
  <c r="J1142" i="4"/>
  <c r="D1141" i="4"/>
  <c r="B1140" i="4"/>
  <c r="J1138" i="4"/>
  <c r="D1137" i="4"/>
  <c r="D1136" i="4"/>
  <c r="D1135" i="4"/>
  <c r="B1134" i="4"/>
  <c r="H1133" i="4"/>
  <c r="B1132" i="4"/>
  <c r="H1131" i="4"/>
  <c r="B1131" i="4"/>
  <c r="H1130" i="4"/>
  <c r="D1130" i="4"/>
  <c r="B1129" i="4"/>
  <c r="D1128" i="4"/>
  <c r="F1127" i="4"/>
  <c r="B1127" i="4"/>
  <c r="J1126" i="4"/>
  <c r="H1125" i="4"/>
  <c r="D1125" i="4"/>
  <c r="J1124" i="4"/>
  <c r="B1123" i="4"/>
  <c r="H1122" i="4"/>
  <c r="D1122" i="4"/>
  <c r="B1121" i="4"/>
  <c r="B1120" i="4"/>
  <c r="J1119" i="4"/>
  <c r="H1118" i="4"/>
  <c r="D1118" i="4"/>
  <c r="H1117" i="4"/>
  <c r="D1117" i="4"/>
  <c r="H1116" i="4"/>
  <c r="D1116" i="4"/>
  <c r="J1115" i="4"/>
  <c r="D1114" i="4"/>
  <c r="J1113" i="4"/>
  <c r="C1117" i="1"/>
  <c r="L1117" i="1"/>
  <c r="E1117" i="1"/>
  <c r="N1117" i="1"/>
  <c r="F1117" i="1"/>
  <c r="Q1117" i="1"/>
  <c r="B1117" i="1"/>
  <c r="P1117" i="1"/>
  <c r="M1117" i="1"/>
  <c r="C1116" i="1"/>
  <c r="L1116" i="1"/>
  <c r="E1116" i="1"/>
  <c r="N1116" i="1"/>
  <c r="J1116" i="1"/>
  <c r="G1116" i="1"/>
  <c r="D1116" i="1"/>
  <c r="Q1116" i="1"/>
  <c r="D1115" i="1"/>
  <c r="H1114" i="1"/>
  <c r="G1112" i="1"/>
  <c r="C1109" i="1"/>
  <c r="C1107" i="1"/>
  <c r="H1106" i="1"/>
  <c r="C1105" i="1"/>
  <c r="D1105" i="1"/>
  <c r="F1104" i="1"/>
  <c r="J1103" i="1"/>
  <c r="C1103" i="1"/>
  <c r="G1102" i="1"/>
  <c r="J1101" i="1"/>
  <c r="C1101" i="1"/>
  <c r="B1083" i="4"/>
  <c r="B1082" i="4"/>
  <c r="F1081" i="4"/>
  <c r="B1081" i="4"/>
  <c r="H1080" i="4"/>
  <c r="D1080" i="4"/>
  <c r="B1079" i="4"/>
  <c r="H1078" i="4"/>
  <c r="B1078" i="4"/>
  <c r="B1077" i="4"/>
  <c r="B1076" i="4"/>
  <c r="H1075" i="4"/>
  <c r="D1075" i="4"/>
  <c r="B1074" i="4"/>
  <c r="H1073" i="4"/>
  <c r="B1073" i="4"/>
  <c r="B1072" i="4"/>
  <c r="H1071" i="4"/>
  <c r="D1071" i="4"/>
  <c r="H1070" i="4"/>
  <c r="D1070" i="4"/>
  <c r="B1069" i="4"/>
  <c r="H1068" i="4"/>
  <c r="D1068" i="4"/>
  <c r="B1067" i="4"/>
  <c r="H1066" i="4"/>
  <c r="D1066" i="4"/>
  <c r="B1065" i="4"/>
  <c r="H1064" i="4"/>
  <c r="B1064" i="4"/>
  <c r="H1063" i="4"/>
  <c r="B1062" i="4"/>
  <c r="B1103" i="4"/>
  <c r="H1115" i="1"/>
  <c r="I1115" i="1"/>
  <c r="F1113" i="1"/>
  <c r="J1112" i="1"/>
  <c r="H1111" i="1"/>
  <c r="D1110" i="1"/>
  <c r="F1109" i="1"/>
  <c r="H1109" i="1"/>
  <c r="B1108" i="1"/>
  <c r="G1107" i="1"/>
  <c r="D1106" i="1"/>
  <c r="H1105" i="1"/>
  <c r="H1083" i="4"/>
  <c r="J1083" i="4"/>
  <c r="D1083" i="4"/>
  <c r="H1082" i="4"/>
  <c r="J1082" i="4"/>
  <c r="D1082" i="4"/>
  <c r="H1081" i="4"/>
  <c r="J1081" i="4"/>
  <c r="D1081" i="4"/>
  <c r="J1080" i="4"/>
  <c r="B1080" i="4"/>
  <c r="H1079" i="4"/>
  <c r="J1079" i="4"/>
  <c r="D1079" i="4"/>
  <c r="J1078" i="4"/>
  <c r="D1078" i="4"/>
  <c r="H1077" i="4"/>
  <c r="J1077" i="4"/>
  <c r="D1077" i="4"/>
  <c r="H1076" i="4"/>
  <c r="J1076" i="4"/>
  <c r="D1076" i="4"/>
  <c r="J1075" i="4"/>
  <c r="B1075" i="4"/>
  <c r="H1074" i="4"/>
  <c r="J1074" i="4"/>
  <c r="D1074" i="4"/>
  <c r="J1073" i="4"/>
  <c r="D1073" i="4"/>
  <c r="H1072" i="4"/>
  <c r="J1072" i="4"/>
  <c r="D1072" i="4"/>
  <c r="J1071" i="4"/>
  <c r="B1071" i="4"/>
  <c r="F1070" i="4"/>
  <c r="J1070" i="4"/>
  <c r="B1070" i="4"/>
  <c r="H1069" i="4"/>
  <c r="J1069" i="4"/>
  <c r="D1069" i="4"/>
  <c r="J1068" i="4"/>
  <c r="B1068" i="4"/>
  <c r="H1067" i="4"/>
  <c r="J1067" i="4"/>
  <c r="D1067" i="4"/>
  <c r="J1066" i="4"/>
  <c r="B1066" i="4"/>
  <c r="H1065" i="4"/>
  <c r="J1065" i="4"/>
  <c r="D1065" i="4"/>
  <c r="J1064" i="4"/>
  <c r="D1064" i="4"/>
  <c r="J1063" i="4"/>
  <c r="B1063" i="4"/>
  <c r="D1063" i="4"/>
  <c r="H1062" i="4"/>
  <c r="H1103" i="4"/>
  <c r="J1103" i="4"/>
  <c r="J1062" i="4"/>
  <c r="D1062" i="4"/>
  <c r="D1103" i="4"/>
  <c r="J1117" i="1"/>
  <c r="M1116" i="1"/>
  <c r="I1117" i="1"/>
  <c r="I1116" i="1"/>
  <c r="H1117" i="1"/>
  <c r="H1116" i="1"/>
  <c r="C1111" i="1"/>
  <c r="I1078" i="4"/>
  <c r="K1078" i="4"/>
  <c r="C1078" i="4"/>
  <c r="E1078" i="4"/>
  <c r="G1078" i="4"/>
  <c r="I1077" i="4"/>
  <c r="K1077" i="4"/>
  <c r="C1077" i="4"/>
  <c r="E1077" i="4"/>
  <c r="G1077" i="4"/>
  <c r="I1076" i="4"/>
  <c r="K1076" i="4"/>
  <c r="C1076" i="4"/>
  <c r="E1076" i="4"/>
  <c r="G1076" i="4"/>
  <c r="I1075" i="4"/>
  <c r="K1075" i="4"/>
  <c r="C1075" i="4"/>
  <c r="E1075" i="4"/>
  <c r="G1075" i="4"/>
  <c r="I1074" i="4"/>
  <c r="K1074" i="4"/>
  <c r="C1074" i="4"/>
  <c r="E1074" i="4"/>
  <c r="G1074" i="4"/>
  <c r="I1073" i="4"/>
  <c r="K1073" i="4"/>
  <c r="C1073" i="4"/>
  <c r="E1073" i="4"/>
  <c r="G1073" i="4"/>
  <c r="I1072" i="4"/>
  <c r="K1072" i="4"/>
  <c r="C1072" i="4"/>
  <c r="E1072" i="4"/>
  <c r="G1072" i="4"/>
  <c r="I1071" i="4"/>
  <c r="K1071" i="4"/>
  <c r="C1071" i="4"/>
  <c r="E1071" i="4"/>
  <c r="G1071" i="4"/>
  <c r="I1070" i="4"/>
  <c r="K1070" i="4"/>
  <c r="C1070" i="4"/>
  <c r="E1070" i="4"/>
  <c r="G1070" i="4"/>
  <c r="I1069" i="4"/>
  <c r="K1069" i="4"/>
  <c r="C1069" i="4"/>
  <c r="E1069" i="4"/>
  <c r="G1069" i="4"/>
  <c r="I1068" i="4"/>
  <c r="K1068" i="4"/>
  <c r="C1068" i="4"/>
  <c r="E1068" i="4"/>
  <c r="G1068" i="4"/>
  <c r="I1067" i="4"/>
  <c r="K1067" i="4"/>
  <c r="C1067" i="4"/>
  <c r="E1067" i="4"/>
  <c r="G1067" i="4"/>
  <c r="I1066" i="4"/>
  <c r="K1066" i="4"/>
  <c r="C1066" i="4"/>
  <c r="E1066" i="4"/>
  <c r="G1066" i="4"/>
  <c r="I1065" i="4"/>
  <c r="K1065" i="4"/>
  <c r="C1065" i="4"/>
  <c r="E1065" i="4"/>
  <c r="G1065" i="4"/>
  <c r="I1064" i="4"/>
  <c r="K1064" i="4"/>
  <c r="C1064" i="4"/>
  <c r="E1064" i="4"/>
  <c r="G1064" i="4"/>
  <c r="I1063" i="4"/>
  <c r="K1063" i="4"/>
  <c r="C1063" i="4"/>
  <c r="E1063" i="4"/>
  <c r="G1063" i="4"/>
  <c r="I1062" i="4"/>
  <c r="I1103" i="4"/>
  <c r="K1103" i="4"/>
  <c r="K1062" i="4"/>
  <c r="C1103" i="4"/>
  <c r="C1062" i="4"/>
  <c r="E1062" i="4"/>
  <c r="E1103" i="4"/>
  <c r="G1103" i="4"/>
  <c r="G1062" i="4"/>
  <c r="F1112" i="1"/>
  <c r="J1111" i="1"/>
  <c r="J1109" i="1"/>
  <c r="F1108" i="1"/>
  <c r="I1113" i="1"/>
  <c r="I1111" i="1"/>
  <c r="B1110" i="1"/>
  <c r="I1109" i="1"/>
  <c r="E1108" i="1"/>
  <c r="I1107" i="1"/>
  <c r="E1106" i="1"/>
  <c r="I1105" i="1"/>
  <c r="I1104" i="1"/>
  <c r="C1104" i="1"/>
  <c r="E1104" i="1"/>
  <c r="E1103" i="1"/>
  <c r="G1103" i="1"/>
  <c r="I1103" i="1"/>
  <c r="I1102" i="1"/>
  <c r="B1102" i="1"/>
  <c r="C1102" i="1"/>
  <c r="E1102" i="1"/>
  <c r="E1101" i="1"/>
  <c r="I1101" i="1"/>
  <c r="C1100" i="1"/>
  <c r="E1100" i="1"/>
  <c r="I1099" i="1"/>
  <c r="C1098" i="1"/>
  <c r="E1098" i="1"/>
  <c r="I1097" i="1"/>
  <c r="C1096" i="1"/>
  <c r="E1096" i="1"/>
  <c r="G1095" i="1"/>
  <c r="I1095" i="1"/>
  <c r="B1094" i="1"/>
  <c r="C1094" i="1"/>
  <c r="E1094" i="1"/>
  <c r="I1093" i="1"/>
  <c r="C1092" i="1"/>
  <c r="E1092" i="1"/>
  <c r="I1091" i="1"/>
  <c r="C1090" i="1"/>
  <c r="E1090" i="1"/>
  <c r="I1089" i="1"/>
  <c r="C1088" i="1"/>
  <c r="D1088" i="1"/>
  <c r="E1088" i="1"/>
  <c r="F1087" i="1"/>
  <c r="I1087" i="1"/>
  <c r="C1086" i="1"/>
  <c r="D1086" i="1"/>
  <c r="E1086" i="1"/>
  <c r="F1085" i="1"/>
  <c r="I1085" i="1"/>
  <c r="J1084" i="1"/>
  <c r="B1084" i="1"/>
  <c r="C1084" i="1"/>
  <c r="D1084" i="1"/>
  <c r="G1083" i="1"/>
  <c r="I1083" i="1"/>
  <c r="J1082" i="1"/>
  <c r="B1082" i="1"/>
  <c r="G1081" i="1"/>
  <c r="H1081" i="1"/>
  <c r="I1081" i="1"/>
  <c r="D1080" i="1"/>
  <c r="F1079" i="1"/>
  <c r="G1079" i="1"/>
  <c r="J1078" i="1"/>
  <c r="B1078" i="1"/>
  <c r="D1078" i="1"/>
  <c r="E1078" i="1"/>
  <c r="I1077" i="1"/>
  <c r="J1076" i="1"/>
  <c r="B1076" i="1"/>
  <c r="C1076" i="1"/>
  <c r="D1076" i="1"/>
  <c r="G1075" i="1"/>
  <c r="I1075" i="1"/>
  <c r="J1074" i="1"/>
  <c r="B1074" i="1"/>
  <c r="G1073" i="1"/>
  <c r="H1073" i="1"/>
  <c r="I1073" i="1"/>
  <c r="C1072" i="1"/>
  <c r="D1072" i="1"/>
  <c r="F1071" i="1"/>
  <c r="G1071" i="1"/>
  <c r="J1070" i="1"/>
  <c r="B1070" i="1"/>
  <c r="D1070" i="1"/>
  <c r="E1070" i="1"/>
  <c r="F1069" i="1"/>
  <c r="I1069" i="1"/>
  <c r="J1068" i="1"/>
  <c r="B1068" i="1"/>
  <c r="C1068" i="1"/>
  <c r="D1068" i="1"/>
  <c r="G1067" i="1"/>
  <c r="I1067" i="1"/>
  <c r="J1066" i="1"/>
  <c r="B1066" i="1"/>
  <c r="G1065" i="1"/>
  <c r="I1065" i="1"/>
  <c r="E1065" i="1"/>
  <c r="G1064" i="1"/>
  <c r="R1064" i="1"/>
  <c r="C1064" i="1"/>
  <c r="E1064" i="1"/>
  <c r="C1063" i="1"/>
  <c r="F1063" i="1"/>
  <c r="E1062" i="1"/>
  <c r="C1114" i="1"/>
  <c r="I1114" i="1"/>
  <c r="I1112" i="1"/>
  <c r="I1110" i="1"/>
  <c r="E1109" i="1"/>
  <c r="I1108" i="1"/>
  <c r="C1108" i="1"/>
  <c r="E1107" i="1"/>
  <c r="I1106" i="1"/>
  <c r="C1106" i="1"/>
  <c r="E1105" i="1"/>
  <c r="C1113" i="1"/>
  <c r="C1099" i="1"/>
  <c r="C1097" i="1"/>
  <c r="C1095" i="1"/>
  <c r="C1093" i="1"/>
  <c r="C1091" i="1"/>
  <c r="C1089" i="1"/>
  <c r="C1087" i="1"/>
  <c r="D1087" i="1"/>
  <c r="C1085" i="1"/>
  <c r="D1085" i="1"/>
  <c r="H1084" i="1"/>
  <c r="C1083" i="1"/>
  <c r="H1082" i="1"/>
  <c r="G1080" i="1"/>
  <c r="H1080" i="1"/>
  <c r="C1079" i="1"/>
  <c r="C1077" i="1"/>
  <c r="D1077" i="1"/>
  <c r="H1076" i="1"/>
  <c r="C1075" i="1"/>
  <c r="H1074" i="1"/>
  <c r="G1072" i="1"/>
  <c r="H1072" i="1"/>
  <c r="C1071" i="1"/>
  <c r="C1069" i="1"/>
  <c r="D1069" i="1"/>
  <c r="H1068" i="1"/>
  <c r="C1067" i="1"/>
  <c r="H1066" i="1"/>
  <c r="D1110" i="3"/>
  <c r="E1110" i="3"/>
  <c r="C1110" i="3"/>
  <c r="A1111" i="3"/>
  <c r="J1083" i="1"/>
  <c r="B1083" i="1"/>
  <c r="F1082" i="1"/>
  <c r="F1080" i="1"/>
  <c r="F1078" i="1"/>
  <c r="J1075" i="1"/>
  <c r="B1075" i="1"/>
  <c r="F1074" i="1"/>
  <c r="F1072" i="1"/>
  <c r="F1070" i="1"/>
  <c r="J1067" i="1"/>
  <c r="B1067" i="1"/>
  <c r="F1066" i="1"/>
  <c r="H1065" i="1"/>
  <c r="F1064" i="1"/>
  <c r="G1063" i="1"/>
  <c r="F1062" i="1"/>
  <c r="A1087" i="2"/>
  <c r="B1086" i="2"/>
  <c r="F1144" i="4"/>
  <c r="N1115" i="1"/>
  <c r="E1115" i="1"/>
  <c r="N1114" i="1"/>
  <c r="E1114" i="1"/>
  <c r="N1113" i="1"/>
  <c r="E1113" i="1"/>
  <c r="N1112" i="1"/>
  <c r="E1112" i="1"/>
  <c r="N1111" i="1"/>
  <c r="E1111" i="1"/>
  <c r="N1110" i="1"/>
  <c r="E1110" i="1"/>
  <c r="L1115" i="1"/>
  <c r="L1114" i="1"/>
  <c r="L1113" i="1"/>
  <c r="L1112" i="1"/>
  <c r="L1111" i="1"/>
  <c r="L1110" i="1"/>
  <c r="F1148" i="4"/>
  <c r="F1147" i="4"/>
  <c r="F1146" i="4"/>
  <c r="F1145" i="4"/>
  <c r="F1143" i="4"/>
  <c r="F1142" i="4"/>
  <c r="F1141" i="4"/>
  <c r="F1140" i="4"/>
  <c r="F1139" i="4"/>
  <c r="F1138" i="4"/>
  <c r="F1137" i="4"/>
  <c r="F1136" i="4"/>
  <c r="F1135" i="4"/>
  <c r="F1134" i="4"/>
  <c r="F1133" i="4"/>
  <c r="F1132" i="4"/>
  <c r="F1131" i="4"/>
  <c r="F1129" i="4"/>
  <c r="F1128" i="4"/>
  <c r="F1126" i="4"/>
  <c r="F1125" i="4"/>
  <c r="F1124" i="4"/>
  <c r="F1123" i="4"/>
  <c r="F1122" i="4"/>
  <c r="F1121" i="4"/>
  <c r="F1120" i="4"/>
  <c r="F1119" i="4"/>
  <c r="F1118" i="4"/>
  <c r="F1117" i="4"/>
  <c r="F1116" i="4"/>
  <c r="F1113" i="4"/>
  <c r="F1112" i="4"/>
  <c r="F1111" i="4"/>
  <c r="F1110" i="4"/>
  <c r="F1109" i="4"/>
  <c r="F1108" i="4"/>
  <c r="F1107" i="4"/>
  <c r="F1106" i="4"/>
  <c r="F1105" i="4"/>
  <c r="F1104" i="4"/>
  <c r="F1102" i="4"/>
  <c r="F1101" i="4"/>
  <c r="F1100" i="4"/>
  <c r="F1099" i="4"/>
  <c r="F1098" i="4"/>
  <c r="F1097" i="4"/>
  <c r="F1096" i="4"/>
  <c r="F1095" i="4"/>
  <c r="F1094" i="4"/>
  <c r="F1093" i="4"/>
  <c r="F1092" i="4"/>
  <c r="F1091" i="4"/>
  <c r="F1090" i="4"/>
  <c r="F1089" i="4"/>
  <c r="F1088" i="4"/>
  <c r="F1087" i="4"/>
  <c r="F1086" i="4"/>
  <c r="F1085" i="4"/>
  <c r="F1084" i="4"/>
  <c r="F1083" i="4"/>
  <c r="F1082" i="4"/>
  <c r="F1080" i="4"/>
  <c r="F1079" i="4"/>
  <c r="F1078" i="4"/>
  <c r="F1077" i="4"/>
  <c r="F1076" i="4"/>
  <c r="F1075" i="4"/>
  <c r="F1074" i="4"/>
  <c r="F1073" i="4"/>
  <c r="F1072" i="4"/>
  <c r="F1071" i="4"/>
  <c r="F1069" i="4"/>
  <c r="F1068" i="4"/>
  <c r="F1067" i="4"/>
  <c r="F1066" i="4"/>
  <c r="F1065" i="4"/>
  <c r="F1064" i="4"/>
  <c r="F1063" i="4"/>
  <c r="F1103" i="4"/>
  <c r="F1062" i="4"/>
  <c r="C1108" i="3"/>
  <c r="C1107" i="3"/>
  <c r="C1104" i="3"/>
  <c r="C1101" i="3"/>
  <c r="C1100" i="3"/>
  <c r="C1099" i="3"/>
  <c r="C1098" i="3"/>
  <c r="C1097" i="3"/>
  <c r="C1096" i="3"/>
  <c r="C1095" i="3"/>
  <c r="C1094" i="3"/>
  <c r="C1092" i="3"/>
  <c r="C1091" i="3"/>
  <c r="C1088" i="3"/>
  <c r="C1083" i="3"/>
  <c r="C1082" i="3"/>
  <c r="C1080" i="3"/>
  <c r="C1077" i="3"/>
  <c r="C1076" i="3"/>
  <c r="C1073" i="3"/>
  <c r="C1071" i="3"/>
  <c r="C1070" i="3"/>
  <c r="C1067" i="3"/>
  <c r="C1066" i="3"/>
  <c r="C1064" i="3"/>
  <c r="D1107" i="3"/>
  <c r="D1103" i="3"/>
  <c r="D1102" i="3"/>
  <c r="D1099" i="3"/>
  <c r="D1095" i="3"/>
  <c r="D1094" i="3"/>
  <c r="D1091" i="3"/>
  <c r="D1087" i="3"/>
  <c r="D1086" i="3"/>
  <c r="I1148" i="4"/>
  <c r="E1106" i="3"/>
  <c r="E1105" i="3"/>
  <c r="E1102" i="3"/>
  <c r="E1098" i="3"/>
  <c r="E1097" i="3"/>
  <c r="E1094" i="3"/>
  <c r="E1090" i="3"/>
  <c r="E1089" i="3"/>
  <c r="E1086" i="3"/>
  <c r="E1084" i="3"/>
  <c r="E1082" i="3"/>
  <c r="E1080" i="3"/>
  <c r="E1078" i="3"/>
  <c r="E1076" i="3"/>
  <c r="E1074" i="3"/>
  <c r="E1072" i="3"/>
  <c r="E1070" i="3"/>
  <c r="E1068" i="3"/>
  <c r="E1066" i="3"/>
  <c r="E1064" i="3"/>
  <c r="E1062" i="3"/>
  <c r="B1148" i="4"/>
  <c r="J1146" i="4"/>
  <c r="B1146" i="4"/>
  <c r="J1144" i="4"/>
  <c r="H1143" i="4"/>
  <c r="H1141" i="4"/>
  <c r="J1140" i="4"/>
  <c r="H1139" i="4"/>
  <c r="K1148" i="4"/>
  <c r="C1148" i="4"/>
  <c r="H1148" i="4"/>
  <c r="J1147" i="4"/>
  <c r="B1147" i="4"/>
  <c r="H1146" i="4"/>
  <c r="J1145" i="4"/>
  <c r="B1145" i="4"/>
  <c r="H1144" i="4"/>
  <c r="J1143" i="4"/>
  <c r="B1143" i="4"/>
  <c r="H1142" i="4"/>
  <c r="J1141" i="4"/>
  <c r="B1141" i="4"/>
  <c r="H1140" i="4"/>
  <c r="J1139" i="4"/>
  <c r="B1139" i="4"/>
  <c r="H1138" i="4"/>
  <c r="J1137" i="4"/>
  <c r="B1137" i="4"/>
  <c r="H1136" i="4"/>
  <c r="J1135" i="4"/>
  <c r="B1135" i="4"/>
  <c r="H1134" i="4"/>
  <c r="J1133" i="4"/>
  <c r="B1133" i="4"/>
  <c r="D1111" i="3" l="1"/>
  <c r="C1111" i="3"/>
  <c r="A1112" i="3"/>
  <c r="B1111" i="3"/>
  <c r="E1111" i="3"/>
  <c r="B1087" i="2"/>
  <c r="A1088" i="2"/>
  <c r="C1119" i="1"/>
  <c r="L1119" i="1"/>
  <c r="E1119" i="1"/>
  <c r="N1119" i="1"/>
  <c r="F1119" i="1"/>
  <c r="Q1119" i="1"/>
  <c r="H1119" i="1"/>
  <c r="D1119" i="1"/>
  <c r="A1120" i="1"/>
  <c r="I1119" i="1"/>
  <c r="J1119" i="1"/>
  <c r="M1119" i="1"/>
  <c r="O1119" i="1"/>
  <c r="G1119" i="1"/>
  <c r="P1119" i="1"/>
  <c r="B1119" i="1"/>
  <c r="C1120" i="1" l="1"/>
  <c r="L1120" i="1"/>
  <c r="E1120" i="1"/>
  <c r="N1120" i="1"/>
  <c r="J1120" i="1"/>
  <c r="D1120" i="1"/>
  <c r="Q1120" i="1"/>
  <c r="O1120" i="1"/>
  <c r="H1120" i="1"/>
  <c r="I1120" i="1"/>
  <c r="M1120" i="1"/>
  <c r="B1120" i="1"/>
  <c r="F1120" i="1"/>
  <c r="G1120" i="1"/>
  <c r="P1120" i="1"/>
  <c r="A1121" i="1"/>
  <c r="B1088" i="2"/>
  <c r="A1089" i="2"/>
  <c r="B1112" i="3"/>
  <c r="C1112" i="3"/>
  <c r="D1112" i="3"/>
  <c r="A1113" i="3"/>
  <c r="E1112" i="3"/>
  <c r="C1121" i="1" l="1"/>
  <c r="L1121" i="1"/>
  <c r="E1121" i="1"/>
  <c r="N1121" i="1"/>
  <c r="F1121" i="1"/>
  <c r="Q1121" i="1"/>
  <c r="M1121" i="1"/>
  <c r="I1121" i="1"/>
  <c r="H1121" i="1"/>
  <c r="J1121" i="1"/>
  <c r="O1121" i="1"/>
  <c r="B1121" i="1"/>
  <c r="P1121" i="1"/>
  <c r="A1122" i="1"/>
  <c r="G1121" i="1"/>
  <c r="D1121" i="1"/>
  <c r="E1113" i="3"/>
  <c r="A1114" i="3"/>
  <c r="B1113" i="3"/>
  <c r="D1113" i="3"/>
  <c r="C1113" i="3"/>
  <c r="B1089" i="2"/>
  <c r="A1090" i="2"/>
  <c r="E1114" i="3" l="1"/>
  <c r="B1114" i="3"/>
  <c r="D1114" i="3"/>
  <c r="A1115" i="3"/>
  <c r="C1114" i="3"/>
  <c r="A1091" i="2"/>
  <c r="B1090" i="2"/>
  <c r="C1122" i="1"/>
  <c r="L1122" i="1"/>
  <c r="E1122" i="1"/>
  <c r="N1122" i="1"/>
  <c r="J1122" i="1"/>
  <c r="H1122" i="1"/>
  <c r="F1122" i="1"/>
  <c r="A1123" i="1"/>
  <c r="I1122" i="1"/>
  <c r="M1122" i="1"/>
  <c r="O1122" i="1"/>
  <c r="B1122" i="1"/>
  <c r="P1122" i="1"/>
  <c r="D1122" i="1"/>
  <c r="G1122" i="1"/>
  <c r="Q1122" i="1"/>
  <c r="C1123" i="1" l="1"/>
  <c r="L1123" i="1"/>
  <c r="E1123" i="1"/>
  <c r="N1123" i="1"/>
  <c r="F1123" i="1"/>
  <c r="Q1123" i="1"/>
  <c r="D1123" i="1"/>
  <c r="A1124" i="1"/>
  <c r="O1123" i="1"/>
  <c r="I1123" i="1"/>
  <c r="J1123" i="1"/>
  <c r="M1123" i="1"/>
  <c r="B1123" i="1"/>
  <c r="P1123" i="1"/>
  <c r="H1123" i="1"/>
  <c r="G1123" i="1"/>
  <c r="B1091" i="2"/>
  <c r="A1092" i="2"/>
  <c r="C1115" i="3"/>
  <c r="D1115" i="3"/>
  <c r="E1115" i="3"/>
  <c r="A1116" i="3"/>
  <c r="B1115" i="3"/>
  <c r="C1124" i="1" l="1"/>
  <c r="L1124" i="1"/>
  <c r="E1124" i="1"/>
  <c r="N1124" i="1"/>
  <c r="J1124" i="1"/>
  <c r="O1124" i="1"/>
  <c r="I1124" i="1"/>
  <c r="H1124" i="1"/>
  <c r="M1124" i="1"/>
  <c r="P1124" i="1"/>
  <c r="D1124" i="1"/>
  <c r="Q1124" i="1"/>
  <c r="B1124" i="1"/>
  <c r="F1124" i="1"/>
  <c r="G1124" i="1"/>
  <c r="A1125" i="1"/>
  <c r="A1117" i="3"/>
  <c r="C1116" i="3"/>
  <c r="D1116" i="3"/>
  <c r="E1116" i="3"/>
  <c r="B1116" i="3"/>
  <c r="B1092" i="2"/>
  <c r="A1093" i="2"/>
  <c r="B1117" i="3" l="1"/>
  <c r="A1118" i="3"/>
  <c r="C1117" i="3"/>
  <c r="D1117" i="3"/>
  <c r="E1117" i="3"/>
  <c r="C1125" i="1"/>
  <c r="L1125" i="1"/>
  <c r="E1125" i="1"/>
  <c r="N1125" i="1"/>
  <c r="F1125" i="1"/>
  <c r="Q1125" i="1"/>
  <c r="I1125" i="1"/>
  <c r="G1125" i="1"/>
  <c r="J1125" i="1"/>
  <c r="M1125" i="1"/>
  <c r="O1125" i="1"/>
  <c r="B1125" i="1"/>
  <c r="P1125" i="1"/>
  <c r="H1125" i="1"/>
  <c r="A1126" i="1"/>
  <c r="D1125" i="1"/>
  <c r="B1093" i="2"/>
  <c r="A1094" i="2"/>
  <c r="C1126" i="1" l="1"/>
  <c r="L1126" i="1"/>
  <c r="E1126" i="1"/>
  <c r="N1126" i="1"/>
  <c r="J1126" i="1"/>
  <c r="F1126" i="1"/>
  <c r="A1127" i="1"/>
  <c r="B1126" i="1"/>
  <c r="P1126" i="1"/>
  <c r="I1126" i="1"/>
  <c r="M1126" i="1"/>
  <c r="O1126" i="1"/>
  <c r="D1126" i="1"/>
  <c r="Q1126" i="1"/>
  <c r="G1126" i="1"/>
  <c r="H1126" i="1"/>
  <c r="A1095" i="2"/>
  <c r="B1094" i="2"/>
  <c r="D1118" i="3"/>
  <c r="E1118" i="3"/>
  <c r="B1118" i="3"/>
  <c r="A1119" i="3"/>
  <c r="C1118" i="3"/>
  <c r="C1127" i="1" l="1"/>
  <c r="L1127" i="1"/>
  <c r="E1127" i="1"/>
  <c r="N1127" i="1"/>
  <c r="F1127" i="1"/>
  <c r="Q1127" i="1"/>
  <c r="O1127" i="1"/>
  <c r="J1127" i="1"/>
  <c r="I1127" i="1"/>
  <c r="M1127" i="1"/>
  <c r="P1127" i="1"/>
  <c r="D1127" i="1"/>
  <c r="A1128" i="1"/>
  <c r="H1127" i="1"/>
  <c r="B1127" i="1"/>
  <c r="G1127" i="1"/>
  <c r="D1119" i="3"/>
  <c r="B1119" i="3"/>
  <c r="E1119" i="3"/>
  <c r="A1120" i="3"/>
  <c r="C1119" i="3"/>
  <c r="A1096" i="2"/>
  <c r="B1095" i="2"/>
  <c r="C1128" i="1" l="1"/>
  <c r="L1128" i="1"/>
  <c r="E1128" i="1"/>
  <c r="N1128" i="1"/>
  <c r="J1128" i="1"/>
  <c r="I1128" i="1"/>
  <c r="G1128" i="1"/>
  <c r="M1128" i="1"/>
  <c r="O1128" i="1"/>
  <c r="P1128" i="1"/>
  <c r="D1128" i="1"/>
  <c r="B1128" i="1"/>
  <c r="F1128" i="1"/>
  <c r="H1128" i="1"/>
  <c r="Q1128" i="1"/>
  <c r="A1129" i="1"/>
  <c r="B1120" i="3"/>
  <c r="C1120" i="3"/>
  <c r="E1120" i="3"/>
  <c r="D1120" i="3"/>
  <c r="A1121" i="3"/>
  <c r="B1096" i="2"/>
  <c r="A1097" i="2"/>
  <c r="E1121" i="3" l="1"/>
  <c r="A1122" i="3"/>
  <c r="B1121" i="3"/>
  <c r="D1121" i="3"/>
  <c r="C1121" i="3"/>
  <c r="B1097" i="2"/>
  <c r="A1098" i="2"/>
  <c r="C1129" i="1"/>
  <c r="L1129" i="1"/>
  <c r="E1129" i="1"/>
  <c r="N1129" i="1"/>
  <c r="F1129" i="1"/>
  <c r="Q1129" i="1"/>
  <c r="G1129" i="1"/>
  <c r="B1129" i="1"/>
  <c r="P1129" i="1"/>
  <c r="J1129" i="1"/>
  <c r="M1129" i="1"/>
  <c r="O1129" i="1"/>
  <c r="D1129" i="1"/>
  <c r="A1130" i="1"/>
  <c r="I1129" i="1"/>
  <c r="H1129" i="1"/>
  <c r="A1099" i="2" l="1"/>
  <c r="B1098" i="2"/>
  <c r="C1130" i="1"/>
  <c r="L1130" i="1"/>
  <c r="E1130" i="1"/>
  <c r="N1130" i="1"/>
  <c r="J1130" i="1"/>
  <c r="B1130" i="1"/>
  <c r="P1130" i="1"/>
  <c r="M1130" i="1"/>
  <c r="I1130" i="1"/>
  <c r="O1130" i="1"/>
  <c r="Q1130" i="1"/>
  <c r="F1130" i="1"/>
  <c r="A1131" i="1"/>
  <c r="D1130" i="1"/>
  <c r="G1130" i="1"/>
  <c r="H1130" i="1"/>
  <c r="E1122" i="3"/>
  <c r="C1122" i="3"/>
  <c r="D1122" i="3"/>
  <c r="B1122" i="3"/>
  <c r="A1123" i="3"/>
  <c r="C1123" i="3" l="1"/>
  <c r="D1123" i="3"/>
  <c r="B1123" i="3"/>
  <c r="A1124" i="3"/>
  <c r="E1123" i="3"/>
  <c r="C1131" i="1"/>
  <c r="L1131" i="1"/>
  <c r="E1131" i="1"/>
  <c r="N1131" i="1"/>
  <c r="F1131" i="1"/>
  <c r="Q1131" i="1"/>
  <c r="J1131" i="1"/>
  <c r="H1131" i="1"/>
  <c r="M1131" i="1"/>
  <c r="O1131" i="1"/>
  <c r="P1131" i="1"/>
  <c r="D1131" i="1"/>
  <c r="A1132" i="1"/>
  <c r="B1131" i="1"/>
  <c r="I1131" i="1"/>
  <c r="G1131" i="1"/>
  <c r="B1099" i="2"/>
  <c r="A1100" i="2"/>
  <c r="B1100" i="2" l="1"/>
  <c r="A1101" i="2"/>
  <c r="A1125" i="3"/>
  <c r="C1124" i="3"/>
  <c r="B1124" i="3"/>
  <c r="E1124" i="3"/>
  <c r="D1124" i="3"/>
  <c r="C1132" i="1"/>
  <c r="L1132" i="1"/>
  <c r="E1132" i="1"/>
  <c r="N1132" i="1"/>
  <c r="G1132" i="1"/>
  <c r="A1133" i="1"/>
  <c r="D1132" i="1"/>
  <c r="P1132" i="1"/>
  <c r="J1132" i="1"/>
  <c r="M1132" i="1"/>
  <c r="O1132" i="1"/>
  <c r="F1132" i="1"/>
  <c r="B1132" i="1"/>
  <c r="H1132" i="1"/>
  <c r="I1132" i="1"/>
  <c r="Q1132" i="1"/>
  <c r="B1125" i="3" l="1"/>
  <c r="A1126" i="3"/>
  <c r="C1125" i="3"/>
  <c r="E1125" i="3"/>
  <c r="D1125" i="3"/>
  <c r="C1133" i="1"/>
  <c r="L1133" i="1"/>
  <c r="E1133" i="1"/>
  <c r="N1133" i="1"/>
  <c r="M1133" i="1"/>
  <c r="I1133" i="1"/>
  <c r="H1133" i="1"/>
  <c r="J1133" i="1"/>
  <c r="O1133" i="1"/>
  <c r="D1133" i="1"/>
  <c r="A1134" i="1"/>
  <c r="P1133" i="1"/>
  <c r="G1133" i="1"/>
  <c r="Q1133" i="1"/>
  <c r="B1133" i="1"/>
  <c r="F1133" i="1"/>
  <c r="B1101" i="2"/>
  <c r="A1102" i="2"/>
  <c r="C1134" i="1" l="1"/>
  <c r="L1134" i="1"/>
  <c r="E1134" i="1"/>
  <c r="N1134" i="1"/>
  <c r="G1134" i="1"/>
  <c r="A1135" i="1"/>
  <c r="D1134" i="1"/>
  <c r="P1134" i="1"/>
  <c r="H1134" i="1"/>
  <c r="I1134" i="1"/>
  <c r="J1134" i="1"/>
  <c r="Q1134" i="1"/>
  <c r="B1134" i="1"/>
  <c r="F1134" i="1"/>
  <c r="M1134" i="1"/>
  <c r="O1134" i="1"/>
  <c r="A1103" i="2"/>
  <c r="B1102" i="2"/>
  <c r="D1126" i="3"/>
  <c r="E1126" i="3"/>
  <c r="A1127" i="3"/>
  <c r="B1126" i="3"/>
  <c r="C1126" i="3"/>
  <c r="B1103" i="2" l="1"/>
  <c r="A1104" i="2"/>
  <c r="C1135" i="1"/>
  <c r="L1135" i="1"/>
  <c r="E1135" i="1"/>
  <c r="N1135" i="1"/>
  <c r="M1135" i="1"/>
  <c r="I1135" i="1"/>
  <c r="F1135" i="1"/>
  <c r="G1135" i="1"/>
  <c r="H1135" i="1"/>
  <c r="P1135" i="1"/>
  <c r="J1135" i="1"/>
  <c r="D1135" i="1"/>
  <c r="O1135" i="1"/>
  <c r="Q1135" i="1"/>
  <c r="A1136" i="1"/>
  <c r="B1135" i="1"/>
  <c r="D1127" i="3"/>
  <c r="C1127" i="3"/>
  <c r="E1127" i="3"/>
  <c r="B1127" i="3"/>
  <c r="A1128" i="3"/>
  <c r="C1136" i="1" l="1"/>
  <c r="L1136" i="1"/>
  <c r="E1136" i="1"/>
  <c r="N1136" i="1"/>
  <c r="G1136" i="1"/>
  <c r="A1137" i="1"/>
  <c r="D1136" i="1"/>
  <c r="P1136" i="1"/>
  <c r="B1136" i="1"/>
  <c r="F1136" i="1"/>
  <c r="H1136" i="1"/>
  <c r="M1136" i="1"/>
  <c r="I1136" i="1"/>
  <c r="J1136" i="1"/>
  <c r="Q1136" i="1"/>
  <c r="O1136" i="1"/>
  <c r="B1128" i="3"/>
  <c r="C1128" i="3"/>
  <c r="D1128" i="3"/>
  <c r="A1129" i="3"/>
  <c r="E1128" i="3"/>
  <c r="B1104" i="2"/>
  <c r="A1105" i="2"/>
  <c r="C1137" i="1" l="1"/>
  <c r="L1137" i="1"/>
  <c r="E1137" i="1"/>
  <c r="N1137" i="1"/>
  <c r="M1137" i="1"/>
  <c r="I1137" i="1"/>
  <c r="B1137" i="1"/>
  <c r="Q1137" i="1"/>
  <c r="D1137" i="1"/>
  <c r="A1138" i="1"/>
  <c r="F1137" i="1"/>
  <c r="J1137" i="1"/>
  <c r="G1137" i="1"/>
  <c r="H1137" i="1"/>
  <c r="O1137" i="1"/>
  <c r="P1137" i="1"/>
  <c r="B1105" i="2"/>
  <c r="A1106" i="2"/>
  <c r="E1129" i="3"/>
  <c r="A1130" i="3"/>
  <c r="B1129" i="3"/>
  <c r="C1129" i="3"/>
  <c r="D1129" i="3"/>
  <c r="E1130" i="3" l="1"/>
  <c r="B1130" i="3"/>
  <c r="C1130" i="3"/>
  <c r="A1131" i="3"/>
  <c r="D1130" i="3"/>
  <c r="A1107" i="2"/>
  <c r="B1106" i="2"/>
  <c r="C1138" i="1"/>
  <c r="L1138" i="1"/>
  <c r="E1138" i="1"/>
  <c r="N1138" i="1"/>
  <c r="G1138" i="1"/>
  <c r="A1139" i="1"/>
  <c r="D1138" i="1"/>
  <c r="P1138" i="1"/>
  <c r="O1138" i="1"/>
  <c r="Q1138" i="1"/>
  <c r="B1138" i="1"/>
  <c r="I1138" i="1"/>
  <c r="M1138" i="1"/>
  <c r="F1138" i="1"/>
  <c r="H1138" i="1"/>
  <c r="J1138" i="1"/>
  <c r="C1139" i="1" l="1"/>
  <c r="L1139" i="1"/>
  <c r="E1139" i="1"/>
  <c r="N1139" i="1"/>
  <c r="M1139" i="1"/>
  <c r="I1139" i="1"/>
  <c r="O1139" i="1"/>
  <c r="P1139" i="1"/>
  <c r="B1139" i="1"/>
  <c r="Q1139" i="1"/>
  <c r="G1139" i="1"/>
  <c r="D1139" i="1"/>
  <c r="A1140" i="1"/>
  <c r="F1139" i="1"/>
  <c r="H1139" i="1"/>
  <c r="J1139" i="1"/>
  <c r="A1108" i="2"/>
  <c r="B1107" i="2"/>
  <c r="C1131" i="3"/>
  <c r="D1131" i="3"/>
  <c r="A1132" i="3"/>
  <c r="B1131" i="3"/>
  <c r="E1131" i="3"/>
  <c r="A1133" i="3" l="1"/>
  <c r="C1132" i="3"/>
  <c r="D1132" i="3"/>
  <c r="E1132" i="3"/>
  <c r="B1132" i="3"/>
  <c r="C1140" i="1"/>
  <c r="L1140" i="1"/>
  <c r="E1140" i="1"/>
  <c r="N1140" i="1"/>
  <c r="G1140" i="1"/>
  <c r="A1141" i="1"/>
  <c r="D1140" i="1"/>
  <c r="P1140" i="1"/>
  <c r="J1140" i="1"/>
  <c r="M1140" i="1"/>
  <c r="O1140" i="1"/>
  <c r="F1140" i="1"/>
  <c r="Q1140" i="1"/>
  <c r="I1140" i="1"/>
  <c r="B1140" i="1"/>
  <c r="H1140" i="1"/>
  <c r="B1108" i="2"/>
  <c r="A1109" i="2"/>
  <c r="B1109" i="2" l="1"/>
  <c r="A1110" i="2"/>
  <c r="C1141" i="1"/>
  <c r="L1141" i="1"/>
  <c r="E1141" i="1"/>
  <c r="N1141" i="1"/>
  <c r="M1141" i="1"/>
  <c r="I1141" i="1"/>
  <c r="H1141" i="1"/>
  <c r="J1141" i="1"/>
  <c r="O1141" i="1"/>
  <c r="D1141" i="1"/>
  <c r="A1142" i="1"/>
  <c r="B1141" i="1"/>
  <c r="F1141" i="1"/>
  <c r="G1141" i="1"/>
  <c r="Q1141" i="1"/>
  <c r="P1141" i="1"/>
  <c r="B1133" i="3"/>
  <c r="A1134" i="3"/>
  <c r="D1133" i="3"/>
  <c r="C1133" i="3"/>
  <c r="E1133" i="3"/>
  <c r="C1142" i="1" l="1"/>
  <c r="L1142" i="1"/>
  <c r="E1142" i="1"/>
  <c r="N1142" i="1"/>
  <c r="G1142" i="1"/>
  <c r="A1143" i="1"/>
  <c r="D1142" i="1"/>
  <c r="P1142" i="1"/>
  <c r="H1142" i="1"/>
  <c r="I1142" i="1"/>
  <c r="J1142" i="1"/>
  <c r="Q1142" i="1"/>
  <c r="M1142" i="1"/>
  <c r="F1142" i="1"/>
  <c r="O1142" i="1"/>
  <c r="B1142" i="1"/>
  <c r="D1134" i="3"/>
  <c r="E1134" i="3"/>
  <c r="C1134" i="3"/>
  <c r="B1134" i="3"/>
  <c r="A1135" i="3"/>
  <c r="H1110" i="2"/>
  <c r="C1110" i="2"/>
  <c r="A1111" i="2"/>
  <c r="I1110" i="2"/>
  <c r="J1110" i="2"/>
  <c r="F1110" i="2"/>
  <c r="D1110" i="2"/>
  <c r="G1110" i="2"/>
  <c r="B1110" i="2"/>
  <c r="E1110" i="2"/>
  <c r="F1111" i="2" l="1"/>
  <c r="I1111" i="2"/>
  <c r="J1111" i="2"/>
  <c r="B1111" i="2"/>
  <c r="C1111" i="2"/>
  <c r="H1111" i="2"/>
  <c r="D1111" i="2"/>
  <c r="A1112" i="2"/>
  <c r="G1111" i="2"/>
  <c r="E1111" i="2"/>
  <c r="C1143" i="1"/>
  <c r="L1143" i="1"/>
  <c r="E1143" i="1"/>
  <c r="M1143" i="1"/>
  <c r="I1143" i="1"/>
  <c r="F1143" i="1"/>
  <c r="A1144" i="1"/>
  <c r="G1143" i="1"/>
  <c r="H1143" i="1"/>
  <c r="O1143" i="1"/>
  <c r="B1143" i="1"/>
  <c r="D1143" i="1"/>
  <c r="J1143" i="1"/>
  <c r="N1143" i="1"/>
  <c r="Q1143" i="1"/>
  <c r="P1143" i="1"/>
  <c r="D1135" i="3"/>
  <c r="B1135" i="3"/>
  <c r="C1135" i="3"/>
  <c r="A1136" i="3"/>
  <c r="E1135" i="3"/>
  <c r="D1112" i="2" l="1"/>
  <c r="G1112" i="2"/>
  <c r="J1112" i="2"/>
  <c r="B1112" i="2"/>
  <c r="C1112" i="2"/>
  <c r="E1112" i="2"/>
  <c r="A1113" i="2"/>
  <c r="H1112" i="2"/>
  <c r="I1112" i="2"/>
  <c r="F1112" i="2"/>
  <c r="B1136" i="3"/>
  <c r="C1136" i="3"/>
  <c r="A1137" i="3"/>
  <c r="D1136" i="3"/>
  <c r="E1136" i="3"/>
  <c r="D1144" i="1"/>
  <c r="M1144" i="1"/>
  <c r="B1144" i="1"/>
  <c r="J1144" i="1"/>
  <c r="N1144" i="1"/>
  <c r="C1144" i="1"/>
  <c r="O1144" i="1"/>
  <c r="E1144" i="1"/>
  <c r="P1144" i="1"/>
  <c r="H1144" i="1"/>
  <c r="F1144" i="1"/>
  <c r="Q1144" i="1"/>
  <c r="G1144" i="1"/>
  <c r="I1144" i="1"/>
  <c r="L1144" i="1"/>
  <c r="A1145" i="1"/>
  <c r="D1145" i="1" l="1"/>
  <c r="M1145" i="1"/>
  <c r="B1145" i="1"/>
  <c r="J1145" i="1"/>
  <c r="G1145" i="1"/>
  <c r="A1146" i="1"/>
  <c r="H1145" i="1"/>
  <c r="I1145" i="1"/>
  <c r="C1145" i="1"/>
  <c r="O1145" i="1"/>
  <c r="L1145" i="1"/>
  <c r="F1145" i="1"/>
  <c r="N1145" i="1"/>
  <c r="P1145" i="1"/>
  <c r="Q1145" i="1"/>
  <c r="E1145" i="1"/>
  <c r="B1113" i="2"/>
  <c r="J1113" i="2"/>
  <c r="E1113" i="2"/>
  <c r="A1114" i="2"/>
  <c r="D1113" i="2"/>
  <c r="F1113" i="2"/>
  <c r="G1113" i="2"/>
  <c r="C1113" i="2"/>
  <c r="H1113" i="2"/>
  <c r="I1113" i="2"/>
  <c r="E1137" i="3"/>
  <c r="A1138" i="3"/>
  <c r="B1137" i="3"/>
  <c r="D1137" i="3"/>
  <c r="C1137" i="3"/>
  <c r="D1146" i="1" l="1"/>
  <c r="M1146" i="1"/>
  <c r="B1146" i="1"/>
  <c r="J1146" i="1"/>
  <c r="N1146" i="1"/>
  <c r="C1146" i="1"/>
  <c r="O1146" i="1"/>
  <c r="E1146" i="1"/>
  <c r="P1146" i="1"/>
  <c r="H1146" i="1"/>
  <c r="Q1146" i="1"/>
  <c r="F1146" i="1"/>
  <c r="A1147" i="1"/>
  <c r="G1146" i="1"/>
  <c r="L1146" i="1"/>
  <c r="I1146" i="1"/>
  <c r="H1114" i="2"/>
  <c r="C1114" i="2"/>
  <c r="A1115" i="2"/>
  <c r="F1114" i="2"/>
  <c r="G1114" i="2"/>
  <c r="I1114" i="2"/>
  <c r="D1114" i="2"/>
  <c r="E1114" i="2"/>
  <c r="B1114" i="2"/>
  <c r="J1114" i="2"/>
  <c r="E1138" i="3"/>
  <c r="B1138" i="3"/>
  <c r="D1138" i="3"/>
  <c r="C1138" i="3"/>
  <c r="A1139" i="3"/>
  <c r="F1115" i="2" l="1"/>
  <c r="I1115" i="2"/>
  <c r="B1115" i="2"/>
  <c r="H1115" i="2"/>
  <c r="J1115" i="2"/>
  <c r="A1116" i="2"/>
  <c r="E1115" i="2"/>
  <c r="C1115" i="2"/>
  <c r="G1115" i="2"/>
  <c r="D1115" i="2"/>
  <c r="C1139" i="3"/>
  <c r="D1139" i="3"/>
  <c r="E1139" i="3"/>
  <c r="B1139" i="3"/>
  <c r="A1140" i="3"/>
  <c r="D1147" i="1"/>
  <c r="M1147" i="1"/>
  <c r="B1147" i="1"/>
  <c r="J1147" i="1"/>
  <c r="G1147" i="1"/>
  <c r="A1148" i="1"/>
  <c r="H1147" i="1"/>
  <c r="I1147" i="1"/>
  <c r="C1147" i="1"/>
  <c r="O1147" i="1"/>
  <c r="N1147" i="1"/>
  <c r="Q1147" i="1"/>
  <c r="E1147" i="1"/>
  <c r="F1147" i="1"/>
  <c r="L1147" i="1"/>
  <c r="P1147" i="1"/>
  <c r="A1141" i="3" l="1"/>
  <c r="C1140" i="3"/>
  <c r="B1140" i="3"/>
  <c r="D1140" i="3"/>
  <c r="E1140" i="3"/>
  <c r="G1116" i="2"/>
  <c r="B1116" i="2"/>
  <c r="A1117" i="2"/>
  <c r="I1116" i="2"/>
  <c r="J1116" i="2"/>
  <c r="F1116" i="2"/>
  <c r="C1116" i="2"/>
  <c r="H1116" i="2"/>
  <c r="E1116" i="2"/>
  <c r="D1116" i="2"/>
  <c r="D1148" i="1"/>
  <c r="M1148" i="1"/>
  <c r="B1148" i="1"/>
  <c r="J1148" i="1"/>
  <c r="N1148" i="1"/>
  <c r="C1148" i="1"/>
  <c r="O1148" i="1"/>
  <c r="E1148" i="1"/>
  <c r="P1148" i="1"/>
  <c r="H1148" i="1"/>
  <c r="F1148" i="1"/>
  <c r="G1148" i="1"/>
  <c r="I1148" i="1"/>
  <c r="L1148" i="1"/>
  <c r="Q1148" i="1"/>
  <c r="E1117" i="2" l="1"/>
  <c r="J1117" i="2"/>
  <c r="I1117" i="2"/>
  <c r="A1118" i="2"/>
  <c r="B1117" i="2"/>
  <c r="G1117" i="2"/>
  <c r="D1117" i="2"/>
  <c r="H1117" i="2"/>
  <c r="F1117" i="2"/>
  <c r="C1117" i="2"/>
  <c r="B1141" i="3"/>
  <c r="A1142" i="3"/>
  <c r="C1141" i="3"/>
  <c r="D1141" i="3"/>
  <c r="E1141" i="3"/>
  <c r="B1142" i="3" l="1"/>
  <c r="D1142" i="3"/>
  <c r="E1142" i="3"/>
  <c r="C1142" i="3"/>
  <c r="A1143" i="3"/>
  <c r="C1118" i="2"/>
  <c r="A1119" i="2"/>
  <c r="I1118" i="2"/>
  <c r="J1118" i="2"/>
  <c r="B1118" i="2"/>
  <c r="G1118" i="2"/>
  <c r="D1118" i="2"/>
  <c r="H1118" i="2"/>
  <c r="E1118" i="2"/>
  <c r="F1118" i="2"/>
  <c r="E1143" i="3" l="1"/>
  <c r="B1143" i="3"/>
  <c r="D1143" i="3"/>
  <c r="A1144" i="3"/>
  <c r="C1143" i="3"/>
  <c r="I1119" i="2"/>
  <c r="H1119" i="2"/>
  <c r="A1120" i="2"/>
  <c r="B1119" i="2"/>
  <c r="C1119" i="2"/>
  <c r="G1119" i="2"/>
  <c r="E1119" i="2"/>
  <c r="J1119" i="2"/>
  <c r="D1119" i="2"/>
  <c r="F1119" i="2"/>
  <c r="G1120" i="2" l="1"/>
  <c r="H1120" i="2"/>
  <c r="A1121" i="2"/>
  <c r="B1120" i="2"/>
  <c r="C1120" i="2"/>
  <c r="I1120" i="2"/>
  <c r="D1120" i="2"/>
  <c r="J1120" i="2"/>
  <c r="F1120" i="2"/>
  <c r="E1120" i="2"/>
  <c r="B1144" i="3"/>
  <c r="C1144" i="3"/>
  <c r="E1144" i="3"/>
  <c r="D1144" i="3"/>
  <c r="A1145" i="3"/>
  <c r="C1145" i="3" l="1"/>
  <c r="E1145" i="3"/>
  <c r="A1146" i="3"/>
  <c r="B1145" i="3"/>
  <c r="D1145" i="3"/>
  <c r="E1121" i="2"/>
  <c r="G1121" i="2"/>
  <c r="A1122" i="2"/>
  <c r="B1121" i="2"/>
  <c r="C1121" i="2"/>
  <c r="I1121" i="2"/>
  <c r="F1121" i="2"/>
  <c r="J1121" i="2"/>
  <c r="H1121" i="2"/>
  <c r="D1121" i="2"/>
  <c r="C1122" i="2" l="1"/>
  <c r="A1123" i="2"/>
  <c r="F1122" i="2"/>
  <c r="B1122" i="2"/>
  <c r="D1122" i="2"/>
  <c r="I1122" i="2"/>
  <c r="E1122" i="2"/>
  <c r="J1122" i="2"/>
  <c r="G1122" i="2"/>
  <c r="H1122" i="2"/>
  <c r="A1147" i="3"/>
  <c r="C1146" i="3"/>
  <c r="E1146" i="3"/>
  <c r="D1146" i="3"/>
  <c r="B1146" i="3"/>
  <c r="C1147" i="3" l="1"/>
  <c r="D1147" i="3"/>
  <c r="A1148" i="3"/>
  <c r="B1147" i="3"/>
  <c r="E1147" i="3"/>
  <c r="I1123" i="2"/>
  <c r="E1123" i="2"/>
  <c r="B1123" i="2"/>
  <c r="C1123" i="2"/>
  <c r="D1123" i="2"/>
  <c r="J1123" i="2"/>
  <c r="G1123" i="2"/>
  <c r="A1124" i="2"/>
  <c r="F1123" i="2"/>
  <c r="H1123" i="2"/>
  <c r="D1148" i="3" l="1"/>
  <c r="B1148" i="3"/>
  <c r="C1148" i="3"/>
  <c r="E1148" i="3"/>
  <c r="G1124" i="2"/>
  <c r="D1124" i="2"/>
  <c r="B1124" i="2"/>
  <c r="C1124" i="2"/>
  <c r="E1124" i="2"/>
  <c r="J1124" i="2"/>
  <c r="F1124" i="2"/>
  <c r="A1125" i="2"/>
  <c r="I1124" i="2"/>
  <c r="H1124" i="2"/>
  <c r="E1125" i="2" l="1"/>
  <c r="C1125" i="2"/>
  <c r="B1125" i="2"/>
  <c r="D1125" i="2"/>
  <c r="F1125" i="2"/>
  <c r="J1125" i="2"/>
  <c r="H1125" i="2"/>
  <c r="A1126" i="2"/>
  <c r="I1125" i="2"/>
  <c r="G1125" i="2"/>
  <c r="C1126" i="2" l="1"/>
  <c r="A1127" i="2"/>
  <c r="B1126" i="2"/>
  <c r="D1126" i="2"/>
  <c r="E1126" i="2"/>
  <c r="F1126" i="2"/>
  <c r="J1126" i="2"/>
  <c r="G1126" i="2"/>
  <c r="H1126" i="2"/>
  <c r="I1126" i="2"/>
  <c r="I1127" i="2" l="1"/>
  <c r="B1127" i="2"/>
  <c r="A1128" i="2"/>
  <c r="D1127" i="2"/>
  <c r="E1127" i="2"/>
  <c r="F1127" i="2"/>
  <c r="H1127" i="2"/>
  <c r="C1127" i="2"/>
  <c r="G1127" i="2"/>
  <c r="J1127" i="2"/>
  <c r="G1128" i="2" l="1"/>
  <c r="J1128" i="2"/>
  <c r="D1128" i="2"/>
  <c r="E1128" i="2"/>
  <c r="F1128" i="2"/>
  <c r="B1128" i="2"/>
  <c r="C1128" i="2"/>
  <c r="H1128" i="2"/>
  <c r="A1129" i="2"/>
  <c r="I1128" i="2"/>
  <c r="E1129" i="2" l="1"/>
  <c r="I1129" i="2"/>
  <c r="D1129" i="2"/>
  <c r="F1129" i="2"/>
  <c r="G1129" i="2"/>
  <c r="B1129" i="2"/>
  <c r="J1129" i="2"/>
  <c r="C1129" i="2"/>
  <c r="A1130" i="2"/>
  <c r="H1129" i="2"/>
  <c r="C1130" i="2" l="1"/>
  <c r="A1131" i="2"/>
  <c r="H1130" i="2"/>
  <c r="E1130" i="2"/>
  <c r="F1130" i="2"/>
  <c r="G1130" i="2"/>
  <c r="B1130" i="2"/>
  <c r="D1130" i="2"/>
  <c r="I1130" i="2"/>
  <c r="J1130" i="2"/>
  <c r="I1131" i="2" l="1"/>
  <c r="G1131" i="2"/>
  <c r="E1131" i="2"/>
  <c r="F1131" i="2"/>
  <c r="H1131" i="2"/>
  <c r="C1131" i="2"/>
  <c r="A1132" i="2"/>
  <c r="D1131" i="2"/>
  <c r="B1131" i="2"/>
  <c r="J1131" i="2"/>
  <c r="G1132" i="2" l="1"/>
  <c r="F1132" i="2"/>
  <c r="E1132" i="2"/>
  <c r="H1132" i="2"/>
  <c r="I1132" i="2"/>
  <c r="C1132" i="2"/>
  <c r="D1132" i="2"/>
  <c r="J1132" i="2"/>
  <c r="B1132" i="2"/>
  <c r="A1133" i="2"/>
  <c r="E1133" i="2" l="1"/>
  <c r="F1133" i="2"/>
  <c r="G1133" i="2"/>
  <c r="H1133" i="2"/>
  <c r="I1133" i="2"/>
  <c r="C1133" i="2"/>
  <c r="A1134" i="2"/>
  <c r="D1133" i="2"/>
  <c r="B1133" i="2"/>
  <c r="J1133" i="2"/>
  <c r="C1134" i="2" l="1"/>
  <c r="A1135" i="2"/>
  <c r="E1134" i="2"/>
  <c r="G1134" i="2"/>
  <c r="H1134" i="2"/>
  <c r="I1134" i="2"/>
  <c r="D1134" i="2"/>
  <c r="F1134" i="2"/>
  <c r="J1134" i="2"/>
  <c r="B1134" i="2"/>
  <c r="I1135" i="2" l="1"/>
  <c r="D1135" i="2"/>
  <c r="G1135" i="2"/>
  <c r="H1135" i="2"/>
  <c r="J1135" i="2"/>
  <c r="E1135" i="2"/>
  <c r="F1135" i="2"/>
  <c r="B1135" i="2"/>
  <c r="C1135" i="2"/>
  <c r="A1136" i="2"/>
  <c r="G1136" i="2" l="1"/>
  <c r="C1136" i="2"/>
  <c r="H1136" i="2"/>
  <c r="I1136" i="2"/>
  <c r="J1136" i="2"/>
  <c r="E1136" i="2"/>
  <c r="B1136" i="2"/>
  <c r="F1136" i="2"/>
  <c r="A1137" i="2"/>
  <c r="D1136" i="2"/>
  <c r="E1137" i="2" l="1"/>
  <c r="B1137" i="2"/>
  <c r="A1138" i="2"/>
  <c r="H1137" i="2"/>
  <c r="I1137" i="2"/>
  <c r="J1137" i="2"/>
  <c r="F1137" i="2"/>
  <c r="G1137" i="2"/>
  <c r="D1137" i="2"/>
  <c r="C1137" i="2"/>
  <c r="C1138" i="2" l="1"/>
  <c r="A1139" i="2"/>
  <c r="J1138" i="2"/>
  <c r="H1138" i="2"/>
  <c r="I1138" i="2"/>
  <c r="F1138" i="2"/>
  <c r="D1138" i="2"/>
  <c r="G1138" i="2"/>
  <c r="E1138" i="2"/>
  <c r="B1138" i="2"/>
  <c r="I1139" i="2" l="1"/>
  <c r="J1139" i="2"/>
  <c r="H1139" i="2"/>
  <c r="A1140" i="2"/>
  <c r="B1139" i="2"/>
  <c r="F1139" i="2"/>
  <c r="C1139" i="2"/>
  <c r="G1139" i="2"/>
  <c r="D1139" i="2"/>
  <c r="E1139" i="2"/>
  <c r="G1140" i="2" l="1"/>
  <c r="I1140" i="2"/>
  <c r="J1140" i="2"/>
  <c r="A1141" i="2"/>
  <c r="B1140" i="2"/>
  <c r="F1140" i="2"/>
  <c r="D1140" i="2"/>
  <c r="H1140" i="2"/>
  <c r="C1140" i="2"/>
  <c r="E1140" i="2"/>
  <c r="E1141" i="2" l="1"/>
  <c r="H1141" i="2"/>
  <c r="J1141" i="2"/>
  <c r="A1142" i="2"/>
  <c r="B1141" i="2"/>
  <c r="G1141" i="2"/>
  <c r="C1141" i="2"/>
  <c r="I1141" i="2"/>
  <c r="F1141" i="2"/>
  <c r="D1141" i="2"/>
  <c r="C1142" i="2" l="1"/>
  <c r="A1143" i="2"/>
  <c r="G1142" i="2"/>
  <c r="J1142" i="2"/>
  <c r="B1142" i="2"/>
  <c r="H1142" i="2"/>
  <c r="E1142" i="2"/>
  <c r="I1142" i="2"/>
  <c r="F1142" i="2"/>
  <c r="D1142" i="2"/>
  <c r="I1143" i="2" l="1"/>
  <c r="F1143" i="2"/>
  <c r="A1144" i="2"/>
  <c r="B1143" i="2"/>
  <c r="C1143" i="2"/>
  <c r="H1143" i="2"/>
  <c r="D1143" i="2"/>
  <c r="J1143" i="2"/>
  <c r="E1143" i="2"/>
  <c r="G1143" i="2"/>
  <c r="G1144" i="2" l="1"/>
  <c r="E1144" i="2"/>
  <c r="A1145" i="2"/>
  <c r="B1144" i="2"/>
  <c r="C1144" i="2"/>
  <c r="I1144" i="2"/>
  <c r="F1144" i="2"/>
  <c r="J1144" i="2"/>
  <c r="D1144" i="2"/>
  <c r="H1144" i="2"/>
  <c r="E1145" i="2" l="1"/>
  <c r="D1145" i="2"/>
  <c r="A1146" i="2"/>
  <c r="B1145" i="2"/>
  <c r="C1145" i="2"/>
  <c r="I1145" i="2"/>
  <c r="F1145" i="2"/>
  <c r="J1145" i="2"/>
  <c r="H1145" i="2"/>
  <c r="G1145" i="2"/>
  <c r="C1146" i="2" l="1"/>
  <c r="A1147" i="2"/>
  <c r="D1146" i="2"/>
  <c r="B1146" i="2"/>
  <c r="E1146" i="2"/>
  <c r="I1146" i="2"/>
  <c r="G1146" i="2"/>
  <c r="J1146" i="2"/>
  <c r="H1146" i="2"/>
  <c r="F1146" i="2"/>
  <c r="I1147" i="2" l="1"/>
  <c r="C1147" i="2"/>
  <c r="B1147" i="2"/>
  <c r="D1147" i="2"/>
  <c r="E1147" i="2"/>
  <c r="J1147" i="2"/>
  <c r="F1147" i="2"/>
  <c r="A1148" i="2"/>
  <c r="G1147" i="2"/>
  <c r="H1147" i="2"/>
  <c r="G1148" i="2" l="1"/>
  <c r="B1148" i="2"/>
  <c r="C1148" i="2"/>
  <c r="D1148" i="2"/>
  <c r="E1148" i="2"/>
  <c r="J1148" i="2"/>
  <c r="H1148" i="2"/>
  <c r="F1148" i="2"/>
  <c r="I1148" i="2"/>
</calcChain>
</file>

<file path=xl/sharedStrings.xml><?xml version="1.0" encoding="utf-8"?>
<sst xmlns="http://schemas.openxmlformats.org/spreadsheetml/2006/main" count="161" uniqueCount="74">
  <si>
    <t>MM$</t>
  </si>
  <si>
    <t>$/MMBTU</t>
  </si>
  <si>
    <t>MONTH</t>
  </si>
  <si>
    <t>UPS REPLACEMENT SUNK DEMAND CHARGE</t>
  </si>
  <si>
    <t>BAY GAS STORAGE DEMAND CHARGE</t>
  </si>
  <si>
    <t>SABAL TRAIL &amp; FSC</t>
  </si>
  <si>
    <t>GULF SOUTH</t>
  </si>
  <si>
    <t>TRANSCO 4A</t>
  </si>
  <si>
    <t>SESH</t>
  </si>
  <si>
    <t>GULFSTREAM</t>
  </si>
  <si>
    <t>FGT</t>
  </si>
  <si>
    <t>UPS REPLACEMENT DISPATCH PRICE</t>
  </si>
  <si>
    <t>HENRY HUB</t>
  </si>
  <si>
    <r>
      <t xml:space="preserve">FSC FIRM     FROM                          </t>
    </r>
    <r>
      <rPr>
        <b/>
        <sz val="12"/>
        <color theme="5" tint="-0.249977111117893"/>
        <rFont val="Arial"/>
        <family val="2"/>
      </rPr>
      <t>SABAL TRAIL</t>
    </r>
  </si>
  <si>
    <t>GULFSTREAM NON-FIRM</t>
  </si>
  <si>
    <t>WEIGHTED AVERAGE GULFSTREAM FIRM</t>
  </si>
  <si>
    <t>FGT NON-FIRM</t>
  </si>
  <si>
    <t>WEIGHTED AVERAGE FGT FIRM</t>
  </si>
  <si>
    <t>WEIGHTED AVERAGE Z3 FGT FIRM</t>
  </si>
  <si>
    <t>ZONE 2 FGT FIRM</t>
  </si>
  <si>
    <t>ZONE 1 FGT FIRM</t>
  </si>
  <si>
    <t>FIRM TRANSPORT AND STORAGE CONTRACTS THROUGH FGT PHASE VIII</t>
  </si>
  <si>
    <t>SUNK DEMAND CHARGE FOR ALL CURRENT</t>
  </si>
  <si>
    <t>HIGH</t>
  </si>
  <si>
    <t>LOW</t>
  </si>
  <si>
    <t>December 01, 2014 - LYSTRA LOUTAN</t>
  </si>
  <si>
    <t>LONG-TERM FORECAST METHODOLOGY - GAS PRICE</t>
  </si>
  <si>
    <t>MMCF/DAY</t>
  </si>
  <si>
    <t>DAYS</t>
  </si>
  <si>
    <t>GULFSTREAM NON-FIRM &amp; NON-FIRM BACKHAUL</t>
  </si>
  <si>
    <t>TOTAL GULFSTREAM FIRM</t>
  </si>
  <si>
    <t>SABAL TRAIL PIPELINE</t>
  </si>
  <si>
    <t>TOTAL FGT FIRM</t>
  </si>
  <si>
    <t>ZONE 3 FGT FIRM</t>
  </si>
  <si>
    <t>FGT FIRM BY ZONE</t>
  </si>
  <si>
    <t>LONG-TERM FORECAST METHODOLOGY - CAPACITY</t>
  </si>
  <si>
    <t>$/BBL.</t>
  </si>
  <si>
    <t>WTI</t>
  </si>
  <si>
    <t>ALL PLANTS DISTILLATE</t>
  </si>
  <si>
    <t>MANATEE / TURKEY POINT RESIDUAL</t>
  </si>
  <si>
    <t>MARTIN RESIDUAL</t>
  </si>
  <si>
    <t>DISTILLATE</t>
  </si>
  <si>
    <t>RESIDUAL</t>
  </si>
  <si>
    <t>LONG-TERM FORECAST METHODOLOGY - OIL PRICE</t>
  </si>
  <si>
    <t>DISPATCH PRICE WITH SO2 &amp; NOx</t>
  </si>
  <si>
    <t>DISPATCH PRICE WITHOUT SO2 &amp; NOx</t>
  </si>
  <si>
    <t>WEIGHTED AVERAGE WITHOUT SO2 &amp; NOx</t>
  </si>
  <si>
    <t>CEDAR BAY</t>
  </si>
  <si>
    <t>ICL</t>
  </si>
  <si>
    <t>ST. JOHNS RIVER POWER PARK</t>
  </si>
  <si>
    <t>PLANT SCHERER UNIT 4</t>
  </si>
  <si>
    <t xml:space="preserve"> </t>
  </si>
  <si>
    <t>WITHOUT NOx</t>
  </si>
  <si>
    <t>WITH NOx</t>
  </si>
  <si>
    <t>Selection</t>
  </si>
  <si>
    <t>Natural Gas</t>
  </si>
  <si>
    <t>WITHOUT SO2 &amp; NOx</t>
  </si>
  <si>
    <t>WITH SO2 &amp; NOx</t>
  </si>
  <si>
    <t>Oil SO2</t>
  </si>
  <si>
    <t>HIGH PRICES</t>
  </si>
  <si>
    <t>MEDIUM PRICES</t>
  </si>
  <si>
    <t>LOW PRICES</t>
  </si>
  <si>
    <t>Coal</t>
  </si>
  <si>
    <t>Heavy &amp; Light Oil</t>
  </si>
  <si>
    <t>Florida Power &amp; Light Company</t>
  </si>
  <si>
    <t>Docket No. 160154-EI</t>
  </si>
  <si>
    <t>Staff's First Set of Interrogatories</t>
  </si>
  <si>
    <t>Interrogatory No. 2</t>
  </si>
  <si>
    <t>Tab 1 of 5</t>
  </si>
  <si>
    <t>Attachment No. 35</t>
  </si>
  <si>
    <t>Tab 5 of 5</t>
  </si>
  <si>
    <t>Tab 4 of 5</t>
  </si>
  <si>
    <t>Tab 3 of 5</t>
  </si>
  <si>
    <t>Tab 2 of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</si>
</sst>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00"/>
    <numFmt numFmtId="165" formatCode="0_)"/>
    <numFmt numFmtId="166" formatCode="&quot;$&quot;#,##0.00"/>
    <numFmt numFmtId="167" formatCode="&quot;$&quot;#,##0.0"/>
    <numFmt numFmtId="168" formatCode="&quot;$&quot;#,##0.0_);[Red]\(&quot;$&quot;#,##0.0\)"/>
    <numFmt numFmtId="169" formatCode="[$-409]mmm\-yy;@"/>
    <numFmt numFmtId="170" formatCode="0.0000"/>
    <numFmt numFmtId="171" formatCode="0.0"/>
    <numFmt numFmtId="172" formatCode="_(* #,##0_);_(* \(#,##0\);_(* &quot;-&quot;??_);_(@_)"/>
  </numFmts>
  <fonts count="20">
    <font>
      <sz val="12"/>
      <name val="Helv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sz val="12"/>
      <name val="Helv"/>
    </font>
    <font>
      <sz val="12"/>
      <color indexed="12"/>
      <name val="Arial"/>
      <family val="2"/>
    </font>
    <font>
      <b/>
      <sz val="12"/>
      <name val="Arial"/>
      <family val="2"/>
    </font>
    <font>
      <b/>
      <sz val="12"/>
      <color theme="5" tint="-0.249977111117893"/>
      <name val="Arial"/>
      <family val="2"/>
    </font>
    <font>
      <b/>
      <sz val="12"/>
      <color rgb="FF00B0F0"/>
      <name val="Arial"/>
      <family val="2"/>
    </font>
    <font>
      <b/>
      <u/>
      <sz val="16"/>
      <name val="Arial"/>
      <family val="2"/>
    </font>
    <font>
      <sz val="9"/>
      <name val="Geneva"/>
    </font>
    <font>
      <b/>
      <sz val="10"/>
      <color rgb="FF00B0F0"/>
      <name val="Arial"/>
      <family val="2"/>
    </font>
    <font>
      <b/>
      <sz val="10"/>
      <name val="Arial"/>
      <family val="2"/>
    </font>
    <font>
      <sz val="18"/>
      <name val="Arial"/>
      <family val="2"/>
    </font>
    <font>
      <b/>
      <sz val="17"/>
      <name val="Arial"/>
      <family val="2"/>
    </font>
    <font>
      <b/>
      <u val="singleAccounting"/>
      <sz val="12"/>
      <name val="Arial"/>
      <family val="2"/>
    </font>
    <font>
      <sz val="14"/>
      <name val="Arial"/>
      <family val="2"/>
    </font>
    <font>
      <b/>
      <sz val="16"/>
      <name val="Arial"/>
      <family val="2"/>
    </font>
    <font>
      <sz val="12"/>
      <color indexed="12"/>
      <name val="Helv"/>
    </font>
    <font>
      <b/>
      <sz val="12"/>
      <name val="Helv"/>
    </font>
  </fonts>
  <fills count="17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indexed="4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9">
    <xf numFmtId="164" fontId="0" fillId="0" borderId="0">
      <alignment horizontal="left" wrapText="1"/>
    </xf>
    <xf numFmtId="43" fontId="4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4" fillId="0" borderId="0"/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2" fillId="0" borderId="0">
      <alignment wrapText="1"/>
    </xf>
    <xf numFmtId="0" fontId="2" fillId="0" borderId="0"/>
    <xf numFmtId="0" fontId="4" fillId="0" borderId="0"/>
    <xf numFmtId="0" fontId="1" fillId="0" borderId="0"/>
    <xf numFmtId="0" fontId="1" fillId="0" borderId="0"/>
    <xf numFmtId="0" fontId="2" fillId="0" borderId="0">
      <alignment wrapText="1"/>
    </xf>
    <xf numFmtId="0" fontId="2" fillId="0" borderId="0">
      <alignment wrapText="1"/>
    </xf>
    <xf numFmtId="0" fontId="2" fillId="0" borderId="0">
      <alignment wrapText="1"/>
    </xf>
    <xf numFmtId="0" fontId="2" fillId="0" borderId="0">
      <alignment wrapText="1"/>
    </xf>
    <xf numFmtId="0" fontId="1" fillId="0" borderId="0"/>
  </cellStyleXfs>
  <cellXfs count="100">
    <xf numFmtId="164" fontId="0" fillId="0" borderId="0" xfId="0">
      <alignment horizontal="left" wrapText="1"/>
    </xf>
    <xf numFmtId="0" fontId="3" fillId="0" borderId="0" xfId="4" applyFont="1"/>
    <xf numFmtId="0" fontId="3" fillId="0" borderId="0" xfId="4" applyFont="1" applyAlignment="1">
      <alignment horizontal="center"/>
    </xf>
    <xf numFmtId="165" fontId="3" fillId="0" borderId="0" xfId="0" applyNumberFormat="1" applyFont="1" applyAlignment="1">
      <alignment horizontal="center"/>
    </xf>
    <xf numFmtId="166" fontId="3" fillId="0" borderId="0" xfId="4" applyNumberFormat="1" applyFont="1" applyAlignment="1">
      <alignment horizontal="center"/>
    </xf>
    <xf numFmtId="167" fontId="3" fillId="0" borderId="0" xfId="4" applyNumberFormat="1" applyFont="1" applyAlignment="1">
      <alignment horizontal="center"/>
    </xf>
    <xf numFmtId="167" fontId="3" fillId="0" borderId="0" xfId="4" applyNumberFormat="1" applyFont="1"/>
    <xf numFmtId="166" fontId="3" fillId="0" borderId="0" xfId="4" applyNumberFormat="1" applyFont="1"/>
    <xf numFmtId="166" fontId="3" fillId="2" borderId="0" xfId="4" applyNumberFormat="1" applyFont="1" applyFill="1" applyAlignment="1">
      <alignment horizontal="center"/>
    </xf>
    <xf numFmtId="168" fontId="3" fillId="0" borderId="0" xfId="4" applyNumberFormat="1" applyFont="1" applyAlignment="1">
      <alignment horizontal="center"/>
    </xf>
    <xf numFmtId="165" fontId="3" fillId="0" borderId="0" xfId="0" applyNumberFormat="1" applyFont="1" applyAlignment="1"/>
    <xf numFmtId="167" fontId="5" fillId="0" borderId="0" xfId="4" applyNumberFormat="1" applyFont="1" applyAlignment="1">
      <alignment horizontal="center"/>
    </xf>
    <xf numFmtId="166" fontId="6" fillId="2" borderId="0" xfId="4" applyNumberFormat="1" applyFont="1" applyFill="1" applyAlignment="1">
      <alignment horizontal="center"/>
    </xf>
    <xf numFmtId="17" fontId="3" fillId="0" borderId="0" xfId="0" applyNumberFormat="1" applyFont="1" applyAlignment="1">
      <alignment horizontal="center"/>
    </xf>
    <xf numFmtId="169" fontId="3" fillId="0" borderId="0" xfId="0" applyNumberFormat="1" applyFont="1" applyAlignment="1">
      <alignment horizontal="center"/>
    </xf>
    <xf numFmtId="167" fontId="5" fillId="3" borderId="0" xfId="4" applyNumberFormat="1" applyFont="1" applyFill="1" applyAlignment="1">
      <alignment horizontal="center"/>
    </xf>
    <xf numFmtId="167" fontId="5" fillId="4" borderId="0" xfId="4" applyNumberFormat="1" applyFont="1" applyFill="1" applyAlignment="1">
      <alignment horizontal="center"/>
    </xf>
    <xf numFmtId="167" fontId="5" fillId="5" borderId="0" xfId="4" applyNumberFormat="1" applyFont="1" applyFill="1" applyAlignment="1">
      <alignment horizontal="center"/>
    </xf>
    <xf numFmtId="166" fontId="3" fillId="6" borderId="0" xfId="4" applyNumberFormat="1" applyFont="1" applyFill="1" applyAlignment="1">
      <alignment horizontal="center"/>
    </xf>
    <xf numFmtId="166" fontId="3" fillId="0" borderId="0" xfId="4" applyNumberFormat="1" applyFont="1" applyFill="1" applyAlignment="1">
      <alignment horizontal="center"/>
    </xf>
    <xf numFmtId="167" fontId="5" fillId="7" borderId="0" xfId="4" applyNumberFormat="1" applyFont="1" applyFill="1" applyAlignment="1">
      <alignment horizontal="center"/>
    </xf>
    <xf numFmtId="167" fontId="5" fillId="8" borderId="0" xfId="4" applyNumberFormat="1" applyFont="1" applyFill="1" applyAlignment="1">
      <alignment horizontal="center"/>
    </xf>
    <xf numFmtId="0" fontId="3" fillId="0" borderId="0" xfId="4" applyFont="1" applyAlignment="1">
      <alignment horizontal="center" wrapText="1"/>
    </xf>
    <xf numFmtId="0" fontId="6" fillId="9" borderId="0" xfId="4" applyFont="1" applyFill="1" applyAlignment="1">
      <alignment horizontal="center" wrapText="1"/>
    </xf>
    <xf numFmtId="0" fontId="6" fillId="0" borderId="0" xfId="4" applyFont="1" applyAlignment="1">
      <alignment horizontal="center" wrapText="1"/>
    </xf>
    <xf numFmtId="0" fontId="6" fillId="2" borderId="0" xfId="4" applyFont="1" applyFill="1" applyAlignment="1">
      <alignment horizontal="center" wrapText="1"/>
    </xf>
    <xf numFmtId="0" fontId="6" fillId="9" borderId="0" xfId="4" quotePrefix="1" applyFont="1" applyFill="1" applyAlignment="1">
      <alignment horizontal="center" wrapText="1"/>
    </xf>
    <xf numFmtId="0" fontId="6" fillId="0" borderId="0" xfId="4" quotePrefix="1" applyFont="1" applyAlignment="1">
      <alignment horizontal="center" wrapText="1"/>
    </xf>
    <xf numFmtId="0" fontId="6" fillId="0" borderId="0" xfId="4" applyFont="1" applyAlignment="1">
      <alignment horizontal="center"/>
    </xf>
    <xf numFmtId="0" fontId="6" fillId="0" borderId="0" xfId="4" applyFont="1" applyAlignment="1"/>
    <xf numFmtId="10" fontId="8" fillId="10" borderId="0" xfId="4" applyNumberFormat="1" applyFont="1" applyFill="1" applyAlignment="1">
      <alignment horizontal="center"/>
    </xf>
    <xf numFmtId="0" fontId="6" fillId="10" borderId="0" xfId="4" applyFont="1" applyFill="1" applyAlignment="1">
      <alignment horizontal="center"/>
    </xf>
    <xf numFmtId="170" fontId="3" fillId="0" borderId="0" xfId="4" applyNumberFormat="1" applyFont="1"/>
    <xf numFmtId="1" fontId="3" fillId="0" borderId="0" xfId="4" applyNumberFormat="1" applyFont="1"/>
    <xf numFmtId="15" fontId="6" fillId="0" borderId="0" xfId="4" applyNumberFormat="1" applyFont="1" applyAlignment="1">
      <alignment horizontal="left"/>
    </xf>
    <xf numFmtId="165" fontId="9" fillId="0" borderId="0" xfId="0" quotePrefix="1" applyNumberFormat="1" applyFont="1" applyAlignment="1">
      <alignment horizontal="left"/>
    </xf>
    <xf numFmtId="0" fontId="2" fillId="0" borderId="0" xfId="4" applyFont="1"/>
    <xf numFmtId="0" fontId="2" fillId="0" borderId="0" xfId="4" applyFont="1" applyAlignment="1">
      <alignment horizontal="center"/>
    </xf>
    <xf numFmtId="0" fontId="2" fillId="0" borderId="0" xfId="4"/>
    <xf numFmtId="1" fontId="3" fillId="0" borderId="0" xfId="4" applyNumberFormat="1" applyFont="1" applyAlignment="1">
      <alignment horizontal="center"/>
    </xf>
    <xf numFmtId="1" fontId="2" fillId="0" borderId="0" xfId="4" applyNumberFormat="1" applyFont="1" applyAlignment="1">
      <alignment horizontal="center"/>
    </xf>
    <xf numFmtId="1" fontId="3" fillId="11" borderId="0" xfId="4" applyNumberFormat="1" applyFont="1" applyFill="1" applyAlignment="1">
      <alignment horizontal="center"/>
    </xf>
    <xf numFmtId="3" fontId="3" fillId="0" borderId="0" xfId="4" applyNumberFormat="1" applyFont="1" applyAlignment="1">
      <alignment horizontal="center"/>
    </xf>
    <xf numFmtId="3" fontId="3" fillId="11" borderId="0" xfId="4" applyNumberFormat="1" applyFont="1" applyFill="1" applyAlignment="1">
      <alignment horizontal="center"/>
    </xf>
    <xf numFmtId="171" fontId="6" fillId="12" borderId="0" xfId="4" applyNumberFormat="1" applyFont="1" applyFill="1" applyAlignment="1">
      <alignment horizontal="center"/>
    </xf>
    <xf numFmtId="3" fontId="3" fillId="0" borderId="0" xfId="0" applyNumberFormat="1" applyFont="1" applyAlignment="1">
      <alignment horizontal="center"/>
    </xf>
    <xf numFmtId="1" fontId="3" fillId="0" borderId="0" xfId="0" applyNumberFormat="1" applyFont="1" applyAlignment="1"/>
    <xf numFmtId="1" fontId="6" fillId="0" borderId="0" xfId="4" applyNumberFormat="1" applyFont="1" applyFill="1" applyAlignment="1">
      <alignment horizontal="center"/>
    </xf>
    <xf numFmtId="1" fontId="3" fillId="0" borderId="0" xfId="0" applyNumberFormat="1" applyFont="1" applyAlignment="1">
      <alignment horizontal="center"/>
    </xf>
    <xf numFmtId="172" fontId="3" fillId="0" borderId="0" xfId="0" applyNumberFormat="1" applyFont="1" applyAlignment="1"/>
    <xf numFmtId="0" fontId="6" fillId="0" borderId="0" xfId="4" applyFont="1" applyFill="1" applyAlignment="1">
      <alignment horizontal="center" wrapText="1"/>
    </xf>
    <xf numFmtId="0" fontId="6" fillId="12" borderId="0" xfId="4" applyFont="1" applyFill="1" applyAlignment="1">
      <alignment horizontal="center" wrapText="1"/>
    </xf>
    <xf numFmtId="0" fontId="6" fillId="2" borderId="0" xfId="4" quotePrefix="1" applyFont="1" applyFill="1" applyAlignment="1">
      <alignment horizontal="center" wrapText="1"/>
    </xf>
    <xf numFmtId="0" fontId="6" fillId="0" borderId="0" xfId="4" quotePrefix="1" applyFont="1" applyFill="1" applyAlignment="1">
      <alignment horizontal="center"/>
    </xf>
    <xf numFmtId="0" fontId="6" fillId="0" borderId="0" xfId="4" applyFont="1" applyFill="1" applyAlignment="1">
      <alignment horizontal="center"/>
    </xf>
    <xf numFmtId="0" fontId="6" fillId="0" borderId="0" xfId="4" applyFont="1" applyFill="1" applyAlignment="1"/>
    <xf numFmtId="0" fontId="6" fillId="13" borderId="0" xfId="4" applyFont="1" applyFill="1" applyAlignment="1">
      <alignment horizontal="center"/>
    </xf>
    <xf numFmtId="0" fontId="6" fillId="0" borderId="0" xfId="4" applyFont="1"/>
    <xf numFmtId="0" fontId="2" fillId="0" borderId="0" xfId="4" applyFont="1" applyAlignment="1">
      <alignment horizontal="center" wrapText="1"/>
    </xf>
    <xf numFmtId="0" fontId="6" fillId="0" borderId="0" xfId="4" quotePrefix="1" applyFont="1" applyFill="1" applyAlignment="1">
      <alignment horizontal="center" wrapText="1"/>
    </xf>
    <xf numFmtId="0" fontId="6" fillId="11" borderId="0" xfId="4" applyFont="1" applyFill="1" applyAlignment="1"/>
    <xf numFmtId="15" fontId="6" fillId="0" borderId="0" xfId="4" applyNumberFormat="1" applyFont="1" applyFill="1" applyAlignment="1">
      <alignment horizontal="left"/>
    </xf>
    <xf numFmtId="9" fontId="11" fillId="15" borderId="0" xfId="3" applyFont="1" applyFill="1" applyAlignment="1">
      <alignment horizontal="center"/>
    </xf>
    <xf numFmtId="0" fontId="12" fillId="15" borderId="0" xfId="4" applyFont="1" applyFill="1" applyAlignment="1">
      <alignment horizontal="center"/>
    </xf>
    <xf numFmtId="0" fontId="2" fillId="0" borderId="0" xfId="4" applyFont="1" applyFill="1"/>
    <xf numFmtId="0" fontId="13" fillId="0" borderId="0" xfId="4" applyFont="1" applyFill="1"/>
    <xf numFmtId="0" fontId="14" fillId="0" borderId="0" xfId="4" quotePrefix="1" applyFont="1" applyFill="1" applyAlignment="1">
      <alignment horizontal="left"/>
    </xf>
    <xf numFmtId="166" fontId="3" fillId="0" borderId="0" xfId="0" applyNumberFormat="1" applyFont="1" applyAlignment="1">
      <alignment horizontal="center"/>
    </xf>
    <xf numFmtId="166" fontId="3" fillId="0" borderId="0" xfId="2" applyNumberFormat="1" applyFont="1" applyAlignment="1">
      <alignment horizontal="center"/>
    </xf>
    <xf numFmtId="44" fontId="15" fillId="0" borderId="0" xfId="2" applyFont="1" applyAlignment="1">
      <alignment horizontal="center"/>
    </xf>
    <xf numFmtId="44" fontId="6" fillId="0" borderId="0" xfId="2" applyFont="1" applyAlignment="1">
      <alignment horizontal="center"/>
    </xf>
    <xf numFmtId="165" fontId="6" fillId="0" borderId="0" xfId="0" applyNumberFormat="1" applyFont="1" applyFill="1" applyAlignment="1">
      <alignment horizontal="center"/>
    </xf>
    <xf numFmtId="165" fontId="6" fillId="16" borderId="0" xfId="0" quotePrefix="1" applyNumberFormat="1" applyFont="1" applyFill="1" applyAlignment="1">
      <alignment horizontal="center" vertical="center" wrapText="1"/>
    </xf>
    <xf numFmtId="165" fontId="6" fillId="2" borderId="0" xfId="0" quotePrefix="1" applyNumberFormat="1" applyFont="1" applyFill="1" applyAlignment="1">
      <alignment horizontal="center" vertical="center" wrapText="1"/>
    </xf>
    <xf numFmtId="165" fontId="6" fillId="13" borderId="0" xfId="0" quotePrefix="1" applyNumberFormat="1" applyFont="1" applyFill="1" applyAlignment="1">
      <alignment horizontal="center" vertical="center" wrapText="1"/>
    </xf>
    <xf numFmtId="0" fontId="16" fillId="0" borderId="0" xfId="4" applyFont="1"/>
    <xf numFmtId="10" fontId="8" fillId="10" borderId="0" xfId="4" quotePrefix="1" applyNumberFormat="1" applyFont="1" applyFill="1" applyAlignment="1">
      <alignment horizontal="center"/>
    </xf>
    <xf numFmtId="15" fontId="6" fillId="10" borderId="0" xfId="4" applyNumberFormat="1" applyFont="1" applyFill="1" applyAlignment="1">
      <alignment horizontal="left"/>
    </xf>
    <xf numFmtId="15" fontId="6" fillId="0" borderId="0" xfId="4" quotePrefix="1" applyNumberFormat="1" applyFont="1" applyAlignment="1">
      <alignment horizontal="left"/>
    </xf>
    <xf numFmtId="0" fontId="17" fillId="0" borderId="0" xfId="4" applyFont="1"/>
    <xf numFmtId="165" fontId="0" fillId="0" borderId="0" xfId="0" applyNumberFormat="1" applyAlignment="1"/>
    <xf numFmtId="43" fontId="0" fillId="0" borderId="0" xfId="1" applyFont="1" applyAlignment="1"/>
    <xf numFmtId="165" fontId="0" fillId="0" borderId="0" xfId="0" quotePrefix="1" applyNumberFormat="1" applyAlignment="1"/>
    <xf numFmtId="165" fontId="18" fillId="0" borderId="1" xfId="0" quotePrefix="1" applyNumberFormat="1" applyFont="1" applyBorder="1" applyAlignment="1">
      <alignment horizontal="left"/>
    </xf>
    <xf numFmtId="165" fontId="18" fillId="0" borderId="3" xfId="0" quotePrefix="1" applyNumberFormat="1" applyFont="1" applyBorder="1" applyAlignment="1">
      <alignment horizontal="left"/>
    </xf>
    <xf numFmtId="165" fontId="19" fillId="0" borderId="4" xfId="0" applyNumberFormat="1" applyFont="1" applyBorder="1" applyAlignment="1"/>
    <xf numFmtId="165" fontId="18" fillId="0" borderId="1" xfId="0" applyNumberFormat="1" applyFont="1" applyBorder="1" applyAlignment="1"/>
    <xf numFmtId="165" fontId="18" fillId="0" borderId="3" xfId="0" applyNumberFormat="1" applyFont="1" applyBorder="1" applyAlignment="1"/>
    <xf numFmtId="165" fontId="19" fillId="0" borderId="0" xfId="0" applyNumberFormat="1" applyFont="1" applyAlignment="1">
      <alignment horizontal="left"/>
    </xf>
    <xf numFmtId="0" fontId="6" fillId="9" borderId="0" xfId="4" quotePrefix="1" applyFont="1" applyFill="1" applyAlignment="1">
      <alignment horizontal="center"/>
    </xf>
    <xf numFmtId="0" fontId="6" fillId="14" borderId="0" xfId="4" quotePrefix="1" applyFont="1" applyFill="1" applyAlignment="1">
      <alignment horizontal="center"/>
    </xf>
    <xf numFmtId="0" fontId="6" fillId="6" borderId="0" xfId="4" applyFont="1" applyFill="1" applyAlignment="1">
      <alignment horizontal="center"/>
    </xf>
    <xf numFmtId="165" fontId="6" fillId="14" borderId="0" xfId="0" quotePrefix="1" applyNumberFormat="1" applyFont="1" applyFill="1" applyAlignment="1">
      <alignment horizontal="center"/>
    </xf>
    <xf numFmtId="0" fontId="6" fillId="0" borderId="0" xfId="4" applyFont="1" applyAlignment="1">
      <alignment horizontal="center"/>
    </xf>
    <xf numFmtId="0" fontId="6" fillId="12" borderId="0" xfId="4" quotePrefix="1" applyFont="1" applyFill="1" applyAlignment="1">
      <alignment horizontal="center"/>
    </xf>
    <xf numFmtId="0" fontId="6" fillId="12" borderId="0" xfId="4" applyFont="1" applyFill="1" applyAlignment="1">
      <alignment horizontal="center"/>
    </xf>
    <xf numFmtId="0" fontId="6" fillId="14" borderId="0" xfId="4" applyFont="1" applyFill="1" applyAlignment="1">
      <alignment horizontal="center"/>
    </xf>
    <xf numFmtId="165" fontId="18" fillId="0" borderId="2" xfId="0" applyNumberFormat="1" applyFont="1" applyBorder="1" applyAlignment="1">
      <alignment horizontal="center" vertical="center"/>
    </xf>
    <xf numFmtId="165" fontId="18" fillId="0" borderId="1" xfId="0" applyNumberFormat="1" applyFont="1" applyBorder="1" applyAlignment="1">
      <alignment horizontal="center" vertical="center"/>
    </xf>
    <xf numFmtId="165" fontId="18" fillId="0" borderId="3" xfId="0" applyNumberFormat="1" applyFont="1" applyBorder="1" applyAlignment="1">
      <alignment horizontal="center" vertical="center"/>
    </xf>
  </cellXfs>
  <cellStyles count="49">
    <cellStyle name="_x0013_" xfId="5"/>
    <cellStyle name="_CC Oil" xfId="6"/>
    <cellStyle name="_DSO Oil" xfId="7"/>
    <cellStyle name="_FLCC Oil" xfId="8"/>
    <cellStyle name="_FLPEGT Oil" xfId="9"/>
    <cellStyle name="_FMCT Oil" xfId="10"/>
    <cellStyle name="_GTDW_DataTemplate" xfId="11"/>
    <cellStyle name="_Gulfstream Gas" xfId="12"/>
    <cellStyle name="_MR .7 Oil" xfId="13"/>
    <cellStyle name="_MR 1 Oil" xfId="14"/>
    <cellStyle name="_MRCT Oil" xfId="15"/>
    <cellStyle name="_MT Gulfstream Gas" xfId="16"/>
    <cellStyle name="_MT Oil" xfId="17"/>
    <cellStyle name="_OLCT Oil" xfId="18"/>
    <cellStyle name="_PE Oil" xfId="19"/>
    <cellStyle name="_PN Oil" xfId="20"/>
    <cellStyle name="_RV Oil" xfId="21"/>
    <cellStyle name="_SHCT Oil" xfId="22"/>
    <cellStyle name="_SN Oil" xfId="23"/>
    <cellStyle name="_TP Oil" xfId="24"/>
    <cellStyle name="Comma" xfId="1" builtinId="3"/>
    <cellStyle name="Comma 2" xfId="25"/>
    <cellStyle name="Comma 3" xfId="26"/>
    <cellStyle name="Comma 3 2" xfId="27"/>
    <cellStyle name="Comma 4" xfId="28"/>
    <cellStyle name="Currency" xfId="2" builtinId="4"/>
    <cellStyle name="Normal" xfId="0" builtinId="0"/>
    <cellStyle name="Normal 10 2" xfId="29"/>
    <cellStyle name="Normal 2" xfId="30"/>
    <cellStyle name="Normal 2 2" xfId="31"/>
    <cellStyle name="Normal 2 2 2" xfId="32"/>
    <cellStyle name="Normal 2 3" xfId="33"/>
    <cellStyle name="Normal 2 3 2" xfId="34"/>
    <cellStyle name="Normal 2 4" xfId="35"/>
    <cellStyle name="Normal 2 4 2" xfId="36"/>
    <cellStyle name="Normal 2 5" xfId="37"/>
    <cellStyle name="Normal 2 6" xfId="38"/>
    <cellStyle name="Normal 2 7" xfId="39"/>
    <cellStyle name="Normal 3" xfId="40"/>
    <cellStyle name="Normal 4" xfId="41"/>
    <cellStyle name="Normal 5" xfId="42"/>
    <cellStyle name="Normal 5 2" xfId="43"/>
    <cellStyle name="Normal 6" xfId="44"/>
    <cellStyle name="Normal 6 2" xfId="45"/>
    <cellStyle name="Normal 7" xfId="46"/>
    <cellStyle name="Normal 7 2" xfId="47"/>
    <cellStyle name="Normal 8" xfId="48"/>
    <cellStyle name="Normal_060415 RAP Fuel Price Forecast Template - Case 1 (Historical Spread)" xfId="4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Drop" dropLines="3" dropStyle="combo" dx="18" fmlaLink="CONTROL!$C$15" fmlaRange="CONTROL!$B$15:$B$17" sel="2" val="0"/>
</file>

<file path=xl/ctrlProps/ctrlProp2.xml><?xml version="1.0" encoding="utf-8"?>
<formControlPr xmlns="http://schemas.microsoft.com/office/spreadsheetml/2009/9/main" objectType="Drop" dropLines="2" dropStyle="combo" dx="18" fmlaLink="CONTROL!$C$32" fmlaRange="CONTROL!$B$32:$B$33" val="0"/>
</file>

<file path=xl/ctrlProps/ctrlProp3.xml><?xml version="1.0" encoding="utf-8"?>
<formControlPr xmlns="http://schemas.microsoft.com/office/spreadsheetml/2009/9/main" objectType="Drop" dropLines="3" dropStyle="combo" dx="18" fmlaLink="CONTROL!$C$9" fmlaRange="CONTROL!$B$9:$B$11" sel="2" val="0"/>
</file>

<file path=xl/ctrlProps/ctrlProp4.xml><?xml version="1.0" encoding="utf-8"?>
<formControlPr xmlns="http://schemas.microsoft.com/office/spreadsheetml/2009/9/main" objectType="Drop" dropLines="2" dropStyle="combo" dx="18" fmlaLink="CONTROL!$C$28" fmlaRange="CONTROL!$B$28:$B$29" val="0"/>
</file>

<file path=xl/ctrlProps/ctrlProp5.xml><?xml version="1.0" encoding="utf-8"?>
<formControlPr xmlns="http://schemas.microsoft.com/office/spreadsheetml/2009/9/main" objectType="Drop" dropLines="3" dropStyle="combo" dx="18" fmlaLink="CONTROL!$C$22" fmlaRange="CONTROL!$B$22:$B$24" sel="2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171450</xdr:rowOff>
        </xdr:from>
        <xdr:to>
          <xdr:col>4</xdr:col>
          <xdr:colOff>533400</xdr:colOff>
          <xdr:row>13</xdr:row>
          <xdr:rowOff>104775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533400</xdr:colOff>
          <xdr:row>11</xdr:row>
          <xdr:rowOff>171450</xdr:rowOff>
        </xdr:from>
        <xdr:to>
          <xdr:col>6</xdr:col>
          <xdr:colOff>257175</xdr:colOff>
          <xdr:row>13</xdr:row>
          <xdr:rowOff>95250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9</xdr:row>
          <xdr:rowOff>171450</xdr:rowOff>
        </xdr:from>
        <xdr:to>
          <xdr:col>2</xdr:col>
          <xdr:colOff>666750</xdr:colOff>
          <xdr:row>11</xdr:row>
          <xdr:rowOff>104775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9</xdr:row>
          <xdr:rowOff>171450</xdr:rowOff>
        </xdr:from>
        <xdr:to>
          <xdr:col>4</xdr:col>
          <xdr:colOff>371475</xdr:colOff>
          <xdr:row>11</xdr:row>
          <xdr:rowOff>95250</xdr:rowOff>
        </xdr:to>
        <xdr:sp macro="" textlink="">
          <xdr:nvSpPr>
            <xdr:cNvPr id="2050" name="Drop Down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11</xdr:row>
          <xdr:rowOff>38100</xdr:rowOff>
        </xdr:from>
        <xdr:to>
          <xdr:col>6</xdr:col>
          <xdr:colOff>381000</xdr:colOff>
          <xdr:row>12</xdr:row>
          <xdr:rowOff>142875</xdr:rowOff>
        </xdr:to>
        <xdr:sp macro="" textlink="">
          <xdr:nvSpPr>
            <xdr:cNvPr id="3073" name="Drop Down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C.Home.RemoteAccess.hab0ptk\0600911%20-%20SJRPP%20Solid%20Fuel%20Historic%20Prices%20-%20Commodity%20&amp;%20Rai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C.Home.RemoteAccess.exu0ocl\040609%20FUEL%20COST%20RECOVERY%20-%20IRP%20SHORT%20&amp;%20LONG-TERM%20FOSSIL%20FUEL%20PRICE%20FORECAS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XD0FJ7\AppData\Local\Temp\Temp1_2014.zip\2014\12.%20December\141201%202014%20-%202100%20LONG-TERM%20FORECAST%20FPL%20METHODOLOGY%20-%20To%20Delete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Index%20Analysi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ower%20REG\GenTrader%20Data\Weekly%20Long%20Run\040914\Inputs\GTDW_DataTemplat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1 - $ Per Ton - Q"/>
      <sheetName val="Chart 2 - $ Per MMBtu - Q"/>
      <sheetName val="Chart 3 - $ Per Ton - A"/>
      <sheetName val="Chart 4 - $ Per MMBtu - A"/>
      <sheetName val="History Delivered"/>
      <sheetName val="History Mine Mouth"/>
      <sheetName val="HISTORY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PL OIL BACKUP 2"/>
      <sheetName val="GRAPH DATA"/>
      <sheetName val="CURRENT FPL VS. FCR FORECAST"/>
      <sheetName val="CURRENT VS. PREVIOUS FPL FORE."/>
      <sheetName val="CURRENT FPL VS. PIRA FORECAST"/>
      <sheetName val="FPL FORECAST VS. FORWARD CURVE"/>
      <sheetName val="FPL MOST LIKELY OIL BACKUP 1"/>
      <sheetName val="COMPARISON OF DISPATCH PRICES"/>
      <sheetName val="FOSSIL FUEL GRAPH"/>
      <sheetName val="MOST LIKELY OIL FORECAST UPDATE"/>
      <sheetName val="MOST LIKELY OIL PRICE FORECAST"/>
      <sheetName val="LOW PRICE OIL FORECAST"/>
      <sheetName val="HIGH PRICE OIL FORECAST"/>
      <sheetName val="WEEKLY GAS FORECAST UPDATE"/>
      <sheetName val="MOST LIKELY GAS PRICE &amp; AVAIL"/>
      <sheetName val="MOST LIKELY COAL &amp; PET COKE"/>
      <sheetName val="FPL MOST LIKELY GAS BACKUP 2"/>
      <sheetName val="FPL MOST LIKELY GAS BACKUP 1"/>
      <sheetName val="FPL LOW PRICE GAS BACKUP 1"/>
      <sheetName val="FPL HIGH PRICE GAS BACKUP 1"/>
      <sheetName val="LOW PRICE GAS &amp; AVAILABILITY"/>
      <sheetName val="HIGH PRICE GAS &amp; AVAILABILIT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W Curves"/>
      <sheetName val="Pub Index"/>
      <sheetName val="_Setup_"/>
      <sheetName val="GAS BASIS"/>
      <sheetName val="FPL LONG TERM GAS &amp; OIL INDEX"/>
      <sheetName val="OIL &amp; GAS SEASONALITY"/>
      <sheetName val="TRANSPORT"/>
      <sheetName val="DEMAND CHARGE"/>
      <sheetName val="CAPACITY"/>
      <sheetName val="GAS AVAILABILITY WORKSHEET"/>
      <sheetName val="NATURAL GAS PRICES WORKSHEET"/>
      <sheetName val="FGT PRIMARY FIRM ZONE 1"/>
      <sheetName val="FGT PRIMARY FIRM ZONE 2"/>
      <sheetName val="FGT PRIMARY FIRM ZONE 3"/>
      <sheetName val="FGT NON-FIRM"/>
      <sheetName val="SESH TO FTS 3"/>
      <sheetName val="TRANSCO 4A  FTS 3"/>
      <sheetName val="GULF SOUTH TO FTS 1&amp;2"/>
      <sheetName val="INCREMENTAL Z3"/>
      <sheetName val="SESH TO GULFSTREAM"/>
      <sheetName val="TRANSCO 4A TO GULFSTREAM"/>
      <sheetName val="GULF SOUTH TO GULFSTREAM"/>
      <sheetName val="GULFSTREAM FIRM "/>
      <sheetName val="GULFSTREAM NON-FIRM"/>
      <sheetName val="FSC DLVD"/>
      <sheetName val="UPS REPLACEMENT"/>
      <sheetName val="Upload"/>
      <sheetName val="DISTILLATE &amp; RESIDUAL FUEL OIL"/>
      <sheetName val="COAL SO2 &amp; NOX Calculations"/>
      <sheetName val="COAL - Monthly"/>
      <sheetName val="COAL &amp; PET COKE FORECAST"/>
      <sheetName val="Chang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-Data"/>
      <sheetName val="Misc-Data"/>
      <sheetName val="IndexAnalysis"/>
      <sheetName val="Nat Gas Strips "/>
      <sheetName val="Module2"/>
      <sheetName val="FeedLiveData"/>
    </sheetNames>
    <sheetDataSet>
      <sheetData sheetId="0" refreshError="1">
        <row r="2">
          <cell r="A2" t="str">
            <v>INDEX PRICE LOG</v>
          </cell>
        </row>
        <row r="3">
          <cell r="C3">
            <v>11</v>
          </cell>
          <cell r="D3">
            <v>12</v>
          </cell>
          <cell r="E3">
            <v>1</v>
          </cell>
          <cell r="F3">
            <v>2</v>
          </cell>
          <cell r="G3">
            <v>3</v>
          </cell>
          <cell r="H3">
            <v>4</v>
          </cell>
          <cell r="I3">
            <v>5</v>
          </cell>
          <cell r="J3">
            <v>6</v>
          </cell>
          <cell r="K3">
            <v>7</v>
          </cell>
          <cell r="L3">
            <v>8</v>
          </cell>
          <cell r="M3">
            <v>9</v>
          </cell>
          <cell r="N3">
            <v>10</v>
          </cell>
          <cell r="O3">
            <v>11</v>
          </cell>
          <cell r="P3">
            <v>12</v>
          </cell>
          <cell r="Q3">
            <v>1</v>
          </cell>
          <cell r="R3">
            <v>2</v>
          </cell>
          <cell r="S3">
            <v>3</v>
          </cell>
          <cell r="T3">
            <v>4</v>
          </cell>
          <cell r="U3">
            <v>5</v>
          </cell>
          <cell r="V3">
            <v>6</v>
          </cell>
          <cell r="W3">
            <v>7</v>
          </cell>
          <cell r="X3">
            <v>8</v>
          </cell>
          <cell r="Y3">
            <v>9</v>
          </cell>
          <cell r="Z3">
            <v>10</v>
          </cell>
          <cell r="AA3">
            <v>11</v>
          </cell>
          <cell r="AB3">
            <v>12</v>
          </cell>
          <cell r="AC3">
            <v>1</v>
          </cell>
          <cell r="AD3">
            <v>2</v>
          </cell>
          <cell r="AE3">
            <v>3</v>
          </cell>
          <cell r="AF3">
            <v>4</v>
          </cell>
          <cell r="AG3">
            <v>5</v>
          </cell>
          <cell r="AH3">
            <v>6</v>
          </cell>
          <cell r="AI3">
            <v>7</v>
          </cell>
          <cell r="AJ3">
            <v>8</v>
          </cell>
          <cell r="AK3">
            <v>9</v>
          </cell>
          <cell r="AL3">
            <v>10</v>
          </cell>
          <cell r="AM3">
            <v>11</v>
          </cell>
          <cell r="AN3">
            <v>12</v>
          </cell>
          <cell r="AO3">
            <v>1</v>
          </cell>
          <cell r="AP3">
            <v>2</v>
          </cell>
          <cell r="AQ3">
            <v>3</v>
          </cell>
          <cell r="AR3">
            <v>4</v>
          </cell>
          <cell r="AS3">
            <v>5</v>
          </cell>
          <cell r="AT3">
            <v>6</v>
          </cell>
          <cell r="AU3">
            <v>7</v>
          </cell>
          <cell r="AV3">
            <v>8</v>
          </cell>
          <cell r="AW3">
            <v>9</v>
          </cell>
          <cell r="AX3">
            <v>10</v>
          </cell>
          <cell r="AY3">
            <v>11</v>
          </cell>
          <cell r="AZ3">
            <v>12</v>
          </cell>
          <cell r="BA3">
            <v>1</v>
          </cell>
          <cell r="BB3">
            <v>2</v>
          </cell>
          <cell r="BC3">
            <v>3</v>
          </cell>
          <cell r="BD3">
            <v>4</v>
          </cell>
          <cell r="BE3">
            <v>5</v>
          </cell>
          <cell r="BF3">
            <v>6</v>
          </cell>
          <cell r="BG3">
            <v>7</v>
          </cell>
          <cell r="BH3">
            <v>8</v>
          </cell>
          <cell r="BI3">
            <v>9</v>
          </cell>
          <cell r="BJ3">
            <v>10</v>
          </cell>
          <cell r="BK3">
            <v>11</v>
          </cell>
          <cell r="BL3">
            <v>12</v>
          </cell>
          <cell r="BM3">
            <v>1</v>
          </cell>
          <cell r="BN3">
            <v>2</v>
          </cell>
          <cell r="BO3">
            <v>3</v>
          </cell>
          <cell r="BP3">
            <v>4</v>
          </cell>
          <cell r="BQ3">
            <v>5</v>
          </cell>
          <cell r="BR3">
            <v>6</v>
          </cell>
          <cell r="BS3">
            <v>7</v>
          </cell>
          <cell r="BT3">
            <v>8</v>
          </cell>
          <cell r="BU3">
            <v>9</v>
          </cell>
          <cell r="BV3">
            <v>10</v>
          </cell>
          <cell r="BW3">
            <v>11</v>
          </cell>
          <cell r="BX3">
            <v>12</v>
          </cell>
          <cell r="BY3">
            <v>1</v>
          </cell>
          <cell r="BZ3">
            <v>2</v>
          </cell>
          <cell r="CA3">
            <v>3</v>
          </cell>
          <cell r="CB3">
            <v>4</v>
          </cell>
          <cell r="CC3">
            <v>5</v>
          </cell>
          <cell r="CD3">
            <v>6</v>
          </cell>
          <cell r="CE3">
            <v>7</v>
          </cell>
          <cell r="CF3">
            <v>8</v>
          </cell>
          <cell r="CG3">
            <v>9</v>
          </cell>
        </row>
        <row r="4">
          <cell r="C4">
            <v>33909</v>
          </cell>
          <cell r="D4">
            <v>33939</v>
          </cell>
          <cell r="E4">
            <v>33970</v>
          </cell>
          <cell r="F4">
            <v>34001</v>
          </cell>
          <cell r="G4">
            <v>34029</v>
          </cell>
          <cell r="H4">
            <v>34060</v>
          </cell>
          <cell r="I4">
            <v>34090</v>
          </cell>
          <cell r="J4">
            <v>34121</v>
          </cell>
          <cell r="K4">
            <v>34151</v>
          </cell>
          <cell r="L4">
            <v>34182</v>
          </cell>
          <cell r="M4">
            <v>34213</v>
          </cell>
          <cell r="N4">
            <v>34243</v>
          </cell>
          <cell r="O4">
            <v>34274</v>
          </cell>
          <cell r="P4">
            <v>34304</v>
          </cell>
          <cell r="Q4">
            <v>34335</v>
          </cell>
          <cell r="R4">
            <v>34366</v>
          </cell>
          <cell r="S4">
            <v>34394</v>
          </cell>
          <cell r="T4">
            <v>34425</v>
          </cell>
          <cell r="U4">
            <v>34455</v>
          </cell>
          <cell r="V4">
            <v>34486</v>
          </cell>
          <cell r="W4">
            <v>34516</v>
          </cell>
          <cell r="X4">
            <v>34547</v>
          </cell>
          <cell r="Y4">
            <v>34578</v>
          </cell>
          <cell r="Z4">
            <v>34608</v>
          </cell>
          <cell r="AA4">
            <v>34639</v>
          </cell>
          <cell r="AB4">
            <v>34669</v>
          </cell>
          <cell r="AC4">
            <v>34700</v>
          </cell>
          <cell r="AD4">
            <v>34731</v>
          </cell>
          <cell r="AE4">
            <v>34759</v>
          </cell>
          <cell r="AF4">
            <v>34790</v>
          </cell>
          <cell r="AG4">
            <v>34820</v>
          </cell>
          <cell r="AH4">
            <v>34851</v>
          </cell>
          <cell r="AI4">
            <v>34881</v>
          </cell>
          <cell r="AJ4">
            <v>34912</v>
          </cell>
          <cell r="AK4">
            <v>34943</v>
          </cell>
          <cell r="AL4">
            <v>34973</v>
          </cell>
          <cell r="AM4">
            <v>35004</v>
          </cell>
          <cell r="AN4">
            <v>35034</v>
          </cell>
          <cell r="AO4">
            <v>35065</v>
          </cell>
          <cell r="AP4">
            <v>35096</v>
          </cell>
          <cell r="AQ4">
            <v>35125</v>
          </cell>
          <cell r="AR4">
            <v>35156</v>
          </cell>
          <cell r="AS4">
            <v>35186</v>
          </cell>
          <cell r="AT4">
            <v>35217</v>
          </cell>
          <cell r="AU4">
            <v>35247</v>
          </cell>
          <cell r="AV4">
            <v>35278</v>
          </cell>
          <cell r="AW4">
            <v>35309</v>
          </cell>
          <cell r="AX4">
            <v>35339</v>
          </cell>
          <cell r="AY4">
            <v>35370</v>
          </cell>
          <cell r="AZ4">
            <v>35400</v>
          </cell>
          <cell r="BA4">
            <v>35431</v>
          </cell>
          <cell r="BB4">
            <v>35462</v>
          </cell>
          <cell r="BC4">
            <v>35490</v>
          </cell>
          <cell r="BD4">
            <v>35521</v>
          </cell>
          <cell r="BE4">
            <v>35551</v>
          </cell>
          <cell r="BF4">
            <v>35582</v>
          </cell>
          <cell r="BG4">
            <v>35612</v>
          </cell>
          <cell r="BH4">
            <v>35643</v>
          </cell>
          <cell r="BI4">
            <v>35674</v>
          </cell>
          <cell r="BJ4">
            <v>35704</v>
          </cell>
          <cell r="BK4">
            <v>35735</v>
          </cell>
          <cell r="BL4">
            <v>35765</v>
          </cell>
          <cell r="BM4">
            <v>35796</v>
          </cell>
          <cell r="BN4">
            <v>35827</v>
          </cell>
          <cell r="BO4">
            <v>35855</v>
          </cell>
          <cell r="BP4">
            <v>35886</v>
          </cell>
          <cell r="BQ4">
            <v>35916</v>
          </cell>
          <cell r="BR4">
            <v>35947</v>
          </cell>
          <cell r="BS4">
            <v>35977</v>
          </cell>
          <cell r="BT4">
            <v>36008</v>
          </cell>
          <cell r="BU4">
            <v>36039</v>
          </cell>
          <cell r="BV4">
            <v>36069</v>
          </cell>
          <cell r="BW4">
            <v>36100</v>
          </cell>
          <cell r="BX4">
            <v>36130</v>
          </cell>
          <cell r="BY4">
            <v>36161</v>
          </cell>
          <cell r="BZ4">
            <v>36192</v>
          </cell>
          <cell r="CA4">
            <v>36220</v>
          </cell>
          <cell r="CB4">
            <v>36251</v>
          </cell>
          <cell r="CC4">
            <v>36281</v>
          </cell>
          <cell r="CD4">
            <v>36312</v>
          </cell>
          <cell r="CE4">
            <v>36342</v>
          </cell>
          <cell r="CF4">
            <v>36373</v>
          </cell>
          <cell r="CG4">
            <v>36404</v>
          </cell>
        </row>
        <row r="5">
          <cell r="A5" t="str">
            <v>3D</v>
          </cell>
          <cell r="B5">
            <v>2</v>
          </cell>
          <cell r="C5">
            <v>2.46</v>
          </cell>
          <cell r="D5">
            <v>2.3719999999999999</v>
          </cell>
          <cell r="E5">
            <v>2.0419999999999998</v>
          </cell>
          <cell r="F5">
            <v>1.647</v>
          </cell>
          <cell r="G5">
            <v>1.859</v>
          </cell>
          <cell r="H5">
            <v>2.1280000000000001</v>
          </cell>
          <cell r="I5">
            <v>2.706</v>
          </cell>
          <cell r="J5">
            <v>2.2519999999999998</v>
          </cell>
          <cell r="K5">
            <v>2.06633333333333</v>
          </cell>
          <cell r="L5">
            <v>2.1040000000000001</v>
          </cell>
          <cell r="M5">
            <v>2.4263333333333299</v>
          </cell>
          <cell r="N5">
            <v>2.1539999999999999</v>
          </cell>
          <cell r="O5">
            <v>2.1323333333333334</v>
          </cell>
          <cell r="P5">
            <v>2.3386666666666667</v>
          </cell>
          <cell r="Q5">
            <v>2.0653333333333332</v>
          </cell>
          <cell r="R5">
            <v>2.3416666666666668</v>
          </cell>
          <cell r="S5">
            <v>2.3826666666666667</v>
          </cell>
          <cell r="T5">
            <v>2.0550000000000002</v>
          </cell>
          <cell r="U5">
            <v>2.1156666666666668</v>
          </cell>
          <cell r="V5">
            <v>1.9039999999999999</v>
          </cell>
          <cell r="W5">
            <v>2.0226666666666668</v>
          </cell>
          <cell r="X5">
            <v>1.8333333333333333</v>
          </cell>
          <cell r="Y5">
            <v>1.5403333333333333</v>
          </cell>
          <cell r="Z5">
            <v>1.4453333333333334</v>
          </cell>
          <cell r="AA5">
            <v>1.61</v>
          </cell>
          <cell r="AB5">
            <v>1.6546666666666667</v>
          </cell>
          <cell r="AC5">
            <v>1.6013333333333333</v>
          </cell>
          <cell r="AD5">
            <v>1.41</v>
          </cell>
          <cell r="AE5">
            <v>1.4153333333333333</v>
          </cell>
          <cell r="AF5">
            <v>1.56</v>
          </cell>
          <cell r="AG5">
            <v>1.6943333333333332</v>
          </cell>
          <cell r="AH5">
            <v>1.7423333333333333</v>
          </cell>
          <cell r="AI5">
            <v>1.554</v>
          </cell>
          <cell r="AJ5">
            <v>1.429</v>
          </cell>
          <cell r="AK5">
            <v>1.57</v>
          </cell>
          <cell r="AL5">
            <v>1.6180000000000001</v>
          </cell>
          <cell r="AM5">
            <v>1.7629999999999999</v>
          </cell>
          <cell r="AN5">
            <v>2.141</v>
          </cell>
          <cell r="AO5">
            <v>3.129</v>
          </cell>
          <cell r="AP5">
            <v>2.4260000000000002</v>
          </cell>
          <cell r="AQ5">
            <v>2.6053000000000002</v>
          </cell>
          <cell r="AR5">
            <v>2.794</v>
          </cell>
          <cell r="AS5">
            <v>2.2839999999999998</v>
          </cell>
          <cell r="AT5">
            <v>2.3422999999999998</v>
          </cell>
          <cell r="AU5">
            <v>2.6343000000000001</v>
          </cell>
          <cell r="AV5">
            <v>2.3570000000000002</v>
          </cell>
          <cell r="AW5">
            <v>1.9079999999999999</v>
          </cell>
          <cell r="AX5">
            <v>1.887</v>
          </cell>
          <cell r="AY5">
            <v>2.5710000000000002</v>
          </cell>
          <cell r="AZ5">
            <v>3.6110000000000002</v>
          </cell>
          <cell r="BA5">
            <v>4.2539999999999996</v>
          </cell>
          <cell r="BB5">
            <v>2.8679999999999999</v>
          </cell>
          <cell r="BC5">
            <v>1.879</v>
          </cell>
          <cell r="BD5">
            <v>1.8460000000000001</v>
          </cell>
          <cell r="BE5">
            <v>2.0979999999999999</v>
          </cell>
          <cell r="BF5">
            <v>2.331</v>
          </cell>
          <cell r="BG5">
            <v>2.2189999999999999</v>
          </cell>
          <cell r="BH5">
            <v>2.1629999999999998</v>
          </cell>
          <cell r="BI5">
            <v>2.5059999999999998</v>
          </cell>
          <cell r="BJ5">
            <v>3.2210000000000001</v>
          </cell>
          <cell r="BK5">
            <v>3.5059999999999998</v>
          </cell>
          <cell r="BL5">
            <v>2.6819999999999999</v>
          </cell>
          <cell r="BM5">
            <v>2.2690000000000001</v>
          </cell>
          <cell r="BN5">
            <v>2.036</v>
          </cell>
          <cell r="BO5">
            <v>2.2270000000000003</v>
          </cell>
          <cell r="BP5">
            <v>2.3340000000000001</v>
          </cell>
          <cell r="BQ5">
            <v>2.2900000000000005</v>
          </cell>
          <cell r="BR5">
            <v>2.0686666666666667</v>
          </cell>
          <cell r="BS5">
            <v>2.3525999999999998</v>
          </cell>
          <cell r="BT5">
            <v>1.9530000000000001</v>
          </cell>
          <cell r="BU5">
            <v>1.754</v>
          </cell>
          <cell r="BV5">
            <v>2.13</v>
          </cell>
          <cell r="BW5">
            <v>2.1259999999999999</v>
          </cell>
          <cell r="BX5">
            <v>2.1360000000000001</v>
          </cell>
          <cell r="BY5">
            <v>1.8109999999999999</v>
          </cell>
          <cell r="BZ5">
            <v>1.746</v>
          </cell>
          <cell r="CA5">
            <v>1.6933333333333334</v>
          </cell>
          <cell r="CB5">
            <v>1.8470000000000002</v>
          </cell>
          <cell r="CC5">
            <v>2.3260000000000001</v>
          </cell>
          <cell r="CD5">
            <v>2.2010000000000001</v>
          </cell>
          <cell r="CE5">
            <v>2.2719999999999998</v>
          </cell>
          <cell r="CF5">
            <v>2.5720000000000001</v>
          </cell>
          <cell r="CG5">
            <v>2.9630000000000001</v>
          </cell>
        </row>
        <row r="6">
          <cell r="A6" t="str">
            <v>FD</v>
          </cell>
          <cell r="B6">
            <v>3</v>
          </cell>
          <cell r="C6">
            <v>2.4990000000000001</v>
          </cell>
          <cell r="D6">
            <v>2.3319999999999999</v>
          </cell>
          <cell r="E6">
            <v>2.0030000000000001</v>
          </cell>
          <cell r="F6">
            <v>1.6339999999999999</v>
          </cell>
          <cell r="G6">
            <v>1.9059999999999999</v>
          </cell>
          <cell r="H6">
            <v>2.2240000000000002</v>
          </cell>
          <cell r="I6">
            <v>2.758</v>
          </cell>
          <cell r="J6">
            <v>2.1190000000000002</v>
          </cell>
          <cell r="K6">
            <v>1.9179999999999999</v>
          </cell>
          <cell r="L6">
            <v>2.121</v>
          </cell>
          <cell r="M6">
            <v>2.4009999999999998</v>
          </cell>
          <cell r="N6">
            <v>2.0659999999999998</v>
          </cell>
          <cell r="O6">
            <v>2.1549999999999998</v>
          </cell>
          <cell r="P6">
            <v>2.3849999999999998</v>
          </cell>
          <cell r="Q6">
            <v>2.0219999999999998</v>
          </cell>
          <cell r="R6">
            <v>2.4700000000000002</v>
          </cell>
          <cell r="S6">
            <v>2.4180000000000001</v>
          </cell>
          <cell r="T6">
            <v>1.9810000000000001</v>
          </cell>
          <cell r="U6">
            <v>2.0760000000000001</v>
          </cell>
          <cell r="V6">
            <v>1.851</v>
          </cell>
          <cell r="W6">
            <v>1.966</v>
          </cell>
          <cell r="X6">
            <v>1.7889999999999999</v>
          </cell>
          <cell r="Y6">
            <v>1.484</v>
          </cell>
          <cell r="Z6">
            <v>1.4059999999999999</v>
          </cell>
          <cell r="AA6">
            <v>1.6830000000000001</v>
          </cell>
          <cell r="AB6">
            <v>1.661</v>
          </cell>
          <cell r="AC6">
            <v>1.639</v>
          </cell>
          <cell r="AD6">
            <v>1.4159999999999999</v>
          </cell>
          <cell r="AE6">
            <v>1.4279999999999999</v>
          </cell>
          <cell r="AF6">
            <v>1.5660000000000001</v>
          </cell>
          <cell r="AG6">
            <v>1.6719999999999999</v>
          </cell>
          <cell r="AH6">
            <v>1.7569999999999999</v>
          </cell>
          <cell r="AI6">
            <v>1.532</v>
          </cell>
          <cell r="AJ6">
            <v>1.385</v>
          </cell>
          <cell r="AK6">
            <v>1.575</v>
          </cell>
          <cell r="AL6">
            <v>1.6439999999999999</v>
          </cell>
          <cell r="AM6">
            <v>1.772</v>
          </cell>
          <cell r="AN6">
            <v>2.2410000000000001</v>
          </cell>
          <cell r="AO6">
            <v>3.448</v>
          </cell>
          <cell r="AP6">
            <v>2.34</v>
          </cell>
          <cell r="AQ6">
            <v>2.746</v>
          </cell>
          <cell r="AR6">
            <v>2.7789999999999999</v>
          </cell>
          <cell r="AS6">
            <v>2.2410000000000001</v>
          </cell>
          <cell r="AT6">
            <v>2.3610000000000002</v>
          </cell>
          <cell r="AU6">
            <v>2.6459999999999999</v>
          </cell>
          <cell r="AV6">
            <v>2.3220000000000001</v>
          </cell>
          <cell r="AW6">
            <v>1.853</v>
          </cell>
          <cell r="AX6">
            <v>1.8280000000000001</v>
          </cell>
          <cell r="AY6">
            <v>2.6520000000000001</v>
          </cell>
          <cell r="AZ6">
            <v>3.9009999999999998</v>
          </cell>
          <cell r="BA6">
            <v>3.9980000000000002</v>
          </cell>
          <cell r="BB6">
            <v>2.9860000000000002</v>
          </cell>
          <cell r="BC6">
            <v>1.78</v>
          </cell>
          <cell r="BD6">
            <v>1.8069999999999999</v>
          </cell>
          <cell r="BE6">
            <v>2.1219999999999999</v>
          </cell>
          <cell r="BF6">
            <v>2.3460000000000001</v>
          </cell>
          <cell r="BG6">
            <v>2.145</v>
          </cell>
          <cell r="BH6">
            <v>2.161</v>
          </cell>
          <cell r="BI6">
            <v>2.5150000000000001</v>
          </cell>
          <cell r="BJ6">
            <v>3.3460000000000001</v>
          </cell>
          <cell r="BK6">
            <v>3.266</v>
          </cell>
          <cell r="BL6">
            <v>2.577</v>
          </cell>
          <cell r="BM6">
            <v>2.3090000000000002</v>
          </cell>
          <cell r="BN6">
            <v>2.0009999999999999</v>
          </cell>
          <cell r="BO6">
            <v>2.286</v>
          </cell>
          <cell r="BP6">
            <v>2.2999999999999998</v>
          </cell>
          <cell r="BQ6">
            <v>2.262</v>
          </cell>
          <cell r="BR6">
            <v>2.0169999999999999</v>
          </cell>
          <cell r="BS6">
            <v>2.3580000000000001</v>
          </cell>
          <cell r="BT6">
            <v>1.9419999999999999</v>
          </cell>
          <cell r="BU6">
            <v>1.6719999999999999</v>
          </cell>
          <cell r="BV6">
            <v>2.0310000000000001</v>
          </cell>
          <cell r="BW6">
            <v>1.972</v>
          </cell>
          <cell r="BX6">
            <v>2.149</v>
          </cell>
          <cell r="BY6">
            <v>1.7649999999999999</v>
          </cell>
          <cell r="BZ6">
            <v>1.81</v>
          </cell>
          <cell r="CA6">
            <v>1.6659999999999999</v>
          </cell>
          <cell r="CB6">
            <v>1.8520000000000001</v>
          </cell>
          <cell r="CC6">
            <v>2.3479999999999999</v>
          </cell>
          <cell r="CD6">
            <v>2.226</v>
          </cell>
          <cell r="CE6">
            <v>2.262</v>
          </cell>
          <cell r="CF6">
            <v>2.601</v>
          </cell>
          <cell r="CG6">
            <v>2.9119999999999999</v>
          </cell>
        </row>
        <row r="7">
          <cell r="A7" t="str">
            <v>AECO-NT</v>
          </cell>
          <cell r="B7">
            <v>4</v>
          </cell>
          <cell r="C7">
            <v>1.1599999999999999</v>
          </cell>
          <cell r="D7">
            <v>1.48</v>
          </cell>
          <cell r="E7">
            <v>2.44</v>
          </cell>
          <cell r="F7">
            <v>1.46</v>
          </cell>
          <cell r="G7">
            <v>1.84</v>
          </cell>
          <cell r="H7">
            <v>1.77</v>
          </cell>
          <cell r="I7">
            <v>2.58</v>
          </cell>
          <cell r="J7">
            <v>1.35</v>
          </cell>
          <cell r="K7">
            <v>1.46</v>
          </cell>
          <cell r="L7">
            <v>1.23</v>
          </cell>
          <cell r="M7">
            <v>1.5</v>
          </cell>
          <cell r="N7">
            <v>1.39</v>
          </cell>
          <cell r="O7">
            <v>1.7927</v>
          </cell>
          <cell r="P7">
            <v>2.3016999999999999</v>
          </cell>
          <cell r="Q7">
            <v>1.9076</v>
          </cell>
          <cell r="R7">
            <v>1.6994</v>
          </cell>
          <cell r="S7">
            <v>1.9172</v>
          </cell>
          <cell r="T7">
            <v>1.5564</v>
          </cell>
          <cell r="U7">
            <v>1.5331999999999999</v>
          </cell>
          <cell r="V7">
            <v>1.4004000000000001</v>
          </cell>
          <cell r="W7">
            <v>1.4108000000000001</v>
          </cell>
          <cell r="X7">
            <v>1.3223100000000001</v>
          </cell>
          <cell r="Y7">
            <v>1.2150000000000001</v>
          </cell>
          <cell r="Z7">
            <v>1.1120000000000001</v>
          </cell>
          <cell r="AA7">
            <v>1.3184</v>
          </cell>
          <cell r="AB7">
            <v>1.3363</v>
          </cell>
          <cell r="AC7">
            <v>0.96619999999999995</v>
          </cell>
          <cell r="AD7">
            <v>0.72240000000000004</v>
          </cell>
          <cell r="AE7">
            <v>0.68799999999999994</v>
          </cell>
          <cell r="AF7">
            <v>0.76910000000000001</v>
          </cell>
          <cell r="AG7">
            <v>0.92100000000000004</v>
          </cell>
          <cell r="AH7">
            <v>0.94450000000000001</v>
          </cell>
          <cell r="AI7">
            <v>0.8347</v>
          </cell>
          <cell r="AJ7">
            <v>0.75749999999999995</v>
          </cell>
          <cell r="AK7">
            <v>0.81489999999999996</v>
          </cell>
          <cell r="AL7">
            <v>0.85150000000000003</v>
          </cell>
          <cell r="AM7">
            <v>0.94089999999999996</v>
          </cell>
          <cell r="AN7">
            <v>0.95679999999999998</v>
          </cell>
          <cell r="AO7">
            <v>1.0471999999999999</v>
          </cell>
          <cell r="AP7">
            <v>1.1489</v>
          </cell>
          <cell r="AQ7">
            <v>1.1039000000000001</v>
          </cell>
          <cell r="AR7">
            <v>1.0159</v>
          </cell>
          <cell r="AS7">
            <v>0.91900000000000004</v>
          </cell>
          <cell r="AT7">
            <v>0.82889999999999997</v>
          </cell>
          <cell r="AU7">
            <v>0.84</v>
          </cell>
          <cell r="AV7">
            <v>0.89829999999999999</v>
          </cell>
          <cell r="AW7">
            <v>0.87909999999999999</v>
          </cell>
          <cell r="AX7">
            <v>0.90549999999999997</v>
          </cell>
          <cell r="AY7">
            <v>1.1100000000000001</v>
          </cell>
          <cell r="AZ7">
            <v>1.58</v>
          </cell>
          <cell r="BA7">
            <v>1.68</v>
          </cell>
          <cell r="BC7">
            <v>1.78</v>
          </cell>
        </row>
        <row r="8">
          <cell r="A8" t="str">
            <v>ANR-LA</v>
          </cell>
          <cell r="B8">
            <v>5</v>
          </cell>
          <cell r="C8">
            <v>2.31</v>
          </cell>
          <cell r="D8">
            <v>2.2799999999999998</v>
          </cell>
          <cell r="E8">
            <v>1.9</v>
          </cell>
          <cell r="F8">
            <v>1.62</v>
          </cell>
          <cell r="G8">
            <v>1.85</v>
          </cell>
          <cell r="H8">
            <v>2.13</v>
          </cell>
          <cell r="I8">
            <v>2.7</v>
          </cell>
          <cell r="J8">
            <v>2.08</v>
          </cell>
          <cell r="K8">
            <v>1.95</v>
          </cell>
          <cell r="L8">
            <v>2.0299999999999998</v>
          </cell>
          <cell r="M8">
            <v>2.37</v>
          </cell>
          <cell r="N8">
            <v>2.06</v>
          </cell>
          <cell r="O8">
            <v>2.09</v>
          </cell>
          <cell r="P8">
            <v>2.31</v>
          </cell>
          <cell r="Q8">
            <v>2.04</v>
          </cell>
          <cell r="R8">
            <v>2.33</v>
          </cell>
          <cell r="S8">
            <v>2.3199999999999998</v>
          </cell>
          <cell r="T8">
            <v>1.93</v>
          </cell>
          <cell r="U8">
            <v>2.0099999999999998</v>
          </cell>
          <cell r="V8">
            <v>1.74</v>
          </cell>
          <cell r="W8">
            <v>1.85</v>
          </cell>
          <cell r="X8">
            <v>1.7</v>
          </cell>
          <cell r="Y8">
            <v>1.4</v>
          </cell>
          <cell r="Z8">
            <v>1.35</v>
          </cell>
          <cell r="AA8">
            <v>1.61</v>
          </cell>
          <cell r="AB8">
            <v>1.6</v>
          </cell>
          <cell r="AC8">
            <v>1.54</v>
          </cell>
          <cell r="AD8">
            <v>1.35</v>
          </cell>
          <cell r="AE8">
            <v>1.37</v>
          </cell>
          <cell r="AF8">
            <v>1.48</v>
          </cell>
          <cell r="AG8">
            <v>1.61</v>
          </cell>
          <cell r="AH8">
            <v>1.66</v>
          </cell>
          <cell r="AI8">
            <v>1.45</v>
          </cell>
          <cell r="AJ8">
            <v>1.3</v>
          </cell>
          <cell r="AK8">
            <v>1.51</v>
          </cell>
          <cell r="AL8">
            <v>1.6</v>
          </cell>
          <cell r="AM8">
            <v>1.76</v>
          </cell>
          <cell r="AN8">
            <v>2.1800000000000002</v>
          </cell>
          <cell r="AO8">
            <v>3.25</v>
          </cell>
          <cell r="AP8">
            <v>2.2999999999999998</v>
          </cell>
          <cell r="AQ8">
            <v>2.73</v>
          </cell>
          <cell r="AR8">
            <v>2.66</v>
          </cell>
          <cell r="AS8">
            <v>2.12</v>
          </cell>
          <cell r="AT8">
            <v>2.25</v>
          </cell>
          <cell r="AU8">
            <v>2.5499999999999998</v>
          </cell>
          <cell r="AV8">
            <v>2.2200000000000002</v>
          </cell>
          <cell r="AW8">
            <v>1.74</v>
          </cell>
          <cell r="AX8">
            <v>1.75</v>
          </cell>
          <cell r="AY8">
            <v>2.63</v>
          </cell>
          <cell r="AZ8">
            <v>3.74</v>
          </cell>
          <cell r="BA8">
            <v>3.85</v>
          </cell>
          <cell r="BB8">
            <v>2.81</v>
          </cell>
          <cell r="BC8">
            <v>1.78</v>
          </cell>
          <cell r="BD8">
            <v>1.75</v>
          </cell>
          <cell r="BE8">
            <v>2.06</v>
          </cell>
          <cell r="BF8">
            <v>2.2400000000000002</v>
          </cell>
          <cell r="BG8">
            <v>2.08</v>
          </cell>
          <cell r="BH8">
            <v>2.12</v>
          </cell>
          <cell r="BI8">
            <v>2.4900000000000002</v>
          </cell>
          <cell r="BJ8">
            <v>3.06</v>
          </cell>
          <cell r="BK8">
            <v>3.18</v>
          </cell>
          <cell r="BL8">
            <v>2.4300000000000002</v>
          </cell>
          <cell r="BM8">
            <v>2.17</v>
          </cell>
          <cell r="BN8">
            <v>1.91</v>
          </cell>
          <cell r="BO8">
            <v>2.1800000000000002</v>
          </cell>
          <cell r="BP8">
            <v>2.2200000000000002</v>
          </cell>
          <cell r="BQ8">
            <v>2.19</v>
          </cell>
          <cell r="BR8">
            <v>1.95</v>
          </cell>
          <cell r="BS8">
            <v>2.27</v>
          </cell>
          <cell r="BT8">
            <v>1.83</v>
          </cell>
          <cell r="BU8">
            <v>1.51</v>
          </cell>
          <cell r="BV8">
            <v>1.94</v>
          </cell>
          <cell r="BW8">
            <v>1.91</v>
          </cell>
          <cell r="BX8">
            <v>2.06</v>
          </cell>
          <cell r="BY8">
            <v>1.71</v>
          </cell>
          <cell r="BZ8">
            <v>1.75</v>
          </cell>
          <cell r="CA8">
            <v>1.58</v>
          </cell>
          <cell r="CB8">
            <v>1.83</v>
          </cell>
          <cell r="CC8">
            <v>2.2999999999999998</v>
          </cell>
          <cell r="CD8">
            <v>2.16</v>
          </cell>
          <cell r="CE8">
            <v>2.2000000000000002</v>
          </cell>
          <cell r="CF8">
            <v>2.5499999999999998</v>
          </cell>
          <cell r="CG8">
            <v>2.83</v>
          </cell>
        </row>
        <row r="9">
          <cell r="A9" t="str">
            <v>ANR-OK</v>
          </cell>
          <cell r="B9">
            <v>6</v>
          </cell>
          <cell r="C9">
            <v>2.15</v>
          </cell>
          <cell r="D9">
            <v>2.0499999999999998</v>
          </cell>
          <cell r="E9">
            <v>1.9</v>
          </cell>
          <cell r="F9">
            <v>1.6</v>
          </cell>
          <cell r="G9">
            <v>1.82</v>
          </cell>
          <cell r="H9">
            <v>2.08</v>
          </cell>
          <cell r="I9">
            <v>2.62</v>
          </cell>
          <cell r="J9">
            <v>1.95</v>
          </cell>
          <cell r="K9">
            <v>1.79</v>
          </cell>
          <cell r="L9">
            <v>1.91</v>
          </cell>
          <cell r="M9">
            <v>2.2000000000000002</v>
          </cell>
          <cell r="N9">
            <v>1.9</v>
          </cell>
          <cell r="O9">
            <v>1.9</v>
          </cell>
          <cell r="P9">
            <v>2.23</v>
          </cell>
          <cell r="Q9">
            <v>1.96</v>
          </cell>
          <cell r="R9">
            <v>2.12</v>
          </cell>
          <cell r="S9">
            <v>2.14</v>
          </cell>
          <cell r="T9">
            <v>1.81</v>
          </cell>
          <cell r="U9">
            <v>1.84</v>
          </cell>
          <cell r="V9">
            <v>1.59</v>
          </cell>
          <cell r="W9">
            <v>1.67</v>
          </cell>
          <cell r="X9">
            <v>1.57</v>
          </cell>
          <cell r="Y9">
            <v>1.4</v>
          </cell>
          <cell r="Z9">
            <v>1.3</v>
          </cell>
          <cell r="AA9">
            <v>1.51</v>
          </cell>
          <cell r="AB9">
            <v>1.6</v>
          </cell>
          <cell r="AC9">
            <v>1.51</v>
          </cell>
          <cell r="AD9">
            <v>1.27</v>
          </cell>
          <cell r="AE9">
            <v>1.26</v>
          </cell>
          <cell r="AF9">
            <v>1.34</v>
          </cell>
          <cell r="AG9">
            <v>1.45</v>
          </cell>
          <cell r="AH9">
            <v>1.46</v>
          </cell>
          <cell r="AI9">
            <v>1.25</v>
          </cell>
          <cell r="AJ9">
            <v>1.19</v>
          </cell>
          <cell r="AK9">
            <v>1.41</v>
          </cell>
          <cell r="AL9">
            <v>1.5</v>
          </cell>
          <cell r="AM9">
            <v>1.61</v>
          </cell>
          <cell r="AN9">
            <v>1.88</v>
          </cell>
          <cell r="AO9">
            <v>2.02</v>
          </cell>
          <cell r="AP9">
            <v>1.79</v>
          </cell>
          <cell r="AQ9">
            <v>1.9</v>
          </cell>
          <cell r="AR9">
            <v>2.14</v>
          </cell>
          <cell r="AS9">
            <v>2.0099999999999998</v>
          </cell>
          <cell r="AT9">
            <v>2.0499999999999998</v>
          </cell>
          <cell r="AU9">
            <v>2.1800000000000002</v>
          </cell>
          <cell r="AV9">
            <v>2.14</v>
          </cell>
          <cell r="AW9">
            <v>1.67</v>
          </cell>
          <cell r="AX9">
            <v>1.69</v>
          </cell>
          <cell r="AY9">
            <v>2.5</v>
          </cell>
          <cell r="AZ9">
            <v>3.6</v>
          </cell>
          <cell r="BA9">
            <v>4.2</v>
          </cell>
          <cell r="BB9">
            <v>2.77</v>
          </cell>
          <cell r="BC9">
            <v>1.63</v>
          </cell>
          <cell r="BD9">
            <v>1.71</v>
          </cell>
          <cell r="BE9">
            <v>1.96</v>
          </cell>
          <cell r="BF9">
            <v>2.13</v>
          </cell>
          <cell r="BG9">
            <v>2.0099999999999998</v>
          </cell>
          <cell r="BH9">
            <v>2.06</v>
          </cell>
          <cell r="BI9">
            <v>2.42</v>
          </cell>
          <cell r="BJ9">
            <v>3</v>
          </cell>
          <cell r="BK9">
            <v>3.16</v>
          </cell>
          <cell r="BL9">
            <v>2.35</v>
          </cell>
          <cell r="BM9">
            <v>2.16</v>
          </cell>
          <cell r="BN9">
            <v>1.92</v>
          </cell>
          <cell r="BO9">
            <v>2.15</v>
          </cell>
          <cell r="BP9">
            <v>2.19</v>
          </cell>
          <cell r="BQ9">
            <v>2.1800000000000002</v>
          </cell>
          <cell r="BR9">
            <v>1.95</v>
          </cell>
          <cell r="BS9">
            <v>2.27</v>
          </cell>
          <cell r="BT9">
            <v>1.84</v>
          </cell>
          <cell r="BU9">
            <v>1.56</v>
          </cell>
          <cell r="BV9">
            <v>1.92</v>
          </cell>
          <cell r="BW9">
            <v>1.96</v>
          </cell>
          <cell r="BX9">
            <v>2.06</v>
          </cell>
          <cell r="BY9">
            <v>1.78</v>
          </cell>
          <cell r="BZ9">
            <v>1.76</v>
          </cell>
          <cell r="CA9">
            <v>1.57</v>
          </cell>
          <cell r="CB9">
            <v>1.75</v>
          </cell>
          <cell r="CC9">
            <v>2.23</v>
          </cell>
          <cell r="CD9">
            <v>2.12</v>
          </cell>
          <cell r="CE9">
            <v>2.1800000000000002</v>
          </cell>
          <cell r="CF9">
            <v>2.5099999999999998</v>
          </cell>
          <cell r="CG9">
            <v>2.77</v>
          </cell>
        </row>
        <row r="10">
          <cell r="A10" t="str">
            <v>CG-APP</v>
          </cell>
          <cell r="B10">
            <v>7</v>
          </cell>
          <cell r="C10">
            <v>2.62</v>
          </cell>
          <cell r="D10">
            <v>2.7</v>
          </cell>
          <cell r="E10">
            <v>2.4300000000000002</v>
          </cell>
          <cell r="F10">
            <v>1.95</v>
          </cell>
          <cell r="G10">
            <v>2.17</v>
          </cell>
          <cell r="H10">
            <v>2.34</v>
          </cell>
          <cell r="I10">
            <v>2.93</v>
          </cell>
          <cell r="J10">
            <v>2.2999999999999998</v>
          </cell>
          <cell r="K10">
            <v>2.1</v>
          </cell>
          <cell r="L10">
            <v>2.2000000000000002</v>
          </cell>
          <cell r="M10">
            <v>2.52</v>
          </cell>
          <cell r="N10">
            <v>2.2000000000000002</v>
          </cell>
          <cell r="O10">
            <v>2.31</v>
          </cell>
          <cell r="P10">
            <v>2.63</v>
          </cell>
          <cell r="Q10">
            <v>2.2999999999999998</v>
          </cell>
          <cell r="R10">
            <v>2.68</v>
          </cell>
          <cell r="S10">
            <v>2.78</v>
          </cell>
          <cell r="T10">
            <v>2.2400000000000002</v>
          </cell>
          <cell r="U10">
            <v>2.2799999999999998</v>
          </cell>
          <cell r="V10">
            <v>1.98</v>
          </cell>
          <cell r="W10">
            <v>2.06</v>
          </cell>
          <cell r="X10">
            <v>1.88</v>
          </cell>
          <cell r="Y10">
            <v>1.56</v>
          </cell>
          <cell r="Z10">
            <v>1.51</v>
          </cell>
          <cell r="AA10">
            <v>1.84</v>
          </cell>
          <cell r="AB10">
            <v>1.93</v>
          </cell>
          <cell r="AC10">
            <v>1.88</v>
          </cell>
          <cell r="AD10">
            <v>1.64</v>
          </cell>
          <cell r="AE10">
            <v>1.6</v>
          </cell>
          <cell r="AF10">
            <v>1.67</v>
          </cell>
          <cell r="AG10">
            <v>1.81</v>
          </cell>
          <cell r="AH10">
            <v>1.84</v>
          </cell>
          <cell r="AI10">
            <v>1.6</v>
          </cell>
          <cell r="AJ10">
            <v>1.46</v>
          </cell>
          <cell r="AK10">
            <v>1.67</v>
          </cell>
          <cell r="AL10">
            <v>1.76</v>
          </cell>
          <cell r="AM10">
            <v>1.95</v>
          </cell>
          <cell r="AN10">
            <v>2.5</v>
          </cell>
          <cell r="AO10">
            <v>3.7</v>
          </cell>
          <cell r="AP10">
            <v>3.67</v>
          </cell>
          <cell r="AQ10">
            <v>4.5599999999999996</v>
          </cell>
          <cell r="AR10">
            <v>3.06</v>
          </cell>
          <cell r="AS10">
            <v>2.4300000000000002</v>
          </cell>
          <cell r="AT10">
            <v>2.5299999999999998</v>
          </cell>
          <cell r="AU10">
            <v>2.86</v>
          </cell>
          <cell r="AV10">
            <v>2.5</v>
          </cell>
          <cell r="AW10">
            <v>1.93</v>
          </cell>
          <cell r="AX10">
            <v>1.99</v>
          </cell>
          <cell r="AY10">
            <v>2.94</v>
          </cell>
          <cell r="AZ10">
            <v>4.2300000000000004</v>
          </cell>
          <cell r="BA10">
            <v>4.3</v>
          </cell>
          <cell r="BB10">
            <v>3.06</v>
          </cell>
          <cell r="BC10">
            <v>1.87</v>
          </cell>
          <cell r="BD10">
            <v>2</v>
          </cell>
          <cell r="BE10">
            <v>2.31</v>
          </cell>
          <cell r="BF10">
            <v>2.46</v>
          </cell>
          <cell r="BG10">
            <v>2.29</v>
          </cell>
          <cell r="BH10">
            <v>2.31</v>
          </cell>
          <cell r="BI10">
            <v>2.69</v>
          </cell>
          <cell r="BJ10">
            <v>3.29</v>
          </cell>
          <cell r="BK10">
            <v>3.52</v>
          </cell>
          <cell r="BL10">
            <v>2.66</v>
          </cell>
          <cell r="BM10">
            <v>2.38</v>
          </cell>
          <cell r="BN10">
            <v>2.12</v>
          </cell>
          <cell r="BO10">
            <v>2.37</v>
          </cell>
          <cell r="BP10">
            <v>2.4500000000000002</v>
          </cell>
          <cell r="BQ10">
            <v>2.42</v>
          </cell>
          <cell r="BR10">
            <v>2.16</v>
          </cell>
          <cell r="BS10">
            <v>2.4700000000000002</v>
          </cell>
          <cell r="BT10">
            <v>2.0499999999999998</v>
          </cell>
          <cell r="BU10">
            <v>1.77</v>
          </cell>
          <cell r="BV10">
            <v>2.2000000000000002</v>
          </cell>
          <cell r="BW10">
            <v>2.2400000000000002</v>
          </cell>
          <cell r="BX10">
            <v>2.25</v>
          </cell>
          <cell r="BY10">
            <v>1.92</v>
          </cell>
          <cell r="BZ10">
            <v>1.92</v>
          </cell>
          <cell r="CA10">
            <v>1.73</v>
          </cell>
          <cell r="CB10">
            <v>2.0499999999999998</v>
          </cell>
          <cell r="CC10">
            <v>2.5</v>
          </cell>
          <cell r="CD10">
            <v>2.35</v>
          </cell>
          <cell r="CE10">
            <v>2.39</v>
          </cell>
          <cell r="CF10">
            <v>2.78</v>
          </cell>
          <cell r="CG10">
            <v>3.03</v>
          </cell>
        </row>
        <row r="11">
          <cell r="A11" t="str">
            <v>CGLF-LA</v>
          </cell>
          <cell r="B11">
            <v>8</v>
          </cell>
          <cell r="C11">
            <v>2.36</v>
          </cell>
          <cell r="D11">
            <v>2.2999999999999998</v>
          </cell>
          <cell r="E11">
            <v>1.93</v>
          </cell>
          <cell r="F11">
            <v>1.62</v>
          </cell>
          <cell r="G11">
            <v>1.88</v>
          </cell>
          <cell r="H11">
            <v>2.2000000000000002</v>
          </cell>
          <cell r="I11">
            <v>2.7</v>
          </cell>
          <cell r="J11">
            <v>2.1</v>
          </cell>
          <cell r="K11">
            <v>1.95</v>
          </cell>
          <cell r="L11">
            <v>2.0699999999999998</v>
          </cell>
          <cell r="M11">
            <v>2.37</v>
          </cell>
          <cell r="N11">
            <v>2.0499999999999998</v>
          </cell>
          <cell r="O11">
            <v>2.12</v>
          </cell>
          <cell r="P11">
            <v>2.38</v>
          </cell>
          <cell r="Q11">
            <v>2.0499999999999998</v>
          </cell>
          <cell r="R11">
            <v>2.36</v>
          </cell>
          <cell r="S11">
            <v>2.35</v>
          </cell>
          <cell r="T11">
            <v>1.99</v>
          </cell>
          <cell r="U11">
            <v>2.0499999999999998</v>
          </cell>
          <cell r="V11">
            <v>1.81</v>
          </cell>
          <cell r="W11">
            <v>1.94</v>
          </cell>
          <cell r="X11">
            <v>1.77</v>
          </cell>
          <cell r="Y11">
            <v>1.45</v>
          </cell>
          <cell r="Z11">
            <v>1.39</v>
          </cell>
          <cell r="AA11">
            <v>1.67</v>
          </cell>
          <cell r="AB11">
            <v>1.65</v>
          </cell>
          <cell r="AC11">
            <v>1.59</v>
          </cell>
          <cell r="AD11">
            <v>1.38</v>
          </cell>
          <cell r="AE11">
            <v>1.42</v>
          </cell>
          <cell r="AF11">
            <v>1.53</v>
          </cell>
          <cell r="AG11">
            <v>1.64</v>
          </cell>
          <cell r="AH11">
            <v>1.69</v>
          </cell>
          <cell r="AI11">
            <v>1.46</v>
          </cell>
          <cell r="AJ11">
            <v>1.34</v>
          </cell>
          <cell r="AK11">
            <v>1.54</v>
          </cell>
          <cell r="AL11">
            <v>1.62</v>
          </cell>
          <cell r="AM11">
            <v>1.75</v>
          </cell>
          <cell r="AN11">
            <v>2.2400000000000002</v>
          </cell>
          <cell r="AO11">
            <v>3.35</v>
          </cell>
          <cell r="AP11">
            <v>2.34</v>
          </cell>
          <cell r="AQ11">
            <v>2.85</v>
          </cell>
          <cell r="AR11">
            <v>2.62</v>
          </cell>
          <cell r="AS11">
            <v>2.2000000000000002</v>
          </cell>
          <cell r="AT11">
            <v>2.33</v>
          </cell>
          <cell r="AU11">
            <v>2.62</v>
          </cell>
          <cell r="AV11">
            <v>2.27</v>
          </cell>
          <cell r="AW11">
            <v>1.77</v>
          </cell>
          <cell r="AX11">
            <v>1.81</v>
          </cell>
          <cell r="AY11">
            <v>2.65</v>
          </cell>
          <cell r="AZ11">
            <v>3.82</v>
          </cell>
          <cell r="BA11">
            <v>3.94</v>
          </cell>
          <cell r="BB11">
            <v>2.89</v>
          </cell>
          <cell r="BC11">
            <v>1.74</v>
          </cell>
          <cell r="BD11">
            <v>1.8</v>
          </cell>
          <cell r="BE11">
            <v>2.1</v>
          </cell>
          <cell r="BF11">
            <v>2.27</v>
          </cell>
          <cell r="BG11">
            <v>2.13</v>
          </cell>
          <cell r="BH11">
            <v>2.15</v>
          </cell>
          <cell r="BI11">
            <v>2.5099999999999998</v>
          </cell>
          <cell r="BJ11">
            <v>3.09</v>
          </cell>
          <cell r="BK11">
            <v>3.26</v>
          </cell>
          <cell r="BL11">
            <v>2.5</v>
          </cell>
          <cell r="BM11">
            <v>2.2400000000000002</v>
          </cell>
          <cell r="BN11">
            <v>1.99</v>
          </cell>
          <cell r="BO11">
            <v>2.2200000000000002</v>
          </cell>
          <cell r="BP11">
            <v>2.29</v>
          </cell>
          <cell r="BQ11">
            <v>2.25</v>
          </cell>
          <cell r="BR11">
            <v>2</v>
          </cell>
          <cell r="BS11">
            <v>2.33</v>
          </cell>
          <cell r="BT11">
            <v>1.9</v>
          </cell>
          <cell r="BU11">
            <v>1.58</v>
          </cell>
          <cell r="BV11">
            <v>2.02</v>
          </cell>
          <cell r="BW11">
            <v>1.96</v>
          </cell>
          <cell r="BX11">
            <v>2.08</v>
          </cell>
          <cell r="BY11">
            <v>1.75</v>
          </cell>
          <cell r="BZ11">
            <v>1.77</v>
          </cell>
          <cell r="CA11">
            <v>1.6</v>
          </cell>
          <cell r="CB11">
            <v>1.86</v>
          </cell>
          <cell r="CC11">
            <v>2.33</v>
          </cell>
          <cell r="CD11">
            <v>2.2000000000000002</v>
          </cell>
          <cell r="CE11">
            <v>2.2400000000000002</v>
          </cell>
          <cell r="CF11">
            <v>2.58</v>
          </cell>
          <cell r="CG11">
            <v>2.86</v>
          </cell>
        </row>
        <row r="12">
          <cell r="A12" t="str">
            <v>CGLF-OFS</v>
          </cell>
          <cell r="B12">
            <v>9</v>
          </cell>
          <cell r="C12">
            <v>2.23</v>
          </cell>
          <cell r="E12">
            <v>1.83</v>
          </cell>
          <cell r="F12">
            <v>1.54</v>
          </cell>
          <cell r="G12">
            <v>1.79</v>
          </cell>
          <cell r="H12">
            <v>2.1</v>
          </cell>
          <cell r="I12">
            <v>2.6</v>
          </cell>
          <cell r="J12">
            <v>2.0299999999999998</v>
          </cell>
          <cell r="K12">
            <v>1.86</v>
          </cell>
          <cell r="L12">
            <v>1.98</v>
          </cell>
          <cell r="M12">
            <v>2.2799999999999998</v>
          </cell>
          <cell r="N12">
            <v>1.97</v>
          </cell>
          <cell r="O12">
            <v>2.0299999999999998</v>
          </cell>
          <cell r="P12">
            <v>2.2999999999999998</v>
          </cell>
          <cell r="Q12">
            <v>2.02</v>
          </cell>
          <cell r="S12">
            <v>2.2799999999999998</v>
          </cell>
          <cell r="T12">
            <v>1.91</v>
          </cell>
          <cell r="V12">
            <v>1.73</v>
          </cell>
          <cell r="W12">
            <v>1.87</v>
          </cell>
          <cell r="X12">
            <v>1.71</v>
          </cell>
          <cell r="Z12">
            <v>1.29</v>
          </cell>
          <cell r="AB12">
            <v>1.56</v>
          </cell>
          <cell r="AC12">
            <v>1.49</v>
          </cell>
          <cell r="AD12">
            <v>1.3</v>
          </cell>
          <cell r="AE12">
            <v>1.35</v>
          </cell>
          <cell r="AF12">
            <v>1.44</v>
          </cell>
          <cell r="AG12">
            <v>1.58</v>
          </cell>
          <cell r="AH12">
            <v>1.6</v>
          </cell>
          <cell r="BB12">
            <v>2.79</v>
          </cell>
          <cell r="BC12">
            <v>1.66</v>
          </cell>
          <cell r="BD12">
            <v>1.81</v>
          </cell>
          <cell r="BE12">
            <v>2.0299999999999998</v>
          </cell>
          <cell r="BF12">
            <v>2.17</v>
          </cell>
          <cell r="BG12">
            <v>2.1800000000000002</v>
          </cell>
          <cell r="BH12">
            <v>2.19</v>
          </cell>
        </row>
        <row r="13">
          <cell r="A13" t="str">
            <v>CHIC</v>
          </cell>
          <cell r="B13">
            <v>10</v>
          </cell>
          <cell r="C13">
            <v>2.46</v>
          </cell>
          <cell r="D13">
            <v>2.4</v>
          </cell>
          <cell r="E13">
            <v>2.2200000000000002</v>
          </cell>
          <cell r="F13">
            <v>1.83</v>
          </cell>
          <cell r="G13">
            <v>2.11</v>
          </cell>
          <cell r="H13">
            <v>2.41</v>
          </cell>
          <cell r="I13">
            <v>2.92</v>
          </cell>
          <cell r="J13">
            <v>2.15</v>
          </cell>
          <cell r="K13">
            <v>2.14</v>
          </cell>
          <cell r="L13">
            <v>2.2799999999999998</v>
          </cell>
          <cell r="M13">
            <v>2.5299999999999998</v>
          </cell>
          <cell r="N13">
            <v>2.31</v>
          </cell>
          <cell r="O13">
            <v>2.29</v>
          </cell>
          <cell r="P13">
            <v>2.5299999999999998</v>
          </cell>
          <cell r="Q13">
            <v>2.21</v>
          </cell>
          <cell r="R13">
            <v>2.5499999999999998</v>
          </cell>
          <cell r="S13">
            <v>2.61</v>
          </cell>
          <cell r="T13">
            <v>2.17</v>
          </cell>
          <cell r="U13">
            <v>2.1800000000000002</v>
          </cell>
          <cell r="V13">
            <v>1.92</v>
          </cell>
          <cell r="W13">
            <v>2.0299999999999998</v>
          </cell>
          <cell r="X13">
            <v>1.87</v>
          </cell>
          <cell r="Y13">
            <v>1.59</v>
          </cell>
          <cell r="Z13">
            <v>1.51</v>
          </cell>
          <cell r="AA13">
            <v>1.81</v>
          </cell>
          <cell r="AB13">
            <v>1.81</v>
          </cell>
          <cell r="AC13">
            <v>1.73</v>
          </cell>
          <cell r="AD13">
            <v>1.5</v>
          </cell>
          <cell r="AE13">
            <v>1.47</v>
          </cell>
          <cell r="AF13">
            <v>1.56</v>
          </cell>
          <cell r="AG13">
            <v>1.7</v>
          </cell>
          <cell r="AH13">
            <v>1.75</v>
          </cell>
          <cell r="AI13">
            <v>1.55</v>
          </cell>
          <cell r="AJ13">
            <v>1.41</v>
          </cell>
          <cell r="AK13">
            <v>1.61</v>
          </cell>
          <cell r="AL13">
            <v>1.72</v>
          </cell>
          <cell r="AM13">
            <v>1.91</v>
          </cell>
          <cell r="AN13">
            <v>2.41</v>
          </cell>
          <cell r="AO13">
            <v>3.31</v>
          </cell>
          <cell r="AP13">
            <v>2.64</v>
          </cell>
          <cell r="AQ13">
            <v>3.2</v>
          </cell>
          <cell r="AR13">
            <v>2.81</v>
          </cell>
          <cell r="AS13">
            <v>2.2999999999999998</v>
          </cell>
          <cell r="AT13">
            <v>2.4</v>
          </cell>
          <cell r="AU13">
            <v>2.64</v>
          </cell>
          <cell r="AV13">
            <v>2.36</v>
          </cell>
          <cell r="AW13">
            <v>1.94</v>
          </cell>
          <cell r="AX13">
            <v>1.98</v>
          </cell>
          <cell r="AY13">
            <v>2.95</v>
          </cell>
          <cell r="AZ13">
            <v>4.25</v>
          </cell>
          <cell r="BA13">
            <v>4.53</v>
          </cell>
          <cell r="BB13">
            <v>3.36</v>
          </cell>
          <cell r="BC13">
            <v>1.91</v>
          </cell>
          <cell r="BD13">
            <v>1.95</v>
          </cell>
          <cell r="BE13">
            <v>2.19</v>
          </cell>
          <cell r="BF13">
            <v>2.38</v>
          </cell>
          <cell r="BG13">
            <v>2.2400000000000002</v>
          </cell>
          <cell r="BH13">
            <v>2.23</v>
          </cell>
          <cell r="BI13">
            <v>2.63</v>
          </cell>
          <cell r="BJ13">
            <v>3.34</v>
          </cell>
          <cell r="BK13">
            <v>3.55</v>
          </cell>
          <cell r="BL13">
            <v>3.55</v>
          </cell>
          <cell r="BM13">
            <v>2.37</v>
          </cell>
          <cell r="BN13">
            <v>2.09</v>
          </cell>
          <cell r="BO13">
            <v>2.2999999999999998</v>
          </cell>
          <cell r="BP13">
            <v>2.38</v>
          </cell>
          <cell r="BQ13">
            <v>2.36</v>
          </cell>
          <cell r="BR13">
            <v>2.13</v>
          </cell>
          <cell r="BS13">
            <v>2.42</v>
          </cell>
          <cell r="CG13">
            <v>2.96</v>
          </cell>
        </row>
        <row r="14">
          <cell r="A14" t="str">
            <v>CIG-ROCK</v>
          </cell>
          <cell r="B14">
            <v>11</v>
          </cell>
          <cell r="C14">
            <v>1.83</v>
          </cell>
          <cell r="D14">
            <v>1.88</v>
          </cell>
          <cell r="E14">
            <v>2.15</v>
          </cell>
          <cell r="F14">
            <v>1.6</v>
          </cell>
          <cell r="G14">
            <v>1.73</v>
          </cell>
          <cell r="H14">
            <v>1.8</v>
          </cell>
          <cell r="I14">
            <v>2.2000000000000002</v>
          </cell>
          <cell r="J14">
            <v>1.56</v>
          </cell>
          <cell r="K14">
            <v>1.5</v>
          </cell>
          <cell r="L14">
            <v>1.65</v>
          </cell>
          <cell r="M14">
            <v>1.88</v>
          </cell>
          <cell r="N14">
            <v>1.71</v>
          </cell>
          <cell r="O14">
            <v>1.7</v>
          </cell>
          <cell r="P14">
            <v>2.23</v>
          </cell>
          <cell r="Q14">
            <v>1.88</v>
          </cell>
          <cell r="R14">
            <v>1.76</v>
          </cell>
          <cell r="S14">
            <v>1.86</v>
          </cell>
          <cell r="T14">
            <v>1.52</v>
          </cell>
          <cell r="U14">
            <v>1.55</v>
          </cell>
          <cell r="V14">
            <v>1.32</v>
          </cell>
          <cell r="W14">
            <v>1.39</v>
          </cell>
          <cell r="X14">
            <v>1.39</v>
          </cell>
          <cell r="Y14">
            <v>1.33</v>
          </cell>
          <cell r="Z14">
            <v>1.1599999999999999</v>
          </cell>
          <cell r="AA14">
            <v>1.44</v>
          </cell>
          <cell r="AB14">
            <v>1.57</v>
          </cell>
          <cell r="AC14">
            <v>1.35</v>
          </cell>
          <cell r="AD14">
            <v>1.06</v>
          </cell>
          <cell r="AE14">
            <v>1.05</v>
          </cell>
          <cell r="AF14">
            <v>1.05</v>
          </cell>
          <cell r="AG14">
            <v>1.07</v>
          </cell>
          <cell r="AH14">
            <v>1.1399999999999999</v>
          </cell>
          <cell r="AI14">
            <v>0.98</v>
          </cell>
          <cell r="AJ14">
            <v>0.84</v>
          </cell>
          <cell r="AK14">
            <v>0.95</v>
          </cell>
          <cell r="AL14">
            <v>1.04</v>
          </cell>
          <cell r="AM14">
            <v>1.25</v>
          </cell>
          <cell r="AN14">
            <v>1.31</v>
          </cell>
          <cell r="AO14">
            <v>1.26</v>
          </cell>
          <cell r="AP14">
            <v>1.1599999999999999</v>
          </cell>
          <cell r="AQ14">
            <v>1.1599999999999999</v>
          </cell>
          <cell r="AR14">
            <v>1.06</v>
          </cell>
          <cell r="AS14">
            <v>1.06</v>
          </cell>
          <cell r="AT14">
            <v>1.06</v>
          </cell>
          <cell r="AU14">
            <v>1.18</v>
          </cell>
          <cell r="AV14">
            <v>1.21</v>
          </cell>
          <cell r="AW14">
            <v>1.19</v>
          </cell>
          <cell r="AX14">
            <v>1.25</v>
          </cell>
          <cell r="AY14">
            <v>2.25</v>
          </cell>
          <cell r="AZ14">
            <v>3.5</v>
          </cell>
          <cell r="BA14">
            <v>4.18</v>
          </cell>
          <cell r="BB14">
            <v>2.5299999999999998</v>
          </cell>
          <cell r="BC14">
            <v>1.39</v>
          </cell>
          <cell r="BD14">
            <v>1.45</v>
          </cell>
          <cell r="BE14">
            <v>1.63</v>
          </cell>
          <cell r="BF14">
            <v>1.43</v>
          </cell>
          <cell r="BG14">
            <v>1.44</v>
          </cell>
          <cell r="BH14">
            <v>1.38</v>
          </cell>
          <cell r="BI14">
            <v>1.47</v>
          </cell>
          <cell r="BJ14">
            <v>2.1</v>
          </cell>
          <cell r="BK14">
            <v>2.99</v>
          </cell>
          <cell r="BL14">
            <v>1.94</v>
          </cell>
          <cell r="BM14">
            <v>2.04</v>
          </cell>
          <cell r="BN14">
            <v>1.7</v>
          </cell>
          <cell r="BO14">
            <v>1.88</v>
          </cell>
          <cell r="BP14">
            <v>1.9</v>
          </cell>
          <cell r="BQ14">
            <v>1.96</v>
          </cell>
          <cell r="BR14">
            <v>1.64</v>
          </cell>
          <cell r="BS14">
            <v>1.61</v>
          </cell>
          <cell r="BT14">
            <v>1.73</v>
          </cell>
          <cell r="BU14">
            <v>1.55</v>
          </cell>
          <cell r="BV14">
            <v>1.65</v>
          </cell>
          <cell r="BW14">
            <v>1.97</v>
          </cell>
          <cell r="BX14">
            <v>1.96</v>
          </cell>
          <cell r="BY14">
            <v>1.75</v>
          </cell>
          <cell r="BZ14">
            <v>1.61</v>
          </cell>
          <cell r="CA14">
            <v>1.49</v>
          </cell>
          <cell r="CB14">
            <v>1.53</v>
          </cell>
          <cell r="CC14">
            <v>1.98</v>
          </cell>
          <cell r="CD14">
            <v>1.93</v>
          </cell>
          <cell r="CE14">
            <v>1.97</v>
          </cell>
          <cell r="CF14">
            <v>2.16</v>
          </cell>
          <cell r="CG14">
            <v>2.52</v>
          </cell>
        </row>
        <row r="15">
          <cell r="A15" t="str">
            <v>CNG</v>
          </cell>
          <cell r="B15">
            <v>12</v>
          </cell>
          <cell r="H15">
            <v>2.54</v>
          </cell>
          <cell r="I15">
            <v>3</v>
          </cell>
          <cell r="J15">
            <v>2.25</v>
          </cell>
          <cell r="K15">
            <v>2.13</v>
          </cell>
          <cell r="L15">
            <v>2.23</v>
          </cell>
          <cell r="M15">
            <v>2.5299999999999998</v>
          </cell>
          <cell r="N15">
            <v>2.23</v>
          </cell>
          <cell r="O15">
            <v>2.36</v>
          </cell>
          <cell r="P15">
            <v>2.68</v>
          </cell>
          <cell r="Q15">
            <v>2.33</v>
          </cell>
          <cell r="R15">
            <v>2.75</v>
          </cell>
          <cell r="S15">
            <v>2.78</v>
          </cell>
          <cell r="T15">
            <v>2.23</v>
          </cell>
          <cell r="U15">
            <v>2.29</v>
          </cell>
          <cell r="V15">
            <v>1.99</v>
          </cell>
          <cell r="W15">
            <v>2.1</v>
          </cell>
          <cell r="X15">
            <v>1.9</v>
          </cell>
          <cell r="Y15">
            <v>1.55</v>
          </cell>
          <cell r="Z15">
            <v>1.5</v>
          </cell>
          <cell r="AA15">
            <v>1.83</v>
          </cell>
          <cell r="AB15">
            <v>1.93</v>
          </cell>
          <cell r="AC15">
            <v>1.87</v>
          </cell>
          <cell r="AD15">
            <v>1.65</v>
          </cell>
          <cell r="AE15">
            <v>1.62</v>
          </cell>
          <cell r="AF15">
            <v>1.68</v>
          </cell>
          <cell r="AG15">
            <v>1.83</v>
          </cell>
          <cell r="AH15">
            <v>1.86</v>
          </cell>
          <cell r="AI15">
            <v>1.62</v>
          </cell>
          <cell r="AJ15">
            <v>1.49</v>
          </cell>
          <cell r="AK15">
            <v>1.68</v>
          </cell>
          <cell r="AL15">
            <v>1.77</v>
          </cell>
          <cell r="AM15">
            <v>1.97</v>
          </cell>
          <cell r="AN15">
            <v>2.5299999999999998</v>
          </cell>
          <cell r="AO15">
            <v>3.8</v>
          </cell>
          <cell r="AP15">
            <v>3.67</v>
          </cell>
          <cell r="AQ15">
            <v>4.95</v>
          </cell>
          <cell r="AR15">
            <v>3.21</v>
          </cell>
          <cell r="AS15">
            <v>2.4300000000000002</v>
          </cell>
          <cell r="AT15">
            <v>2.54</v>
          </cell>
          <cell r="AU15">
            <v>2.86</v>
          </cell>
          <cell r="AV15">
            <v>2.5</v>
          </cell>
          <cell r="AW15">
            <v>1.94</v>
          </cell>
          <cell r="AX15">
            <v>1.99</v>
          </cell>
          <cell r="AY15">
            <v>3.05</v>
          </cell>
          <cell r="AZ15">
            <v>4.5</v>
          </cell>
          <cell r="BA15">
            <v>4.5</v>
          </cell>
          <cell r="BB15">
            <v>3.2</v>
          </cell>
          <cell r="BC15">
            <v>1.93</v>
          </cell>
          <cell r="BD15">
            <v>2.02</v>
          </cell>
          <cell r="BE15">
            <v>2.33</v>
          </cell>
          <cell r="BF15">
            <v>2.46</v>
          </cell>
          <cell r="BG15">
            <v>2.31</v>
          </cell>
          <cell r="BH15">
            <v>2.33</v>
          </cell>
          <cell r="BI15">
            <v>2.71</v>
          </cell>
          <cell r="BJ15">
            <v>3.32</v>
          </cell>
          <cell r="BK15">
            <v>3.59</v>
          </cell>
          <cell r="BL15">
            <v>2.7</v>
          </cell>
          <cell r="BM15">
            <v>2.44</v>
          </cell>
          <cell r="BN15">
            <v>2.15</v>
          </cell>
          <cell r="BO15">
            <v>2.4</v>
          </cell>
          <cell r="BP15">
            <v>2.5</v>
          </cell>
          <cell r="BQ15">
            <v>2.46</v>
          </cell>
          <cell r="BR15">
            <v>2.19</v>
          </cell>
          <cell r="BS15">
            <v>2.4700000000000002</v>
          </cell>
          <cell r="BT15">
            <v>2.06</v>
          </cell>
          <cell r="BU15">
            <v>1.79</v>
          </cell>
          <cell r="BV15">
            <v>2.2200000000000002</v>
          </cell>
          <cell r="BW15">
            <v>2.25</v>
          </cell>
          <cell r="BX15">
            <v>2.23</v>
          </cell>
          <cell r="BY15">
            <v>1.95</v>
          </cell>
          <cell r="BZ15">
            <v>1.95</v>
          </cell>
          <cell r="CA15">
            <v>1.78</v>
          </cell>
          <cell r="CB15">
            <v>2.09</v>
          </cell>
          <cell r="CC15">
            <v>2.5099999999999998</v>
          </cell>
          <cell r="CD15">
            <v>2.35</v>
          </cell>
          <cell r="CE15">
            <v>2.42</v>
          </cell>
          <cell r="CF15">
            <v>2.8</v>
          </cell>
          <cell r="CG15">
            <v>3.07</v>
          </cell>
        </row>
        <row r="16">
          <cell r="A16" t="str">
            <v>EPNG-PERM</v>
          </cell>
          <cell r="B16">
            <v>13</v>
          </cell>
          <cell r="C16">
            <v>2.12</v>
          </cell>
          <cell r="D16">
            <v>2.04</v>
          </cell>
          <cell r="E16">
            <v>2.04</v>
          </cell>
          <cell r="F16">
            <v>1.57</v>
          </cell>
          <cell r="G16">
            <v>1.83</v>
          </cell>
          <cell r="H16">
            <v>1.89</v>
          </cell>
          <cell r="I16">
            <v>2.2000000000000002</v>
          </cell>
          <cell r="J16">
            <v>1.65</v>
          </cell>
          <cell r="K16">
            <v>1.78</v>
          </cell>
          <cell r="L16">
            <v>1.88</v>
          </cell>
          <cell r="M16">
            <v>2.0299999999999998</v>
          </cell>
          <cell r="N16">
            <v>1.77</v>
          </cell>
          <cell r="O16">
            <v>1.77</v>
          </cell>
          <cell r="P16">
            <v>2.25</v>
          </cell>
          <cell r="Q16">
            <v>1.93</v>
          </cell>
          <cell r="R16">
            <v>1.88</v>
          </cell>
          <cell r="S16">
            <v>2</v>
          </cell>
          <cell r="T16">
            <v>1.75</v>
          </cell>
          <cell r="U16">
            <v>1.75</v>
          </cell>
          <cell r="V16">
            <v>1.5</v>
          </cell>
          <cell r="W16">
            <v>1.65</v>
          </cell>
          <cell r="X16">
            <v>1.57</v>
          </cell>
          <cell r="Y16">
            <v>1.44</v>
          </cell>
          <cell r="Z16">
            <v>1.22</v>
          </cell>
          <cell r="AA16">
            <v>1.47</v>
          </cell>
          <cell r="AB16">
            <v>1.64</v>
          </cell>
          <cell r="AC16">
            <v>1.46</v>
          </cell>
          <cell r="AD16">
            <v>1.17</v>
          </cell>
          <cell r="AE16">
            <v>1.17</v>
          </cell>
          <cell r="AF16">
            <v>1.25</v>
          </cell>
          <cell r="AG16">
            <v>1.35</v>
          </cell>
          <cell r="AH16">
            <v>1.38</v>
          </cell>
          <cell r="AI16">
            <v>1.19</v>
          </cell>
          <cell r="AJ16">
            <v>1.18</v>
          </cell>
          <cell r="AK16">
            <v>1.36</v>
          </cell>
          <cell r="AL16">
            <v>1.41</v>
          </cell>
          <cell r="AM16">
            <v>1.54</v>
          </cell>
          <cell r="AN16">
            <v>1.74</v>
          </cell>
          <cell r="AO16">
            <v>1.92</v>
          </cell>
          <cell r="AP16">
            <v>1.68</v>
          </cell>
          <cell r="AQ16">
            <v>1.75</v>
          </cell>
          <cell r="AR16">
            <v>2.0099999999999998</v>
          </cell>
          <cell r="AS16">
            <v>1.95</v>
          </cell>
          <cell r="AT16">
            <v>2.0099999999999998</v>
          </cell>
          <cell r="AU16">
            <v>2.09</v>
          </cell>
          <cell r="AV16">
            <v>2.0699999999999998</v>
          </cell>
          <cell r="AW16">
            <v>1.59</v>
          </cell>
          <cell r="AX16">
            <v>1.64</v>
          </cell>
          <cell r="AY16">
            <v>2.48</v>
          </cell>
          <cell r="AZ16">
            <v>3.59</v>
          </cell>
          <cell r="BA16">
            <v>4.0999999999999996</v>
          </cell>
          <cell r="BB16">
            <v>2.5499999999999998</v>
          </cell>
          <cell r="BC16">
            <v>1.54</v>
          </cell>
          <cell r="BD16">
            <v>1.63</v>
          </cell>
          <cell r="BE16">
            <v>1.91</v>
          </cell>
          <cell r="BF16">
            <v>2.0699999999999998</v>
          </cell>
          <cell r="BG16">
            <v>2</v>
          </cell>
          <cell r="BH16">
            <v>2.0499999999999998</v>
          </cell>
          <cell r="BI16">
            <v>2.36</v>
          </cell>
          <cell r="BJ16">
            <v>2.9</v>
          </cell>
          <cell r="BK16">
            <v>3.18</v>
          </cell>
          <cell r="BL16">
            <v>2.21</v>
          </cell>
          <cell r="BM16">
            <v>2.08</v>
          </cell>
          <cell r="BN16">
            <v>1.84</v>
          </cell>
          <cell r="BO16">
            <v>2.04</v>
          </cell>
          <cell r="BP16">
            <v>2.12</v>
          </cell>
          <cell r="BQ16">
            <v>2.1</v>
          </cell>
          <cell r="BR16">
            <v>1.86</v>
          </cell>
          <cell r="BS16">
            <v>2.1800000000000002</v>
          </cell>
          <cell r="BT16">
            <v>1.9</v>
          </cell>
          <cell r="BU16">
            <v>1.59</v>
          </cell>
          <cell r="BV16">
            <v>1.82</v>
          </cell>
          <cell r="BW16">
            <v>1.92</v>
          </cell>
          <cell r="BX16">
            <v>1.99</v>
          </cell>
          <cell r="BY16">
            <v>1.73</v>
          </cell>
          <cell r="BZ16">
            <v>1.66</v>
          </cell>
          <cell r="CA16">
            <v>1.54</v>
          </cell>
          <cell r="CB16">
            <v>1.66</v>
          </cell>
          <cell r="CC16">
            <v>2.16</v>
          </cell>
          <cell r="CD16">
            <v>2.08</v>
          </cell>
          <cell r="CE16">
            <v>2.17</v>
          </cell>
          <cell r="CF16">
            <v>2.46</v>
          </cell>
          <cell r="CG16">
            <v>2.78</v>
          </cell>
        </row>
        <row r="17">
          <cell r="A17" t="str">
            <v>EPNG-SJ</v>
          </cell>
          <cell r="B17">
            <v>14</v>
          </cell>
          <cell r="C17">
            <v>2.11</v>
          </cell>
          <cell r="D17">
            <v>2.04</v>
          </cell>
          <cell r="E17">
            <v>2.1</v>
          </cell>
          <cell r="F17">
            <v>1.58</v>
          </cell>
          <cell r="G17">
            <v>1.84</v>
          </cell>
          <cell r="H17">
            <v>1.89</v>
          </cell>
          <cell r="I17">
            <v>2.2000000000000002</v>
          </cell>
          <cell r="J17">
            <v>1.65</v>
          </cell>
          <cell r="K17">
            <v>1.76</v>
          </cell>
          <cell r="L17">
            <v>1.84</v>
          </cell>
          <cell r="M17">
            <v>2.0099999999999998</v>
          </cell>
          <cell r="N17">
            <v>1.76</v>
          </cell>
          <cell r="O17">
            <v>1.76</v>
          </cell>
          <cell r="P17">
            <v>2.2400000000000002</v>
          </cell>
          <cell r="Q17">
            <v>1.94</v>
          </cell>
          <cell r="R17">
            <v>1.82</v>
          </cell>
          <cell r="S17">
            <v>1.98</v>
          </cell>
          <cell r="T17">
            <v>1.73</v>
          </cell>
          <cell r="U17">
            <v>1.74</v>
          </cell>
          <cell r="V17">
            <v>1.48</v>
          </cell>
          <cell r="W17">
            <v>1.58</v>
          </cell>
          <cell r="X17">
            <v>1.54</v>
          </cell>
          <cell r="Y17">
            <v>1.43</v>
          </cell>
          <cell r="Z17">
            <v>1.2</v>
          </cell>
          <cell r="AA17">
            <v>1.46</v>
          </cell>
          <cell r="AB17">
            <v>1.63</v>
          </cell>
          <cell r="AC17">
            <v>1.45</v>
          </cell>
          <cell r="AD17">
            <v>1.0900000000000001</v>
          </cell>
          <cell r="AE17">
            <v>1.08</v>
          </cell>
          <cell r="AF17">
            <v>1.0900000000000001</v>
          </cell>
          <cell r="AG17">
            <v>1.17</v>
          </cell>
          <cell r="AH17">
            <v>1.17</v>
          </cell>
          <cell r="AI17">
            <v>1.05</v>
          </cell>
          <cell r="AJ17">
            <v>1.02</v>
          </cell>
          <cell r="AK17">
            <v>1.19</v>
          </cell>
          <cell r="AL17">
            <v>1.24</v>
          </cell>
          <cell r="AM17">
            <v>1.25</v>
          </cell>
          <cell r="AN17">
            <v>1.34</v>
          </cell>
          <cell r="AO17">
            <v>1.39</v>
          </cell>
          <cell r="AP17">
            <v>1.26</v>
          </cell>
          <cell r="AQ17">
            <v>1.18</v>
          </cell>
          <cell r="AR17">
            <v>1.1200000000000001</v>
          </cell>
          <cell r="AS17">
            <v>1.1200000000000001</v>
          </cell>
          <cell r="AT17">
            <v>1.18</v>
          </cell>
          <cell r="AU17">
            <v>1.47</v>
          </cell>
          <cell r="AV17">
            <v>2</v>
          </cell>
          <cell r="AW17">
            <v>1.55</v>
          </cell>
          <cell r="AX17">
            <v>1.59</v>
          </cell>
          <cell r="AY17">
            <v>2.4500000000000002</v>
          </cell>
          <cell r="AZ17">
            <v>3.55</v>
          </cell>
          <cell r="BA17">
            <v>4.05</v>
          </cell>
          <cell r="BB17">
            <v>2.48</v>
          </cell>
          <cell r="BC17">
            <v>1.46</v>
          </cell>
          <cell r="BD17">
            <v>1.59</v>
          </cell>
          <cell r="BE17">
            <v>1.87</v>
          </cell>
          <cell r="BF17">
            <v>2.02</v>
          </cell>
          <cell r="BG17">
            <v>1.97</v>
          </cell>
          <cell r="BH17">
            <v>2</v>
          </cell>
          <cell r="BI17">
            <v>2.2799999999999998</v>
          </cell>
          <cell r="BJ17">
            <v>2.83</v>
          </cell>
          <cell r="BK17">
            <v>3.11</v>
          </cell>
          <cell r="BL17">
            <v>2.16</v>
          </cell>
          <cell r="BM17">
            <v>2.06</v>
          </cell>
          <cell r="BN17">
            <v>1.76</v>
          </cell>
          <cell r="BO17">
            <v>2.0099999999999998</v>
          </cell>
          <cell r="BP17">
            <v>2.06</v>
          </cell>
          <cell r="BQ17">
            <v>2</v>
          </cell>
          <cell r="BR17">
            <v>1.75</v>
          </cell>
          <cell r="BS17">
            <v>1.86</v>
          </cell>
          <cell r="BT17">
            <v>1.81</v>
          </cell>
          <cell r="BU17">
            <v>1.55</v>
          </cell>
          <cell r="BV17">
            <v>1.67</v>
          </cell>
          <cell r="BW17">
            <v>1.88</v>
          </cell>
          <cell r="BX17">
            <v>1.96</v>
          </cell>
          <cell r="BY17">
            <v>1.72</v>
          </cell>
          <cell r="BZ17">
            <v>1.63</v>
          </cell>
          <cell r="CA17">
            <v>1.51</v>
          </cell>
          <cell r="CB17">
            <v>1.59</v>
          </cell>
          <cell r="CC17">
            <v>2.0299999999999998</v>
          </cell>
          <cell r="CD17">
            <v>1.96</v>
          </cell>
          <cell r="CE17">
            <v>2.0499999999999998</v>
          </cell>
          <cell r="CF17">
            <v>2.2599999999999998</v>
          </cell>
          <cell r="CG17">
            <v>2.63</v>
          </cell>
        </row>
        <row r="18">
          <cell r="A18" t="str">
            <v>FGT-Z1</v>
          </cell>
          <cell r="B18">
            <v>15</v>
          </cell>
          <cell r="C18">
            <v>2.36</v>
          </cell>
          <cell r="D18">
            <v>2.2000000000000002</v>
          </cell>
          <cell r="E18">
            <v>1.9</v>
          </cell>
          <cell r="F18">
            <v>1.59</v>
          </cell>
          <cell r="G18">
            <v>1.85</v>
          </cell>
          <cell r="H18">
            <v>2.15</v>
          </cell>
          <cell r="I18">
            <v>2.68</v>
          </cell>
          <cell r="J18">
            <v>2.13</v>
          </cell>
          <cell r="K18">
            <v>1.89</v>
          </cell>
          <cell r="L18">
            <v>2.0299999999999998</v>
          </cell>
          <cell r="M18">
            <v>2.34</v>
          </cell>
          <cell r="N18">
            <v>2</v>
          </cell>
          <cell r="O18">
            <v>2.0499999999999998</v>
          </cell>
          <cell r="P18">
            <v>2.2999999999999998</v>
          </cell>
          <cell r="Q18">
            <v>2.0299999999999998</v>
          </cell>
          <cell r="R18">
            <v>2.25</v>
          </cell>
          <cell r="S18">
            <v>2.2000000000000002</v>
          </cell>
          <cell r="T18">
            <v>1.88</v>
          </cell>
          <cell r="U18">
            <v>1.98</v>
          </cell>
          <cell r="V18">
            <v>1.74</v>
          </cell>
          <cell r="W18">
            <v>1.88</v>
          </cell>
          <cell r="X18">
            <v>1.71</v>
          </cell>
          <cell r="Y18">
            <v>1.54</v>
          </cell>
          <cell r="Z18">
            <v>1.36</v>
          </cell>
          <cell r="AA18">
            <v>1.57</v>
          </cell>
          <cell r="AB18">
            <v>1.61</v>
          </cell>
          <cell r="AC18">
            <v>1.54</v>
          </cell>
          <cell r="AD18">
            <v>1.34</v>
          </cell>
          <cell r="AE18">
            <v>1.36</v>
          </cell>
          <cell r="AF18">
            <v>1.49</v>
          </cell>
          <cell r="AG18">
            <v>1.6</v>
          </cell>
          <cell r="AH18">
            <v>1.65</v>
          </cell>
          <cell r="AI18">
            <v>1.44</v>
          </cell>
          <cell r="AJ18">
            <v>1.31</v>
          </cell>
          <cell r="AK18">
            <v>1.48</v>
          </cell>
          <cell r="AL18">
            <v>1.56</v>
          </cell>
          <cell r="AM18">
            <v>1.7</v>
          </cell>
          <cell r="AN18">
            <v>2.1</v>
          </cell>
          <cell r="AO18">
            <v>2.1800000000000002</v>
          </cell>
          <cell r="AP18">
            <v>1.87</v>
          </cell>
          <cell r="AQ18">
            <v>2.0299999999999998</v>
          </cell>
          <cell r="AR18">
            <v>2.2599999999999998</v>
          </cell>
          <cell r="AS18">
            <v>2.15</v>
          </cell>
          <cell r="AT18">
            <v>2.25</v>
          </cell>
          <cell r="AU18">
            <v>2.5299999999999998</v>
          </cell>
          <cell r="AV18">
            <v>2.25</v>
          </cell>
          <cell r="AW18">
            <v>1.75</v>
          </cell>
          <cell r="AX18">
            <v>1.75</v>
          </cell>
          <cell r="AY18">
            <v>2.54</v>
          </cell>
          <cell r="AZ18">
            <v>3.72</v>
          </cell>
          <cell r="BA18">
            <v>3.98</v>
          </cell>
          <cell r="BB18">
            <v>2.8</v>
          </cell>
          <cell r="BC18">
            <v>1.69</v>
          </cell>
          <cell r="BD18">
            <v>1.74</v>
          </cell>
          <cell r="BE18">
            <v>2.06</v>
          </cell>
          <cell r="BF18">
            <v>2.21</v>
          </cell>
          <cell r="BG18">
            <v>2.12</v>
          </cell>
          <cell r="BH18">
            <v>2.14</v>
          </cell>
          <cell r="BI18">
            <v>2.5099999999999998</v>
          </cell>
          <cell r="BJ18">
            <v>3.1</v>
          </cell>
          <cell r="BK18">
            <v>3.2</v>
          </cell>
          <cell r="BL18">
            <v>2.4500000000000002</v>
          </cell>
          <cell r="BM18">
            <v>2.21</v>
          </cell>
          <cell r="BN18">
            <v>1.94</v>
          </cell>
          <cell r="BO18">
            <v>2.19</v>
          </cell>
          <cell r="BP18">
            <v>2.25</v>
          </cell>
          <cell r="BQ18">
            <v>2.2000000000000002</v>
          </cell>
          <cell r="BR18">
            <v>1.98</v>
          </cell>
          <cell r="BS18">
            <v>2.31</v>
          </cell>
          <cell r="BT18">
            <v>1.86</v>
          </cell>
          <cell r="BU18">
            <v>1.57</v>
          </cell>
          <cell r="BV18">
            <v>1.98</v>
          </cell>
          <cell r="BW18">
            <v>1.92</v>
          </cell>
          <cell r="BX18">
            <v>2.0699999999999998</v>
          </cell>
          <cell r="BY18">
            <v>1.73</v>
          </cell>
          <cell r="BZ18">
            <v>1.74</v>
          </cell>
          <cell r="CA18">
            <v>1.59</v>
          </cell>
          <cell r="CB18">
            <v>1.84</v>
          </cell>
          <cell r="CC18">
            <v>2.2999999999999998</v>
          </cell>
          <cell r="CD18">
            <v>2.2000000000000002</v>
          </cell>
          <cell r="CE18">
            <v>2.2400000000000002</v>
          </cell>
          <cell r="CF18">
            <v>2.57</v>
          </cell>
          <cell r="CG18">
            <v>2.86</v>
          </cell>
        </row>
        <row r="19">
          <cell r="A19" t="str">
            <v>FGT-Z2</v>
          </cell>
          <cell r="B19">
            <v>16</v>
          </cell>
          <cell r="C19">
            <v>2.4</v>
          </cell>
          <cell r="D19">
            <v>2.25</v>
          </cell>
          <cell r="E19">
            <v>2.02</v>
          </cell>
          <cell r="F19">
            <v>1.64</v>
          </cell>
          <cell r="G19">
            <v>1.88</v>
          </cell>
          <cell r="H19">
            <v>2.2200000000000002</v>
          </cell>
          <cell r="I19">
            <v>2.73</v>
          </cell>
          <cell r="J19">
            <v>2.15</v>
          </cell>
          <cell r="K19">
            <v>1.95</v>
          </cell>
          <cell r="L19">
            <v>2.0699999999999998</v>
          </cell>
          <cell r="M19">
            <v>2.37</v>
          </cell>
          <cell r="N19">
            <v>2.0499999999999998</v>
          </cell>
          <cell r="O19">
            <v>2.11</v>
          </cell>
          <cell r="P19">
            <v>2.35</v>
          </cell>
          <cell r="Q19">
            <v>2.08</v>
          </cell>
          <cell r="R19">
            <v>2.34</v>
          </cell>
          <cell r="S19">
            <v>2.33</v>
          </cell>
          <cell r="T19">
            <v>1.93</v>
          </cell>
          <cell r="U19">
            <v>2.0499999999999998</v>
          </cell>
          <cell r="V19">
            <v>1.83</v>
          </cell>
          <cell r="W19">
            <v>1.94</v>
          </cell>
          <cell r="X19">
            <v>1.78</v>
          </cell>
          <cell r="Y19">
            <v>1.47</v>
          </cell>
          <cell r="Z19">
            <v>1.41</v>
          </cell>
          <cell r="AA19">
            <v>1.68</v>
          </cell>
          <cell r="AB19">
            <v>1.67</v>
          </cell>
          <cell r="AC19">
            <v>1.58</v>
          </cell>
          <cell r="AD19">
            <v>1.4</v>
          </cell>
          <cell r="AE19">
            <v>1.43</v>
          </cell>
          <cell r="AF19">
            <v>1.54</v>
          </cell>
          <cell r="AG19">
            <v>1.66</v>
          </cell>
          <cell r="AH19">
            <v>1.71</v>
          </cell>
          <cell r="AI19">
            <v>1.5</v>
          </cell>
          <cell r="AJ19">
            <v>1.37</v>
          </cell>
          <cell r="AK19">
            <v>1.54</v>
          </cell>
          <cell r="AL19">
            <v>1.62</v>
          </cell>
          <cell r="AM19">
            <v>1.76</v>
          </cell>
          <cell r="AN19">
            <v>2.23</v>
          </cell>
          <cell r="AO19">
            <v>3.4</v>
          </cell>
          <cell r="AP19">
            <v>2.35</v>
          </cell>
          <cell r="AQ19">
            <v>2.85</v>
          </cell>
          <cell r="AR19">
            <v>2.69</v>
          </cell>
          <cell r="AS19">
            <v>2.21</v>
          </cell>
          <cell r="AT19">
            <v>2.34</v>
          </cell>
          <cell r="AU19">
            <v>2.62</v>
          </cell>
          <cell r="AV19">
            <v>2.3199999999999998</v>
          </cell>
          <cell r="AW19">
            <v>1.81</v>
          </cell>
          <cell r="AX19">
            <v>1.82</v>
          </cell>
          <cell r="AY19">
            <v>2.56</v>
          </cell>
          <cell r="AZ19">
            <v>3.85</v>
          </cell>
          <cell r="BA19">
            <v>4.0999999999999996</v>
          </cell>
          <cell r="BB19">
            <v>2.92</v>
          </cell>
          <cell r="BC19">
            <v>1.84</v>
          </cell>
          <cell r="BD19">
            <v>1.81</v>
          </cell>
          <cell r="BE19">
            <v>2.13</v>
          </cell>
          <cell r="BF19">
            <v>2.2999999999999998</v>
          </cell>
          <cell r="BG19">
            <v>2.17</v>
          </cell>
          <cell r="BH19">
            <v>2.1800000000000002</v>
          </cell>
          <cell r="BI19">
            <v>2.54</v>
          </cell>
          <cell r="BJ19">
            <v>3.13</v>
          </cell>
          <cell r="BK19">
            <v>3.26</v>
          </cell>
          <cell r="BL19">
            <v>2.5499999999999998</v>
          </cell>
          <cell r="BM19">
            <v>2.2799999999999998</v>
          </cell>
          <cell r="BN19">
            <v>2.02</v>
          </cell>
          <cell r="BO19">
            <v>2.25</v>
          </cell>
          <cell r="BP19">
            <v>2.29</v>
          </cell>
          <cell r="BQ19">
            <v>2.25</v>
          </cell>
          <cell r="BR19">
            <v>2.0299999999999998</v>
          </cell>
          <cell r="BS19">
            <v>2.36</v>
          </cell>
          <cell r="BT19">
            <v>1.92</v>
          </cell>
          <cell r="BU19">
            <v>1.61</v>
          </cell>
          <cell r="BV19">
            <v>2.0299999999999998</v>
          </cell>
          <cell r="BW19">
            <v>1.99</v>
          </cell>
          <cell r="BX19">
            <v>2.12</v>
          </cell>
          <cell r="BY19">
            <v>1.78</v>
          </cell>
          <cell r="BZ19">
            <v>1.77</v>
          </cell>
          <cell r="CA19">
            <v>1.63</v>
          </cell>
          <cell r="CB19">
            <v>1.88</v>
          </cell>
          <cell r="CC19">
            <v>2.35</v>
          </cell>
          <cell r="CD19">
            <v>2.23</v>
          </cell>
          <cell r="CE19">
            <v>2.27</v>
          </cell>
          <cell r="CF19">
            <v>2.61</v>
          </cell>
          <cell r="CG19">
            <v>2.9</v>
          </cell>
        </row>
        <row r="20">
          <cell r="A20" t="str">
            <v>FGT-Z3</v>
          </cell>
          <cell r="B20">
            <v>17</v>
          </cell>
          <cell r="C20">
            <v>2.4700000000000002</v>
          </cell>
          <cell r="D20">
            <v>2.36</v>
          </cell>
          <cell r="E20">
            <v>2.0699999999999998</v>
          </cell>
          <cell r="F20">
            <v>1.65</v>
          </cell>
          <cell r="G20">
            <v>1.94</v>
          </cell>
          <cell r="H20">
            <v>2.2200000000000002</v>
          </cell>
          <cell r="I20">
            <v>2.8</v>
          </cell>
          <cell r="J20">
            <v>2.1800000000000002</v>
          </cell>
          <cell r="K20">
            <v>1.98</v>
          </cell>
          <cell r="L20">
            <v>2.11</v>
          </cell>
          <cell r="M20">
            <v>2.38</v>
          </cell>
          <cell r="N20">
            <v>2.1</v>
          </cell>
          <cell r="O20">
            <v>2.15</v>
          </cell>
          <cell r="P20">
            <v>2.41</v>
          </cell>
          <cell r="Q20">
            <v>2.13</v>
          </cell>
          <cell r="R20">
            <v>2.39</v>
          </cell>
          <cell r="S20">
            <v>2.39</v>
          </cell>
          <cell r="T20">
            <v>1.96</v>
          </cell>
          <cell r="U20">
            <v>2.1</v>
          </cell>
          <cell r="V20">
            <v>1.89</v>
          </cell>
          <cell r="W20">
            <v>1.98</v>
          </cell>
          <cell r="X20">
            <v>1.84</v>
          </cell>
          <cell r="Y20">
            <v>1.52</v>
          </cell>
          <cell r="Z20">
            <v>1.45</v>
          </cell>
          <cell r="AA20">
            <v>1.72</v>
          </cell>
          <cell r="AB20">
            <v>1.71</v>
          </cell>
          <cell r="AC20">
            <v>1.62</v>
          </cell>
          <cell r="AD20">
            <v>1.47</v>
          </cell>
          <cell r="AE20">
            <v>1.46</v>
          </cell>
          <cell r="AF20">
            <v>1.56</v>
          </cell>
          <cell r="AG20">
            <v>1.67</v>
          </cell>
          <cell r="AH20">
            <v>1.72</v>
          </cell>
          <cell r="AI20">
            <v>1.49</v>
          </cell>
          <cell r="AJ20">
            <v>1.37</v>
          </cell>
          <cell r="AK20">
            <v>1.55</v>
          </cell>
          <cell r="AL20">
            <v>1.62</v>
          </cell>
          <cell r="AM20">
            <v>1.76</v>
          </cell>
          <cell r="AN20">
            <v>2.2400000000000002</v>
          </cell>
          <cell r="AO20">
            <v>3.37</v>
          </cell>
          <cell r="AP20">
            <v>2.35</v>
          </cell>
          <cell r="AQ20">
            <v>2.82</v>
          </cell>
          <cell r="AR20">
            <v>2.69</v>
          </cell>
          <cell r="AS20">
            <v>2.2000000000000002</v>
          </cell>
          <cell r="AT20">
            <v>2.33</v>
          </cell>
          <cell r="AU20">
            <v>2.61</v>
          </cell>
          <cell r="AV20">
            <v>2.2999999999999998</v>
          </cell>
          <cell r="AW20">
            <v>1.79</v>
          </cell>
          <cell r="AX20">
            <v>1.8</v>
          </cell>
          <cell r="AY20">
            <v>2.6</v>
          </cell>
          <cell r="AZ20">
            <v>3.81</v>
          </cell>
          <cell r="BA20">
            <v>3.95</v>
          </cell>
          <cell r="BB20">
            <v>2.87</v>
          </cell>
          <cell r="BC20">
            <v>1.79</v>
          </cell>
          <cell r="BD20">
            <v>1.76</v>
          </cell>
          <cell r="BE20">
            <v>2.1</v>
          </cell>
          <cell r="BF20">
            <v>2.25</v>
          </cell>
          <cell r="BG20">
            <v>2.12</v>
          </cell>
          <cell r="BH20">
            <v>2.13</v>
          </cell>
          <cell r="BI20">
            <v>2.4700000000000002</v>
          </cell>
          <cell r="BJ20">
            <v>3.05</v>
          </cell>
          <cell r="BK20">
            <v>3.2</v>
          </cell>
          <cell r="BL20">
            <v>2.4900000000000002</v>
          </cell>
          <cell r="BM20">
            <v>2.23</v>
          </cell>
          <cell r="BN20">
            <v>1.96</v>
          </cell>
          <cell r="BO20">
            <v>2.19</v>
          </cell>
          <cell r="BP20">
            <v>2.27</v>
          </cell>
          <cell r="BQ20">
            <v>2.2200000000000002</v>
          </cell>
          <cell r="BR20">
            <v>1.98</v>
          </cell>
          <cell r="BS20">
            <v>2.29</v>
          </cell>
          <cell r="BT20">
            <v>1.86</v>
          </cell>
          <cell r="BU20">
            <v>1.57</v>
          </cell>
          <cell r="BV20">
            <v>1.97</v>
          </cell>
          <cell r="BW20">
            <v>1.91</v>
          </cell>
          <cell r="BX20">
            <v>2.0699999999999998</v>
          </cell>
          <cell r="BY20">
            <v>1.73</v>
          </cell>
          <cell r="BZ20">
            <v>1.74</v>
          </cell>
          <cell r="CA20">
            <v>1.6</v>
          </cell>
          <cell r="CB20">
            <v>1.85</v>
          </cell>
          <cell r="CC20">
            <v>2.2999999999999998</v>
          </cell>
          <cell r="CD20">
            <v>2.21</v>
          </cell>
          <cell r="CE20">
            <v>2.2400000000000002</v>
          </cell>
          <cell r="CF20">
            <v>2.57</v>
          </cell>
          <cell r="CG20">
            <v>2.86</v>
          </cell>
        </row>
        <row r="21">
          <cell r="A21" t="str">
            <v>HSC</v>
          </cell>
          <cell r="B21">
            <v>18</v>
          </cell>
          <cell r="C21">
            <v>2.2400000000000002</v>
          </cell>
          <cell r="D21">
            <v>2.1800000000000002</v>
          </cell>
          <cell r="E21">
            <v>1.98</v>
          </cell>
          <cell r="F21">
            <v>1.64</v>
          </cell>
          <cell r="G21">
            <v>1.93</v>
          </cell>
          <cell r="H21">
            <v>2.23</v>
          </cell>
          <cell r="I21">
            <v>2.6</v>
          </cell>
          <cell r="J21">
            <v>1.93</v>
          </cell>
          <cell r="K21">
            <v>1.97</v>
          </cell>
          <cell r="L21">
            <v>2.19</v>
          </cell>
          <cell r="M21">
            <v>2.36</v>
          </cell>
          <cell r="N21">
            <v>2.02</v>
          </cell>
          <cell r="O21">
            <v>2.12</v>
          </cell>
          <cell r="P21">
            <v>2.4</v>
          </cell>
          <cell r="Q21">
            <v>2.04</v>
          </cell>
          <cell r="R21">
            <v>2.19</v>
          </cell>
          <cell r="S21">
            <v>2.2599999999999998</v>
          </cell>
          <cell r="T21">
            <v>1.98</v>
          </cell>
          <cell r="U21">
            <v>2.0499999999999998</v>
          </cell>
          <cell r="V21">
            <v>1.77</v>
          </cell>
          <cell r="W21">
            <v>1.98</v>
          </cell>
          <cell r="X21">
            <v>1.78</v>
          </cell>
          <cell r="Y21">
            <v>1.5</v>
          </cell>
          <cell r="Z21">
            <v>1.39</v>
          </cell>
          <cell r="AA21">
            <v>1.66</v>
          </cell>
          <cell r="AB21">
            <v>1.67</v>
          </cell>
          <cell r="AC21">
            <v>1.56</v>
          </cell>
          <cell r="AD21">
            <v>1.36</v>
          </cell>
          <cell r="AE21">
            <v>1.39</v>
          </cell>
          <cell r="AF21">
            <v>1.52</v>
          </cell>
          <cell r="AG21">
            <v>1.63</v>
          </cell>
          <cell r="AH21">
            <v>1.67</v>
          </cell>
          <cell r="AI21">
            <v>1.48</v>
          </cell>
          <cell r="AJ21">
            <v>1.37</v>
          </cell>
          <cell r="AK21">
            <v>1.54</v>
          </cell>
          <cell r="AL21">
            <v>1.6</v>
          </cell>
          <cell r="AM21">
            <v>1.73</v>
          </cell>
          <cell r="AN21">
            <v>2.08</v>
          </cell>
          <cell r="AO21">
            <v>2.17</v>
          </cell>
          <cell r="AP21">
            <v>1.86</v>
          </cell>
          <cell r="AQ21">
            <v>1.99</v>
          </cell>
          <cell r="AR21">
            <v>2.29</v>
          </cell>
          <cell r="AS21">
            <v>2.19</v>
          </cell>
          <cell r="AT21">
            <v>2.31</v>
          </cell>
          <cell r="AU21">
            <v>2.58</v>
          </cell>
          <cell r="AV21">
            <v>2.2999999999999998</v>
          </cell>
          <cell r="AW21">
            <v>1.85</v>
          </cell>
          <cell r="AX21">
            <v>1.83</v>
          </cell>
          <cell r="AY21">
            <v>2.61</v>
          </cell>
          <cell r="AZ21">
            <v>3.7</v>
          </cell>
          <cell r="BA21">
            <v>3.9</v>
          </cell>
          <cell r="BB21">
            <v>2.82</v>
          </cell>
          <cell r="BC21">
            <v>1.74</v>
          </cell>
          <cell r="BD21">
            <v>1.81</v>
          </cell>
          <cell r="BE21">
            <v>2.09</v>
          </cell>
          <cell r="BF21">
            <v>2.29</v>
          </cell>
          <cell r="BG21">
            <v>2.16</v>
          </cell>
          <cell r="BH21">
            <v>2.1800000000000002</v>
          </cell>
          <cell r="BI21">
            <v>2.5</v>
          </cell>
          <cell r="BJ21">
            <v>3.11</v>
          </cell>
          <cell r="BK21">
            <v>3.27</v>
          </cell>
          <cell r="BL21">
            <v>2.4500000000000002</v>
          </cell>
          <cell r="BM21">
            <v>2.2200000000000002</v>
          </cell>
          <cell r="BN21">
            <v>2.0099999999999998</v>
          </cell>
          <cell r="BO21">
            <v>2.23</v>
          </cell>
          <cell r="BP21">
            <v>2.29</v>
          </cell>
          <cell r="BQ21">
            <v>2.27</v>
          </cell>
          <cell r="BR21">
            <v>2.0499999999999998</v>
          </cell>
          <cell r="BS21">
            <v>2.38</v>
          </cell>
          <cell r="BT21">
            <v>1.96</v>
          </cell>
          <cell r="BU21">
            <v>1.66</v>
          </cell>
          <cell r="BV21">
            <v>2.04</v>
          </cell>
          <cell r="BW21">
            <v>1.99</v>
          </cell>
          <cell r="BX21">
            <v>2.08</v>
          </cell>
          <cell r="BY21">
            <v>1.78</v>
          </cell>
          <cell r="BZ21">
            <v>1.78</v>
          </cell>
          <cell r="CA21">
            <v>1.65</v>
          </cell>
          <cell r="CB21">
            <v>1.86</v>
          </cell>
          <cell r="CC21">
            <v>2.35</v>
          </cell>
          <cell r="CD21">
            <v>2.2400000000000002</v>
          </cell>
          <cell r="CE21">
            <v>2.2799999999999998</v>
          </cell>
          <cell r="CF21">
            <v>2.62</v>
          </cell>
          <cell r="CG21">
            <v>2.91</v>
          </cell>
        </row>
        <row r="22">
          <cell r="A22" t="str">
            <v>HUB</v>
          </cell>
          <cell r="B22">
            <v>19</v>
          </cell>
          <cell r="C22">
            <v>2.2999999999999998</v>
          </cell>
          <cell r="D22">
            <v>2.2999999999999998</v>
          </cell>
          <cell r="E22">
            <v>1.95</v>
          </cell>
          <cell r="F22">
            <v>1.62</v>
          </cell>
          <cell r="G22">
            <v>1.89</v>
          </cell>
          <cell r="H22">
            <v>2.23</v>
          </cell>
          <cell r="I22">
            <v>2.69</v>
          </cell>
          <cell r="J22">
            <v>1.98</v>
          </cell>
          <cell r="K22">
            <v>1.92</v>
          </cell>
          <cell r="L22">
            <v>2.11</v>
          </cell>
          <cell r="M22">
            <v>2.37</v>
          </cell>
          <cell r="N22">
            <v>2.0099999999999998</v>
          </cell>
          <cell r="O22">
            <v>2.12</v>
          </cell>
          <cell r="P22">
            <v>2.4</v>
          </cell>
          <cell r="Q22">
            <v>2.02</v>
          </cell>
          <cell r="R22">
            <v>2.39</v>
          </cell>
          <cell r="S22">
            <v>2.38</v>
          </cell>
          <cell r="T22">
            <v>1.98</v>
          </cell>
          <cell r="U22">
            <v>2.06</v>
          </cell>
          <cell r="V22">
            <v>1.82</v>
          </cell>
          <cell r="W22">
            <v>1.97</v>
          </cell>
          <cell r="X22">
            <v>1.8</v>
          </cell>
          <cell r="Y22">
            <v>1.48</v>
          </cell>
          <cell r="Z22">
            <v>1.41</v>
          </cell>
          <cell r="AA22">
            <v>1.69</v>
          </cell>
          <cell r="AB22">
            <v>1.69</v>
          </cell>
          <cell r="AC22">
            <v>1.62</v>
          </cell>
          <cell r="AD22">
            <v>1.42</v>
          </cell>
          <cell r="AE22">
            <v>1.44</v>
          </cell>
          <cell r="AF22">
            <v>1.57</v>
          </cell>
          <cell r="AG22">
            <v>1.68</v>
          </cell>
          <cell r="AH22">
            <v>1.75</v>
          </cell>
          <cell r="AI22">
            <v>1.51</v>
          </cell>
          <cell r="AJ22">
            <v>1.38</v>
          </cell>
          <cell r="AK22">
            <v>1.58</v>
          </cell>
          <cell r="AL22">
            <v>1.65</v>
          </cell>
          <cell r="AM22">
            <v>1.78</v>
          </cell>
          <cell r="AN22">
            <v>2.2599999999999998</v>
          </cell>
          <cell r="AO22">
            <v>3.42</v>
          </cell>
          <cell r="AP22">
            <v>2.4</v>
          </cell>
          <cell r="AQ22">
            <v>2.94</v>
          </cell>
          <cell r="AR22">
            <v>2.7</v>
          </cell>
          <cell r="AS22">
            <v>2.21</v>
          </cell>
          <cell r="AT22">
            <v>2.38</v>
          </cell>
          <cell r="AU22">
            <v>2.66</v>
          </cell>
          <cell r="AV22">
            <v>2.2999999999999998</v>
          </cell>
          <cell r="AW22">
            <v>1.83</v>
          </cell>
          <cell r="AX22">
            <v>1.85</v>
          </cell>
          <cell r="AY22">
            <v>2.72</v>
          </cell>
          <cell r="AZ22">
            <v>3.9</v>
          </cell>
          <cell r="BA22">
            <v>4.09</v>
          </cell>
          <cell r="BB22">
            <v>2.96</v>
          </cell>
          <cell r="BC22">
            <v>1.78</v>
          </cell>
          <cell r="BD22">
            <v>1.85</v>
          </cell>
          <cell r="BE22">
            <v>2.15</v>
          </cell>
          <cell r="BF22">
            <v>2.31</v>
          </cell>
          <cell r="BG22">
            <v>2.16</v>
          </cell>
          <cell r="BH22">
            <v>2.19</v>
          </cell>
          <cell r="BI22">
            <v>2.57</v>
          </cell>
          <cell r="BJ22">
            <v>3.16</v>
          </cell>
          <cell r="BK22">
            <v>3.3</v>
          </cell>
          <cell r="BL22">
            <v>2.5499999999999998</v>
          </cell>
          <cell r="BM22">
            <v>2.27</v>
          </cell>
          <cell r="BN22">
            <v>2.04</v>
          </cell>
          <cell r="BO22">
            <v>2.2599999999999998</v>
          </cell>
          <cell r="BP22">
            <v>2.3199999999999998</v>
          </cell>
          <cell r="BQ22">
            <v>2.27</v>
          </cell>
          <cell r="BR22">
            <v>2.0299999999999998</v>
          </cell>
          <cell r="BS22">
            <v>2.37</v>
          </cell>
          <cell r="BT22">
            <v>1.93</v>
          </cell>
          <cell r="BU22">
            <v>1.63</v>
          </cell>
          <cell r="BV22">
            <v>2.0699999999999998</v>
          </cell>
          <cell r="BW22">
            <v>2</v>
          </cell>
          <cell r="BX22">
            <v>2.12</v>
          </cell>
          <cell r="BY22">
            <v>1.8</v>
          </cell>
          <cell r="BZ22">
            <v>1.81</v>
          </cell>
          <cell r="CA22">
            <v>1.64</v>
          </cell>
          <cell r="CB22">
            <v>1.88</v>
          </cell>
          <cell r="CC22">
            <v>2.35</v>
          </cell>
          <cell r="CD22">
            <v>2.23</v>
          </cell>
          <cell r="CE22">
            <v>2.2799999999999998</v>
          </cell>
          <cell r="CF22">
            <v>2.62</v>
          </cell>
          <cell r="CG22">
            <v>2.9</v>
          </cell>
        </row>
        <row r="23">
          <cell r="A23" t="str">
            <v>KERN</v>
          </cell>
          <cell r="B23">
            <v>20</v>
          </cell>
          <cell r="C23">
            <v>1.85</v>
          </cell>
          <cell r="D23">
            <v>1.9</v>
          </cell>
          <cell r="E23">
            <v>2.3199999999999998</v>
          </cell>
          <cell r="F23">
            <v>1.6</v>
          </cell>
          <cell r="G23">
            <v>1.78</v>
          </cell>
          <cell r="H23">
            <v>1.82</v>
          </cell>
          <cell r="I23">
            <v>2.2999999999999998</v>
          </cell>
          <cell r="J23">
            <v>1.68</v>
          </cell>
          <cell r="K23">
            <v>1.64</v>
          </cell>
          <cell r="L23">
            <v>1.69</v>
          </cell>
          <cell r="M23">
            <v>1.96</v>
          </cell>
          <cell r="N23">
            <v>1.78</v>
          </cell>
          <cell r="O23">
            <v>1.8</v>
          </cell>
          <cell r="P23">
            <v>2.33</v>
          </cell>
          <cell r="Q23">
            <v>1.97</v>
          </cell>
          <cell r="R23">
            <v>1.78</v>
          </cell>
          <cell r="S23">
            <v>1.94</v>
          </cell>
          <cell r="T23">
            <v>1.63</v>
          </cell>
          <cell r="U23">
            <v>1.64</v>
          </cell>
          <cell r="V23">
            <v>1.38</v>
          </cell>
          <cell r="W23">
            <v>1.5</v>
          </cell>
          <cell r="X23">
            <v>1.46</v>
          </cell>
          <cell r="Y23">
            <v>1.36</v>
          </cell>
          <cell r="Z23">
            <v>1.18</v>
          </cell>
          <cell r="AA23">
            <v>1.5</v>
          </cell>
          <cell r="AB23">
            <v>1.63</v>
          </cell>
          <cell r="AC23">
            <v>1.39</v>
          </cell>
          <cell r="AD23">
            <v>1.07</v>
          </cell>
          <cell r="AE23">
            <v>1.07</v>
          </cell>
          <cell r="AF23">
            <v>1.06</v>
          </cell>
          <cell r="AG23">
            <v>1.07</v>
          </cell>
          <cell r="AH23">
            <v>1.1499999999999999</v>
          </cell>
          <cell r="AI23">
            <v>1</v>
          </cell>
          <cell r="AJ23">
            <v>0.84</v>
          </cell>
          <cell r="AK23">
            <v>0.95</v>
          </cell>
          <cell r="AL23">
            <v>1.04</v>
          </cell>
          <cell r="AM23">
            <v>1.25</v>
          </cell>
          <cell r="AN23">
            <v>1.31</v>
          </cell>
          <cell r="AO23">
            <v>1.27</v>
          </cell>
          <cell r="AP23">
            <v>1.17</v>
          </cell>
          <cell r="AQ23">
            <v>1.17</v>
          </cell>
          <cell r="AR23">
            <v>1.06</v>
          </cell>
          <cell r="AS23">
            <v>1.06</v>
          </cell>
          <cell r="AT23">
            <v>1.07</v>
          </cell>
          <cell r="AU23">
            <v>1.19</v>
          </cell>
          <cell r="AV23">
            <v>1.23</v>
          </cell>
          <cell r="AW23">
            <v>1.2</v>
          </cell>
          <cell r="AX23">
            <v>1.26</v>
          </cell>
          <cell r="AY23">
            <v>2.23</v>
          </cell>
          <cell r="AZ23">
            <v>3.48</v>
          </cell>
          <cell r="BA23">
            <v>4.2300000000000004</v>
          </cell>
          <cell r="BB23">
            <v>2.5</v>
          </cell>
          <cell r="BC23">
            <v>1.39</v>
          </cell>
          <cell r="BD23">
            <v>1.44</v>
          </cell>
          <cell r="BE23">
            <v>1.64</v>
          </cell>
          <cell r="BF23">
            <v>1.47</v>
          </cell>
          <cell r="BG23">
            <v>1.43</v>
          </cell>
          <cell r="BH23">
            <v>1.37</v>
          </cell>
          <cell r="BI23">
            <v>1.48</v>
          </cell>
          <cell r="BJ23">
            <v>2.09</v>
          </cell>
          <cell r="BK23">
            <v>3</v>
          </cell>
          <cell r="BL23">
            <v>1.93</v>
          </cell>
          <cell r="BM23">
            <v>2.04</v>
          </cell>
          <cell r="BN23">
            <v>1.69</v>
          </cell>
          <cell r="BO23">
            <v>1.88</v>
          </cell>
          <cell r="BP23">
            <v>1.9</v>
          </cell>
          <cell r="BQ23">
            <v>1.97</v>
          </cell>
          <cell r="BR23">
            <v>1.65</v>
          </cell>
          <cell r="BS23">
            <v>1.62</v>
          </cell>
          <cell r="BT23">
            <v>1.73</v>
          </cell>
          <cell r="BU23">
            <v>1.59</v>
          </cell>
          <cell r="BV23">
            <v>1.64</v>
          </cell>
          <cell r="BW23">
            <v>2.0099999999999998</v>
          </cell>
          <cell r="BX23">
            <v>2</v>
          </cell>
          <cell r="BY23">
            <v>1.8</v>
          </cell>
          <cell r="BZ23">
            <v>1.64</v>
          </cell>
          <cell r="CA23">
            <v>1.51</v>
          </cell>
          <cell r="CB23">
            <v>1.54</v>
          </cell>
          <cell r="CC23">
            <v>1.99</v>
          </cell>
          <cell r="CD23">
            <v>1.94</v>
          </cell>
          <cell r="CE23">
            <v>2</v>
          </cell>
          <cell r="CF23">
            <v>2.1800000000000002</v>
          </cell>
          <cell r="CG23">
            <v>2.56</v>
          </cell>
        </row>
        <row r="24">
          <cell r="A24" t="str">
            <v>KRS (SOCAL)-NGI</v>
          </cell>
          <cell r="B24">
            <v>21</v>
          </cell>
          <cell r="AD24">
            <v>1.23</v>
          </cell>
          <cell r="AE24">
            <v>1.21</v>
          </cell>
          <cell r="AF24">
            <v>1.23</v>
          </cell>
          <cell r="AG24">
            <v>1.32</v>
          </cell>
          <cell r="AH24">
            <v>1.32</v>
          </cell>
          <cell r="AI24">
            <v>1.24</v>
          </cell>
          <cell r="AJ24">
            <v>1.23</v>
          </cell>
          <cell r="AK24">
            <v>1.44</v>
          </cell>
          <cell r="AL24">
            <v>1.46</v>
          </cell>
          <cell r="AM24">
            <v>1.56</v>
          </cell>
          <cell r="AN24">
            <v>1.62</v>
          </cell>
          <cell r="AO24">
            <v>1.49</v>
          </cell>
          <cell r="AP24">
            <v>1.42</v>
          </cell>
          <cell r="AQ24">
            <v>1.39</v>
          </cell>
          <cell r="AR24">
            <v>1.28</v>
          </cell>
          <cell r="AS24">
            <v>1.28</v>
          </cell>
          <cell r="AT24">
            <v>1.37</v>
          </cell>
          <cell r="AU24">
            <v>1.68</v>
          </cell>
          <cell r="AV24">
            <v>2.15</v>
          </cell>
          <cell r="AW24">
            <v>1.71</v>
          </cell>
          <cell r="AX24">
            <v>1.72</v>
          </cell>
          <cell r="AY24">
            <v>2.61</v>
          </cell>
          <cell r="AZ24">
            <v>3.68</v>
          </cell>
          <cell r="BA24">
            <v>4.25</v>
          </cell>
          <cell r="BB24">
            <v>2.64</v>
          </cell>
          <cell r="BC24">
            <v>1.6</v>
          </cell>
          <cell r="BD24">
            <v>1.72</v>
          </cell>
          <cell r="BE24">
            <v>2.0299999999999998</v>
          </cell>
          <cell r="BF24">
            <v>2.1800000000000002</v>
          </cell>
          <cell r="BG24">
            <v>2.17</v>
          </cell>
          <cell r="BH24">
            <v>2.19</v>
          </cell>
          <cell r="BI24">
            <v>2.4900000000000002</v>
          </cell>
          <cell r="BJ24">
            <v>3.04</v>
          </cell>
          <cell r="BK24">
            <v>3.27</v>
          </cell>
          <cell r="BL24">
            <v>2.3199999999999998</v>
          </cell>
          <cell r="BM24">
            <v>2.2799999999999998</v>
          </cell>
          <cell r="BN24">
            <v>2.1</v>
          </cell>
        </row>
        <row r="25">
          <cell r="A25" t="str">
            <v>KOCH-LA</v>
          </cell>
          <cell r="B25">
            <v>22</v>
          </cell>
          <cell r="C25">
            <v>2.2200000000000002</v>
          </cell>
          <cell r="D25">
            <v>2.15</v>
          </cell>
          <cell r="E25">
            <v>1.85</v>
          </cell>
          <cell r="F25">
            <v>1.54</v>
          </cell>
          <cell r="G25">
            <v>1.85</v>
          </cell>
          <cell r="H25">
            <v>2.1</v>
          </cell>
          <cell r="I25">
            <v>2.56</v>
          </cell>
          <cell r="J25">
            <v>1.92</v>
          </cell>
          <cell r="K25">
            <v>1.85</v>
          </cell>
          <cell r="L25">
            <v>2.04</v>
          </cell>
          <cell r="M25">
            <v>2.27</v>
          </cell>
          <cell r="N25">
            <v>1.9</v>
          </cell>
          <cell r="O25">
            <v>1.98</v>
          </cell>
          <cell r="P25">
            <v>2.2999999999999998</v>
          </cell>
          <cell r="Q25">
            <v>1.92</v>
          </cell>
          <cell r="R25">
            <v>2.14</v>
          </cell>
          <cell r="S25">
            <v>2.19</v>
          </cell>
          <cell r="T25">
            <v>1.89</v>
          </cell>
          <cell r="U25">
            <v>1.94</v>
          </cell>
          <cell r="V25">
            <v>1.7</v>
          </cell>
          <cell r="W25">
            <v>1.85</v>
          </cell>
          <cell r="X25">
            <v>1.68</v>
          </cell>
          <cell r="Y25">
            <v>1.39</v>
          </cell>
          <cell r="Z25">
            <v>1.31</v>
          </cell>
          <cell r="AA25">
            <v>1.57</v>
          </cell>
          <cell r="AB25">
            <v>1.58</v>
          </cell>
          <cell r="AC25">
            <v>1.52</v>
          </cell>
          <cell r="AD25">
            <v>1.36</v>
          </cell>
          <cell r="AE25">
            <v>1.35</v>
          </cell>
          <cell r="AF25">
            <v>1.46</v>
          </cell>
          <cell r="AG25">
            <v>1.57</v>
          </cell>
          <cell r="AH25">
            <v>1.62</v>
          </cell>
          <cell r="AI25">
            <v>1.43</v>
          </cell>
          <cell r="AJ25">
            <v>1.28</v>
          </cell>
          <cell r="AK25">
            <v>1.48</v>
          </cell>
          <cell r="AL25">
            <v>1.56</v>
          </cell>
          <cell r="AM25">
            <v>1.69</v>
          </cell>
          <cell r="AN25">
            <v>2.12</v>
          </cell>
          <cell r="AO25">
            <v>2.52</v>
          </cell>
          <cell r="AP25">
            <v>2.11</v>
          </cell>
          <cell r="AQ25">
            <v>2.57</v>
          </cell>
          <cell r="AR25">
            <v>2.4500000000000002</v>
          </cell>
          <cell r="AS25">
            <v>2.1</v>
          </cell>
          <cell r="AT25">
            <v>2.2200000000000002</v>
          </cell>
          <cell r="AU25">
            <v>2.52</v>
          </cell>
          <cell r="AV25">
            <v>2.23</v>
          </cell>
          <cell r="AW25">
            <v>1.7</v>
          </cell>
          <cell r="AX25">
            <v>1.74</v>
          </cell>
          <cell r="AY25">
            <v>2.6</v>
          </cell>
          <cell r="AZ25">
            <v>3.82</v>
          </cell>
          <cell r="BA25">
            <v>3.85</v>
          </cell>
          <cell r="BB25">
            <v>2.85</v>
          </cell>
          <cell r="BC25">
            <v>1.72</v>
          </cell>
          <cell r="BD25">
            <v>1.77</v>
          </cell>
          <cell r="BE25">
            <v>2.0099999999999998</v>
          </cell>
          <cell r="BF25">
            <v>2.2599999999999998</v>
          </cell>
          <cell r="BG25">
            <v>2.09</v>
          </cell>
          <cell r="BH25">
            <v>2.12</v>
          </cell>
          <cell r="BI25">
            <v>2.4700000000000002</v>
          </cell>
          <cell r="BJ25">
            <v>3.03</v>
          </cell>
          <cell r="BK25">
            <v>3.2</v>
          </cell>
          <cell r="BL25">
            <v>2.4700000000000002</v>
          </cell>
          <cell r="BM25">
            <v>2.17</v>
          </cell>
          <cell r="BN25">
            <v>1.92</v>
          </cell>
          <cell r="BO25">
            <v>2.15</v>
          </cell>
          <cell r="BP25">
            <v>2.2200000000000002</v>
          </cell>
          <cell r="BQ25">
            <v>2.17</v>
          </cell>
          <cell r="BR25">
            <v>1.94</v>
          </cell>
          <cell r="BS25">
            <v>2.2599999999999998</v>
          </cell>
          <cell r="BT25">
            <v>1.85</v>
          </cell>
          <cell r="BU25">
            <v>1.54</v>
          </cell>
          <cell r="BV25">
            <v>1.95</v>
          </cell>
          <cell r="BW25">
            <v>1.89</v>
          </cell>
          <cell r="BX25">
            <v>2.0099999999999998</v>
          </cell>
          <cell r="BY25">
            <v>1.65</v>
          </cell>
          <cell r="BZ25">
            <v>1.7</v>
          </cell>
          <cell r="CA25">
            <v>1.52</v>
          </cell>
          <cell r="CB25">
            <v>1.76</v>
          </cell>
          <cell r="CC25">
            <v>2.2400000000000002</v>
          </cell>
          <cell r="CD25">
            <v>2.11</v>
          </cell>
          <cell r="CE25">
            <v>2.16</v>
          </cell>
          <cell r="CF25">
            <v>2.4900000000000002</v>
          </cell>
          <cell r="CG25">
            <v>2.78</v>
          </cell>
        </row>
        <row r="26">
          <cell r="A26" t="str">
            <v>KOCH-TX</v>
          </cell>
          <cell r="B26">
            <v>23</v>
          </cell>
          <cell r="C26">
            <v>2.17</v>
          </cell>
          <cell r="D26">
            <v>2.1</v>
          </cell>
          <cell r="E26">
            <v>1.82</v>
          </cell>
          <cell r="F26">
            <v>1.53</v>
          </cell>
          <cell r="G26">
            <v>1.78</v>
          </cell>
          <cell r="H26">
            <v>2.1</v>
          </cell>
          <cell r="I26">
            <v>2.56</v>
          </cell>
          <cell r="J26">
            <v>1.89</v>
          </cell>
          <cell r="K26">
            <v>1.85</v>
          </cell>
          <cell r="L26">
            <v>2</v>
          </cell>
          <cell r="M26">
            <v>2.25</v>
          </cell>
          <cell r="N26">
            <v>1.88</v>
          </cell>
          <cell r="O26">
            <v>1.95</v>
          </cell>
          <cell r="P26">
            <v>2.2599999999999998</v>
          </cell>
          <cell r="Q26">
            <v>1.87</v>
          </cell>
          <cell r="R26">
            <v>2.1</v>
          </cell>
          <cell r="S26">
            <v>2.09</v>
          </cell>
          <cell r="T26">
            <v>1.83</v>
          </cell>
          <cell r="U26">
            <v>1.9</v>
          </cell>
          <cell r="V26">
            <v>1.65</v>
          </cell>
          <cell r="W26">
            <v>1.8</v>
          </cell>
          <cell r="X26">
            <v>1.64</v>
          </cell>
          <cell r="Y26">
            <v>1.37</v>
          </cell>
          <cell r="Z26">
            <v>1.3</v>
          </cell>
          <cell r="AA26">
            <v>1.53</v>
          </cell>
          <cell r="AB26">
            <v>1.54</v>
          </cell>
          <cell r="AC26">
            <v>1.46</v>
          </cell>
          <cell r="AD26">
            <v>1.27</v>
          </cell>
          <cell r="AE26">
            <v>1.3</v>
          </cell>
          <cell r="AF26">
            <v>1.44</v>
          </cell>
          <cell r="AG26">
            <v>1.52</v>
          </cell>
          <cell r="AH26">
            <v>1.58</v>
          </cell>
          <cell r="AI26">
            <v>1.37</v>
          </cell>
          <cell r="AJ26">
            <v>1.26</v>
          </cell>
          <cell r="AK26">
            <v>1.44</v>
          </cell>
          <cell r="AL26">
            <v>1.53</v>
          </cell>
          <cell r="AM26">
            <v>1.65</v>
          </cell>
          <cell r="AN26">
            <v>2.06</v>
          </cell>
          <cell r="AO26">
            <v>2.06</v>
          </cell>
          <cell r="AP26">
            <v>1.78</v>
          </cell>
          <cell r="AQ26">
            <v>1.92</v>
          </cell>
          <cell r="AR26">
            <v>2.2400000000000002</v>
          </cell>
          <cell r="AS26">
            <v>2.0499999999999998</v>
          </cell>
          <cell r="AT26">
            <v>2.21</v>
          </cell>
          <cell r="AU26">
            <v>2.48</v>
          </cell>
          <cell r="AV26">
            <v>2.19</v>
          </cell>
          <cell r="AW26">
            <v>1.69</v>
          </cell>
          <cell r="AX26">
            <v>1.72</v>
          </cell>
          <cell r="AY26">
            <v>2.58</v>
          </cell>
          <cell r="AZ26">
            <v>3.59</v>
          </cell>
          <cell r="BA26">
            <v>3.6</v>
          </cell>
          <cell r="BB26">
            <v>2.64</v>
          </cell>
          <cell r="BC26">
            <v>1.63</v>
          </cell>
          <cell r="BD26">
            <v>1.68</v>
          </cell>
          <cell r="BE26">
            <v>2.0099999999999998</v>
          </cell>
          <cell r="BF26">
            <v>2.17</v>
          </cell>
          <cell r="BG26">
            <v>2.02</v>
          </cell>
          <cell r="BH26">
            <v>2.04</v>
          </cell>
          <cell r="BI26">
            <v>2.4</v>
          </cell>
          <cell r="BJ26">
            <v>2.88</v>
          </cell>
          <cell r="BK26">
            <v>3.04</v>
          </cell>
          <cell r="BL26">
            <v>2.25</v>
          </cell>
          <cell r="BM26">
            <v>2.04</v>
          </cell>
          <cell r="BN26">
            <v>1.82</v>
          </cell>
          <cell r="BO26">
            <v>2.0699999999999998</v>
          </cell>
          <cell r="BP26">
            <v>2.15</v>
          </cell>
          <cell r="BQ26">
            <v>2.09</v>
          </cell>
          <cell r="BR26">
            <v>1.89</v>
          </cell>
          <cell r="BS26">
            <v>2.2000000000000002</v>
          </cell>
          <cell r="BT26">
            <v>1.79</v>
          </cell>
          <cell r="BU26">
            <v>1.47</v>
          </cell>
          <cell r="BV26">
            <v>1.87</v>
          </cell>
          <cell r="BW26">
            <v>1.84</v>
          </cell>
          <cell r="BX26">
            <v>1.96</v>
          </cell>
          <cell r="BY26">
            <v>1.61</v>
          </cell>
          <cell r="BZ26">
            <v>1.63</v>
          </cell>
          <cell r="CA26">
            <v>1.47</v>
          </cell>
          <cell r="CB26">
            <v>1.7</v>
          </cell>
          <cell r="CC26">
            <v>2.1800000000000002</v>
          </cell>
          <cell r="CD26">
            <v>2.06</v>
          </cell>
          <cell r="CE26">
            <v>2.1</v>
          </cell>
          <cell r="CF26">
            <v>2.4500000000000002</v>
          </cell>
          <cell r="CG26">
            <v>2.73</v>
          </cell>
        </row>
        <row r="27">
          <cell r="A27" t="str">
            <v>MALIN-400</v>
          </cell>
          <cell r="B27">
            <v>24</v>
          </cell>
          <cell r="AA27">
            <v>1.63</v>
          </cell>
          <cell r="AB27">
            <v>1.76</v>
          </cell>
          <cell r="AC27">
            <v>1.37</v>
          </cell>
          <cell r="AD27">
            <v>1.1000000000000001</v>
          </cell>
          <cell r="AE27">
            <v>1.0900000000000001</v>
          </cell>
          <cell r="AF27">
            <v>1.1100000000000001</v>
          </cell>
          <cell r="AG27">
            <v>1.2</v>
          </cell>
          <cell r="AH27">
            <v>1.21</v>
          </cell>
          <cell r="AI27">
            <v>1.05</v>
          </cell>
          <cell r="AJ27">
            <v>1.02</v>
          </cell>
          <cell r="AK27">
            <v>1.17</v>
          </cell>
          <cell r="AL27">
            <v>1.23</v>
          </cell>
          <cell r="AM27">
            <v>1.32</v>
          </cell>
          <cell r="AN27">
            <v>1.39</v>
          </cell>
          <cell r="AO27">
            <v>1.38</v>
          </cell>
          <cell r="AP27">
            <v>1.39</v>
          </cell>
          <cell r="AQ27">
            <v>1.32</v>
          </cell>
          <cell r="AR27">
            <v>1.23</v>
          </cell>
          <cell r="AS27">
            <v>1.1499999999999999</v>
          </cell>
          <cell r="AT27">
            <v>1.07</v>
          </cell>
          <cell r="AU27">
            <v>1.19</v>
          </cell>
          <cell r="AV27">
            <v>1.58</v>
          </cell>
          <cell r="AW27">
            <v>1.29</v>
          </cell>
          <cell r="AX27">
            <v>1.34</v>
          </cell>
          <cell r="AY27">
            <v>2.33</v>
          </cell>
          <cell r="AZ27">
            <v>3.62</v>
          </cell>
          <cell r="BA27">
            <v>4.1100000000000003</v>
          </cell>
          <cell r="BB27">
            <v>2.5</v>
          </cell>
          <cell r="BC27">
            <v>1.33</v>
          </cell>
          <cell r="BD27">
            <v>1.46</v>
          </cell>
          <cell r="BE27">
            <v>1.73</v>
          </cell>
          <cell r="BF27">
            <v>1.72</v>
          </cell>
          <cell r="BG27">
            <v>1.59</v>
          </cell>
          <cell r="BH27">
            <v>1.54</v>
          </cell>
          <cell r="BI27">
            <v>1.72</v>
          </cell>
          <cell r="BJ27">
            <v>2.2799999999999998</v>
          </cell>
          <cell r="BK27">
            <v>3.05</v>
          </cell>
          <cell r="BL27">
            <v>1.92</v>
          </cell>
          <cell r="BM27">
            <v>2.1</v>
          </cell>
          <cell r="BN27">
            <v>1.76</v>
          </cell>
          <cell r="BO27">
            <v>1.88</v>
          </cell>
          <cell r="BZ27">
            <v>1.74</v>
          </cell>
          <cell r="CA27">
            <v>1.62</v>
          </cell>
          <cell r="CB27">
            <v>1.64</v>
          </cell>
        </row>
        <row r="28">
          <cell r="A28" t="str">
            <v>MALIN-401</v>
          </cell>
          <cell r="B28">
            <v>25</v>
          </cell>
          <cell r="AC28">
            <v>1.1399999999999999</v>
          </cell>
          <cell r="AD28">
            <v>0.89</v>
          </cell>
          <cell r="AE28">
            <v>0.92</v>
          </cell>
          <cell r="AF28">
            <v>0.95</v>
          </cell>
          <cell r="AG28">
            <v>1.04</v>
          </cell>
          <cell r="AH28">
            <v>1.1000000000000001</v>
          </cell>
          <cell r="AI28">
            <v>0.91</v>
          </cell>
          <cell r="AJ28">
            <v>0.91</v>
          </cell>
          <cell r="AK28">
            <v>1.05</v>
          </cell>
          <cell r="AL28">
            <v>1.1100000000000001</v>
          </cell>
          <cell r="AM28">
            <v>1.17</v>
          </cell>
          <cell r="AN28">
            <v>1.27</v>
          </cell>
          <cell r="AO28">
            <v>1.23</v>
          </cell>
          <cell r="AP28">
            <v>1.24</v>
          </cell>
          <cell r="AQ28">
            <v>1.18</v>
          </cell>
          <cell r="AR28">
            <v>1.1000000000000001</v>
          </cell>
          <cell r="AS28">
            <v>1.03</v>
          </cell>
          <cell r="AT28">
            <v>1</v>
          </cell>
          <cell r="AU28">
            <v>1.19</v>
          </cell>
          <cell r="AV28">
            <v>1.56</v>
          </cell>
          <cell r="AW28">
            <v>1.25</v>
          </cell>
          <cell r="AX28">
            <v>1.29</v>
          </cell>
          <cell r="AY28">
            <v>2.2400000000000002</v>
          </cell>
          <cell r="AZ28">
            <v>3.52</v>
          </cell>
          <cell r="BA28">
            <v>4.0599999999999996</v>
          </cell>
          <cell r="BB28">
            <v>2.44</v>
          </cell>
          <cell r="BC28">
            <v>1.28</v>
          </cell>
          <cell r="BD28">
            <v>1.39</v>
          </cell>
          <cell r="BE28">
            <v>1.67</v>
          </cell>
          <cell r="BF28">
            <v>1.68</v>
          </cell>
          <cell r="BG28">
            <v>1.49</v>
          </cell>
          <cell r="BH28">
            <v>1.5</v>
          </cell>
          <cell r="BI28">
            <v>1.69</v>
          </cell>
          <cell r="BJ28">
            <v>2.25</v>
          </cell>
          <cell r="BK28">
            <v>2.88</v>
          </cell>
          <cell r="BL28">
            <v>1.8</v>
          </cell>
          <cell r="BM28">
            <v>1.96</v>
          </cell>
          <cell r="BN28">
            <v>1.7</v>
          </cell>
          <cell r="BO28">
            <v>2.3199999999999998</v>
          </cell>
        </row>
        <row r="29">
          <cell r="A29" t="str">
            <v>MICH</v>
          </cell>
          <cell r="B29">
            <v>26</v>
          </cell>
          <cell r="D29">
            <v>2.5</v>
          </cell>
          <cell r="E29">
            <v>2.29</v>
          </cell>
          <cell r="F29">
            <v>1.98</v>
          </cell>
          <cell r="G29">
            <v>2.12</v>
          </cell>
          <cell r="H29">
            <v>2.4900000000000002</v>
          </cell>
          <cell r="I29">
            <v>3.03</v>
          </cell>
          <cell r="J29">
            <v>2.36</v>
          </cell>
          <cell r="K29">
            <v>2.2200000000000002</v>
          </cell>
          <cell r="L29">
            <v>2.29</v>
          </cell>
          <cell r="M29">
            <v>2.61</v>
          </cell>
          <cell r="N29">
            <v>2.2000000000000002</v>
          </cell>
          <cell r="O29">
            <v>2.23</v>
          </cell>
          <cell r="P29">
            <v>2.54</v>
          </cell>
          <cell r="Q29">
            <v>2.25</v>
          </cell>
          <cell r="R29">
            <v>2.64</v>
          </cell>
          <cell r="S29">
            <v>2.77</v>
          </cell>
          <cell r="T29">
            <v>2.23</v>
          </cell>
          <cell r="U29">
            <v>2.23</v>
          </cell>
          <cell r="V29">
            <v>1.97</v>
          </cell>
          <cell r="W29">
            <v>2.0699999999999998</v>
          </cell>
          <cell r="X29">
            <v>1.91</v>
          </cell>
          <cell r="Y29">
            <v>1.61</v>
          </cell>
          <cell r="Z29">
            <v>1.49</v>
          </cell>
          <cell r="AA29">
            <v>1.85</v>
          </cell>
          <cell r="AB29">
            <v>1.86</v>
          </cell>
          <cell r="AC29">
            <v>1.75</v>
          </cell>
          <cell r="AD29">
            <v>1.52</v>
          </cell>
          <cell r="AE29">
            <v>1.5</v>
          </cell>
          <cell r="AF29">
            <v>1.64</v>
          </cell>
          <cell r="AG29">
            <v>1.76</v>
          </cell>
          <cell r="AH29">
            <v>1.82</v>
          </cell>
          <cell r="AI29">
            <v>1.59</v>
          </cell>
          <cell r="AJ29">
            <v>1.46</v>
          </cell>
          <cell r="AK29">
            <v>1.68</v>
          </cell>
          <cell r="AL29">
            <v>1.75</v>
          </cell>
          <cell r="AM29">
            <v>1.92</v>
          </cell>
          <cell r="AN29">
            <v>2.35</v>
          </cell>
          <cell r="AO29">
            <v>3.43</v>
          </cell>
          <cell r="AP29">
            <v>3.06</v>
          </cell>
          <cell r="AQ29">
            <v>4.8</v>
          </cell>
          <cell r="AR29">
            <v>3.01</v>
          </cell>
          <cell r="AS29">
            <v>2.38</v>
          </cell>
          <cell r="AT29">
            <v>2.6</v>
          </cell>
          <cell r="AU29">
            <v>2.9</v>
          </cell>
          <cell r="AV29">
            <v>2.5</v>
          </cell>
          <cell r="AW29">
            <v>2.0299999999999998</v>
          </cell>
          <cell r="AX29">
            <v>2.16</v>
          </cell>
          <cell r="AY29">
            <v>3.05</v>
          </cell>
          <cell r="AZ29">
            <v>4.08</v>
          </cell>
          <cell r="BA29">
            <v>4.38</v>
          </cell>
          <cell r="BB29">
            <v>3.36</v>
          </cell>
          <cell r="BC29">
            <v>1.94</v>
          </cell>
          <cell r="BD29">
            <v>2.12</v>
          </cell>
          <cell r="BE29">
            <v>2.2999999999999998</v>
          </cell>
          <cell r="BF29">
            <v>2.5299999999999998</v>
          </cell>
          <cell r="BG29">
            <v>2.3199999999999998</v>
          </cell>
          <cell r="BH29">
            <v>2.31</v>
          </cell>
          <cell r="BI29">
            <v>2.71</v>
          </cell>
          <cell r="BJ29">
            <v>3.37</v>
          </cell>
          <cell r="BK29">
            <v>3.54</v>
          </cell>
          <cell r="BL29">
            <v>3.54</v>
          </cell>
          <cell r="BM29">
            <v>2.38</v>
          </cell>
          <cell r="BN29">
            <v>2.1800000000000002</v>
          </cell>
          <cell r="BO29">
            <v>2.37</v>
          </cell>
          <cell r="BP29">
            <v>2.4700000000000002</v>
          </cell>
          <cell r="BQ29">
            <v>2.41</v>
          </cell>
          <cell r="BR29">
            <v>2.17</v>
          </cell>
          <cell r="BS29">
            <v>2.4300000000000002</v>
          </cell>
          <cell r="CE29">
            <v>2.34</v>
          </cell>
          <cell r="CF29">
            <v>2.7</v>
          </cell>
          <cell r="CG29">
            <v>2.98</v>
          </cell>
        </row>
        <row r="30">
          <cell r="A30" t="str">
            <v>MRC</v>
          </cell>
          <cell r="B30">
            <v>27</v>
          </cell>
          <cell r="C30">
            <v>2.36</v>
          </cell>
          <cell r="D30">
            <v>2.31</v>
          </cell>
          <cell r="E30">
            <v>2.04</v>
          </cell>
          <cell r="F30">
            <v>1.66</v>
          </cell>
          <cell r="G30">
            <v>1.99</v>
          </cell>
          <cell r="H30">
            <v>2.2799999999999998</v>
          </cell>
          <cell r="I30">
            <v>2.7</v>
          </cell>
          <cell r="J30">
            <v>2</v>
          </cell>
          <cell r="K30">
            <v>2.0299999999999998</v>
          </cell>
          <cell r="L30">
            <v>2.1800000000000002</v>
          </cell>
          <cell r="M30">
            <v>2.42</v>
          </cell>
          <cell r="N30">
            <v>2.08</v>
          </cell>
          <cell r="O30">
            <v>2.16</v>
          </cell>
          <cell r="P30">
            <v>2.4700000000000002</v>
          </cell>
          <cell r="Q30">
            <v>2.08</v>
          </cell>
          <cell r="R30">
            <v>2.4</v>
          </cell>
          <cell r="S30">
            <v>2.4300000000000002</v>
          </cell>
          <cell r="T30">
            <v>2.04</v>
          </cell>
          <cell r="U30">
            <v>2.1</v>
          </cell>
          <cell r="V30">
            <v>1.86</v>
          </cell>
          <cell r="W30">
            <v>1.99</v>
          </cell>
          <cell r="X30">
            <v>1.82</v>
          </cell>
          <cell r="Y30">
            <v>1.52</v>
          </cell>
          <cell r="Z30">
            <v>1.45</v>
          </cell>
          <cell r="AA30">
            <v>1.71</v>
          </cell>
          <cell r="AB30">
            <v>1.7</v>
          </cell>
          <cell r="AC30">
            <v>1.65</v>
          </cell>
          <cell r="AD30">
            <v>1.44</v>
          </cell>
          <cell r="AE30">
            <v>1.51</v>
          </cell>
          <cell r="AF30">
            <v>1.61</v>
          </cell>
          <cell r="AG30">
            <v>1.69</v>
          </cell>
          <cell r="AH30">
            <v>1.75</v>
          </cell>
          <cell r="AI30">
            <v>1.55</v>
          </cell>
          <cell r="AJ30">
            <v>1.41</v>
          </cell>
          <cell r="AK30">
            <v>1.59</v>
          </cell>
          <cell r="AL30">
            <v>1.67</v>
          </cell>
          <cell r="AM30">
            <v>1.82</v>
          </cell>
          <cell r="AN30">
            <v>2.31</v>
          </cell>
          <cell r="AO30">
            <v>3.47</v>
          </cell>
          <cell r="AP30">
            <v>2.4300000000000002</v>
          </cell>
          <cell r="AQ30">
            <v>2.86</v>
          </cell>
          <cell r="AR30">
            <v>2.74</v>
          </cell>
          <cell r="AS30">
            <v>2.25</v>
          </cell>
          <cell r="AT30">
            <v>2.42</v>
          </cell>
          <cell r="AU30">
            <v>2.69</v>
          </cell>
          <cell r="AV30">
            <v>2.37</v>
          </cell>
          <cell r="AW30">
            <v>1.87</v>
          </cell>
          <cell r="AX30">
            <v>1.9</v>
          </cell>
          <cell r="AY30">
            <v>2.75</v>
          </cell>
          <cell r="AZ30">
            <v>3.94</v>
          </cell>
          <cell r="BA30">
            <v>4.1500000000000004</v>
          </cell>
          <cell r="BB30">
            <v>2.99</v>
          </cell>
          <cell r="BC30">
            <v>1.76</v>
          </cell>
          <cell r="BD30">
            <v>1.87</v>
          </cell>
          <cell r="BE30">
            <v>2.16</v>
          </cell>
          <cell r="BF30">
            <v>2.36</v>
          </cell>
          <cell r="BG30">
            <v>2.21</v>
          </cell>
          <cell r="BH30">
            <v>2.23</v>
          </cell>
          <cell r="BI30">
            <v>2.58</v>
          </cell>
          <cell r="BJ30">
            <v>3.15</v>
          </cell>
          <cell r="BK30">
            <v>3.32</v>
          </cell>
          <cell r="BL30">
            <v>2.58</v>
          </cell>
          <cell r="BM30">
            <v>2.3199999999999998</v>
          </cell>
          <cell r="BN30">
            <v>2.06</v>
          </cell>
        </row>
        <row r="31">
          <cell r="A31" t="str">
            <v>NGPL-LA</v>
          </cell>
          <cell r="B31">
            <v>28</v>
          </cell>
          <cell r="C31">
            <v>2.2999999999999998</v>
          </cell>
          <cell r="D31">
            <v>2.2000000000000002</v>
          </cell>
          <cell r="E31">
            <v>1.92</v>
          </cell>
          <cell r="F31">
            <v>1.62</v>
          </cell>
          <cell r="G31">
            <v>1.86</v>
          </cell>
          <cell r="H31">
            <v>2.16</v>
          </cell>
          <cell r="I31">
            <v>2.67</v>
          </cell>
          <cell r="J31">
            <v>1.98</v>
          </cell>
          <cell r="K31">
            <v>1.9</v>
          </cell>
          <cell r="L31">
            <v>2.04</v>
          </cell>
          <cell r="M31">
            <v>2.33</v>
          </cell>
          <cell r="N31">
            <v>1.97</v>
          </cell>
          <cell r="O31">
            <v>2.08</v>
          </cell>
          <cell r="P31">
            <v>2.33</v>
          </cell>
          <cell r="Q31">
            <v>1.98</v>
          </cell>
          <cell r="R31">
            <v>2.2799999999999998</v>
          </cell>
          <cell r="S31">
            <v>2.25</v>
          </cell>
          <cell r="T31">
            <v>1.92</v>
          </cell>
          <cell r="U31">
            <v>2</v>
          </cell>
          <cell r="V31">
            <v>1.74</v>
          </cell>
          <cell r="W31">
            <v>1.86</v>
          </cell>
          <cell r="X31">
            <v>1.72</v>
          </cell>
          <cell r="Y31">
            <v>1.43</v>
          </cell>
          <cell r="Z31">
            <v>1.36</v>
          </cell>
          <cell r="AA31">
            <v>1.61</v>
          </cell>
          <cell r="AB31">
            <v>1.61</v>
          </cell>
          <cell r="AC31">
            <v>1.55</v>
          </cell>
          <cell r="AD31">
            <v>1.35</v>
          </cell>
          <cell r="AE31">
            <v>1.37</v>
          </cell>
          <cell r="AF31">
            <v>1.49</v>
          </cell>
          <cell r="AG31">
            <v>1.61</v>
          </cell>
          <cell r="AH31">
            <v>1.65</v>
          </cell>
          <cell r="AI31">
            <v>1.44</v>
          </cell>
          <cell r="AJ31">
            <v>1.31</v>
          </cell>
          <cell r="AK31">
            <v>1.51</v>
          </cell>
          <cell r="AL31">
            <v>1.59</v>
          </cell>
          <cell r="AM31">
            <v>1.72</v>
          </cell>
          <cell r="AN31">
            <v>2.15</v>
          </cell>
          <cell r="AO31">
            <v>2.13</v>
          </cell>
          <cell r="AP31">
            <v>1.9</v>
          </cell>
          <cell r="AQ31">
            <v>2.15</v>
          </cell>
          <cell r="AR31">
            <v>2.4</v>
          </cell>
          <cell r="AS31">
            <v>2.12</v>
          </cell>
          <cell r="AT31">
            <v>2.25</v>
          </cell>
          <cell r="AU31">
            <v>2.57</v>
          </cell>
          <cell r="AV31">
            <v>2.2200000000000002</v>
          </cell>
          <cell r="AW31">
            <v>1.74</v>
          </cell>
          <cell r="AX31">
            <v>1.78</v>
          </cell>
          <cell r="AY31">
            <v>2.61</v>
          </cell>
          <cell r="AZ31">
            <v>3.72</v>
          </cell>
          <cell r="BA31">
            <v>4</v>
          </cell>
          <cell r="BB31">
            <v>2.82</v>
          </cell>
          <cell r="BC31">
            <v>1.69</v>
          </cell>
          <cell r="BD31">
            <v>1.74</v>
          </cell>
          <cell r="BE31">
            <v>2.04</v>
          </cell>
          <cell r="BF31">
            <v>2.23</v>
          </cell>
          <cell r="BG31">
            <v>2.09</v>
          </cell>
          <cell r="BH31">
            <v>2.11</v>
          </cell>
          <cell r="BI31">
            <v>2.4700000000000002</v>
          </cell>
          <cell r="BJ31">
            <v>3.05</v>
          </cell>
          <cell r="BK31">
            <v>3.17</v>
          </cell>
          <cell r="BL31">
            <v>2.37</v>
          </cell>
          <cell r="BM31">
            <v>2.15</v>
          </cell>
          <cell r="BN31">
            <v>1.92</v>
          </cell>
          <cell r="BO31">
            <v>2.1800000000000002</v>
          </cell>
          <cell r="BP31">
            <v>2.23</v>
          </cell>
          <cell r="BQ31">
            <v>2.2000000000000002</v>
          </cell>
          <cell r="BR31">
            <v>1.97</v>
          </cell>
          <cell r="BS31">
            <v>2.31</v>
          </cell>
          <cell r="BT31">
            <v>1.86</v>
          </cell>
          <cell r="BU31">
            <v>1.56</v>
          </cell>
          <cell r="BV31">
            <v>1.96</v>
          </cell>
          <cell r="BW31">
            <v>1.95</v>
          </cell>
          <cell r="BX31">
            <v>2.08</v>
          </cell>
          <cell r="BY31">
            <v>1.72</v>
          </cell>
          <cell r="BZ31">
            <v>1.75</v>
          </cell>
          <cell r="CA31">
            <v>1.58</v>
          </cell>
          <cell r="CB31">
            <v>1.83</v>
          </cell>
          <cell r="CC31">
            <v>2.2999999999999998</v>
          </cell>
          <cell r="CD31">
            <v>2.1800000000000002</v>
          </cell>
          <cell r="CE31">
            <v>2.21</v>
          </cell>
          <cell r="CF31">
            <v>2.57</v>
          </cell>
          <cell r="CG31">
            <v>2.84</v>
          </cell>
        </row>
        <row r="32">
          <cell r="A32" t="str">
            <v>NGPL-MC</v>
          </cell>
          <cell r="B32">
            <v>29</v>
          </cell>
          <cell r="AQ32">
            <v>1.9</v>
          </cell>
          <cell r="AR32">
            <v>2.14</v>
          </cell>
          <cell r="AS32">
            <v>2.0099999999999998</v>
          </cell>
          <cell r="AT32">
            <v>2.0499999999999998</v>
          </cell>
          <cell r="AU32">
            <v>2.1800000000000002</v>
          </cell>
          <cell r="AV32">
            <v>2.14</v>
          </cell>
          <cell r="AW32">
            <v>1.67</v>
          </cell>
          <cell r="AX32">
            <v>1.69</v>
          </cell>
          <cell r="AY32">
            <v>2.4900000000000002</v>
          </cell>
          <cell r="AZ32">
            <v>3.62</v>
          </cell>
          <cell r="BA32">
            <v>3.95</v>
          </cell>
          <cell r="BB32">
            <v>2.76</v>
          </cell>
          <cell r="BC32">
            <v>1.62</v>
          </cell>
          <cell r="BD32">
            <v>1.71</v>
          </cell>
          <cell r="BE32">
            <v>1.95</v>
          </cell>
          <cell r="BF32">
            <v>2.13</v>
          </cell>
          <cell r="BG32">
            <v>2.0099999999999998</v>
          </cell>
          <cell r="BH32">
            <v>2.06</v>
          </cell>
          <cell r="BI32">
            <v>2.41</v>
          </cell>
          <cell r="BJ32">
            <v>3</v>
          </cell>
          <cell r="BK32">
            <v>3.12</v>
          </cell>
          <cell r="BL32">
            <v>2.3199999999999998</v>
          </cell>
          <cell r="BM32">
            <v>2.14</v>
          </cell>
          <cell r="BN32">
            <v>1.92</v>
          </cell>
          <cell r="BO32">
            <v>2.15</v>
          </cell>
          <cell r="BP32">
            <v>2.19</v>
          </cell>
          <cell r="BQ32">
            <v>2.17</v>
          </cell>
          <cell r="BR32">
            <v>1.94</v>
          </cell>
          <cell r="BS32">
            <v>2.27</v>
          </cell>
          <cell r="BT32">
            <v>1.84</v>
          </cell>
          <cell r="BU32">
            <v>1.56</v>
          </cell>
          <cell r="BV32">
            <v>1.9</v>
          </cell>
          <cell r="BW32">
            <v>1.95</v>
          </cell>
          <cell r="BX32">
            <v>2.0499999999999998</v>
          </cell>
          <cell r="BY32">
            <v>1.74</v>
          </cell>
          <cell r="BZ32">
            <v>1.73</v>
          </cell>
          <cell r="CA32">
            <v>1.55</v>
          </cell>
          <cell r="CB32">
            <v>1.74</v>
          </cell>
          <cell r="CC32">
            <v>2.21</v>
          </cell>
          <cell r="CD32">
            <v>2.11</v>
          </cell>
          <cell r="CE32">
            <v>2.16</v>
          </cell>
          <cell r="CF32">
            <v>2.5</v>
          </cell>
          <cell r="CG32">
            <v>2.76</v>
          </cell>
        </row>
        <row r="33">
          <cell r="A33" t="str">
            <v>NGPL-OK</v>
          </cell>
          <cell r="B33">
            <v>30</v>
          </cell>
          <cell r="C33">
            <v>2.0499999999999998</v>
          </cell>
          <cell r="D33">
            <v>2.02</v>
          </cell>
          <cell r="E33">
            <v>1.91</v>
          </cell>
          <cell r="F33">
            <v>1.6</v>
          </cell>
          <cell r="G33">
            <v>1.84</v>
          </cell>
          <cell r="H33">
            <v>2.08</v>
          </cell>
          <cell r="I33">
            <v>2.58</v>
          </cell>
          <cell r="J33">
            <v>1.8</v>
          </cell>
          <cell r="K33">
            <v>1.8</v>
          </cell>
          <cell r="L33">
            <v>1.93</v>
          </cell>
          <cell r="M33">
            <v>2.17</v>
          </cell>
          <cell r="N33">
            <v>1.85</v>
          </cell>
          <cell r="O33">
            <v>1.88</v>
          </cell>
          <cell r="P33">
            <v>2.2200000000000002</v>
          </cell>
          <cell r="Q33">
            <v>1.93</v>
          </cell>
          <cell r="R33">
            <v>2.09</v>
          </cell>
          <cell r="S33">
            <v>2.14</v>
          </cell>
          <cell r="T33">
            <v>1.8</v>
          </cell>
          <cell r="U33">
            <v>1.84</v>
          </cell>
          <cell r="V33">
            <v>1.56</v>
          </cell>
          <cell r="W33">
            <v>1.68</v>
          </cell>
          <cell r="X33">
            <v>1.59</v>
          </cell>
          <cell r="Y33">
            <v>1.4</v>
          </cell>
          <cell r="Z33">
            <v>1.3</v>
          </cell>
          <cell r="AA33">
            <v>1.52</v>
          </cell>
          <cell r="AB33">
            <v>1.6</v>
          </cell>
          <cell r="AC33">
            <v>1.5</v>
          </cell>
          <cell r="AD33">
            <v>1.26</v>
          </cell>
          <cell r="AE33">
            <v>1.27</v>
          </cell>
          <cell r="AF33">
            <v>1.34</v>
          </cell>
          <cell r="AG33">
            <v>1.44</v>
          </cell>
          <cell r="AH33">
            <v>1.45</v>
          </cell>
          <cell r="AI33">
            <v>1.24</v>
          </cell>
          <cell r="AJ33">
            <v>1.2</v>
          </cell>
          <cell r="AK33">
            <v>1.41</v>
          </cell>
          <cell r="AL33">
            <v>1.5</v>
          </cell>
          <cell r="AM33">
            <v>1.7</v>
          </cell>
          <cell r="AN33">
            <v>1.88</v>
          </cell>
          <cell r="AO33">
            <v>2</v>
          </cell>
          <cell r="AP33">
            <v>1.79</v>
          </cell>
          <cell r="BB33">
            <v>2.83</v>
          </cell>
          <cell r="BC33">
            <v>1.65</v>
          </cell>
          <cell r="BD33">
            <v>1.74</v>
          </cell>
          <cell r="BE33">
            <v>1.96</v>
          </cell>
          <cell r="BF33">
            <v>2.13</v>
          </cell>
          <cell r="BG33">
            <v>2.02</v>
          </cell>
          <cell r="BH33">
            <v>2.08</v>
          </cell>
          <cell r="BI33">
            <v>2.4300000000000002</v>
          </cell>
        </row>
        <row r="34">
          <cell r="A34" t="str">
            <v>NGPL-TOK</v>
          </cell>
          <cell r="B34">
            <v>31</v>
          </cell>
          <cell r="AQ34">
            <v>1.97</v>
          </cell>
          <cell r="AR34">
            <v>2.23</v>
          </cell>
          <cell r="AS34">
            <v>2.14</v>
          </cell>
          <cell r="AT34">
            <v>2.2400000000000002</v>
          </cell>
          <cell r="AU34">
            <v>2.5099999999999998</v>
          </cell>
          <cell r="AV34">
            <v>2.23</v>
          </cell>
          <cell r="AW34">
            <v>1.75</v>
          </cell>
          <cell r="AX34">
            <v>1.76</v>
          </cell>
          <cell r="AY34">
            <v>2.57</v>
          </cell>
          <cell r="AZ34">
            <v>3.69</v>
          </cell>
          <cell r="BA34">
            <v>3.8</v>
          </cell>
          <cell r="BB34">
            <v>2.75</v>
          </cell>
          <cell r="BC34">
            <v>1.64</v>
          </cell>
          <cell r="BD34">
            <v>1.74</v>
          </cell>
          <cell r="BE34">
            <v>2.0299999999999998</v>
          </cell>
          <cell r="BF34">
            <v>2.2400000000000002</v>
          </cell>
          <cell r="BG34">
            <v>2.08</v>
          </cell>
          <cell r="BH34">
            <v>2.12</v>
          </cell>
          <cell r="BI34">
            <v>2.46</v>
          </cell>
          <cell r="BJ34">
            <v>3.07</v>
          </cell>
          <cell r="BK34">
            <v>3.18</v>
          </cell>
          <cell r="BL34">
            <v>2.35</v>
          </cell>
          <cell r="BM34">
            <v>2.16</v>
          </cell>
          <cell r="BN34">
            <v>1.96</v>
          </cell>
          <cell r="BO34">
            <v>2.19</v>
          </cell>
          <cell r="BP34">
            <v>2.23</v>
          </cell>
          <cell r="BQ34">
            <v>2.2200000000000002</v>
          </cell>
          <cell r="BR34">
            <v>1.98</v>
          </cell>
          <cell r="BS34">
            <v>2.31</v>
          </cell>
          <cell r="BT34">
            <v>1.88</v>
          </cell>
          <cell r="BU34">
            <v>1.58</v>
          </cell>
          <cell r="BV34">
            <v>1.95</v>
          </cell>
          <cell r="BW34">
            <v>1.96</v>
          </cell>
          <cell r="BX34">
            <v>2.06</v>
          </cell>
          <cell r="BY34">
            <v>1.74</v>
          </cell>
          <cell r="BZ34">
            <v>1.75</v>
          </cell>
          <cell r="CA34">
            <v>1.57</v>
          </cell>
          <cell r="CB34">
            <v>1.8</v>
          </cell>
          <cell r="CC34">
            <v>2.2799999999999998</v>
          </cell>
          <cell r="CD34">
            <v>2.1800000000000002</v>
          </cell>
          <cell r="CE34">
            <v>2.2200000000000002</v>
          </cell>
          <cell r="CF34">
            <v>2.5499999999999998</v>
          </cell>
          <cell r="CG34">
            <v>2.83</v>
          </cell>
        </row>
        <row r="35">
          <cell r="A35" t="str">
            <v>NGPL-STX</v>
          </cell>
          <cell r="B35">
            <v>32</v>
          </cell>
          <cell r="C35">
            <v>2.2000000000000002</v>
          </cell>
          <cell r="D35">
            <v>2.1</v>
          </cell>
          <cell r="E35">
            <v>1.92</v>
          </cell>
          <cell r="F35">
            <v>1.58</v>
          </cell>
          <cell r="G35">
            <v>1.85</v>
          </cell>
          <cell r="H35">
            <v>2.15</v>
          </cell>
          <cell r="I35">
            <v>2.6</v>
          </cell>
          <cell r="J35">
            <v>1.9</v>
          </cell>
          <cell r="K35">
            <v>1.89</v>
          </cell>
          <cell r="L35">
            <v>2.02</v>
          </cell>
          <cell r="M35">
            <v>2.3199999999999998</v>
          </cell>
          <cell r="N35">
            <v>1.95</v>
          </cell>
          <cell r="O35">
            <v>2.04</v>
          </cell>
          <cell r="P35">
            <v>2.2999999999999998</v>
          </cell>
          <cell r="Q35">
            <v>1.97</v>
          </cell>
          <cell r="R35">
            <v>2.23</v>
          </cell>
          <cell r="S35">
            <v>2.2400000000000002</v>
          </cell>
          <cell r="T35">
            <v>1.86</v>
          </cell>
          <cell r="U35">
            <v>1.97</v>
          </cell>
          <cell r="V35">
            <v>1.72</v>
          </cell>
          <cell r="W35">
            <v>1.88</v>
          </cell>
          <cell r="X35">
            <v>1.72</v>
          </cell>
          <cell r="Y35">
            <v>1.41</v>
          </cell>
          <cell r="Z35">
            <v>1.34</v>
          </cell>
          <cell r="AA35">
            <v>1.6</v>
          </cell>
          <cell r="AB35">
            <v>1.61</v>
          </cell>
          <cell r="AC35">
            <v>1.52</v>
          </cell>
          <cell r="AD35">
            <v>1.32</v>
          </cell>
          <cell r="AE35">
            <v>1.34</v>
          </cell>
          <cell r="AF35">
            <v>1.48</v>
          </cell>
          <cell r="AG35">
            <v>1.59</v>
          </cell>
          <cell r="AH35">
            <v>1.63</v>
          </cell>
          <cell r="AI35">
            <v>1.41</v>
          </cell>
          <cell r="AJ35">
            <v>1.3</v>
          </cell>
          <cell r="AK35">
            <v>1.51</v>
          </cell>
          <cell r="AL35">
            <v>1.58</v>
          </cell>
          <cell r="AM35">
            <v>1.7</v>
          </cell>
          <cell r="AN35">
            <v>2.1</v>
          </cell>
          <cell r="AO35">
            <v>2.0499999999999998</v>
          </cell>
          <cell r="AP35">
            <v>1.8</v>
          </cell>
          <cell r="AQ35">
            <v>1.97</v>
          </cell>
          <cell r="AR35">
            <v>2.25</v>
          </cell>
          <cell r="AS35">
            <v>2.11</v>
          </cell>
          <cell r="AT35">
            <v>2.2400000000000002</v>
          </cell>
          <cell r="AU35">
            <v>2.52</v>
          </cell>
          <cell r="AV35">
            <v>2.23</v>
          </cell>
          <cell r="AW35">
            <v>1.73</v>
          </cell>
          <cell r="AX35">
            <v>1.75</v>
          </cell>
          <cell r="AY35">
            <v>2.61</v>
          </cell>
          <cell r="AZ35">
            <v>3.66</v>
          </cell>
          <cell r="BA35">
            <v>3.85</v>
          </cell>
          <cell r="BB35">
            <v>2.73</v>
          </cell>
          <cell r="BC35">
            <v>1.64</v>
          </cell>
          <cell r="BD35">
            <v>1.75</v>
          </cell>
          <cell r="BE35">
            <v>2.04</v>
          </cell>
          <cell r="BF35">
            <v>2.2200000000000002</v>
          </cell>
          <cell r="BG35">
            <v>2.09</v>
          </cell>
          <cell r="BH35">
            <v>2.1</v>
          </cell>
          <cell r="BI35">
            <v>2.4500000000000002</v>
          </cell>
          <cell r="BJ35">
            <v>3.05</v>
          </cell>
          <cell r="BK35">
            <v>3.18</v>
          </cell>
          <cell r="BL35">
            <v>2.35</v>
          </cell>
          <cell r="BM35">
            <v>2.16</v>
          </cell>
          <cell r="BN35">
            <v>1.93</v>
          </cell>
          <cell r="BO35">
            <v>2.17</v>
          </cell>
          <cell r="BP35">
            <v>2.23</v>
          </cell>
          <cell r="BQ35">
            <v>2.2000000000000002</v>
          </cell>
          <cell r="BR35">
            <v>1.96</v>
          </cell>
          <cell r="BS35">
            <v>2.29</v>
          </cell>
          <cell r="BT35">
            <v>1.85</v>
          </cell>
          <cell r="BU35">
            <v>1.53</v>
          </cell>
          <cell r="BV35">
            <v>1.93</v>
          </cell>
          <cell r="BW35">
            <v>1.88</v>
          </cell>
          <cell r="BX35">
            <v>2.02</v>
          </cell>
          <cell r="BY35">
            <v>1.69</v>
          </cell>
          <cell r="BZ35">
            <v>1.73</v>
          </cell>
          <cell r="CA35">
            <v>1.56</v>
          </cell>
          <cell r="CB35">
            <v>1.8</v>
          </cell>
          <cell r="CC35">
            <v>2.2799999999999998</v>
          </cell>
          <cell r="CD35">
            <v>2.15</v>
          </cell>
          <cell r="CE35">
            <v>2.19</v>
          </cell>
          <cell r="CF35">
            <v>2.5499999999999998</v>
          </cell>
          <cell r="CG35">
            <v>2.82</v>
          </cell>
        </row>
        <row r="36">
          <cell r="A36" t="str">
            <v>NNG-DEMARC</v>
          </cell>
          <cell r="B36">
            <v>33</v>
          </cell>
          <cell r="M36">
            <v>2.1</v>
          </cell>
          <cell r="N36">
            <v>1.9</v>
          </cell>
          <cell r="O36">
            <v>1.89</v>
          </cell>
          <cell r="Q36">
            <v>1.95</v>
          </cell>
          <cell r="R36">
            <v>2.0499999999999998</v>
          </cell>
          <cell r="S36">
            <v>2.14</v>
          </cell>
          <cell r="T36">
            <v>1.77</v>
          </cell>
          <cell r="U36">
            <v>1.77</v>
          </cell>
          <cell r="V36">
            <v>1.5</v>
          </cell>
          <cell r="W36">
            <v>1.61</v>
          </cell>
          <cell r="X36">
            <v>1.55</v>
          </cell>
          <cell r="Y36">
            <v>1.39</v>
          </cell>
          <cell r="Z36">
            <v>1.39</v>
          </cell>
          <cell r="AA36">
            <v>1.47</v>
          </cell>
          <cell r="AB36">
            <v>1.6</v>
          </cell>
          <cell r="AC36">
            <v>1.5</v>
          </cell>
          <cell r="AD36">
            <v>1.25</v>
          </cell>
          <cell r="AE36">
            <v>1.24</v>
          </cell>
          <cell r="AF36">
            <v>1.28</v>
          </cell>
          <cell r="AG36">
            <v>1.41</v>
          </cell>
          <cell r="AH36">
            <v>1.42</v>
          </cell>
          <cell r="AI36">
            <v>1.23</v>
          </cell>
          <cell r="AJ36">
            <v>1.19</v>
          </cell>
          <cell r="AK36">
            <v>1.41</v>
          </cell>
          <cell r="AL36">
            <v>1.5</v>
          </cell>
          <cell r="AM36">
            <v>1.63</v>
          </cell>
          <cell r="AN36">
            <v>1.9</v>
          </cell>
          <cell r="AO36">
            <v>2.0499999999999998</v>
          </cell>
          <cell r="AP36">
            <v>1.86</v>
          </cell>
          <cell r="AQ36">
            <v>1.98</v>
          </cell>
          <cell r="AR36">
            <v>2.16</v>
          </cell>
          <cell r="AS36">
            <v>1.99</v>
          </cell>
          <cell r="AT36">
            <v>2.0299999999999998</v>
          </cell>
          <cell r="AU36">
            <v>2.17</v>
          </cell>
          <cell r="AV36">
            <v>2.08</v>
          </cell>
          <cell r="AW36">
            <v>1.63</v>
          </cell>
          <cell r="AX36">
            <v>1.71</v>
          </cell>
          <cell r="AY36">
            <v>2.59</v>
          </cell>
          <cell r="AZ36">
            <v>3.62</v>
          </cell>
          <cell r="BA36">
            <v>4.22</v>
          </cell>
          <cell r="BB36">
            <v>2.87</v>
          </cell>
          <cell r="BC36">
            <v>1.65</v>
          </cell>
          <cell r="BD36">
            <v>1.73</v>
          </cell>
          <cell r="BE36">
            <v>1.94</v>
          </cell>
          <cell r="BF36">
            <v>2.11</v>
          </cell>
          <cell r="BG36">
            <v>2.0099999999999998</v>
          </cell>
          <cell r="BH36">
            <v>2.0499999999999998</v>
          </cell>
          <cell r="BI36">
            <v>2.42</v>
          </cell>
          <cell r="BJ36">
            <v>3.02</v>
          </cell>
          <cell r="BK36">
            <v>3.29</v>
          </cell>
          <cell r="BL36">
            <v>2.4500000000000002</v>
          </cell>
          <cell r="BM36">
            <v>2.1800000000000002</v>
          </cell>
          <cell r="BN36">
            <v>1.95</v>
          </cell>
          <cell r="BO36">
            <v>2.16</v>
          </cell>
          <cell r="BP36">
            <v>2.1800000000000002</v>
          </cell>
          <cell r="BQ36">
            <v>2.16</v>
          </cell>
          <cell r="BR36">
            <v>1.93</v>
          </cell>
          <cell r="BS36">
            <v>2.27</v>
          </cell>
          <cell r="BT36">
            <v>1.86</v>
          </cell>
          <cell r="BU36">
            <v>1.57</v>
          </cell>
          <cell r="BV36">
            <v>1.92</v>
          </cell>
          <cell r="BW36">
            <v>2</v>
          </cell>
          <cell r="BX36">
            <v>2.12</v>
          </cell>
          <cell r="BY36">
            <v>1.83</v>
          </cell>
          <cell r="BZ36">
            <v>1.8</v>
          </cell>
          <cell r="CA36">
            <v>1.59</v>
          </cell>
          <cell r="CB36">
            <v>1.76</v>
          </cell>
          <cell r="CC36">
            <v>2.21</v>
          </cell>
          <cell r="CD36">
            <v>2.14</v>
          </cell>
          <cell r="CE36">
            <v>2.19</v>
          </cell>
          <cell r="CF36">
            <v>2.5299999999999998</v>
          </cell>
          <cell r="CG36">
            <v>2.78</v>
          </cell>
        </row>
        <row r="37">
          <cell r="A37" t="str">
            <v>NNG-TOK</v>
          </cell>
          <cell r="B37">
            <v>34</v>
          </cell>
          <cell r="C37">
            <v>1.96</v>
          </cell>
          <cell r="D37">
            <v>1.92</v>
          </cell>
          <cell r="E37">
            <v>1.9</v>
          </cell>
          <cell r="F37">
            <v>1.5</v>
          </cell>
          <cell r="G37">
            <v>1.75</v>
          </cell>
          <cell r="H37">
            <v>1.95</v>
          </cell>
          <cell r="I37">
            <v>2.4500000000000002</v>
          </cell>
          <cell r="J37">
            <v>1.71</v>
          </cell>
          <cell r="K37">
            <v>1.71</v>
          </cell>
          <cell r="L37">
            <v>1.81</v>
          </cell>
          <cell r="M37">
            <v>2.0499999999999998</v>
          </cell>
          <cell r="N37">
            <v>1.8</v>
          </cell>
          <cell r="O37">
            <v>1.81</v>
          </cell>
          <cell r="P37">
            <v>2.2599999999999998</v>
          </cell>
          <cell r="Q37">
            <v>1.89</v>
          </cell>
          <cell r="R37">
            <v>1.97</v>
          </cell>
          <cell r="S37">
            <v>2.0299999999999998</v>
          </cell>
          <cell r="T37">
            <v>1.73</v>
          </cell>
          <cell r="U37">
            <v>1.73</v>
          </cell>
          <cell r="V37">
            <v>1.47</v>
          </cell>
          <cell r="W37">
            <v>1.6</v>
          </cell>
          <cell r="X37">
            <v>1.53</v>
          </cell>
          <cell r="Y37">
            <v>1.36</v>
          </cell>
          <cell r="Z37">
            <v>1.22</v>
          </cell>
          <cell r="AA37">
            <v>1.44</v>
          </cell>
          <cell r="AB37">
            <v>1.57</v>
          </cell>
          <cell r="AC37">
            <v>1.46</v>
          </cell>
          <cell r="AD37">
            <v>1.21</v>
          </cell>
          <cell r="AE37">
            <v>1.2</v>
          </cell>
          <cell r="AF37">
            <v>1.26</v>
          </cell>
          <cell r="AG37">
            <v>1.37</v>
          </cell>
          <cell r="AH37">
            <v>1.39</v>
          </cell>
          <cell r="AI37">
            <v>1.2</v>
          </cell>
          <cell r="AJ37">
            <v>1.17</v>
          </cell>
          <cell r="AK37">
            <v>1.38</v>
          </cell>
          <cell r="AL37">
            <v>1.46</v>
          </cell>
          <cell r="AM37">
            <v>1.57</v>
          </cell>
          <cell r="AN37">
            <v>1.84</v>
          </cell>
          <cell r="AO37">
            <v>1.93</v>
          </cell>
          <cell r="AP37">
            <v>1.73</v>
          </cell>
          <cell r="AQ37">
            <v>1.87</v>
          </cell>
          <cell r="AR37">
            <v>2.06</v>
          </cell>
          <cell r="AS37">
            <v>1.95</v>
          </cell>
          <cell r="AT37">
            <v>1.98</v>
          </cell>
          <cell r="AU37">
            <v>2.1</v>
          </cell>
          <cell r="AV37">
            <v>2.0299999999999998</v>
          </cell>
          <cell r="AW37">
            <v>1.57</v>
          </cell>
          <cell r="AX37">
            <v>1.64</v>
          </cell>
          <cell r="AY37">
            <v>2.48</v>
          </cell>
          <cell r="AZ37">
            <v>3.52</v>
          </cell>
          <cell r="BA37">
            <v>3.8</v>
          </cell>
          <cell r="BB37">
            <v>2.73</v>
          </cell>
          <cell r="BC37">
            <v>1.56</v>
          </cell>
          <cell r="BD37">
            <v>1.63</v>
          </cell>
          <cell r="BE37">
            <v>1.85</v>
          </cell>
          <cell r="BF37">
            <v>2.04</v>
          </cell>
          <cell r="BG37">
            <v>1.91</v>
          </cell>
          <cell r="BH37">
            <v>1.96</v>
          </cell>
          <cell r="BI37">
            <v>2.33</v>
          </cell>
          <cell r="BJ37">
            <v>2.86</v>
          </cell>
          <cell r="BK37">
            <v>3.09</v>
          </cell>
          <cell r="BL37">
            <v>2.2799999999999998</v>
          </cell>
          <cell r="BM37">
            <v>2.0499999999999998</v>
          </cell>
          <cell r="BN37">
            <v>1.86</v>
          </cell>
          <cell r="BO37">
            <v>2.06</v>
          </cell>
          <cell r="BP37">
            <v>2.06</v>
          </cell>
          <cell r="BQ37">
            <v>2.0499999999999998</v>
          </cell>
          <cell r="BR37">
            <v>1.84</v>
          </cell>
          <cell r="BS37">
            <v>2.15</v>
          </cell>
          <cell r="BT37">
            <v>1.79</v>
          </cell>
          <cell r="BU37">
            <v>1.5</v>
          </cell>
          <cell r="BV37">
            <v>1.78</v>
          </cell>
          <cell r="BW37">
            <v>1.86</v>
          </cell>
          <cell r="BX37">
            <v>1.98</v>
          </cell>
          <cell r="BY37">
            <v>1.74</v>
          </cell>
          <cell r="BZ37">
            <v>1.72</v>
          </cell>
          <cell r="CA37">
            <v>1.48</v>
          </cell>
          <cell r="CB37">
            <v>1.67</v>
          </cell>
          <cell r="CC37">
            <v>2.13</v>
          </cell>
          <cell r="CD37">
            <v>2.06</v>
          </cell>
          <cell r="CE37">
            <v>2.1</v>
          </cell>
          <cell r="CF37">
            <v>2.44</v>
          </cell>
          <cell r="CG37">
            <v>2.7</v>
          </cell>
        </row>
        <row r="38">
          <cell r="A38" t="str">
            <v>NNG-VENT</v>
          </cell>
          <cell r="B38">
            <v>35</v>
          </cell>
          <cell r="C38">
            <v>2.0499999999999998</v>
          </cell>
          <cell r="D38">
            <v>2.0499999999999998</v>
          </cell>
          <cell r="E38">
            <v>1.96</v>
          </cell>
          <cell r="F38">
            <v>1.6</v>
          </cell>
          <cell r="G38">
            <v>1.86</v>
          </cell>
          <cell r="H38">
            <v>2.09</v>
          </cell>
          <cell r="I38">
            <v>2.59</v>
          </cell>
          <cell r="J38">
            <v>1.8</v>
          </cell>
          <cell r="K38">
            <v>1.78</v>
          </cell>
          <cell r="L38">
            <v>1.8</v>
          </cell>
          <cell r="M38">
            <v>2.15</v>
          </cell>
          <cell r="N38">
            <v>1.9</v>
          </cell>
          <cell r="O38">
            <v>1.88</v>
          </cell>
          <cell r="P38">
            <v>2.3199999999999998</v>
          </cell>
          <cell r="Q38">
            <v>1.93</v>
          </cell>
          <cell r="R38">
            <v>2.0499999999999998</v>
          </cell>
          <cell r="S38">
            <v>2.14</v>
          </cell>
          <cell r="T38">
            <v>1.75</v>
          </cell>
          <cell r="U38">
            <v>1.8</v>
          </cell>
          <cell r="V38">
            <v>1.5</v>
          </cell>
          <cell r="W38">
            <v>1.61</v>
          </cell>
          <cell r="X38">
            <v>1.54</v>
          </cell>
          <cell r="Y38">
            <v>1.39</v>
          </cell>
          <cell r="Z38">
            <v>1.27</v>
          </cell>
          <cell r="AA38">
            <v>1.48</v>
          </cell>
          <cell r="AB38">
            <v>1.62</v>
          </cell>
          <cell r="AC38">
            <v>1.49</v>
          </cell>
          <cell r="AD38">
            <v>1.25</v>
          </cell>
          <cell r="AE38">
            <v>1.23</v>
          </cell>
          <cell r="AF38">
            <v>1.28</v>
          </cell>
          <cell r="AG38">
            <v>1.39</v>
          </cell>
          <cell r="AH38">
            <v>1.41</v>
          </cell>
          <cell r="AI38">
            <v>1.18</v>
          </cell>
          <cell r="AJ38">
            <v>1.0900000000000001</v>
          </cell>
          <cell r="AK38">
            <v>1.33</v>
          </cell>
          <cell r="AL38">
            <v>1.48</v>
          </cell>
          <cell r="AM38">
            <v>1.61</v>
          </cell>
          <cell r="AN38">
            <v>1.84</v>
          </cell>
          <cell r="AO38">
            <v>2</v>
          </cell>
          <cell r="AP38">
            <v>1.84</v>
          </cell>
          <cell r="AQ38">
            <v>1.94</v>
          </cell>
          <cell r="AR38">
            <v>2.11</v>
          </cell>
          <cell r="AS38">
            <v>1.91</v>
          </cell>
          <cell r="AT38">
            <v>1.96</v>
          </cell>
          <cell r="AU38">
            <v>2.0699999999999998</v>
          </cell>
          <cell r="AV38">
            <v>2.0699999999999998</v>
          </cell>
          <cell r="AW38">
            <v>1.62</v>
          </cell>
          <cell r="AX38">
            <v>1.71</v>
          </cell>
          <cell r="AY38">
            <v>2.5499999999999998</v>
          </cell>
          <cell r="AZ38">
            <v>3.61</v>
          </cell>
          <cell r="BA38">
            <v>4.2</v>
          </cell>
          <cell r="BB38">
            <v>2.85</v>
          </cell>
          <cell r="BC38">
            <v>1.63</v>
          </cell>
          <cell r="BD38">
            <v>1.71</v>
          </cell>
          <cell r="BE38">
            <v>1.94</v>
          </cell>
          <cell r="BF38">
            <v>2.1</v>
          </cell>
          <cell r="BG38">
            <v>1.97</v>
          </cell>
          <cell r="BH38">
            <v>2.0499999999999998</v>
          </cell>
          <cell r="BI38">
            <v>2.41</v>
          </cell>
          <cell r="BJ38">
            <v>3.03</v>
          </cell>
          <cell r="BK38">
            <v>3.29</v>
          </cell>
          <cell r="BL38">
            <v>2.44</v>
          </cell>
          <cell r="BM38">
            <v>2.17</v>
          </cell>
          <cell r="BN38">
            <v>1.96</v>
          </cell>
          <cell r="BO38">
            <v>2.15</v>
          </cell>
          <cell r="BP38">
            <v>2.1800000000000002</v>
          </cell>
          <cell r="BQ38">
            <v>2.15</v>
          </cell>
          <cell r="BR38">
            <v>1.92</v>
          </cell>
          <cell r="BS38">
            <v>2.2599999999999998</v>
          </cell>
          <cell r="BT38">
            <v>1.84</v>
          </cell>
          <cell r="BU38">
            <v>1.56</v>
          </cell>
          <cell r="BV38">
            <v>1.91</v>
          </cell>
          <cell r="BW38">
            <v>2</v>
          </cell>
          <cell r="BX38">
            <v>2.13</v>
          </cell>
          <cell r="BY38">
            <v>1.84</v>
          </cell>
          <cell r="BZ38">
            <v>1.8</v>
          </cell>
          <cell r="CA38">
            <v>1.6</v>
          </cell>
          <cell r="CB38">
            <v>1.75</v>
          </cell>
          <cell r="CC38">
            <v>2.2000000000000002</v>
          </cell>
          <cell r="CD38">
            <v>2.12</v>
          </cell>
          <cell r="CE38">
            <v>2.1800000000000002</v>
          </cell>
          <cell r="CF38">
            <v>2.5</v>
          </cell>
          <cell r="CG38">
            <v>2.76</v>
          </cell>
        </row>
        <row r="39">
          <cell r="A39" t="str">
            <v>NOR-EAST</v>
          </cell>
          <cell r="B39">
            <v>36</v>
          </cell>
          <cell r="AE39">
            <v>1.33</v>
          </cell>
          <cell r="AF39">
            <v>1.44</v>
          </cell>
          <cell r="AG39">
            <v>1.57</v>
          </cell>
          <cell r="AH39">
            <v>1.61</v>
          </cell>
          <cell r="AI39">
            <v>1.4</v>
          </cell>
          <cell r="AJ39">
            <v>1.3</v>
          </cell>
          <cell r="AK39">
            <v>1.5</v>
          </cell>
          <cell r="AL39">
            <v>1.54</v>
          </cell>
          <cell r="AM39">
            <v>1.68</v>
          </cell>
          <cell r="AN39">
            <v>2.02</v>
          </cell>
          <cell r="AO39">
            <v>2.09</v>
          </cell>
          <cell r="AP39">
            <v>1.89</v>
          </cell>
          <cell r="AQ39">
            <v>1.93</v>
          </cell>
          <cell r="AR39">
            <v>2.23</v>
          </cell>
          <cell r="AS39">
            <v>2.12</v>
          </cell>
          <cell r="AT39">
            <v>2.1800000000000002</v>
          </cell>
          <cell r="AU39">
            <v>2.31</v>
          </cell>
          <cell r="AV39">
            <v>2.25</v>
          </cell>
          <cell r="AW39">
            <v>1.75</v>
          </cell>
          <cell r="AX39">
            <v>1.74</v>
          </cell>
          <cell r="AY39">
            <v>2.4700000000000002</v>
          </cell>
          <cell r="AZ39">
            <v>3.61</v>
          </cell>
          <cell r="BA39">
            <v>4.1500000000000004</v>
          </cell>
          <cell r="BB39">
            <v>2.78</v>
          </cell>
          <cell r="BC39">
            <v>1.65</v>
          </cell>
          <cell r="BD39">
            <v>1.74</v>
          </cell>
          <cell r="BE39">
            <v>2.0099999999999998</v>
          </cell>
          <cell r="BF39">
            <v>2.19</v>
          </cell>
          <cell r="BG39">
            <v>2.0699999999999998</v>
          </cell>
          <cell r="BH39">
            <v>2.11</v>
          </cell>
          <cell r="BI39">
            <v>2.44</v>
          </cell>
          <cell r="BJ39">
            <v>3.05</v>
          </cell>
          <cell r="BK39">
            <v>3.17</v>
          </cell>
          <cell r="BL39">
            <v>2.37</v>
          </cell>
          <cell r="BM39">
            <v>2.16</v>
          </cell>
          <cell r="BN39">
            <v>1.94</v>
          </cell>
          <cell r="BO39">
            <v>2.16</v>
          </cell>
          <cell r="BP39">
            <v>2.2000000000000002</v>
          </cell>
          <cell r="BQ39">
            <v>2.1800000000000002</v>
          </cell>
          <cell r="BR39">
            <v>1.96</v>
          </cell>
          <cell r="BS39">
            <v>2.2999999999999998</v>
          </cell>
          <cell r="BT39">
            <v>1.86</v>
          </cell>
          <cell r="BU39">
            <v>1.57</v>
          </cell>
          <cell r="BV39">
            <v>1.94</v>
          </cell>
          <cell r="BW39">
            <v>1.93</v>
          </cell>
          <cell r="BX39">
            <v>2.0299999999999998</v>
          </cell>
          <cell r="BY39">
            <v>1.74</v>
          </cell>
          <cell r="BZ39">
            <v>1.74</v>
          </cell>
          <cell r="CA39">
            <v>1.56</v>
          </cell>
          <cell r="CB39">
            <v>1.77</v>
          </cell>
          <cell r="CC39">
            <v>2.27</v>
          </cell>
          <cell r="CD39">
            <v>2.17</v>
          </cell>
          <cell r="CE39">
            <v>2.21</v>
          </cell>
          <cell r="CF39">
            <v>2.5499999999999998</v>
          </cell>
          <cell r="CG39">
            <v>2.82</v>
          </cell>
        </row>
        <row r="40">
          <cell r="A40" t="str">
            <v>NOR-WEST</v>
          </cell>
          <cell r="B40">
            <v>37</v>
          </cell>
          <cell r="AE40">
            <v>1.28</v>
          </cell>
          <cell r="AF40">
            <v>1.35</v>
          </cell>
          <cell r="AG40">
            <v>1.46</v>
          </cell>
          <cell r="AH40">
            <v>1.48</v>
          </cell>
          <cell r="AI40">
            <v>1.28</v>
          </cell>
          <cell r="AJ40">
            <v>1.22</v>
          </cell>
          <cell r="AK40">
            <v>1.43</v>
          </cell>
          <cell r="AL40">
            <v>1.5</v>
          </cell>
          <cell r="AM40">
            <v>1.62</v>
          </cell>
          <cell r="AN40">
            <v>1.89</v>
          </cell>
          <cell r="AO40">
            <v>2.0099999999999998</v>
          </cell>
          <cell r="AP40">
            <v>1.83</v>
          </cell>
          <cell r="AQ40">
            <v>1.9</v>
          </cell>
          <cell r="AR40">
            <v>2.15</v>
          </cell>
          <cell r="AS40">
            <v>2.02</v>
          </cell>
          <cell r="AT40">
            <v>2.0699999999999998</v>
          </cell>
          <cell r="AU40">
            <v>2.2000000000000002</v>
          </cell>
          <cell r="AV40">
            <v>2.16</v>
          </cell>
          <cell r="AW40">
            <v>1.68</v>
          </cell>
          <cell r="AX40">
            <v>1.69</v>
          </cell>
          <cell r="AY40">
            <v>2.4300000000000002</v>
          </cell>
          <cell r="AZ40">
            <v>3.55</v>
          </cell>
          <cell r="BA40">
            <v>4.1100000000000003</v>
          </cell>
          <cell r="BB40">
            <v>2.73</v>
          </cell>
          <cell r="BC40">
            <v>1.61</v>
          </cell>
          <cell r="BD40">
            <v>1.72</v>
          </cell>
          <cell r="BE40">
            <v>1.96</v>
          </cell>
          <cell r="BF40">
            <v>2.15</v>
          </cell>
          <cell r="BG40">
            <v>2.0099999999999998</v>
          </cell>
          <cell r="BH40">
            <v>2.0699999999999998</v>
          </cell>
          <cell r="BI40">
            <v>2.41</v>
          </cell>
          <cell r="BJ40">
            <v>2.98</v>
          </cell>
          <cell r="BK40">
            <v>3.1</v>
          </cell>
          <cell r="BL40">
            <v>2.3199999999999998</v>
          </cell>
          <cell r="BM40">
            <v>2.15</v>
          </cell>
          <cell r="BN40">
            <v>1.92</v>
          </cell>
          <cell r="BO40">
            <v>2.14</v>
          </cell>
          <cell r="BP40">
            <v>2.17</v>
          </cell>
          <cell r="BQ40">
            <v>2.15</v>
          </cell>
          <cell r="BR40">
            <v>1.92</v>
          </cell>
          <cell r="BS40">
            <v>2.2599999999999998</v>
          </cell>
          <cell r="BT40">
            <v>1.83</v>
          </cell>
          <cell r="BU40">
            <v>1.52</v>
          </cell>
          <cell r="BV40">
            <v>1.89</v>
          </cell>
          <cell r="BW40">
            <v>1.9</v>
          </cell>
          <cell r="BX40">
            <v>2.0099999999999998</v>
          </cell>
          <cell r="BY40">
            <v>1.73</v>
          </cell>
          <cell r="BZ40">
            <v>1.73</v>
          </cell>
          <cell r="CA40">
            <v>1.54</v>
          </cell>
          <cell r="CB40">
            <v>1.74</v>
          </cell>
          <cell r="CC40">
            <v>2.2200000000000002</v>
          </cell>
          <cell r="CD40">
            <v>2.12</v>
          </cell>
          <cell r="CE40">
            <v>2.1800000000000002</v>
          </cell>
          <cell r="CF40">
            <v>2.5099999999999998</v>
          </cell>
          <cell r="CG40">
            <v>2.77</v>
          </cell>
        </row>
        <row r="41">
          <cell r="A41" t="str">
            <v>NWPL-CAN</v>
          </cell>
          <cell r="B41">
            <v>38</v>
          </cell>
          <cell r="C41">
            <v>1.5</v>
          </cell>
          <cell r="D41">
            <v>1.74</v>
          </cell>
          <cell r="E41">
            <v>2.25</v>
          </cell>
          <cell r="F41">
            <v>1.74</v>
          </cell>
          <cell r="G41">
            <v>1.8</v>
          </cell>
          <cell r="H41">
            <v>1.8</v>
          </cell>
          <cell r="I41">
            <v>2.25</v>
          </cell>
          <cell r="J41">
            <v>1.58</v>
          </cell>
          <cell r="K41">
            <v>1.55</v>
          </cell>
          <cell r="L41">
            <v>1.65</v>
          </cell>
          <cell r="M41">
            <v>1.92</v>
          </cell>
          <cell r="N41">
            <v>1.75</v>
          </cell>
          <cell r="O41">
            <v>1.8</v>
          </cell>
          <cell r="P41">
            <v>2.4</v>
          </cell>
          <cell r="Q41">
            <v>2.1800000000000002</v>
          </cell>
          <cell r="R41">
            <v>1.79</v>
          </cell>
          <cell r="S41">
            <v>1.98</v>
          </cell>
          <cell r="T41">
            <v>1.62</v>
          </cell>
          <cell r="U41">
            <v>1.6</v>
          </cell>
          <cell r="V41">
            <v>1.39</v>
          </cell>
          <cell r="W41">
            <v>1.48</v>
          </cell>
          <cell r="X41">
            <v>1.45</v>
          </cell>
          <cell r="Y41">
            <v>1.36</v>
          </cell>
          <cell r="Z41">
            <v>1.18</v>
          </cell>
          <cell r="AA41">
            <v>1.52</v>
          </cell>
          <cell r="AB41">
            <v>1.63</v>
          </cell>
          <cell r="AC41">
            <v>1.4</v>
          </cell>
          <cell r="AD41">
            <v>1.03</v>
          </cell>
          <cell r="AE41">
            <v>1</v>
          </cell>
          <cell r="AF41">
            <v>0.97</v>
          </cell>
          <cell r="AG41">
            <v>0.99</v>
          </cell>
          <cell r="AH41">
            <v>0.97</v>
          </cell>
          <cell r="AI41">
            <v>0.85</v>
          </cell>
          <cell r="AJ41">
            <v>0.75</v>
          </cell>
          <cell r="AK41">
            <v>0.85</v>
          </cell>
          <cell r="AL41">
            <v>0.96</v>
          </cell>
          <cell r="AM41">
            <v>1.26</v>
          </cell>
          <cell r="AN41">
            <v>1.29</v>
          </cell>
          <cell r="AO41">
            <v>1.24</v>
          </cell>
          <cell r="AP41">
            <v>1.2</v>
          </cell>
          <cell r="AQ41">
            <v>1.1499999999999999</v>
          </cell>
          <cell r="AR41">
            <v>0.93</v>
          </cell>
          <cell r="AS41">
            <v>0.93</v>
          </cell>
          <cell r="AT41">
            <v>0.9</v>
          </cell>
          <cell r="AU41">
            <v>0.96</v>
          </cell>
          <cell r="AV41">
            <v>1.01</v>
          </cell>
          <cell r="AW41">
            <v>1.01</v>
          </cell>
          <cell r="AX41">
            <v>1.1000000000000001</v>
          </cell>
          <cell r="AY41">
            <v>2.17</v>
          </cell>
          <cell r="AZ41">
            <v>3.55</v>
          </cell>
          <cell r="BA41">
            <v>4.1500000000000004</v>
          </cell>
          <cell r="BB41">
            <v>2.37</v>
          </cell>
          <cell r="BC41">
            <v>1.05</v>
          </cell>
          <cell r="BD41">
            <v>1.1100000000000001</v>
          </cell>
          <cell r="BE41">
            <v>1.33</v>
          </cell>
          <cell r="BF41">
            <v>1.38</v>
          </cell>
          <cell r="BG41">
            <v>1.22</v>
          </cell>
          <cell r="BH41">
            <v>1.08</v>
          </cell>
          <cell r="BI41">
            <v>1.19</v>
          </cell>
          <cell r="BJ41">
            <v>1.48</v>
          </cell>
          <cell r="BK41">
            <v>2.7</v>
          </cell>
          <cell r="BL41">
            <v>1.4</v>
          </cell>
          <cell r="BM41">
            <v>1.85</v>
          </cell>
          <cell r="BN41">
            <v>1.43</v>
          </cell>
          <cell r="BO41">
            <v>1.1200000000000001</v>
          </cell>
          <cell r="BP41">
            <v>1.43</v>
          </cell>
          <cell r="BQ41">
            <v>1.7</v>
          </cell>
          <cell r="BR41">
            <v>1.38</v>
          </cell>
          <cell r="BS41">
            <v>1.45</v>
          </cell>
          <cell r="BT41">
            <v>1.57</v>
          </cell>
          <cell r="BU41">
            <v>1.46</v>
          </cell>
          <cell r="BV41">
            <v>1.67</v>
          </cell>
          <cell r="BW41">
            <v>2.14</v>
          </cell>
          <cell r="BX41">
            <v>2.09</v>
          </cell>
          <cell r="BY41">
            <v>2.88</v>
          </cell>
          <cell r="BZ41">
            <v>1.77</v>
          </cell>
          <cell r="CA41">
            <v>1.5</v>
          </cell>
          <cell r="CB41">
            <v>1.51</v>
          </cell>
          <cell r="CC41">
            <v>1.95</v>
          </cell>
          <cell r="CD41">
            <v>1.91</v>
          </cell>
          <cell r="CE41">
            <v>1.94</v>
          </cell>
          <cell r="CF41">
            <v>2.21</v>
          </cell>
          <cell r="CG41">
            <v>2.5</v>
          </cell>
        </row>
        <row r="42">
          <cell r="A42" t="str">
            <v>NWPL-ROCK</v>
          </cell>
          <cell r="B42">
            <v>39</v>
          </cell>
          <cell r="C42">
            <v>1.79</v>
          </cell>
          <cell r="D42">
            <v>1.95</v>
          </cell>
          <cell r="E42">
            <v>2.2999999999999998</v>
          </cell>
          <cell r="F42">
            <v>1.61</v>
          </cell>
          <cell r="G42">
            <v>1.78</v>
          </cell>
          <cell r="H42">
            <v>1.79</v>
          </cell>
          <cell r="I42">
            <v>2.25</v>
          </cell>
          <cell r="J42">
            <v>1.58</v>
          </cell>
          <cell r="K42">
            <v>1.55</v>
          </cell>
          <cell r="L42">
            <v>1.65</v>
          </cell>
          <cell r="M42">
            <v>1.92</v>
          </cell>
          <cell r="N42">
            <v>1.75</v>
          </cell>
          <cell r="O42">
            <v>1.74</v>
          </cell>
          <cell r="P42">
            <v>2.35</v>
          </cell>
          <cell r="Q42">
            <v>1.92</v>
          </cell>
          <cell r="R42">
            <v>1.78</v>
          </cell>
          <cell r="S42">
            <v>1.95</v>
          </cell>
          <cell r="T42">
            <v>1.61</v>
          </cell>
          <cell r="U42">
            <v>1.6</v>
          </cell>
          <cell r="V42">
            <v>1.37</v>
          </cell>
          <cell r="W42">
            <v>1.46</v>
          </cell>
          <cell r="X42">
            <v>1.45</v>
          </cell>
          <cell r="Y42">
            <v>1.36</v>
          </cell>
          <cell r="Z42">
            <v>1.18</v>
          </cell>
          <cell r="AA42">
            <v>1.48</v>
          </cell>
          <cell r="AB42">
            <v>1.61</v>
          </cell>
          <cell r="AC42">
            <v>1.37</v>
          </cell>
          <cell r="AD42">
            <v>1.06</v>
          </cell>
          <cell r="AE42">
            <v>1.05</v>
          </cell>
          <cell r="AF42">
            <v>1.05</v>
          </cell>
          <cell r="AG42">
            <v>1.06</v>
          </cell>
          <cell r="AH42">
            <v>1.1399999999999999</v>
          </cell>
          <cell r="AI42">
            <v>0.98</v>
          </cell>
          <cell r="AJ42">
            <v>0.84</v>
          </cell>
          <cell r="AK42">
            <v>0.96</v>
          </cell>
          <cell r="AL42">
            <v>1.05</v>
          </cell>
          <cell r="AM42">
            <v>1.25</v>
          </cell>
          <cell r="AN42">
            <v>1.31</v>
          </cell>
          <cell r="AO42">
            <v>1.25</v>
          </cell>
          <cell r="AP42">
            <v>1.19</v>
          </cell>
          <cell r="AQ42">
            <v>1.17</v>
          </cell>
          <cell r="AR42">
            <v>1.06</v>
          </cell>
          <cell r="AS42">
            <v>1.05</v>
          </cell>
          <cell r="AT42">
            <v>1.07</v>
          </cell>
          <cell r="AU42">
            <v>1.19</v>
          </cell>
          <cell r="AV42">
            <v>1.23</v>
          </cell>
          <cell r="AW42">
            <v>1.18</v>
          </cell>
          <cell r="AX42">
            <v>1.26</v>
          </cell>
          <cell r="AY42">
            <v>2.29</v>
          </cell>
          <cell r="AZ42">
            <v>3.52</v>
          </cell>
          <cell r="BA42">
            <v>4.2</v>
          </cell>
          <cell r="BB42">
            <v>2.48</v>
          </cell>
          <cell r="BC42">
            <v>1.39</v>
          </cell>
          <cell r="BD42">
            <v>1.44</v>
          </cell>
          <cell r="BE42">
            <v>1.64</v>
          </cell>
          <cell r="BF42">
            <v>1.48</v>
          </cell>
          <cell r="BG42">
            <v>1.44</v>
          </cell>
          <cell r="BH42">
            <v>1.38</v>
          </cell>
          <cell r="BI42">
            <v>1.48</v>
          </cell>
          <cell r="BJ42">
            <v>2.12</v>
          </cell>
          <cell r="BK42">
            <v>3</v>
          </cell>
          <cell r="BL42">
            <v>1.94</v>
          </cell>
          <cell r="BM42">
            <v>2.06</v>
          </cell>
          <cell r="BN42">
            <v>1.69</v>
          </cell>
          <cell r="BO42">
            <v>1.87</v>
          </cell>
          <cell r="BP42">
            <v>1.9</v>
          </cell>
          <cell r="BQ42">
            <v>1.98</v>
          </cell>
          <cell r="BR42">
            <v>1.64</v>
          </cell>
          <cell r="BS42">
            <v>1.62</v>
          </cell>
          <cell r="BT42">
            <v>1.73</v>
          </cell>
          <cell r="BU42">
            <v>1.57</v>
          </cell>
          <cell r="BV42">
            <v>1.65</v>
          </cell>
          <cell r="BW42">
            <v>2.02</v>
          </cell>
          <cell r="BX42">
            <v>2</v>
          </cell>
          <cell r="BY42">
            <v>1.82</v>
          </cell>
          <cell r="BZ42">
            <v>1.63</v>
          </cell>
          <cell r="CA42">
            <v>1.51</v>
          </cell>
          <cell r="CB42">
            <v>1.54</v>
          </cell>
          <cell r="CC42">
            <v>2</v>
          </cell>
          <cell r="CD42">
            <v>1.94</v>
          </cell>
          <cell r="CE42">
            <v>1.99</v>
          </cell>
          <cell r="CF42">
            <v>2.1800000000000002</v>
          </cell>
          <cell r="CG42">
            <v>2.56</v>
          </cell>
        </row>
        <row r="43">
          <cell r="A43" t="str">
            <v>ONG-OKL</v>
          </cell>
          <cell r="B43">
            <v>40</v>
          </cell>
          <cell r="C43">
            <v>1.97</v>
          </cell>
          <cell r="D43">
            <v>1.98</v>
          </cell>
          <cell r="E43">
            <v>1.92</v>
          </cell>
          <cell r="F43">
            <v>1.62</v>
          </cell>
          <cell r="G43">
            <v>1.81</v>
          </cell>
          <cell r="H43">
            <v>2.0699999999999998</v>
          </cell>
          <cell r="I43">
            <v>2.4</v>
          </cell>
          <cell r="J43">
            <v>1.78</v>
          </cell>
          <cell r="K43">
            <v>1.76</v>
          </cell>
          <cell r="L43">
            <v>1.91</v>
          </cell>
          <cell r="M43">
            <v>2.16</v>
          </cell>
          <cell r="N43">
            <v>1.85</v>
          </cell>
          <cell r="O43">
            <v>1.88</v>
          </cell>
          <cell r="P43">
            <v>2.2400000000000002</v>
          </cell>
          <cell r="Q43">
            <v>1.92</v>
          </cell>
          <cell r="R43">
            <v>2.1</v>
          </cell>
          <cell r="S43">
            <v>2.12</v>
          </cell>
          <cell r="T43">
            <v>1.78</v>
          </cell>
          <cell r="U43">
            <v>1.83</v>
          </cell>
          <cell r="V43">
            <v>1.58</v>
          </cell>
          <cell r="W43">
            <v>1.68</v>
          </cell>
          <cell r="X43">
            <v>1.59</v>
          </cell>
          <cell r="Y43">
            <v>1.39</v>
          </cell>
          <cell r="Z43">
            <v>1.3</v>
          </cell>
          <cell r="AA43">
            <v>1.49</v>
          </cell>
          <cell r="AB43">
            <v>1.59</v>
          </cell>
          <cell r="AC43">
            <v>1.51</v>
          </cell>
          <cell r="AD43">
            <v>1.29</v>
          </cell>
          <cell r="AE43">
            <v>1.29</v>
          </cell>
          <cell r="AF43">
            <v>1.35</v>
          </cell>
          <cell r="AG43">
            <v>1.45</v>
          </cell>
          <cell r="AH43">
            <v>1.48</v>
          </cell>
          <cell r="AI43">
            <v>1.28</v>
          </cell>
          <cell r="AJ43">
            <v>1.22</v>
          </cell>
          <cell r="AK43">
            <v>1.44</v>
          </cell>
          <cell r="AL43">
            <v>1.5</v>
          </cell>
          <cell r="AM43">
            <v>1.61</v>
          </cell>
          <cell r="AN43">
            <v>1.89</v>
          </cell>
          <cell r="AO43">
            <v>2.02</v>
          </cell>
          <cell r="AP43">
            <v>1.81</v>
          </cell>
          <cell r="AQ43">
            <v>1.91</v>
          </cell>
          <cell r="AR43">
            <v>2.15</v>
          </cell>
          <cell r="AS43">
            <v>2.02</v>
          </cell>
          <cell r="AT43">
            <v>2.06</v>
          </cell>
          <cell r="AU43">
            <v>2.2000000000000002</v>
          </cell>
          <cell r="AV43">
            <v>2.17</v>
          </cell>
          <cell r="AW43">
            <v>1.68</v>
          </cell>
          <cell r="AX43">
            <v>1.7</v>
          </cell>
          <cell r="AY43">
            <v>2.5099999999999998</v>
          </cell>
          <cell r="AZ43">
            <v>3.61</v>
          </cell>
          <cell r="BA43">
            <v>4.3</v>
          </cell>
          <cell r="BB43">
            <v>2.77</v>
          </cell>
          <cell r="BC43">
            <v>1.65</v>
          </cell>
          <cell r="BD43">
            <v>1.71</v>
          </cell>
          <cell r="BE43">
            <v>1.95</v>
          </cell>
          <cell r="BF43">
            <v>2.14</v>
          </cell>
          <cell r="BG43">
            <v>2.06</v>
          </cell>
          <cell r="BH43">
            <v>2.06</v>
          </cell>
          <cell r="BI43">
            <v>2.39</v>
          </cell>
          <cell r="BJ43">
            <v>3.01</v>
          </cell>
          <cell r="BK43">
            <v>3.16</v>
          </cell>
          <cell r="BL43">
            <v>2.36</v>
          </cell>
          <cell r="BM43">
            <v>2.15</v>
          </cell>
          <cell r="BN43">
            <v>1.93</v>
          </cell>
          <cell r="BO43">
            <v>2.16</v>
          </cell>
          <cell r="BP43">
            <v>2.19</v>
          </cell>
          <cell r="BQ43">
            <v>2.17</v>
          </cell>
          <cell r="BR43">
            <v>1.95</v>
          </cell>
          <cell r="BS43">
            <v>2.29</v>
          </cell>
          <cell r="BT43">
            <v>1.86</v>
          </cell>
          <cell r="BU43">
            <v>1.58</v>
          </cell>
          <cell r="BV43">
            <v>1.93</v>
          </cell>
          <cell r="BW43">
            <v>1.95</v>
          </cell>
          <cell r="BX43">
            <v>2.06</v>
          </cell>
          <cell r="BY43">
            <v>1.77</v>
          </cell>
          <cell r="BZ43">
            <v>1.75</v>
          </cell>
          <cell r="CA43">
            <v>1.58</v>
          </cell>
          <cell r="CB43">
            <v>1.76</v>
          </cell>
          <cell r="CC43">
            <v>2.23</v>
          </cell>
          <cell r="CD43">
            <v>2.13</v>
          </cell>
          <cell r="CE43">
            <v>2.1800000000000002</v>
          </cell>
          <cell r="CF43">
            <v>2.5099999999999998</v>
          </cell>
          <cell r="CG43">
            <v>2.78</v>
          </cell>
        </row>
        <row r="44">
          <cell r="A44" t="str">
            <v>PEPL-FZ</v>
          </cell>
          <cell r="B44">
            <v>41</v>
          </cell>
          <cell r="C44">
            <v>2.0699999999999998</v>
          </cell>
          <cell r="D44">
            <v>2.0299999999999998</v>
          </cell>
          <cell r="E44">
            <v>1.95</v>
          </cell>
          <cell r="F44">
            <v>1.61</v>
          </cell>
          <cell r="G44">
            <v>1.83</v>
          </cell>
          <cell r="H44">
            <v>2.1</v>
          </cell>
          <cell r="I44">
            <v>2.5499999999999998</v>
          </cell>
          <cell r="J44">
            <v>1.85</v>
          </cell>
          <cell r="K44">
            <v>1.79</v>
          </cell>
          <cell r="L44">
            <v>1.93</v>
          </cell>
          <cell r="M44">
            <v>2.1800000000000002</v>
          </cell>
          <cell r="N44">
            <v>1.9</v>
          </cell>
          <cell r="O44">
            <v>1.9</v>
          </cell>
          <cell r="P44">
            <v>2.23</v>
          </cell>
          <cell r="Q44">
            <v>1.97</v>
          </cell>
          <cell r="R44">
            <v>2.12</v>
          </cell>
          <cell r="S44">
            <v>2.14</v>
          </cell>
          <cell r="T44">
            <v>1.8</v>
          </cell>
          <cell r="U44">
            <v>1.84</v>
          </cell>
          <cell r="V44">
            <v>1.57</v>
          </cell>
          <cell r="W44">
            <v>1.65</v>
          </cell>
          <cell r="X44">
            <v>1.57</v>
          </cell>
          <cell r="Y44">
            <v>1.41</v>
          </cell>
          <cell r="Z44">
            <v>1.31</v>
          </cell>
          <cell r="AA44">
            <v>1.52</v>
          </cell>
          <cell r="AB44">
            <v>1.6</v>
          </cell>
          <cell r="AC44">
            <v>1.51</v>
          </cell>
          <cell r="AD44">
            <v>1.27</v>
          </cell>
          <cell r="AE44">
            <v>1.27</v>
          </cell>
          <cell r="AF44">
            <v>1.34</v>
          </cell>
          <cell r="AG44">
            <v>1.45</v>
          </cell>
          <cell r="AH44">
            <v>1.47</v>
          </cell>
          <cell r="AI44">
            <v>1.25</v>
          </cell>
          <cell r="AJ44">
            <v>1.2</v>
          </cell>
          <cell r="AK44">
            <v>1.41</v>
          </cell>
          <cell r="AL44">
            <v>1.5</v>
          </cell>
          <cell r="AM44">
            <v>1.61</v>
          </cell>
          <cell r="AN44">
            <v>1.89</v>
          </cell>
          <cell r="AO44">
            <v>2</v>
          </cell>
          <cell r="AP44">
            <v>1.81</v>
          </cell>
          <cell r="AQ44">
            <v>1.9</v>
          </cell>
          <cell r="AR44">
            <v>2.14</v>
          </cell>
          <cell r="AS44">
            <v>2</v>
          </cell>
          <cell r="AT44">
            <v>2.0499999999999998</v>
          </cell>
          <cell r="AU44">
            <v>2.1800000000000002</v>
          </cell>
          <cell r="AV44">
            <v>2.13</v>
          </cell>
          <cell r="AW44">
            <v>1.67</v>
          </cell>
          <cell r="AX44">
            <v>1.69</v>
          </cell>
          <cell r="AY44">
            <v>2.5099999999999998</v>
          </cell>
          <cell r="AZ44">
            <v>3.61</v>
          </cell>
          <cell r="BA44">
            <v>4.0999999999999996</v>
          </cell>
          <cell r="BB44">
            <v>2.84</v>
          </cell>
          <cell r="BC44">
            <v>1.64</v>
          </cell>
          <cell r="BD44">
            <v>1.73</v>
          </cell>
          <cell r="BE44">
            <v>1.95</v>
          </cell>
          <cell r="BF44">
            <v>2.13</v>
          </cell>
          <cell r="BG44">
            <v>2.0099999999999998</v>
          </cell>
          <cell r="BH44">
            <v>2.06</v>
          </cell>
          <cell r="BI44">
            <v>2.42</v>
          </cell>
          <cell r="BJ44">
            <v>3.01</v>
          </cell>
          <cell r="BK44">
            <v>3.16</v>
          </cell>
          <cell r="BL44">
            <v>2.35</v>
          </cell>
          <cell r="BM44">
            <v>2.15</v>
          </cell>
          <cell r="BN44">
            <v>1.93</v>
          </cell>
          <cell r="BO44">
            <v>2.15</v>
          </cell>
          <cell r="BP44">
            <v>2.19</v>
          </cell>
          <cell r="BQ44">
            <v>2.1800000000000002</v>
          </cell>
          <cell r="BR44">
            <v>1.94</v>
          </cell>
          <cell r="BS44">
            <v>2.27</v>
          </cell>
          <cell r="BT44">
            <v>1.84</v>
          </cell>
          <cell r="BU44">
            <v>1.56</v>
          </cell>
          <cell r="BV44">
            <v>1.9</v>
          </cell>
          <cell r="BW44">
            <v>1.95</v>
          </cell>
          <cell r="BX44">
            <v>2.06</v>
          </cell>
          <cell r="BY44">
            <v>1.78</v>
          </cell>
          <cell r="BZ44">
            <v>1.76</v>
          </cell>
          <cell r="CA44">
            <v>1.58</v>
          </cell>
          <cell r="CB44">
            <v>1.76</v>
          </cell>
          <cell r="CC44">
            <v>2.2200000000000002</v>
          </cell>
          <cell r="CD44">
            <v>2.12</v>
          </cell>
          <cell r="CE44">
            <v>2.17</v>
          </cell>
          <cell r="CF44">
            <v>2.5099999999999998</v>
          </cell>
          <cell r="CG44">
            <v>2.77</v>
          </cell>
        </row>
        <row r="45">
          <cell r="A45" t="str">
            <v>QUEST</v>
          </cell>
          <cell r="B45">
            <v>42</v>
          </cell>
          <cell r="C45">
            <v>1.87</v>
          </cell>
          <cell r="D45">
            <v>1.88</v>
          </cell>
          <cell r="E45">
            <v>2.2599999999999998</v>
          </cell>
          <cell r="F45">
            <v>1.59</v>
          </cell>
          <cell r="G45">
            <v>1.7</v>
          </cell>
          <cell r="H45">
            <v>1.75</v>
          </cell>
          <cell r="I45">
            <v>2.2000000000000002</v>
          </cell>
          <cell r="J45">
            <v>1.58</v>
          </cell>
          <cell r="K45">
            <v>1.56</v>
          </cell>
          <cell r="L45">
            <v>1.65</v>
          </cell>
          <cell r="M45">
            <v>1.88</v>
          </cell>
          <cell r="N45">
            <v>1.72</v>
          </cell>
          <cell r="O45">
            <v>1.71</v>
          </cell>
          <cell r="P45">
            <v>2.2599999999999998</v>
          </cell>
          <cell r="Q45">
            <v>1.86</v>
          </cell>
          <cell r="R45">
            <v>1.77</v>
          </cell>
          <cell r="S45">
            <v>1.88</v>
          </cell>
          <cell r="T45">
            <v>1.55</v>
          </cell>
          <cell r="U45">
            <v>1.55</v>
          </cell>
          <cell r="V45">
            <v>1.31</v>
          </cell>
          <cell r="W45">
            <v>1.42</v>
          </cell>
          <cell r="X45">
            <v>1.41</v>
          </cell>
          <cell r="Y45">
            <v>1.34</v>
          </cell>
          <cell r="Z45">
            <v>1.1499999999999999</v>
          </cell>
          <cell r="AA45">
            <v>1.45</v>
          </cell>
          <cell r="AB45">
            <v>1.57</v>
          </cell>
          <cell r="AC45">
            <v>1.35</v>
          </cell>
          <cell r="AD45">
            <v>1.06</v>
          </cell>
          <cell r="AE45">
            <v>1.05</v>
          </cell>
          <cell r="AF45">
            <v>1.05</v>
          </cell>
          <cell r="AG45">
            <v>1.07</v>
          </cell>
          <cell r="AH45">
            <v>1.1299999999999999</v>
          </cell>
          <cell r="AI45">
            <v>0.98</v>
          </cell>
          <cell r="AJ45">
            <v>0.85</v>
          </cell>
          <cell r="AK45">
            <v>0.95</v>
          </cell>
          <cell r="AL45">
            <v>1.04</v>
          </cell>
          <cell r="AM45">
            <v>1.23</v>
          </cell>
          <cell r="AN45">
            <v>1.31</v>
          </cell>
          <cell r="AO45">
            <v>1.26</v>
          </cell>
          <cell r="AP45">
            <v>1.17</v>
          </cell>
          <cell r="AQ45">
            <v>1.1599999999999999</v>
          </cell>
          <cell r="AR45">
            <v>1.05</v>
          </cell>
          <cell r="AS45">
            <v>1.05</v>
          </cell>
          <cell r="AT45">
            <v>1.06</v>
          </cell>
          <cell r="AU45">
            <v>1.17</v>
          </cell>
          <cell r="AV45">
            <v>1.19</v>
          </cell>
          <cell r="AW45">
            <v>1.18</v>
          </cell>
          <cell r="AX45">
            <v>1.25</v>
          </cell>
          <cell r="AY45">
            <v>2.2000000000000002</v>
          </cell>
          <cell r="AZ45">
            <v>3.36</v>
          </cell>
          <cell r="BA45">
            <v>4.2</v>
          </cell>
          <cell r="BB45">
            <v>2.4500000000000002</v>
          </cell>
          <cell r="BC45">
            <v>1.38</v>
          </cell>
          <cell r="BD45">
            <v>1.42</v>
          </cell>
          <cell r="BE45">
            <v>1.61</v>
          </cell>
          <cell r="BF45">
            <v>1.45</v>
          </cell>
          <cell r="BG45">
            <v>1.42</v>
          </cell>
          <cell r="BH45">
            <v>1.38</v>
          </cell>
          <cell r="BI45">
            <v>1.47</v>
          </cell>
          <cell r="BJ45">
            <v>2.1</v>
          </cell>
          <cell r="BK45">
            <v>2.99</v>
          </cell>
          <cell r="BL45">
            <v>1.93</v>
          </cell>
          <cell r="BM45">
            <v>2.04</v>
          </cell>
          <cell r="BN45">
            <v>1.68</v>
          </cell>
          <cell r="BO45">
            <v>1.86</v>
          </cell>
          <cell r="BP45">
            <v>1.89</v>
          </cell>
          <cell r="BQ45">
            <v>1.97</v>
          </cell>
          <cell r="BR45">
            <v>1.62</v>
          </cell>
          <cell r="BS45">
            <v>1.61</v>
          </cell>
          <cell r="BT45">
            <v>1.73</v>
          </cell>
          <cell r="BU45">
            <v>1.53</v>
          </cell>
          <cell r="BV45">
            <v>1.64</v>
          </cell>
          <cell r="BW45">
            <v>1.91</v>
          </cell>
          <cell r="BX45">
            <v>2</v>
          </cell>
          <cell r="BY45">
            <v>1.73</v>
          </cell>
          <cell r="BZ45">
            <v>1.58</v>
          </cell>
          <cell r="CA45">
            <v>1.45</v>
          </cell>
          <cell r="CB45">
            <v>1.43</v>
          </cell>
          <cell r="CC45">
            <v>1.9</v>
          </cell>
          <cell r="CD45">
            <v>1.85</v>
          </cell>
          <cell r="CE45">
            <v>1.92</v>
          </cell>
          <cell r="CF45">
            <v>2.12</v>
          </cell>
          <cell r="CG45">
            <v>2.48</v>
          </cell>
        </row>
        <row r="46">
          <cell r="A46" t="str">
            <v>NGI-SOCAL</v>
          </cell>
          <cell r="B46">
            <v>43</v>
          </cell>
          <cell r="C46">
            <v>2.42</v>
          </cell>
          <cell r="D46">
            <v>2.3199999999999998</v>
          </cell>
          <cell r="E46">
            <v>2.33</v>
          </cell>
          <cell r="F46">
            <v>1.82</v>
          </cell>
          <cell r="G46">
            <v>2.04</v>
          </cell>
          <cell r="H46">
            <v>2.1800000000000002</v>
          </cell>
          <cell r="I46">
            <v>2.58</v>
          </cell>
          <cell r="J46">
            <v>1.92</v>
          </cell>
          <cell r="K46">
            <v>2.04</v>
          </cell>
          <cell r="L46">
            <v>2.29</v>
          </cell>
          <cell r="M46">
            <v>2.4300000000000002</v>
          </cell>
          <cell r="N46">
            <v>2.2000000000000002</v>
          </cell>
          <cell r="O46">
            <v>2.0699999999999998</v>
          </cell>
          <cell r="P46">
            <v>2.5499999999999998</v>
          </cell>
          <cell r="Q46">
            <v>2.23</v>
          </cell>
          <cell r="R46">
            <v>2</v>
          </cell>
          <cell r="S46">
            <v>2.19</v>
          </cell>
          <cell r="T46">
            <v>1.93</v>
          </cell>
          <cell r="U46">
            <v>1.92</v>
          </cell>
          <cell r="V46">
            <v>1.66</v>
          </cell>
          <cell r="W46">
            <v>1.76</v>
          </cell>
          <cell r="X46">
            <v>1.74</v>
          </cell>
          <cell r="Y46">
            <v>1.64</v>
          </cell>
          <cell r="Z46">
            <v>1.4</v>
          </cell>
          <cell r="AA46">
            <v>1.69</v>
          </cell>
          <cell r="AB46">
            <v>1.85</v>
          </cell>
          <cell r="AC46">
            <v>1.66</v>
          </cell>
          <cell r="AD46">
            <v>1.27</v>
          </cell>
          <cell r="AE46">
            <v>1.23</v>
          </cell>
          <cell r="AF46">
            <v>1.25</v>
          </cell>
          <cell r="AG46">
            <v>1.34</v>
          </cell>
          <cell r="AH46">
            <v>1.38</v>
          </cell>
          <cell r="AI46">
            <v>1.25</v>
          </cell>
          <cell r="AJ46">
            <v>1.24</v>
          </cell>
          <cell r="AK46">
            <v>1.46</v>
          </cell>
          <cell r="AL46">
            <v>1.53</v>
          </cell>
          <cell r="AM46">
            <v>1.56</v>
          </cell>
          <cell r="AN46">
            <v>1.63</v>
          </cell>
          <cell r="AO46">
            <v>1.48</v>
          </cell>
          <cell r="AP46">
            <v>1.42</v>
          </cell>
          <cell r="AQ46">
            <v>1.39</v>
          </cell>
          <cell r="AR46">
            <v>1.29</v>
          </cell>
          <cell r="AS46">
            <v>1.29</v>
          </cell>
          <cell r="AT46">
            <v>1.37</v>
          </cell>
          <cell r="AU46">
            <v>1.69</v>
          </cell>
          <cell r="AV46">
            <v>2.16</v>
          </cell>
          <cell r="AW46">
            <v>1.72</v>
          </cell>
          <cell r="AX46">
            <v>1.73</v>
          </cell>
          <cell r="AY46">
            <v>2.62</v>
          </cell>
          <cell r="AZ46">
            <v>3.7</v>
          </cell>
          <cell r="BA46">
            <v>4.2699999999999996</v>
          </cell>
          <cell r="BB46">
            <v>2.65</v>
          </cell>
          <cell r="BC46">
            <v>1.61</v>
          </cell>
          <cell r="BD46">
            <v>1.74</v>
          </cell>
          <cell r="BE46">
            <v>2.0499999999999998</v>
          </cell>
          <cell r="BF46">
            <v>2.2000000000000002</v>
          </cell>
          <cell r="BG46">
            <v>2.19</v>
          </cell>
          <cell r="BH46">
            <v>2.2200000000000002</v>
          </cell>
          <cell r="BI46">
            <v>2.5</v>
          </cell>
          <cell r="BJ46">
            <v>3.08</v>
          </cell>
          <cell r="BK46">
            <v>3.34</v>
          </cell>
          <cell r="BL46">
            <v>2.36</v>
          </cell>
          <cell r="BM46">
            <v>2.2799999999999998</v>
          </cell>
          <cell r="BN46">
            <v>2.11</v>
          </cell>
        </row>
        <row r="47">
          <cell r="A47" t="str">
            <v>SONAT-LA</v>
          </cell>
          <cell r="B47">
            <v>44</v>
          </cell>
          <cell r="C47">
            <v>2.2599999999999998</v>
          </cell>
          <cell r="D47">
            <v>2.2000000000000002</v>
          </cell>
          <cell r="E47">
            <v>1.91</v>
          </cell>
          <cell r="F47">
            <v>1.61</v>
          </cell>
          <cell r="G47">
            <v>1.9</v>
          </cell>
          <cell r="H47">
            <v>2.1800000000000002</v>
          </cell>
          <cell r="I47">
            <v>2.6</v>
          </cell>
          <cell r="J47">
            <v>1.95</v>
          </cell>
          <cell r="K47">
            <v>1.9</v>
          </cell>
          <cell r="L47">
            <v>2.0499999999999998</v>
          </cell>
          <cell r="M47">
            <v>2.31</v>
          </cell>
          <cell r="N47">
            <v>1.95</v>
          </cell>
          <cell r="O47">
            <v>2.0499999999999998</v>
          </cell>
          <cell r="P47">
            <v>2.2999999999999998</v>
          </cell>
          <cell r="Q47">
            <v>2.0099999999999998</v>
          </cell>
          <cell r="R47">
            <v>2.31</v>
          </cell>
          <cell r="S47">
            <v>2.3199999999999998</v>
          </cell>
          <cell r="T47">
            <v>1.91</v>
          </cell>
          <cell r="U47">
            <v>1.92</v>
          </cell>
          <cell r="V47">
            <v>1.75</v>
          </cell>
          <cell r="W47">
            <v>1.85</v>
          </cell>
          <cell r="X47">
            <v>1.73</v>
          </cell>
          <cell r="Y47">
            <v>1.44</v>
          </cell>
          <cell r="Z47">
            <v>1.38</v>
          </cell>
          <cell r="AA47">
            <v>1.62</v>
          </cell>
          <cell r="AB47">
            <v>1.65</v>
          </cell>
          <cell r="AC47">
            <v>1.57</v>
          </cell>
          <cell r="AD47">
            <v>1.38</v>
          </cell>
          <cell r="AE47">
            <v>1.41</v>
          </cell>
          <cell r="AF47">
            <v>1.53</v>
          </cell>
          <cell r="AG47">
            <v>1.64</v>
          </cell>
          <cell r="AH47">
            <v>1.66</v>
          </cell>
          <cell r="AI47">
            <v>1.46</v>
          </cell>
          <cell r="AJ47">
            <v>1.34</v>
          </cell>
          <cell r="AK47">
            <v>1.54</v>
          </cell>
          <cell r="AL47">
            <v>1.61</v>
          </cell>
          <cell r="AM47">
            <v>1.76</v>
          </cell>
          <cell r="AN47">
            <v>2.2400000000000002</v>
          </cell>
          <cell r="AO47">
            <v>3.38</v>
          </cell>
          <cell r="AP47">
            <v>2.34</v>
          </cell>
          <cell r="AQ47">
            <v>2.84</v>
          </cell>
          <cell r="AR47">
            <v>2.65</v>
          </cell>
          <cell r="AS47">
            <v>2.17</v>
          </cell>
          <cell r="AT47">
            <v>2.2999999999999998</v>
          </cell>
          <cell r="AU47">
            <v>2.61</v>
          </cell>
          <cell r="AV47">
            <v>2.2599999999999998</v>
          </cell>
          <cell r="AW47">
            <v>1.74</v>
          </cell>
          <cell r="AX47">
            <v>1.78</v>
          </cell>
          <cell r="AY47">
            <v>2.66</v>
          </cell>
          <cell r="AZ47">
            <v>3.84</v>
          </cell>
          <cell r="BA47">
            <v>3.95</v>
          </cell>
          <cell r="BB47">
            <v>2.88</v>
          </cell>
          <cell r="BC47">
            <v>1.74</v>
          </cell>
          <cell r="BD47">
            <v>1.78</v>
          </cell>
          <cell r="BE47">
            <v>2.08</v>
          </cell>
          <cell r="BF47">
            <v>2.2799999999999998</v>
          </cell>
          <cell r="BG47">
            <v>2.1</v>
          </cell>
          <cell r="BH47">
            <v>2.14</v>
          </cell>
          <cell r="BI47">
            <v>2.5</v>
          </cell>
          <cell r="BJ47">
            <v>3.05</v>
          </cell>
          <cell r="BK47">
            <v>3.25</v>
          </cell>
          <cell r="BL47">
            <v>2.52</v>
          </cell>
          <cell r="BM47">
            <v>2.27</v>
          </cell>
          <cell r="BN47">
            <v>2.02</v>
          </cell>
          <cell r="BO47">
            <v>2.23</v>
          </cell>
          <cell r="BP47">
            <v>2.2799999999999998</v>
          </cell>
          <cell r="BQ47">
            <v>2.25</v>
          </cell>
          <cell r="BR47">
            <v>2.0099999999999998</v>
          </cell>
          <cell r="BS47">
            <v>2.35</v>
          </cell>
          <cell r="BT47">
            <v>1.91</v>
          </cell>
          <cell r="BU47">
            <v>1.6</v>
          </cell>
          <cell r="BV47">
            <v>2.02</v>
          </cell>
          <cell r="BW47">
            <v>1.96</v>
          </cell>
          <cell r="BX47">
            <v>2.09</v>
          </cell>
          <cell r="BY47">
            <v>1.76</v>
          </cell>
          <cell r="BZ47">
            <v>1.78</v>
          </cell>
          <cell r="CA47">
            <v>1.62</v>
          </cell>
          <cell r="CB47">
            <v>1.87</v>
          </cell>
          <cell r="CC47">
            <v>2.2999999999999998</v>
          </cell>
          <cell r="CD47">
            <v>2.21</v>
          </cell>
          <cell r="CE47">
            <v>2.2599999999999998</v>
          </cell>
          <cell r="CF47">
            <v>2.6</v>
          </cell>
          <cell r="CG47">
            <v>2.87</v>
          </cell>
        </row>
        <row r="48">
          <cell r="A48" t="str">
            <v>TANG</v>
          </cell>
          <cell r="B48">
            <v>45</v>
          </cell>
          <cell r="C48">
            <v>2.2090000000000001</v>
          </cell>
          <cell r="D48">
            <v>2.1240000000000001</v>
          </cell>
          <cell r="E48">
            <v>1.85</v>
          </cell>
          <cell r="F48">
            <v>1.5489999999999999</v>
          </cell>
          <cell r="G48">
            <v>1.806</v>
          </cell>
          <cell r="H48">
            <v>2.109</v>
          </cell>
          <cell r="I48">
            <v>2.581</v>
          </cell>
          <cell r="J48">
            <v>1.927</v>
          </cell>
          <cell r="K48">
            <v>1.8540000000000001</v>
          </cell>
          <cell r="L48">
            <v>2.0030000000000001</v>
          </cell>
          <cell r="M48">
            <v>2.2959999999999998</v>
          </cell>
          <cell r="N48">
            <v>1.9379999999999999</v>
          </cell>
          <cell r="O48">
            <v>2.0230000000000001</v>
          </cell>
          <cell r="P48">
            <v>2.3010000000000002</v>
          </cell>
          <cell r="Q48">
            <v>1.9690000000000001</v>
          </cell>
          <cell r="R48">
            <v>2.1930000000000001</v>
          </cell>
          <cell r="S48">
            <v>2.198</v>
          </cell>
          <cell r="T48">
            <v>1.871</v>
          </cell>
          <cell r="U48">
            <v>1.9670000000000001</v>
          </cell>
          <cell r="V48">
            <v>1.7090000000000001</v>
          </cell>
          <cell r="W48">
            <v>1.86</v>
          </cell>
          <cell r="X48">
            <v>1.7</v>
          </cell>
          <cell r="Y48">
            <v>1.397</v>
          </cell>
          <cell r="Z48">
            <v>1.333</v>
          </cell>
          <cell r="AA48">
            <v>1.5920000000000001</v>
          </cell>
          <cell r="AB48">
            <v>1.601</v>
          </cell>
          <cell r="AC48">
            <v>1.514</v>
          </cell>
          <cell r="AD48">
            <v>1.3120000000000001</v>
          </cell>
          <cell r="AE48">
            <v>1.3380000000000001</v>
          </cell>
          <cell r="AF48">
            <v>1.4610000000000001</v>
          </cell>
          <cell r="AG48">
            <v>1.577</v>
          </cell>
          <cell r="AH48">
            <v>1.6180000000000001</v>
          </cell>
          <cell r="AI48">
            <v>1.399</v>
          </cell>
          <cell r="AJ48">
            <v>1.288</v>
          </cell>
          <cell r="AK48">
            <v>1.4810000000000001</v>
          </cell>
          <cell r="AL48">
            <v>1.544</v>
          </cell>
          <cell r="AM48">
            <v>1.6779999999999999</v>
          </cell>
          <cell r="AN48">
            <v>2.0640000000000001</v>
          </cell>
          <cell r="AO48">
            <v>2.0859999999999999</v>
          </cell>
          <cell r="AP48">
            <v>1.806</v>
          </cell>
          <cell r="AQ48">
            <v>1.92</v>
          </cell>
          <cell r="AR48">
            <v>2.2050000000000001</v>
          </cell>
          <cell r="AS48">
            <v>2.1040000000000001</v>
          </cell>
          <cell r="AT48">
            <v>2.2410000000000001</v>
          </cell>
          <cell r="AU48">
            <v>2.5099999999999998</v>
          </cell>
          <cell r="AV48">
            <v>2.1619999999999999</v>
          </cell>
          <cell r="AW48">
            <v>1.6859999999999999</v>
          </cell>
          <cell r="AX48">
            <v>1.7270000000000001</v>
          </cell>
          <cell r="AY48">
            <v>2.5539999999999998</v>
          </cell>
          <cell r="AZ48">
            <v>3.6459999999999999</v>
          </cell>
          <cell r="BA48">
            <v>3.7229999999999999</v>
          </cell>
          <cell r="BB48">
            <v>2.706</v>
          </cell>
          <cell r="BC48">
            <v>1.62</v>
          </cell>
          <cell r="BD48">
            <v>1.716</v>
          </cell>
          <cell r="BE48">
            <v>2.0179999999999998</v>
          </cell>
        </row>
        <row r="49">
          <cell r="A49" t="str">
            <v>TENN-Z0</v>
          </cell>
          <cell r="B49">
            <v>46</v>
          </cell>
          <cell r="C49">
            <v>2.2799999999999998</v>
          </cell>
          <cell r="D49">
            <v>2.12</v>
          </cell>
          <cell r="E49">
            <v>1.82</v>
          </cell>
          <cell r="F49">
            <v>1.54</v>
          </cell>
          <cell r="G49">
            <v>1.8</v>
          </cell>
          <cell r="H49">
            <v>2.1</v>
          </cell>
          <cell r="I49">
            <v>2.58</v>
          </cell>
          <cell r="J49">
            <v>1.83</v>
          </cell>
          <cell r="K49">
            <v>1.73</v>
          </cell>
          <cell r="L49">
            <v>1.89</v>
          </cell>
          <cell r="M49">
            <v>2.23</v>
          </cell>
          <cell r="N49">
            <v>1.88</v>
          </cell>
          <cell r="O49">
            <v>2.02</v>
          </cell>
          <cell r="P49">
            <v>2.29</v>
          </cell>
          <cell r="Q49">
            <v>1.94</v>
          </cell>
          <cell r="R49">
            <v>2.1800000000000002</v>
          </cell>
          <cell r="S49">
            <v>2.17</v>
          </cell>
          <cell r="T49">
            <v>1.85</v>
          </cell>
          <cell r="U49">
            <v>1.98</v>
          </cell>
          <cell r="V49">
            <v>1.7</v>
          </cell>
          <cell r="W49">
            <v>1.84</v>
          </cell>
          <cell r="X49">
            <v>1.68</v>
          </cell>
          <cell r="Y49">
            <v>1.38</v>
          </cell>
          <cell r="Z49">
            <v>1.33</v>
          </cell>
          <cell r="AA49">
            <v>1.62</v>
          </cell>
          <cell r="AB49">
            <v>1.6</v>
          </cell>
          <cell r="AC49">
            <v>1.5</v>
          </cell>
          <cell r="AD49">
            <v>1.32</v>
          </cell>
          <cell r="AE49">
            <v>1.35</v>
          </cell>
          <cell r="AF49">
            <v>1.47</v>
          </cell>
          <cell r="AG49">
            <v>1.58</v>
          </cell>
          <cell r="AH49">
            <v>1.63</v>
          </cell>
          <cell r="AI49">
            <v>1.4</v>
          </cell>
          <cell r="AJ49">
            <v>1.28</v>
          </cell>
          <cell r="AK49">
            <v>1.48</v>
          </cell>
          <cell r="AL49">
            <v>1.56</v>
          </cell>
          <cell r="AM49">
            <v>1.7</v>
          </cell>
          <cell r="AN49">
            <v>2.08</v>
          </cell>
          <cell r="AO49">
            <v>2.11</v>
          </cell>
          <cell r="AP49">
            <v>1.8</v>
          </cell>
          <cell r="AQ49">
            <v>1.97</v>
          </cell>
          <cell r="AR49">
            <v>2.2200000000000002</v>
          </cell>
          <cell r="AS49">
            <v>2.11</v>
          </cell>
          <cell r="AT49">
            <v>2.2599999999999998</v>
          </cell>
          <cell r="AU49">
            <v>2.5299999999999998</v>
          </cell>
          <cell r="AV49">
            <v>2.19</v>
          </cell>
          <cell r="AW49">
            <v>1.69</v>
          </cell>
          <cell r="AX49">
            <v>1.73</v>
          </cell>
          <cell r="AY49">
            <v>2.59</v>
          </cell>
          <cell r="AZ49">
            <v>3.68</v>
          </cell>
          <cell r="BA49">
            <v>3.82</v>
          </cell>
          <cell r="BB49">
            <v>2.73</v>
          </cell>
          <cell r="BC49">
            <v>1.62</v>
          </cell>
          <cell r="BD49">
            <v>1.74</v>
          </cell>
          <cell r="BE49">
            <v>2.02</v>
          </cell>
          <cell r="BF49">
            <v>2.23</v>
          </cell>
          <cell r="BG49">
            <v>2.06</v>
          </cell>
          <cell r="BH49">
            <v>2.1</v>
          </cell>
          <cell r="BI49">
            <v>2.4300000000000002</v>
          </cell>
          <cell r="BJ49">
            <v>2.99</v>
          </cell>
          <cell r="BK49">
            <v>3.17</v>
          </cell>
          <cell r="BL49">
            <v>2.36</v>
          </cell>
          <cell r="BM49">
            <v>2.14</v>
          </cell>
          <cell r="BN49">
            <v>1.92</v>
          </cell>
          <cell r="BO49">
            <v>2.16</v>
          </cell>
          <cell r="BP49">
            <v>2.2200000000000002</v>
          </cell>
          <cell r="BQ49">
            <v>2.2000000000000002</v>
          </cell>
          <cell r="BR49">
            <v>1.95</v>
          </cell>
          <cell r="BS49">
            <v>2.27</v>
          </cell>
          <cell r="BT49">
            <v>1.83</v>
          </cell>
          <cell r="BU49">
            <v>1.53</v>
          </cell>
          <cell r="BV49">
            <v>1.92</v>
          </cell>
          <cell r="BW49">
            <v>1.89</v>
          </cell>
          <cell r="BX49">
            <v>2.02</v>
          </cell>
          <cell r="BY49">
            <v>1.69</v>
          </cell>
          <cell r="BZ49">
            <v>1.74</v>
          </cell>
          <cell r="CA49">
            <v>1.56</v>
          </cell>
          <cell r="CB49">
            <v>1.83</v>
          </cell>
          <cell r="CC49">
            <v>2.2799999999999998</v>
          </cell>
          <cell r="CD49">
            <v>2.14</v>
          </cell>
          <cell r="CE49">
            <v>2.19</v>
          </cell>
          <cell r="CF49">
            <v>2.5299999999999998</v>
          </cell>
          <cell r="CG49">
            <v>2.8</v>
          </cell>
        </row>
        <row r="50">
          <cell r="A50" t="str">
            <v>TENN-Z1</v>
          </cell>
          <cell r="B50">
            <v>47</v>
          </cell>
          <cell r="C50">
            <v>2.2999999999999998</v>
          </cell>
          <cell r="D50">
            <v>2.1800000000000002</v>
          </cell>
          <cell r="E50">
            <v>1.88</v>
          </cell>
          <cell r="F50">
            <v>1.59</v>
          </cell>
          <cell r="G50">
            <v>1.84</v>
          </cell>
          <cell r="H50">
            <v>2.14</v>
          </cell>
          <cell r="I50">
            <v>2.6</v>
          </cell>
          <cell r="J50">
            <v>1.86</v>
          </cell>
          <cell r="K50">
            <v>1.81</v>
          </cell>
          <cell r="L50">
            <v>1.95</v>
          </cell>
          <cell r="M50">
            <v>2.27</v>
          </cell>
          <cell r="N50">
            <v>1.92</v>
          </cell>
          <cell r="O50">
            <v>2.0499999999999998</v>
          </cell>
          <cell r="P50">
            <v>2.33</v>
          </cell>
          <cell r="Q50">
            <v>1.98</v>
          </cell>
          <cell r="R50">
            <v>2.31</v>
          </cell>
          <cell r="S50">
            <v>2.3199999999999998</v>
          </cell>
          <cell r="T50">
            <v>1.92</v>
          </cell>
          <cell r="U50">
            <v>2</v>
          </cell>
          <cell r="V50">
            <v>1.73</v>
          </cell>
          <cell r="W50">
            <v>1.87</v>
          </cell>
          <cell r="X50">
            <v>1.7</v>
          </cell>
          <cell r="Y50">
            <v>1.4</v>
          </cell>
          <cell r="Z50">
            <v>1.35</v>
          </cell>
          <cell r="AA50">
            <v>1.62</v>
          </cell>
          <cell r="AB50">
            <v>1.64</v>
          </cell>
          <cell r="AC50">
            <v>1.57</v>
          </cell>
          <cell r="AD50">
            <v>1.37</v>
          </cell>
          <cell r="AE50">
            <v>1.42</v>
          </cell>
          <cell r="AF50">
            <v>1.5</v>
          </cell>
          <cell r="AG50">
            <v>1.6</v>
          </cell>
          <cell r="AH50">
            <v>1.64</v>
          </cell>
          <cell r="AI50">
            <v>1.42</v>
          </cell>
          <cell r="AJ50">
            <v>1.3</v>
          </cell>
          <cell r="AK50">
            <v>1.5</v>
          </cell>
          <cell r="AL50">
            <v>1.58</v>
          </cell>
          <cell r="AM50">
            <v>1.73</v>
          </cell>
          <cell r="AN50">
            <v>2.2400000000000002</v>
          </cell>
          <cell r="AO50">
            <v>3.25</v>
          </cell>
          <cell r="AP50">
            <v>2.33</v>
          </cell>
          <cell r="AQ50">
            <v>2.81</v>
          </cell>
          <cell r="AR50">
            <v>2.58</v>
          </cell>
          <cell r="AS50">
            <v>2.1</v>
          </cell>
          <cell r="AT50">
            <v>2.2799999999999998</v>
          </cell>
          <cell r="AU50">
            <v>2.57</v>
          </cell>
          <cell r="AV50">
            <v>2.2200000000000002</v>
          </cell>
          <cell r="AW50">
            <v>1.72</v>
          </cell>
          <cell r="AX50">
            <v>1.75</v>
          </cell>
          <cell r="AY50">
            <v>2.63</v>
          </cell>
          <cell r="AZ50">
            <v>3.73</v>
          </cell>
          <cell r="BA50">
            <v>3.84</v>
          </cell>
          <cell r="BB50">
            <v>2.79</v>
          </cell>
          <cell r="BC50">
            <v>1.66</v>
          </cell>
          <cell r="BD50">
            <v>1.76</v>
          </cell>
          <cell r="BE50">
            <v>2.04</v>
          </cell>
          <cell r="BF50">
            <v>2.2400000000000002</v>
          </cell>
          <cell r="BG50">
            <v>2.0699999999999998</v>
          </cell>
          <cell r="BH50">
            <v>2.11</v>
          </cell>
          <cell r="BI50">
            <v>2.46</v>
          </cell>
          <cell r="BJ50">
            <v>3.02</v>
          </cell>
          <cell r="BK50">
            <v>3.2</v>
          </cell>
          <cell r="BL50">
            <v>2.4500000000000002</v>
          </cell>
          <cell r="BM50">
            <v>2.19</v>
          </cell>
          <cell r="BN50">
            <v>1.93</v>
          </cell>
          <cell r="BO50">
            <v>2.19</v>
          </cell>
          <cell r="BP50">
            <v>2.2400000000000002</v>
          </cell>
          <cell r="BQ50">
            <v>2.21</v>
          </cell>
          <cell r="BR50">
            <v>1.96</v>
          </cell>
          <cell r="BS50">
            <v>2.29</v>
          </cell>
          <cell r="BT50">
            <v>1.85</v>
          </cell>
          <cell r="BU50">
            <v>1.53</v>
          </cell>
          <cell r="BV50">
            <v>1.95</v>
          </cell>
          <cell r="BW50">
            <v>1.93</v>
          </cell>
          <cell r="BX50">
            <v>2.0499999999999998</v>
          </cell>
          <cell r="BY50">
            <v>1.71</v>
          </cell>
          <cell r="BZ50">
            <v>1.75</v>
          </cell>
          <cell r="CA50">
            <v>1.57</v>
          </cell>
          <cell r="CB50">
            <v>1.84</v>
          </cell>
          <cell r="CC50">
            <v>2.2999999999999998</v>
          </cell>
          <cell r="CD50">
            <v>2.16</v>
          </cell>
          <cell r="CE50">
            <v>2.21</v>
          </cell>
          <cell r="CF50">
            <v>2.54</v>
          </cell>
          <cell r="CG50">
            <v>2.83</v>
          </cell>
        </row>
        <row r="51">
          <cell r="A51" t="str">
            <v>TET-ELA</v>
          </cell>
          <cell r="B51">
            <v>48</v>
          </cell>
          <cell r="L51">
            <v>2.0499999999999998</v>
          </cell>
          <cell r="M51">
            <v>2.35</v>
          </cell>
          <cell r="N51">
            <v>2</v>
          </cell>
          <cell r="O51">
            <v>2.1</v>
          </cell>
          <cell r="P51">
            <v>2.35</v>
          </cell>
          <cell r="Q51">
            <v>2</v>
          </cell>
          <cell r="R51">
            <v>2.35</v>
          </cell>
          <cell r="S51">
            <v>2.35</v>
          </cell>
          <cell r="T51">
            <v>1.96</v>
          </cell>
          <cell r="U51">
            <v>2.0499999999999998</v>
          </cell>
          <cell r="V51">
            <v>1.81</v>
          </cell>
          <cell r="W51">
            <v>1.93</v>
          </cell>
          <cell r="X51">
            <v>1.76</v>
          </cell>
          <cell r="Y51">
            <v>1.45</v>
          </cell>
          <cell r="Z51">
            <v>1.38</v>
          </cell>
          <cell r="AA51">
            <v>1.66</v>
          </cell>
          <cell r="AB51">
            <v>1.65</v>
          </cell>
          <cell r="AC51">
            <v>1.59</v>
          </cell>
          <cell r="AD51">
            <v>1.4</v>
          </cell>
          <cell r="AE51">
            <v>1.43</v>
          </cell>
          <cell r="AF51">
            <v>1.54</v>
          </cell>
          <cell r="AG51">
            <v>1.65</v>
          </cell>
          <cell r="AH51">
            <v>1.69</v>
          </cell>
          <cell r="AI51">
            <v>1.46</v>
          </cell>
          <cell r="AJ51">
            <v>1.34</v>
          </cell>
          <cell r="AK51">
            <v>1.54</v>
          </cell>
          <cell r="AL51">
            <v>1.61</v>
          </cell>
          <cell r="AM51">
            <v>1.76</v>
          </cell>
          <cell r="AN51">
            <v>2.2599999999999998</v>
          </cell>
          <cell r="AO51">
            <v>3.5</v>
          </cell>
          <cell r="AP51">
            <v>2.5</v>
          </cell>
          <cell r="AQ51">
            <v>2.92</v>
          </cell>
          <cell r="AR51">
            <v>2.65</v>
          </cell>
          <cell r="AS51">
            <v>2.1800000000000002</v>
          </cell>
          <cell r="AT51">
            <v>2.34</v>
          </cell>
          <cell r="AU51">
            <v>2.61</v>
          </cell>
          <cell r="AV51">
            <v>2.25</v>
          </cell>
          <cell r="AW51">
            <v>1.73</v>
          </cell>
          <cell r="AX51">
            <v>1.78</v>
          </cell>
          <cell r="AY51">
            <v>2.65</v>
          </cell>
          <cell r="AZ51">
            <v>3.83</v>
          </cell>
          <cell r="BA51">
            <v>3.9</v>
          </cell>
          <cell r="BB51">
            <v>2.85</v>
          </cell>
          <cell r="BC51">
            <v>1.7</v>
          </cell>
          <cell r="BD51">
            <v>1.78</v>
          </cell>
          <cell r="BE51">
            <v>2.0699999999999998</v>
          </cell>
          <cell r="BF51">
            <v>2.2400000000000002</v>
          </cell>
          <cell r="BG51">
            <v>2.1</v>
          </cell>
          <cell r="BH51">
            <v>2.13</v>
          </cell>
          <cell r="BI51">
            <v>2.48</v>
          </cell>
          <cell r="BJ51">
            <v>3.04</v>
          </cell>
          <cell r="BK51">
            <v>3.23</v>
          </cell>
          <cell r="BL51">
            <v>2.48</v>
          </cell>
          <cell r="BM51">
            <v>2.2200000000000002</v>
          </cell>
          <cell r="BN51">
            <v>1.97</v>
          </cell>
          <cell r="BO51">
            <v>2.2000000000000002</v>
          </cell>
          <cell r="BP51">
            <v>2.2599999999999998</v>
          </cell>
          <cell r="BQ51">
            <v>2.23</v>
          </cell>
          <cell r="BR51">
            <v>1.98</v>
          </cell>
          <cell r="BS51">
            <v>2.31</v>
          </cell>
          <cell r="BT51">
            <v>1.87</v>
          </cell>
          <cell r="BU51">
            <v>1.56</v>
          </cell>
          <cell r="BV51">
            <v>1.98</v>
          </cell>
          <cell r="BW51">
            <v>1.96</v>
          </cell>
          <cell r="BX51">
            <v>2.0499999999999998</v>
          </cell>
          <cell r="BY51">
            <v>1.72</v>
          </cell>
          <cell r="BZ51">
            <v>1.77</v>
          </cell>
          <cell r="CA51">
            <v>1.58</v>
          </cell>
          <cell r="CB51">
            <v>1.86</v>
          </cell>
          <cell r="CC51">
            <v>2.3199999999999998</v>
          </cell>
          <cell r="CD51">
            <v>2.1800000000000002</v>
          </cell>
          <cell r="CE51">
            <v>2.23</v>
          </cell>
          <cell r="CF51">
            <v>2.57</v>
          </cell>
          <cell r="CG51">
            <v>2.82</v>
          </cell>
        </row>
        <row r="52">
          <cell r="A52" t="str">
            <v>TET-ETX</v>
          </cell>
          <cell r="B52">
            <v>49</v>
          </cell>
          <cell r="L52">
            <v>2.02</v>
          </cell>
          <cell r="M52">
            <v>2.31</v>
          </cell>
          <cell r="N52">
            <v>1.96</v>
          </cell>
          <cell r="O52">
            <v>2.0499999999999998</v>
          </cell>
          <cell r="P52">
            <v>2.3199999999999998</v>
          </cell>
          <cell r="Q52">
            <v>1.95</v>
          </cell>
          <cell r="R52">
            <v>2.25</v>
          </cell>
          <cell r="S52">
            <v>2.2400000000000002</v>
          </cell>
          <cell r="T52">
            <v>1.9</v>
          </cell>
          <cell r="U52">
            <v>1.98</v>
          </cell>
          <cell r="V52">
            <v>1.74</v>
          </cell>
          <cell r="W52">
            <v>1.88</v>
          </cell>
          <cell r="X52">
            <v>1.73</v>
          </cell>
          <cell r="Y52">
            <v>1.41</v>
          </cell>
          <cell r="Z52">
            <v>1.34</v>
          </cell>
          <cell r="AA52">
            <v>1.6</v>
          </cell>
          <cell r="AB52">
            <v>1.6</v>
          </cell>
          <cell r="AC52">
            <v>1.54</v>
          </cell>
          <cell r="AD52">
            <v>1.33</v>
          </cell>
          <cell r="AE52">
            <v>1.35</v>
          </cell>
          <cell r="AF52">
            <v>1.48</v>
          </cell>
          <cell r="AG52">
            <v>1.6</v>
          </cell>
          <cell r="AH52">
            <v>1.64</v>
          </cell>
          <cell r="AI52">
            <v>1.41</v>
          </cell>
          <cell r="AJ52">
            <v>1.3</v>
          </cell>
          <cell r="AK52">
            <v>1.5</v>
          </cell>
          <cell r="AL52">
            <v>1.58</v>
          </cell>
          <cell r="AM52">
            <v>1.7</v>
          </cell>
          <cell r="AN52">
            <v>2.11</v>
          </cell>
          <cell r="AO52">
            <v>2.0499999999999998</v>
          </cell>
          <cell r="AP52">
            <v>1.82</v>
          </cell>
          <cell r="AQ52">
            <v>1.96</v>
          </cell>
          <cell r="AR52">
            <v>2.23</v>
          </cell>
          <cell r="AS52">
            <v>2.13</v>
          </cell>
          <cell r="AT52">
            <v>2.25</v>
          </cell>
          <cell r="AU52">
            <v>2.56</v>
          </cell>
          <cell r="AV52">
            <v>2.19</v>
          </cell>
          <cell r="AW52">
            <v>1.69</v>
          </cell>
          <cell r="AX52">
            <v>1.73</v>
          </cell>
          <cell r="AY52">
            <v>2.61</v>
          </cell>
          <cell r="AZ52">
            <v>3.69</v>
          </cell>
          <cell r="BA52">
            <v>3.92</v>
          </cell>
          <cell r="BB52">
            <v>2.75</v>
          </cell>
          <cell r="BC52">
            <v>1.63</v>
          </cell>
          <cell r="BD52">
            <v>1.73</v>
          </cell>
          <cell r="BE52">
            <v>2.0299999999999998</v>
          </cell>
          <cell r="BF52">
            <v>2.2000000000000002</v>
          </cell>
          <cell r="BG52">
            <v>2.06</v>
          </cell>
          <cell r="BH52">
            <v>2.1</v>
          </cell>
          <cell r="BI52">
            <v>2.4500000000000002</v>
          </cell>
          <cell r="BJ52">
            <v>2.93</v>
          </cell>
          <cell r="BK52">
            <v>3.17</v>
          </cell>
          <cell r="BL52">
            <v>2.38</v>
          </cell>
          <cell r="BM52">
            <v>2.16</v>
          </cell>
          <cell r="BN52">
            <v>1.92</v>
          </cell>
          <cell r="BO52">
            <v>2.16</v>
          </cell>
          <cell r="BP52">
            <v>2.2200000000000002</v>
          </cell>
          <cell r="BQ52">
            <v>2.2200000000000002</v>
          </cell>
          <cell r="BR52">
            <v>1.95</v>
          </cell>
          <cell r="BS52">
            <v>2.2799999999999998</v>
          </cell>
          <cell r="BT52">
            <v>1.88</v>
          </cell>
          <cell r="BU52">
            <v>1.54</v>
          </cell>
          <cell r="BV52">
            <v>1.95</v>
          </cell>
          <cell r="BW52">
            <v>1.91</v>
          </cell>
          <cell r="BX52">
            <v>2.0299999999999998</v>
          </cell>
          <cell r="BY52">
            <v>1.68</v>
          </cell>
          <cell r="BZ52">
            <v>1.74</v>
          </cell>
          <cell r="CA52">
            <v>1.56</v>
          </cell>
          <cell r="CB52">
            <v>1.81</v>
          </cell>
          <cell r="CC52">
            <v>2.29</v>
          </cell>
          <cell r="CD52">
            <v>2.15</v>
          </cell>
          <cell r="CE52">
            <v>2.2000000000000002</v>
          </cell>
          <cell r="CF52">
            <v>2.5299999999999998</v>
          </cell>
          <cell r="CG52">
            <v>2.79</v>
          </cell>
        </row>
        <row r="53">
          <cell r="A53" t="str">
            <v>TET-STX</v>
          </cell>
          <cell r="B53">
            <v>50</v>
          </cell>
          <cell r="L53">
            <v>2.04</v>
          </cell>
          <cell r="M53">
            <v>2.31</v>
          </cell>
          <cell r="N53">
            <v>1.96</v>
          </cell>
          <cell r="O53">
            <v>2.0699999999999998</v>
          </cell>
          <cell r="P53">
            <v>2.3199999999999998</v>
          </cell>
          <cell r="Q53">
            <v>1.94</v>
          </cell>
          <cell r="R53">
            <v>2.2000000000000002</v>
          </cell>
          <cell r="S53">
            <v>2.1800000000000002</v>
          </cell>
          <cell r="T53">
            <v>1.87</v>
          </cell>
          <cell r="U53">
            <v>1.99</v>
          </cell>
          <cell r="V53">
            <v>1.73</v>
          </cell>
          <cell r="W53">
            <v>1.88</v>
          </cell>
          <cell r="X53">
            <v>1.71</v>
          </cell>
          <cell r="Y53">
            <v>1.41</v>
          </cell>
          <cell r="Z53">
            <v>1.34</v>
          </cell>
          <cell r="AA53">
            <v>1.6</v>
          </cell>
          <cell r="AB53">
            <v>1.61</v>
          </cell>
          <cell r="AC53">
            <v>1.53</v>
          </cell>
          <cell r="AD53">
            <v>1.32</v>
          </cell>
          <cell r="AE53">
            <v>1.36</v>
          </cell>
          <cell r="AF53">
            <v>1.47</v>
          </cell>
          <cell r="AG53">
            <v>1.58</v>
          </cell>
          <cell r="AH53">
            <v>1.62</v>
          </cell>
          <cell r="AI53">
            <v>1.41</v>
          </cell>
          <cell r="AJ53">
            <v>1.29</v>
          </cell>
          <cell r="AK53">
            <v>1.48</v>
          </cell>
          <cell r="AL53">
            <v>1.56</v>
          </cell>
          <cell r="AM53">
            <v>1.69</v>
          </cell>
          <cell r="AN53">
            <v>2.09</v>
          </cell>
          <cell r="AO53">
            <v>2.1</v>
          </cell>
          <cell r="AP53">
            <v>1.78</v>
          </cell>
          <cell r="AQ53">
            <v>1.95</v>
          </cell>
          <cell r="AR53">
            <v>2.2200000000000002</v>
          </cell>
          <cell r="AS53">
            <v>2.12</v>
          </cell>
          <cell r="AT53">
            <v>2.2400000000000002</v>
          </cell>
          <cell r="AU53">
            <v>2.54</v>
          </cell>
          <cell r="AV53">
            <v>2.2000000000000002</v>
          </cell>
          <cell r="AW53">
            <v>1.69</v>
          </cell>
          <cell r="AX53">
            <v>1.73</v>
          </cell>
          <cell r="AY53">
            <v>2.6</v>
          </cell>
          <cell r="AZ53">
            <v>3.68</v>
          </cell>
          <cell r="BA53">
            <v>3.8</v>
          </cell>
          <cell r="BB53">
            <v>2.73</v>
          </cell>
          <cell r="BC53">
            <v>1.62</v>
          </cell>
          <cell r="BD53">
            <v>1.75</v>
          </cell>
          <cell r="BE53">
            <v>2.0299999999999998</v>
          </cell>
          <cell r="BF53">
            <v>2.21</v>
          </cell>
          <cell r="BG53">
            <v>2.0699999999999998</v>
          </cell>
          <cell r="BH53">
            <v>2.1</v>
          </cell>
          <cell r="BI53">
            <v>2.44</v>
          </cell>
          <cell r="BJ53">
            <v>2.96</v>
          </cell>
          <cell r="BK53">
            <v>3.16</v>
          </cell>
          <cell r="BL53">
            <v>2.33</v>
          </cell>
          <cell r="BM53">
            <v>2.15</v>
          </cell>
          <cell r="BN53">
            <v>1.92</v>
          </cell>
          <cell r="BO53">
            <v>2.15</v>
          </cell>
          <cell r="BP53">
            <v>2.21</v>
          </cell>
          <cell r="BQ53">
            <v>2.19</v>
          </cell>
          <cell r="BR53">
            <v>1.95</v>
          </cell>
          <cell r="BS53">
            <v>2.2799999999999998</v>
          </cell>
          <cell r="BT53">
            <v>1.85</v>
          </cell>
          <cell r="BU53">
            <v>1.52</v>
          </cell>
          <cell r="BV53">
            <v>1.94</v>
          </cell>
          <cell r="BW53">
            <v>1.92</v>
          </cell>
          <cell r="BX53">
            <v>2.02</v>
          </cell>
          <cell r="BY53">
            <v>1.69</v>
          </cell>
          <cell r="BZ53">
            <v>1.74</v>
          </cell>
          <cell r="CA53">
            <v>1.556</v>
          </cell>
          <cell r="CB53">
            <v>1.81</v>
          </cell>
          <cell r="CC53">
            <v>2.2799999999999998</v>
          </cell>
          <cell r="CD53">
            <v>2.14</v>
          </cell>
          <cell r="CE53">
            <v>2.1800000000000002</v>
          </cell>
          <cell r="CF53">
            <v>2.52</v>
          </cell>
          <cell r="CG53">
            <v>2.8</v>
          </cell>
        </row>
        <row r="54">
          <cell r="A54" t="str">
            <v>TET-WLA</v>
          </cell>
          <cell r="B54">
            <v>51</v>
          </cell>
          <cell r="L54">
            <v>2.0499999999999998</v>
          </cell>
          <cell r="M54">
            <v>2.33</v>
          </cell>
          <cell r="N54">
            <v>2</v>
          </cell>
          <cell r="O54">
            <v>2.09</v>
          </cell>
          <cell r="P54">
            <v>2.34</v>
          </cell>
          <cell r="Q54">
            <v>2</v>
          </cell>
          <cell r="R54">
            <v>2.3199999999999998</v>
          </cell>
          <cell r="S54">
            <v>2.3199999999999998</v>
          </cell>
          <cell r="T54">
            <v>1.94</v>
          </cell>
          <cell r="U54">
            <v>2.04</v>
          </cell>
          <cell r="V54">
            <v>1.8</v>
          </cell>
          <cell r="W54">
            <v>1.92</v>
          </cell>
          <cell r="X54">
            <v>1.75</v>
          </cell>
          <cell r="Y54">
            <v>1.44</v>
          </cell>
          <cell r="Z54">
            <v>1.37</v>
          </cell>
          <cell r="AA54">
            <v>1.65</v>
          </cell>
          <cell r="AB54">
            <v>1.63</v>
          </cell>
          <cell r="AC54">
            <v>1.56</v>
          </cell>
          <cell r="AD54">
            <v>1.36</v>
          </cell>
          <cell r="AE54">
            <v>1.4</v>
          </cell>
          <cell r="AF54">
            <v>1.51</v>
          </cell>
          <cell r="AG54">
            <v>1.63</v>
          </cell>
          <cell r="AH54">
            <v>1.68</v>
          </cell>
          <cell r="AI54">
            <v>1.44</v>
          </cell>
          <cell r="AJ54">
            <v>1.33</v>
          </cell>
          <cell r="AK54">
            <v>1.52</v>
          </cell>
          <cell r="AL54">
            <v>1.59</v>
          </cell>
          <cell r="AM54">
            <v>1.74</v>
          </cell>
          <cell r="AN54">
            <v>2.2200000000000002</v>
          </cell>
          <cell r="AO54">
            <v>2.85</v>
          </cell>
          <cell r="AP54">
            <v>2.2000000000000002</v>
          </cell>
          <cell r="AQ54">
            <v>2.73</v>
          </cell>
          <cell r="AR54">
            <v>2.56</v>
          </cell>
          <cell r="AS54">
            <v>2.16</v>
          </cell>
          <cell r="AT54">
            <v>2.31</v>
          </cell>
          <cell r="AU54">
            <v>2.58</v>
          </cell>
          <cell r="AV54">
            <v>2.2200000000000002</v>
          </cell>
          <cell r="AW54">
            <v>1.72</v>
          </cell>
          <cell r="AX54">
            <v>1.77</v>
          </cell>
          <cell r="AY54">
            <v>2.64</v>
          </cell>
          <cell r="AZ54">
            <v>3.81</v>
          </cell>
          <cell r="BA54">
            <v>3.87</v>
          </cell>
          <cell r="BB54">
            <v>2.83</v>
          </cell>
          <cell r="BC54">
            <v>1.68</v>
          </cell>
          <cell r="BD54">
            <v>1.75</v>
          </cell>
          <cell r="BE54">
            <v>2.0499999999999998</v>
          </cell>
          <cell r="BF54">
            <v>2.23</v>
          </cell>
          <cell r="BG54">
            <v>2.08</v>
          </cell>
          <cell r="BH54">
            <v>2.12</v>
          </cell>
          <cell r="BI54">
            <v>2.46</v>
          </cell>
          <cell r="BJ54">
            <v>3.02</v>
          </cell>
          <cell r="BK54">
            <v>3.21</v>
          </cell>
          <cell r="BL54">
            <v>2.46</v>
          </cell>
          <cell r="BM54">
            <v>2.2000000000000002</v>
          </cell>
          <cell r="BN54">
            <v>1.94</v>
          </cell>
          <cell r="BO54">
            <v>2.19</v>
          </cell>
          <cell r="BP54">
            <v>2.2400000000000002</v>
          </cell>
          <cell r="BQ54">
            <v>2.2200000000000002</v>
          </cell>
          <cell r="BR54">
            <v>1.96</v>
          </cell>
          <cell r="BS54">
            <v>2.2999999999999998</v>
          </cell>
          <cell r="BT54">
            <v>1.86</v>
          </cell>
          <cell r="BU54">
            <v>1.54</v>
          </cell>
          <cell r="BV54">
            <v>1.97</v>
          </cell>
          <cell r="BW54">
            <v>1.93</v>
          </cell>
          <cell r="BX54">
            <v>2.0499999999999998</v>
          </cell>
          <cell r="BY54">
            <v>1.72</v>
          </cell>
          <cell r="BZ54">
            <v>1.75</v>
          </cell>
          <cell r="CA54">
            <v>1.57</v>
          </cell>
          <cell r="CB54">
            <v>1.85</v>
          </cell>
          <cell r="CC54">
            <v>2.31</v>
          </cell>
          <cell r="CD54">
            <v>2.16</v>
          </cell>
          <cell r="CE54">
            <v>2.2200000000000002</v>
          </cell>
          <cell r="CF54">
            <v>2.5499999999999998</v>
          </cell>
          <cell r="CG54">
            <v>2.81</v>
          </cell>
        </row>
        <row r="55">
          <cell r="A55" t="str">
            <v>TET-M3</v>
          </cell>
          <cell r="B55">
            <v>52</v>
          </cell>
          <cell r="AU55">
            <v>2.93</v>
          </cell>
          <cell r="AV55">
            <v>2.5499999999999998</v>
          </cell>
          <cell r="AW55">
            <v>2.04</v>
          </cell>
          <cell r="AX55">
            <v>2.08</v>
          </cell>
          <cell r="AY55">
            <v>3.26</v>
          </cell>
          <cell r="AZ55">
            <v>4.9800000000000004</v>
          </cell>
          <cell r="BA55">
            <v>5.15</v>
          </cell>
          <cell r="BB55">
            <v>3.58</v>
          </cell>
          <cell r="BC55">
            <v>2.1</v>
          </cell>
          <cell r="BD55">
            <v>2.13</v>
          </cell>
          <cell r="BE55">
            <v>2.41</v>
          </cell>
          <cell r="BF55">
            <v>2.57</v>
          </cell>
          <cell r="BG55">
            <v>2.41</v>
          </cell>
          <cell r="BH55">
            <v>2.4</v>
          </cell>
          <cell r="BI55">
            <v>2.75</v>
          </cell>
          <cell r="BJ55">
            <v>3.45</v>
          </cell>
          <cell r="BK55">
            <v>3.75</v>
          </cell>
          <cell r="BL55">
            <v>3.24</v>
          </cell>
          <cell r="BM55">
            <v>2.83</v>
          </cell>
          <cell r="BN55">
            <v>2.33</v>
          </cell>
          <cell r="BO55">
            <v>2.4700000000000002</v>
          </cell>
          <cell r="BP55">
            <v>2.57</v>
          </cell>
          <cell r="BQ55">
            <v>2.52</v>
          </cell>
          <cell r="BR55">
            <v>2.25</v>
          </cell>
          <cell r="BS55">
            <v>2.58</v>
          </cell>
          <cell r="BT55">
            <v>2.15</v>
          </cell>
          <cell r="BU55">
            <v>1.78</v>
          </cell>
          <cell r="BV55">
            <v>2.27</v>
          </cell>
          <cell r="BW55">
            <v>2.38</v>
          </cell>
          <cell r="BX55">
            <v>2.4300000000000002</v>
          </cell>
          <cell r="BY55">
            <v>2.19</v>
          </cell>
          <cell r="BZ55">
            <v>2.16</v>
          </cell>
          <cell r="CA55">
            <v>1.84</v>
          </cell>
          <cell r="CB55">
            <v>2.11</v>
          </cell>
          <cell r="CC55">
            <v>2.54</v>
          </cell>
          <cell r="CD55">
            <v>2.42</v>
          </cell>
          <cell r="CE55">
            <v>2.4900000000000002</v>
          </cell>
          <cell r="CF55">
            <v>2.86</v>
          </cell>
          <cell r="CG55">
            <v>3.12</v>
          </cell>
        </row>
        <row r="56">
          <cell r="A56" t="str">
            <v>TRAN-Z1</v>
          </cell>
          <cell r="B56">
            <v>53</v>
          </cell>
          <cell r="C56">
            <v>2.35</v>
          </cell>
          <cell r="D56">
            <v>2.25</v>
          </cell>
          <cell r="E56">
            <v>1.86</v>
          </cell>
          <cell r="F56">
            <v>1.56</v>
          </cell>
          <cell r="G56">
            <v>1.847</v>
          </cell>
          <cell r="H56">
            <v>2.15</v>
          </cell>
          <cell r="I56">
            <v>2.68</v>
          </cell>
          <cell r="J56">
            <v>2.08</v>
          </cell>
          <cell r="K56">
            <v>1.89</v>
          </cell>
          <cell r="L56">
            <v>2.02</v>
          </cell>
          <cell r="M56">
            <v>2.33</v>
          </cell>
          <cell r="N56">
            <v>2.04</v>
          </cell>
          <cell r="O56">
            <v>2.09</v>
          </cell>
          <cell r="P56">
            <v>2.34</v>
          </cell>
          <cell r="Q56">
            <v>2.02</v>
          </cell>
          <cell r="R56">
            <v>2.3199999999999998</v>
          </cell>
          <cell r="S56">
            <v>2.3199999999999998</v>
          </cell>
          <cell r="T56">
            <v>1.93</v>
          </cell>
          <cell r="U56">
            <v>2.02</v>
          </cell>
          <cell r="V56">
            <v>1.81</v>
          </cell>
          <cell r="W56">
            <v>1.92</v>
          </cell>
          <cell r="X56">
            <v>1.76</v>
          </cell>
          <cell r="Y56">
            <v>1.43</v>
          </cell>
          <cell r="Z56">
            <v>1.35</v>
          </cell>
          <cell r="AA56">
            <v>1.61</v>
          </cell>
          <cell r="AB56">
            <v>1.65</v>
          </cell>
          <cell r="AC56">
            <v>1.56</v>
          </cell>
          <cell r="AD56">
            <v>1.36</v>
          </cell>
          <cell r="AE56">
            <v>1.38</v>
          </cell>
          <cell r="AF56">
            <v>1.49</v>
          </cell>
          <cell r="AG56">
            <v>1.6</v>
          </cell>
          <cell r="AH56">
            <v>1.65</v>
          </cell>
          <cell r="AI56">
            <v>1.43</v>
          </cell>
          <cell r="AJ56">
            <v>1.29</v>
          </cell>
          <cell r="AK56">
            <v>1.49</v>
          </cell>
          <cell r="AL56">
            <v>1.56</v>
          </cell>
          <cell r="AM56">
            <v>1.72</v>
          </cell>
          <cell r="AN56">
            <v>2.12</v>
          </cell>
          <cell r="AO56">
            <v>2.15</v>
          </cell>
          <cell r="AP56">
            <v>1.8</v>
          </cell>
          <cell r="AQ56">
            <v>1.96</v>
          </cell>
          <cell r="AR56">
            <v>2.25</v>
          </cell>
          <cell r="AS56">
            <v>2.12</v>
          </cell>
          <cell r="AT56">
            <v>2.27</v>
          </cell>
          <cell r="AU56">
            <v>2.54</v>
          </cell>
          <cell r="AV56">
            <v>2.2200000000000002</v>
          </cell>
          <cell r="AW56">
            <v>1.7</v>
          </cell>
          <cell r="AX56">
            <v>1.73</v>
          </cell>
          <cell r="AY56">
            <v>2.57</v>
          </cell>
          <cell r="AZ56">
            <v>3.67</v>
          </cell>
          <cell r="BA56">
            <v>3.81</v>
          </cell>
          <cell r="BB56">
            <v>2.77</v>
          </cell>
          <cell r="BC56">
            <v>1.62</v>
          </cell>
          <cell r="BD56">
            <v>1.74</v>
          </cell>
          <cell r="BE56">
            <v>2.02</v>
          </cell>
          <cell r="BF56">
            <v>2.2000000000000002</v>
          </cell>
          <cell r="BG56">
            <v>2.06</v>
          </cell>
          <cell r="BH56">
            <v>2.1</v>
          </cell>
          <cell r="BI56">
            <v>2.4500000000000002</v>
          </cell>
          <cell r="BJ56">
            <v>2.97</v>
          </cell>
          <cell r="BK56">
            <v>3.17</v>
          </cell>
          <cell r="BL56">
            <v>2.4</v>
          </cell>
          <cell r="BM56">
            <v>2.17</v>
          </cell>
          <cell r="BN56">
            <v>1.91</v>
          </cell>
          <cell r="BO56">
            <v>2.16</v>
          </cell>
          <cell r="BP56">
            <v>2.23</v>
          </cell>
          <cell r="BQ56">
            <v>2.2000000000000002</v>
          </cell>
          <cell r="BR56">
            <v>1.95</v>
          </cell>
          <cell r="BS56">
            <v>2.29</v>
          </cell>
          <cell r="BT56">
            <v>1.85</v>
          </cell>
          <cell r="BU56">
            <v>1.53</v>
          </cell>
          <cell r="BV56">
            <v>1.96</v>
          </cell>
          <cell r="BW56">
            <v>1.91</v>
          </cell>
          <cell r="BX56">
            <v>2.04</v>
          </cell>
          <cell r="BY56">
            <v>1.71</v>
          </cell>
          <cell r="BZ56">
            <v>1.75</v>
          </cell>
          <cell r="CA56">
            <v>1.58</v>
          </cell>
          <cell r="CB56">
            <v>1.81</v>
          </cell>
          <cell r="CC56">
            <v>2.29</v>
          </cell>
          <cell r="CD56">
            <v>2.16</v>
          </cell>
          <cell r="CE56">
            <v>2.21</v>
          </cell>
          <cell r="CF56">
            <v>2.56</v>
          </cell>
          <cell r="CG56">
            <v>2.83</v>
          </cell>
        </row>
        <row r="57">
          <cell r="A57" t="str">
            <v>TRAN-Z2</v>
          </cell>
          <cell r="B57">
            <v>54</v>
          </cell>
          <cell r="C57">
            <v>2.36</v>
          </cell>
          <cell r="D57">
            <v>2.2799999999999998</v>
          </cell>
          <cell r="E57">
            <v>1.88</v>
          </cell>
          <cell r="F57">
            <v>1.6</v>
          </cell>
          <cell r="G57">
            <v>1.86</v>
          </cell>
          <cell r="H57">
            <v>2.16</v>
          </cell>
          <cell r="I57">
            <v>2.69</v>
          </cell>
          <cell r="J57">
            <v>2.11</v>
          </cell>
          <cell r="K57">
            <v>1.93</v>
          </cell>
          <cell r="L57">
            <v>2.0499999999999998</v>
          </cell>
          <cell r="M57">
            <v>2.36</v>
          </cell>
          <cell r="N57">
            <v>2.06</v>
          </cell>
          <cell r="O57">
            <v>2.11</v>
          </cell>
          <cell r="P57">
            <v>2.37</v>
          </cell>
          <cell r="Q57">
            <v>2.0299999999999998</v>
          </cell>
          <cell r="R57">
            <v>2.36</v>
          </cell>
          <cell r="S57">
            <v>2.36</v>
          </cell>
          <cell r="T57">
            <v>1.97</v>
          </cell>
          <cell r="U57">
            <v>2.04</v>
          </cell>
          <cell r="V57">
            <v>1.83</v>
          </cell>
          <cell r="W57">
            <v>1.93</v>
          </cell>
          <cell r="X57">
            <v>1.8</v>
          </cell>
          <cell r="Y57">
            <v>1.47</v>
          </cell>
          <cell r="Z57">
            <v>1.39</v>
          </cell>
          <cell r="AA57">
            <v>1.66</v>
          </cell>
          <cell r="AB57">
            <v>1.66</v>
          </cell>
          <cell r="AC57">
            <v>1.59</v>
          </cell>
          <cell r="AD57">
            <v>1.4</v>
          </cell>
          <cell r="AE57">
            <v>1.42</v>
          </cell>
          <cell r="AF57">
            <v>1.53</v>
          </cell>
          <cell r="AG57">
            <v>1.64</v>
          </cell>
          <cell r="AH57">
            <v>1.7</v>
          </cell>
          <cell r="AI57">
            <v>1.48</v>
          </cell>
          <cell r="AJ57">
            <v>1.33</v>
          </cell>
          <cell r="AK57">
            <v>1.55</v>
          </cell>
          <cell r="AL57">
            <v>1.61</v>
          </cell>
          <cell r="AM57">
            <v>1.77</v>
          </cell>
          <cell r="AN57">
            <v>2.23</v>
          </cell>
          <cell r="AO57">
            <v>3.29</v>
          </cell>
          <cell r="AP57">
            <v>2.2999999999999998</v>
          </cell>
          <cell r="AQ57">
            <v>2.7</v>
          </cell>
          <cell r="AR57">
            <v>2.58</v>
          </cell>
          <cell r="AS57">
            <v>2.16</v>
          </cell>
          <cell r="AT57">
            <v>2.31</v>
          </cell>
          <cell r="AU57">
            <v>2.6</v>
          </cell>
          <cell r="AV57">
            <v>2.27</v>
          </cell>
          <cell r="AW57">
            <v>1.77</v>
          </cell>
          <cell r="AX57">
            <v>1.8</v>
          </cell>
          <cell r="AY57">
            <v>2.64</v>
          </cell>
          <cell r="AZ57">
            <v>3.77</v>
          </cell>
          <cell r="BA57">
            <v>3.9</v>
          </cell>
          <cell r="BB57">
            <v>2.87</v>
          </cell>
          <cell r="BC57">
            <v>1.71</v>
          </cell>
          <cell r="BD57">
            <v>1.77</v>
          </cell>
          <cell r="BE57">
            <v>2.09</v>
          </cell>
          <cell r="BF57">
            <v>2.25</v>
          </cell>
          <cell r="BG57">
            <v>2.1</v>
          </cell>
          <cell r="BH57">
            <v>2.13</v>
          </cell>
          <cell r="BI57">
            <v>2.48</v>
          </cell>
          <cell r="BJ57">
            <v>3.02</v>
          </cell>
          <cell r="BK57">
            <v>3.21</v>
          </cell>
          <cell r="BL57">
            <v>2.4900000000000002</v>
          </cell>
          <cell r="BM57">
            <v>2.2200000000000002</v>
          </cell>
          <cell r="BN57">
            <v>1.97</v>
          </cell>
          <cell r="BO57">
            <v>2.2200000000000002</v>
          </cell>
          <cell r="BP57">
            <v>2.2799999999999998</v>
          </cell>
          <cell r="BQ57">
            <v>2.25</v>
          </cell>
          <cell r="BR57">
            <v>2</v>
          </cell>
          <cell r="BS57">
            <v>2.33</v>
          </cell>
          <cell r="BT57">
            <v>1.89</v>
          </cell>
          <cell r="BU57">
            <v>1.6</v>
          </cell>
          <cell r="BV57">
            <v>2.04</v>
          </cell>
          <cell r="BW57">
            <v>1.95</v>
          </cell>
          <cell r="BX57">
            <v>2.08</v>
          </cell>
          <cell r="BY57">
            <v>1.74</v>
          </cell>
          <cell r="BZ57">
            <v>1.78</v>
          </cell>
          <cell r="CA57">
            <v>1.61</v>
          </cell>
          <cell r="CB57">
            <v>1.84</v>
          </cell>
          <cell r="CC57">
            <v>2.3199999999999998</v>
          </cell>
          <cell r="CD57">
            <v>2.19</v>
          </cell>
          <cell r="CE57">
            <v>2.2400000000000002</v>
          </cell>
          <cell r="CF57">
            <v>2.58</v>
          </cell>
          <cell r="CG57">
            <v>2.86</v>
          </cell>
        </row>
        <row r="58">
          <cell r="A58" t="str">
            <v>TRAN-Z3</v>
          </cell>
          <cell r="B58">
            <v>55</v>
          </cell>
          <cell r="C58">
            <v>2.38</v>
          </cell>
          <cell r="D58">
            <v>2.29</v>
          </cell>
          <cell r="E58">
            <v>1.9</v>
          </cell>
          <cell r="F58">
            <v>1.62</v>
          </cell>
          <cell r="G58">
            <v>1.86</v>
          </cell>
          <cell r="H58">
            <v>2.19</v>
          </cell>
          <cell r="I58">
            <v>2.7</v>
          </cell>
          <cell r="J58">
            <v>2.16</v>
          </cell>
          <cell r="K58">
            <v>1.95</v>
          </cell>
          <cell r="L58">
            <v>2.0699999999999998</v>
          </cell>
          <cell r="M58">
            <v>2.37</v>
          </cell>
          <cell r="N58">
            <v>2.08</v>
          </cell>
          <cell r="O58">
            <v>2.15</v>
          </cell>
          <cell r="P58">
            <v>2.38</v>
          </cell>
          <cell r="Q58">
            <v>2.0499999999999998</v>
          </cell>
          <cell r="R58">
            <v>2.38</v>
          </cell>
          <cell r="S58">
            <v>2.38</v>
          </cell>
          <cell r="T58">
            <v>2</v>
          </cell>
          <cell r="U58">
            <v>2.06</v>
          </cell>
          <cell r="V58">
            <v>1.86</v>
          </cell>
          <cell r="W58">
            <v>1.96</v>
          </cell>
          <cell r="X58">
            <v>1.82</v>
          </cell>
          <cell r="Y58">
            <v>1.48</v>
          </cell>
          <cell r="Z58">
            <v>1.42</v>
          </cell>
          <cell r="AA58">
            <v>1.7</v>
          </cell>
          <cell r="AB58">
            <v>1.69</v>
          </cell>
          <cell r="AC58">
            <v>1.62</v>
          </cell>
          <cell r="AD58">
            <v>1.43</v>
          </cell>
          <cell r="AE58">
            <v>1.46</v>
          </cell>
          <cell r="AF58">
            <v>1.56</v>
          </cell>
          <cell r="AG58">
            <v>1.67</v>
          </cell>
          <cell r="AH58">
            <v>1.73</v>
          </cell>
          <cell r="AI58">
            <v>1.5</v>
          </cell>
          <cell r="AJ58">
            <v>1.36</v>
          </cell>
          <cell r="AK58">
            <v>1.59</v>
          </cell>
          <cell r="AL58">
            <v>1.64</v>
          </cell>
          <cell r="AM58">
            <v>1.8</v>
          </cell>
          <cell r="AN58">
            <v>2.27</v>
          </cell>
          <cell r="AO58">
            <v>3.38</v>
          </cell>
          <cell r="AP58">
            <v>2.36</v>
          </cell>
          <cell r="AQ58">
            <v>2.81</v>
          </cell>
          <cell r="AR58">
            <v>2.69</v>
          </cell>
          <cell r="AS58">
            <v>2.2000000000000002</v>
          </cell>
          <cell r="AT58">
            <v>2.37</v>
          </cell>
          <cell r="AU58">
            <v>2.65</v>
          </cell>
          <cell r="AV58">
            <v>2.2999999999999998</v>
          </cell>
          <cell r="AW58">
            <v>1.81</v>
          </cell>
          <cell r="AX58">
            <v>1.85</v>
          </cell>
          <cell r="AY58">
            <v>2.69</v>
          </cell>
          <cell r="AZ58">
            <v>3.82</v>
          </cell>
          <cell r="BA58">
            <v>3.98</v>
          </cell>
          <cell r="BB58">
            <v>2.9</v>
          </cell>
          <cell r="BC58">
            <v>1.77</v>
          </cell>
          <cell r="BD58">
            <v>1.81</v>
          </cell>
          <cell r="BE58">
            <v>2.15</v>
          </cell>
          <cell r="BF58">
            <v>2.2999999999999998</v>
          </cell>
          <cell r="BG58">
            <v>2.15</v>
          </cell>
          <cell r="BH58">
            <v>2.17</v>
          </cell>
          <cell r="BI58">
            <v>2.5299999999999998</v>
          </cell>
          <cell r="BJ58">
            <v>3.1</v>
          </cell>
          <cell r="BK58">
            <v>3.27</v>
          </cell>
          <cell r="BL58">
            <v>2.54</v>
          </cell>
          <cell r="BM58">
            <v>2.2799999999999998</v>
          </cell>
          <cell r="BN58">
            <v>2.0299999999999998</v>
          </cell>
          <cell r="BO58">
            <v>2.27</v>
          </cell>
          <cell r="BP58">
            <v>2.3199999999999998</v>
          </cell>
          <cell r="BQ58">
            <v>2.29</v>
          </cell>
          <cell r="BR58">
            <v>2.0299999999999998</v>
          </cell>
          <cell r="BS58">
            <v>2.37</v>
          </cell>
          <cell r="BT58">
            <v>1.93</v>
          </cell>
          <cell r="BU58">
            <v>1.63</v>
          </cell>
          <cell r="BV58">
            <v>2.08</v>
          </cell>
          <cell r="BW58">
            <v>2.0099999999999998</v>
          </cell>
          <cell r="BX58">
            <v>2.11</v>
          </cell>
          <cell r="BY58">
            <v>1.78</v>
          </cell>
          <cell r="BZ58">
            <v>1.81</v>
          </cell>
          <cell r="CA58">
            <v>1.63</v>
          </cell>
          <cell r="CB58">
            <v>1.88</v>
          </cell>
          <cell r="CC58">
            <v>2.36</v>
          </cell>
          <cell r="CD58">
            <v>2.23</v>
          </cell>
          <cell r="CE58">
            <v>2.2599999999999998</v>
          </cell>
          <cell r="CF58">
            <v>2.61</v>
          </cell>
          <cell r="CG58">
            <v>2.89</v>
          </cell>
        </row>
        <row r="59">
          <cell r="A59" t="str">
            <v>TRAN-Z4</v>
          </cell>
          <cell r="B59">
            <v>56</v>
          </cell>
          <cell r="C59">
            <v>2.44</v>
          </cell>
          <cell r="D59">
            <v>2.3199999999999998</v>
          </cell>
          <cell r="E59">
            <v>1.91</v>
          </cell>
          <cell r="F59">
            <v>1.66</v>
          </cell>
          <cell r="G59">
            <v>1.92</v>
          </cell>
          <cell r="H59">
            <v>2.23</v>
          </cell>
          <cell r="I59">
            <v>2.72</v>
          </cell>
          <cell r="J59">
            <v>2.1</v>
          </cell>
          <cell r="K59">
            <v>1.94</v>
          </cell>
          <cell r="L59">
            <v>2.11</v>
          </cell>
          <cell r="M59">
            <v>2.39</v>
          </cell>
          <cell r="N59">
            <v>2.09</v>
          </cell>
          <cell r="O59">
            <v>2.17</v>
          </cell>
          <cell r="P59">
            <v>2.42</v>
          </cell>
          <cell r="Q59">
            <v>2.0699999999999998</v>
          </cell>
          <cell r="R59">
            <v>2.41</v>
          </cell>
          <cell r="S59">
            <v>2.4</v>
          </cell>
          <cell r="T59">
            <v>2</v>
          </cell>
          <cell r="U59">
            <v>2.08</v>
          </cell>
          <cell r="V59">
            <v>1.85</v>
          </cell>
          <cell r="W59">
            <v>1.98</v>
          </cell>
          <cell r="X59">
            <v>1.82</v>
          </cell>
          <cell r="Y59">
            <v>1.49</v>
          </cell>
          <cell r="Z59">
            <v>1.44</v>
          </cell>
          <cell r="AA59">
            <v>1.71</v>
          </cell>
          <cell r="AB59">
            <v>1.69</v>
          </cell>
          <cell r="AC59">
            <v>1.62</v>
          </cell>
          <cell r="AD59">
            <v>1.45</v>
          </cell>
          <cell r="AE59">
            <v>1.45</v>
          </cell>
          <cell r="AF59">
            <v>1.58</v>
          </cell>
          <cell r="AG59">
            <v>1.68</v>
          </cell>
          <cell r="AH59">
            <v>1.74</v>
          </cell>
          <cell r="AI59">
            <v>1.51</v>
          </cell>
          <cell r="AJ59">
            <v>1.39</v>
          </cell>
          <cell r="AK59">
            <v>1.59</v>
          </cell>
          <cell r="AL59">
            <v>1.65</v>
          </cell>
          <cell r="AM59">
            <v>1.82</v>
          </cell>
          <cell r="AN59">
            <v>2.29</v>
          </cell>
          <cell r="AO59">
            <v>3.44</v>
          </cell>
          <cell r="AP59">
            <v>2.41</v>
          </cell>
          <cell r="AQ59">
            <v>2.82</v>
          </cell>
          <cell r="AR59">
            <v>2.74</v>
          </cell>
          <cell r="AS59">
            <v>2.2000000000000002</v>
          </cell>
          <cell r="AT59">
            <v>2.38</v>
          </cell>
          <cell r="AU59">
            <v>2.66</v>
          </cell>
          <cell r="AV59">
            <v>2.34</v>
          </cell>
          <cell r="AW59">
            <v>1.8</v>
          </cell>
          <cell r="AX59">
            <v>1.83</v>
          </cell>
          <cell r="AY59">
            <v>2.69</v>
          </cell>
          <cell r="AZ59">
            <v>3.84</v>
          </cell>
          <cell r="BA59">
            <v>3.8</v>
          </cell>
          <cell r="BB59">
            <v>2.9</v>
          </cell>
          <cell r="BC59">
            <v>1.76</v>
          </cell>
          <cell r="BD59">
            <v>1.81</v>
          </cell>
          <cell r="BE59">
            <v>2.15</v>
          </cell>
          <cell r="BF59">
            <v>2.31</v>
          </cell>
          <cell r="BG59">
            <v>2.15</v>
          </cell>
          <cell r="BH59">
            <v>2.1800000000000002</v>
          </cell>
          <cell r="BI59">
            <v>2.5</v>
          </cell>
          <cell r="BJ59">
            <v>3.01</v>
          </cell>
          <cell r="BK59">
            <v>3.27</v>
          </cell>
          <cell r="BL59">
            <v>2.58</v>
          </cell>
          <cell r="BM59">
            <v>2.34</v>
          </cell>
          <cell r="BN59">
            <v>2.08</v>
          </cell>
          <cell r="BO59">
            <v>2.2999999999999998</v>
          </cell>
          <cell r="BP59">
            <v>2.33</v>
          </cell>
          <cell r="BQ59">
            <v>2.29</v>
          </cell>
          <cell r="BR59">
            <v>2.02</v>
          </cell>
          <cell r="BS59">
            <v>2.37</v>
          </cell>
          <cell r="BT59">
            <v>1.94</v>
          </cell>
          <cell r="BU59">
            <v>1.63</v>
          </cell>
          <cell r="BV59">
            <v>2.09</v>
          </cell>
          <cell r="BW59">
            <v>2.02</v>
          </cell>
          <cell r="BX59">
            <v>2.12</v>
          </cell>
          <cell r="BY59">
            <v>1.81</v>
          </cell>
          <cell r="BZ59">
            <v>1.84</v>
          </cell>
          <cell r="CA59">
            <v>1.66</v>
          </cell>
          <cell r="CB59">
            <v>1.88</v>
          </cell>
          <cell r="CC59">
            <v>2.37</v>
          </cell>
          <cell r="CD59">
            <v>2.2400000000000002</v>
          </cell>
          <cell r="CE59">
            <v>2.27</v>
          </cell>
          <cell r="CF59">
            <v>2.62</v>
          </cell>
          <cell r="CG59">
            <v>2.9</v>
          </cell>
        </row>
        <row r="60">
          <cell r="A60" t="str">
            <v>TRAN-Z6</v>
          </cell>
          <cell r="B60">
            <v>57</v>
          </cell>
          <cell r="AU60">
            <v>2.93</v>
          </cell>
          <cell r="AV60">
            <v>2.58</v>
          </cell>
          <cell r="AW60">
            <v>2.0499999999999998</v>
          </cell>
          <cell r="AX60">
            <v>2.1</v>
          </cell>
          <cell r="AY60">
            <v>3.33</v>
          </cell>
          <cell r="AZ60">
            <v>5.14</v>
          </cell>
          <cell r="BA60">
            <v>5.25</v>
          </cell>
          <cell r="BB60">
            <v>3.65</v>
          </cell>
          <cell r="BC60">
            <v>2.15</v>
          </cell>
          <cell r="BD60">
            <v>2.15</v>
          </cell>
          <cell r="BE60">
            <v>2.42</v>
          </cell>
          <cell r="BF60">
            <v>2.59</v>
          </cell>
          <cell r="BG60">
            <v>2.4300000000000002</v>
          </cell>
          <cell r="BH60">
            <v>2.42</v>
          </cell>
          <cell r="BI60">
            <v>2.75</v>
          </cell>
          <cell r="BJ60">
            <v>3.47</v>
          </cell>
          <cell r="BK60">
            <v>3.76</v>
          </cell>
          <cell r="BL60">
            <v>3.29</v>
          </cell>
          <cell r="BM60">
            <v>2.95</v>
          </cell>
          <cell r="BN60">
            <v>2.4</v>
          </cell>
          <cell r="BO60">
            <v>2.4900000000000002</v>
          </cell>
          <cell r="BP60">
            <v>2.56</v>
          </cell>
          <cell r="BQ60">
            <v>2.5299999999999998</v>
          </cell>
          <cell r="BR60">
            <v>2.2599999999999998</v>
          </cell>
          <cell r="BS60">
            <v>2.59</v>
          </cell>
          <cell r="BT60">
            <v>2.17</v>
          </cell>
          <cell r="BU60">
            <v>1.8</v>
          </cell>
          <cell r="BV60">
            <v>2.2999999999999998</v>
          </cell>
          <cell r="BW60">
            <v>2.41</v>
          </cell>
          <cell r="BX60">
            <v>2.5</v>
          </cell>
          <cell r="BY60">
            <v>2.36</v>
          </cell>
          <cell r="BZ60">
            <v>2.31</v>
          </cell>
          <cell r="CA60">
            <v>1.96</v>
          </cell>
          <cell r="CB60">
            <v>2.15</v>
          </cell>
          <cell r="CC60">
            <v>2.56</v>
          </cell>
          <cell r="CD60">
            <v>2.42</v>
          </cell>
          <cell r="CE60">
            <v>2.5</v>
          </cell>
          <cell r="CF60">
            <v>2.9</v>
          </cell>
          <cell r="CG60">
            <v>3.14</v>
          </cell>
        </row>
        <row r="61">
          <cell r="A61" t="str">
            <v>TRUNK-FZ</v>
          </cell>
          <cell r="B61">
            <v>58</v>
          </cell>
          <cell r="C61">
            <v>2.2599999999999998</v>
          </cell>
          <cell r="D61">
            <v>2.2000000000000002</v>
          </cell>
          <cell r="E61">
            <v>1.9</v>
          </cell>
          <cell r="F61">
            <v>1.6</v>
          </cell>
          <cell r="G61">
            <v>1.85</v>
          </cell>
          <cell r="H61">
            <v>2.15</v>
          </cell>
          <cell r="I61">
            <v>2.67</v>
          </cell>
          <cell r="J61">
            <v>1.95</v>
          </cell>
          <cell r="K61">
            <v>1.92</v>
          </cell>
          <cell r="L61">
            <v>2.0299999999999998</v>
          </cell>
          <cell r="M61">
            <v>2.2999999999999998</v>
          </cell>
          <cell r="N61">
            <v>2</v>
          </cell>
          <cell r="O61">
            <v>2.08</v>
          </cell>
          <cell r="P61">
            <v>2.35</v>
          </cell>
          <cell r="Q61">
            <v>1.99</v>
          </cell>
          <cell r="R61">
            <v>2.2799999999999998</v>
          </cell>
          <cell r="S61">
            <v>2.2999999999999998</v>
          </cell>
          <cell r="T61">
            <v>1.94</v>
          </cell>
          <cell r="U61">
            <v>2.0099999999999998</v>
          </cell>
          <cell r="V61">
            <v>1.75</v>
          </cell>
          <cell r="W61">
            <v>1.87</v>
          </cell>
          <cell r="X61">
            <v>1.71</v>
          </cell>
          <cell r="Y61">
            <v>1.41</v>
          </cell>
          <cell r="Z61">
            <v>1.37</v>
          </cell>
          <cell r="AA61">
            <v>1.6</v>
          </cell>
          <cell r="AB61">
            <v>1.6</v>
          </cell>
          <cell r="AC61">
            <v>1.53</v>
          </cell>
          <cell r="AD61">
            <v>1.33</v>
          </cell>
          <cell r="AE61">
            <v>1.35</v>
          </cell>
          <cell r="AF61">
            <v>1.5</v>
          </cell>
          <cell r="AG61">
            <v>1.61</v>
          </cell>
          <cell r="AH61">
            <v>1.65</v>
          </cell>
          <cell r="AI61">
            <v>1.44</v>
          </cell>
          <cell r="AJ61">
            <v>1.3</v>
          </cell>
          <cell r="AK61">
            <v>1.5</v>
          </cell>
          <cell r="AL61">
            <v>1.59</v>
          </cell>
          <cell r="AM61">
            <v>1.73</v>
          </cell>
          <cell r="AN61">
            <v>2.2000000000000002</v>
          </cell>
          <cell r="AO61">
            <v>3.15</v>
          </cell>
          <cell r="AP61">
            <v>2.27</v>
          </cell>
          <cell r="AQ61">
            <v>2.68</v>
          </cell>
          <cell r="BB61">
            <v>2.83</v>
          </cell>
          <cell r="BD61">
            <v>1.73</v>
          </cell>
          <cell r="BE61">
            <v>2.02</v>
          </cell>
          <cell r="BF61">
            <v>2.23</v>
          </cell>
          <cell r="BG61">
            <v>2.08</v>
          </cell>
          <cell r="BH61">
            <v>2.11</v>
          </cell>
          <cell r="BI61">
            <v>2.46</v>
          </cell>
        </row>
        <row r="62">
          <cell r="A62" t="str">
            <v>TRUNK-LA</v>
          </cell>
          <cell r="B62">
            <v>59</v>
          </cell>
          <cell r="AO62">
            <v>3.2</v>
          </cell>
          <cell r="AP62">
            <v>2.3199999999999998</v>
          </cell>
          <cell r="AQ62">
            <v>2.74</v>
          </cell>
          <cell r="AR62">
            <v>2.6</v>
          </cell>
          <cell r="AS62">
            <v>2.16</v>
          </cell>
          <cell r="AT62">
            <v>2.2999999999999998</v>
          </cell>
          <cell r="AU62">
            <v>2.6</v>
          </cell>
          <cell r="AV62">
            <v>2.2599999999999998</v>
          </cell>
          <cell r="AW62">
            <v>1.76</v>
          </cell>
          <cell r="AX62">
            <v>1.77</v>
          </cell>
          <cell r="AY62">
            <v>2.63</v>
          </cell>
          <cell r="AZ62">
            <v>3.74</v>
          </cell>
          <cell r="BA62">
            <v>3.8</v>
          </cell>
          <cell r="BB62">
            <v>2.76</v>
          </cell>
          <cell r="BC62">
            <v>1.67</v>
          </cell>
          <cell r="BD62">
            <v>1.76</v>
          </cell>
          <cell r="BE62">
            <v>2.06</v>
          </cell>
          <cell r="BF62">
            <v>2.2400000000000002</v>
          </cell>
          <cell r="BG62">
            <v>2.08</v>
          </cell>
          <cell r="BH62">
            <v>2.13</v>
          </cell>
          <cell r="BI62">
            <v>2.4700000000000002</v>
          </cell>
          <cell r="BJ62">
            <v>3.07</v>
          </cell>
          <cell r="BK62">
            <v>3.18</v>
          </cell>
          <cell r="BL62">
            <v>2.44</v>
          </cell>
          <cell r="BM62">
            <v>2.16</v>
          </cell>
          <cell r="BN62">
            <v>1.93</v>
          </cell>
          <cell r="BO62">
            <v>2.1800000000000002</v>
          </cell>
          <cell r="BP62">
            <v>2.2200000000000002</v>
          </cell>
          <cell r="BQ62">
            <v>2.19</v>
          </cell>
          <cell r="BR62">
            <v>1.94</v>
          </cell>
          <cell r="BS62">
            <v>2.2799999999999998</v>
          </cell>
          <cell r="BT62">
            <v>1.84</v>
          </cell>
          <cell r="BU62">
            <v>1.53</v>
          </cell>
          <cell r="BV62">
            <v>1.94</v>
          </cell>
          <cell r="BW62">
            <v>1.91</v>
          </cell>
          <cell r="BX62">
            <v>2.0499999999999998</v>
          </cell>
          <cell r="BY62">
            <v>1.71</v>
          </cell>
          <cell r="BZ62">
            <v>1.75</v>
          </cell>
          <cell r="CA62">
            <v>1.56</v>
          </cell>
          <cell r="CB62">
            <v>1.83</v>
          </cell>
          <cell r="CC62">
            <v>2.2999999999999998</v>
          </cell>
          <cell r="CD62">
            <v>2.16</v>
          </cell>
          <cell r="CE62">
            <v>2.2200000000000002</v>
          </cell>
          <cell r="CF62">
            <v>2.56</v>
          </cell>
          <cell r="CG62">
            <v>2.85</v>
          </cell>
        </row>
        <row r="63">
          <cell r="A63" t="str">
            <v>TRUNK-TX</v>
          </cell>
          <cell r="B63">
            <v>60</v>
          </cell>
          <cell r="AO63">
            <v>2.0499999999999998</v>
          </cell>
          <cell r="AP63">
            <v>1.78</v>
          </cell>
          <cell r="AQ63">
            <v>1.92</v>
          </cell>
          <cell r="AR63">
            <v>2.23</v>
          </cell>
          <cell r="AS63">
            <v>2.11</v>
          </cell>
          <cell r="AT63">
            <v>2.2599999999999998</v>
          </cell>
          <cell r="AU63">
            <v>2.5299999999999998</v>
          </cell>
          <cell r="AV63">
            <v>2.21</v>
          </cell>
          <cell r="AW63">
            <v>1.7</v>
          </cell>
          <cell r="AX63">
            <v>1.74</v>
          </cell>
          <cell r="AY63">
            <v>2.61</v>
          </cell>
          <cell r="AZ63">
            <v>3.68</v>
          </cell>
          <cell r="BA63">
            <v>3.59</v>
          </cell>
          <cell r="BB63">
            <v>2.7</v>
          </cell>
          <cell r="BC63">
            <v>1.64</v>
          </cell>
          <cell r="BD63">
            <v>1.73</v>
          </cell>
          <cell r="BE63">
            <v>2.02</v>
          </cell>
          <cell r="BF63">
            <v>2.2200000000000002</v>
          </cell>
          <cell r="BG63">
            <v>2.0699999999999998</v>
          </cell>
          <cell r="BH63">
            <v>2.11</v>
          </cell>
          <cell r="BI63">
            <v>2.46</v>
          </cell>
          <cell r="BJ63">
            <v>3</v>
          </cell>
          <cell r="BK63">
            <v>3.16</v>
          </cell>
          <cell r="BL63">
            <v>2.35</v>
          </cell>
          <cell r="BM63">
            <v>2.15</v>
          </cell>
          <cell r="BN63">
            <v>1.92</v>
          </cell>
          <cell r="BO63">
            <v>2.17</v>
          </cell>
          <cell r="BP63">
            <v>2.2200000000000002</v>
          </cell>
          <cell r="BQ63">
            <v>2.2000000000000002</v>
          </cell>
          <cell r="BR63">
            <v>1.95</v>
          </cell>
          <cell r="BS63">
            <v>2.2799999999999998</v>
          </cell>
          <cell r="BT63">
            <v>1.83</v>
          </cell>
          <cell r="BU63">
            <v>1.54</v>
          </cell>
          <cell r="BV63">
            <v>1.94</v>
          </cell>
          <cell r="BW63">
            <v>1.89</v>
          </cell>
          <cell r="BX63">
            <v>2.0299999999999998</v>
          </cell>
          <cell r="BY63">
            <v>1.69</v>
          </cell>
          <cell r="BZ63">
            <v>1.74</v>
          </cell>
          <cell r="CA63">
            <v>1.56</v>
          </cell>
          <cell r="CB63">
            <v>1.82</v>
          </cell>
          <cell r="CC63">
            <v>2.2799999999999998</v>
          </cell>
          <cell r="CD63">
            <v>2.14</v>
          </cell>
          <cell r="CE63">
            <v>2.2000000000000002</v>
          </cell>
          <cell r="CF63">
            <v>2.5299999999999998</v>
          </cell>
          <cell r="CG63">
            <v>2.81</v>
          </cell>
        </row>
        <row r="64">
          <cell r="A64" t="str">
            <v>TW-PERM</v>
          </cell>
          <cell r="B64">
            <v>61</v>
          </cell>
          <cell r="C64">
            <v>2.11</v>
          </cell>
          <cell r="D64">
            <v>2.0299999999999998</v>
          </cell>
          <cell r="E64">
            <v>2.0299999999999998</v>
          </cell>
          <cell r="F64">
            <v>1.57</v>
          </cell>
          <cell r="G64">
            <v>1.84</v>
          </cell>
          <cell r="H64">
            <v>1.9</v>
          </cell>
          <cell r="I64">
            <v>2.21</v>
          </cell>
          <cell r="J64">
            <v>1.65</v>
          </cell>
          <cell r="K64">
            <v>1.76</v>
          </cell>
          <cell r="L64">
            <v>1.88</v>
          </cell>
          <cell r="M64">
            <v>2.0299999999999998</v>
          </cell>
          <cell r="N64">
            <v>1.73</v>
          </cell>
          <cell r="O64">
            <v>1.76</v>
          </cell>
          <cell r="P64">
            <v>2.27</v>
          </cell>
          <cell r="Q64">
            <v>1.91</v>
          </cell>
          <cell r="R64">
            <v>1.88</v>
          </cell>
          <cell r="S64">
            <v>2.0099999999999998</v>
          </cell>
          <cell r="T64">
            <v>1.73</v>
          </cell>
          <cell r="U64">
            <v>1.73</v>
          </cell>
          <cell r="V64">
            <v>1.48</v>
          </cell>
          <cell r="W64">
            <v>1.64</v>
          </cell>
          <cell r="X64">
            <v>1.56</v>
          </cell>
          <cell r="Y64">
            <v>1.38</v>
          </cell>
          <cell r="Z64">
            <v>1.21</v>
          </cell>
          <cell r="AA64">
            <v>1.47</v>
          </cell>
          <cell r="AB64">
            <v>1.63</v>
          </cell>
          <cell r="AC64">
            <v>1.44</v>
          </cell>
          <cell r="AD64">
            <v>1.1599999999999999</v>
          </cell>
          <cell r="AE64">
            <v>1.18</v>
          </cell>
          <cell r="AF64">
            <v>1.26</v>
          </cell>
          <cell r="AG64">
            <v>1.35</v>
          </cell>
          <cell r="AH64">
            <v>1.38</v>
          </cell>
          <cell r="AI64">
            <v>1.19</v>
          </cell>
          <cell r="AJ64">
            <v>1.18</v>
          </cell>
          <cell r="AK64">
            <v>1.36</v>
          </cell>
          <cell r="AL64">
            <v>1.42</v>
          </cell>
          <cell r="AM64">
            <v>1.53</v>
          </cell>
          <cell r="AN64">
            <v>1.74</v>
          </cell>
          <cell r="AO64">
            <v>1.89</v>
          </cell>
          <cell r="AP64">
            <v>1.66</v>
          </cell>
          <cell r="AQ64">
            <v>1.76</v>
          </cell>
          <cell r="AR64">
            <v>1.96</v>
          </cell>
          <cell r="AS64">
            <v>1.89</v>
          </cell>
          <cell r="AT64">
            <v>1.95</v>
          </cell>
          <cell r="AU64">
            <v>2.02</v>
          </cell>
          <cell r="AV64">
            <v>2.0099999999999998</v>
          </cell>
          <cell r="AW64">
            <v>1.55</v>
          </cell>
          <cell r="AX64">
            <v>1.62</v>
          </cell>
          <cell r="AY64">
            <v>2.44</v>
          </cell>
          <cell r="AZ64">
            <v>3.5</v>
          </cell>
          <cell r="BA64">
            <v>4.0999999999999996</v>
          </cell>
          <cell r="BB64">
            <v>2.5</v>
          </cell>
          <cell r="BC64">
            <v>1.52</v>
          </cell>
          <cell r="BD64">
            <v>1.61</v>
          </cell>
          <cell r="BE64">
            <v>1.89</v>
          </cell>
          <cell r="BF64">
            <v>2.0499999999999998</v>
          </cell>
          <cell r="BG64">
            <v>1.99</v>
          </cell>
          <cell r="BH64">
            <v>2.0499999999999998</v>
          </cell>
          <cell r="BI64">
            <v>2.35</v>
          </cell>
          <cell r="BJ64">
            <v>2.84</v>
          </cell>
          <cell r="BK64">
            <v>3.06</v>
          </cell>
          <cell r="BL64">
            <v>2.2000000000000002</v>
          </cell>
          <cell r="BM64">
            <v>2.09</v>
          </cell>
          <cell r="BN64">
            <v>1.87</v>
          </cell>
          <cell r="BO64">
            <v>2.0699999999999998</v>
          </cell>
          <cell r="BP64">
            <v>2.15</v>
          </cell>
          <cell r="BQ64">
            <v>2.12</v>
          </cell>
          <cell r="BR64">
            <v>1.89</v>
          </cell>
          <cell r="BS64">
            <v>2.17</v>
          </cell>
          <cell r="BT64">
            <v>1.94</v>
          </cell>
          <cell r="BU64">
            <v>1.59</v>
          </cell>
          <cell r="BV64">
            <v>1.83</v>
          </cell>
          <cell r="BW64">
            <v>1.99</v>
          </cell>
          <cell r="BX64">
            <v>1.99</v>
          </cell>
          <cell r="BY64">
            <v>1.74</v>
          </cell>
          <cell r="BZ64">
            <v>1.67</v>
          </cell>
          <cell r="CA64">
            <v>1.57</v>
          </cell>
          <cell r="CB64">
            <v>1.66</v>
          </cell>
          <cell r="CC64">
            <v>2.16</v>
          </cell>
          <cell r="CD64">
            <v>2.08</v>
          </cell>
          <cell r="CE64">
            <v>2.17</v>
          </cell>
          <cell r="CF64">
            <v>2.4500000000000002</v>
          </cell>
          <cell r="CG64">
            <v>2.77</v>
          </cell>
        </row>
        <row r="65">
          <cell r="A65" t="str">
            <v>TXG-Z1</v>
          </cell>
          <cell r="B65">
            <v>62</v>
          </cell>
          <cell r="C65">
            <v>2.33</v>
          </cell>
          <cell r="D65">
            <v>2.25</v>
          </cell>
          <cell r="E65">
            <v>1.92</v>
          </cell>
          <cell r="F65">
            <v>1.61</v>
          </cell>
          <cell r="G65">
            <v>1.85</v>
          </cell>
          <cell r="H65">
            <v>2.16</v>
          </cell>
          <cell r="I65">
            <v>2.65</v>
          </cell>
          <cell r="J65">
            <v>2</v>
          </cell>
          <cell r="K65">
            <v>1.89</v>
          </cell>
          <cell r="L65">
            <v>2.04</v>
          </cell>
          <cell r="M65">
            <v>2.2999999999999998</v>
          </cell>
          <cell r="N65">
            <v>1.98</v>
          </cell>
          <cell r="O65">
            <v>2.09</v>
          </cell>
          <cell r="P65">
            <v>2.2999999999999998</v>
          </cell>
          <cell r="Q65">
            <v>2.02</v>
          </cell>
          <cell r="R65">
            <v>2.2999999999999998</v>
          </cell>
          <cell r="S65">
            <v>2.33</v>
          </cell>
          <cell r="T65">
            <v>1.94</v>
          </cell>
          <cell r="U65">
            <v>2.02</v>
          </cell>
          <cell r="V65">
            <v>1.78</v>
          </cell>
          <cell r="W65">
            <v>1.91</v>
          </cell>
          <cell r="X65">
            <v>1.76</v>
          </cell>
          <cell r="Y65">
            <v>1.44</v>
          </cell>
          <cell r="Z65">
            <v>1.39</v>
          </cell>
          <cell r="AA65">
            <v>1.63</v>
          </cell>
          <cell r="AB65">
            <v>1.64</v>
          </cell>
          <cell r="AC65">
            <v>1.58</v>
          </cell>
          <cell r="AD65">
            <v>1.38</v>
          </cell>
          <cell r="AE65">
            <v>1.41</v>
          </cell>
          <cell r="AF65">
            <v>1.51</v>
          </cell>
          <cell r="AG65">
            <v>1.62</v>
          </cell>
          <cell r="AH65">
            <v>1.66</v>
          </cell>
          <cell r="AI65">
            <v>1.46</v>
          </cell>
          <cell r="AJ65">
            <v>1.33</v>
          </cell>
          <cell r="AK65">
            <v>1.53</v>
          </cell>
          <cell r="AL65">
            <v>1.62</v>
          </cell>
          <cell r="AM65">
            <v>1.76</v>
          </cell>
          <cell r="AN65">
            <v>2.25</v>
          </cell>
          <cell r="AO65">
            <v>3.32</v>
          </cell>
          <cell r="AP65">
            <v>2.35</v>
          </cell>
          <cell r="AQ65">
            <v>2.74</v>
          </cell>
          <cell r="AR65">
            <v>2.7</v>
          </cell>
          <cell r="AS65">
            <v>2.17</v>
          </cell>
          <cell r="AT65">
            <v>2.2999999999999998</v>
          </cell>
          <cell r="AU65">
            <v>2.61</v>
          </cell>
          <cell r="AV65">
            <v>2.2799999999999998</v>
          </cell>
          <cell r="AW65">
            <v>1.81</v>
          </cell>
          <cell r="AX65">
            <v>1.8</v>
          </cell>
          <cell r="AY65">
            <v>2.62</v>
          </cell>
          <cell r="AZ65">
            <v>3.81</v>
          </cell>
          <cell r="BA65">
            <v>4.01</v>
          </cell>
          <cell r="BB65">
            <v>2.88</v>
          </cell>
          <cell r="BC65">
            <v>1.76</v>
          </cell>
          <cell r="BD65">
            <v>1.78</v>
          </cell>
          <cell r="BE65">
            <v>2.08</v>
          </cell>
          <cell r="BF65">
            <v>2.2999999999999998</v>
          </cell>
          <cell r="BG65">
            <v>2.13</v>
          </cell>
          <cell r="BH65">
            <v>2.17</v>
          </cell>
          <cell r="BI65">
            <v>2.54</v>
          </cell>
          <cell r="BJ65">
            <v>3.08</v>
          </cell>
          <cell r="BK65">
            <v>3.24</v>
          </cell>
          <cell r="BL65">
            <v>2.4700000000000002</v>
          </cell>
          <cell r="BM65">
            <v>2.2400000000000002</v>
          </cell>
          <cell r="BN65">
            <v>1.99</v>
          </cell>
          <cell r="BO65">
            <v>2.2200000000000002</v>
          </cell>
          <cell r="BP65">
            <v>2.2400000000000002</v>
          </cell>
          <cell r="BQ65">
            <v>2.25</v>
          </cell>
          <cell r="BR65">
            <v>2</v>
          </cell>
          <cell r="BS65">
            <v>2.33</v>
          </cell>
          <cell r="BT65">
            <v>1.91</v>
          </cell>
          <cell r="BU65">
            <v>1.59</v>
          </cell>
          <cell r="BV65">
            <v>2.0299999999999998</v>
          </cell>
          <cell r="BW65">
            <v>1.98</v>
          </cell>
          <cell r="BX65">
            <v>2.09</v>
          </cell>
          <cell r="BY65">
            <v>1.74</v>
          </cell>
          <cell r="BZ65">
            <v>1.81</v>
          </cell>
          <cell r="CA65">
            <v>1.62</v>
          </cell>
          <cell r="CB65">
            <v>1.87</v>
          </cell>
          <cell r="CC65">
            <v>2.35</v>
          </cell>
          <cell r="CD65">
            <v>2.21</v>
          </cell>
          <cell r="CE65">
            <v>2.25</v>
          </cell>
          <cell r="CF65">
            <v>2.6</v>
          </cell>
          <cell r="CG65">
            <v>2.88</v>
          </cell>
        </row>
        <row r="66">
          <cell r="A66" t="str">
            <v>TXG-ZSL</v>
          </cell>
          <cell r="B66">
            <v>63</v>
          </cell>
          <cell r="C66">
            <v>2.3199999999999998</v>
          </cell>
          <cell r="D66">
            <v>2.2400000000000002</v>
          </cell>
          <cell r="E66">
            <v>1.9</v>
          </cell>
          <cell r="F66">
            <v>1.6</v>
          </cell>
          <cell r="G66">
            <v>1.85</v>
          </cell>
          <cell r="H66">
            <v>2.15</v>
          </cell>
          <cell r="I66">
            <v>2.65</v>
          </cell>
          <cell r="J66">
            <v>1.98</v>
          </cell>
          <cell r="K66">
            <v>1.87</v>
          </cell>
          <cell r="L66">
            <v>2.0499999999999998</v>
          </cell>
          <cell r="M66">
            <v>2.3199999999999998</v>
          </cell>
          <cell r="N66">
            <v>1.98</v>
          </cell>
          <cell r="O66">
            <v>2.09</v>
          </cell>
          <cell r="P66">
            <v>2.3199999999999998</v>
          </cell>
          <cell r="Q66">
            <v>2.0299999999999998</v>
          </cell>
          <cell r="R66">
            <v>2.3199999999999998</v>
          </cell>
          <cell r="S66">
            <v>2.3199999999999998</v>
          </cell>
          <cell r="T66">
            <v>1.93</v>
          </cell>
          <cell r="U66">
            <v>2.0299999999999998</v>
          </cell>
          <cell r="V66">
            <v>1.77</v>
          </cell>
          <cell r="W66">
            <v>1.91</v>
          </cell>
          <cell r="X66">
            <v>1.75</v>
          </cell>
          <cell r="Y66">
            <v>1.44</v>
          </cell>
          <cell r="Z66">
            <v>1.37</v>
          </cell>
          <cell r="AA66">
            <v>1.63</v>
          </cell>
          <cell r="AB66">
            <v>1.64</v>
          </cell>
          <cell r="AC66">
            <v>1.57</v>
          </cell>
          <cell r="AD66">
            <v>1.38</v>
          </cell>
          <cell r="AE66">
            <v>1.4</v>
          </cell>
          <cell r="AF66">
            <v>1.51</v>
          </cell>
          <cell r="AG66">
            <v>1.62</v>
          </cell>
          <cell r="AH66">
            <v>1.67</v>
          </cell>
          <cell r="AI66">
            <v>1.46</v>
          </cell>
          <cell r="AJ66">
            <v>1.32</v>
          </cell>
          <cell r="AK66">
            <v>1.53</v>
          </cell>
          <cell r="AL66">
            <v>1.61</v>
          </cell>
          <cell r="AM66">
            <v>1.76</v>
          </cell>
          <cell r="AN66">
            <v>2.2400000000000002</v>
          </cell>
          <cell r="AO66">
            <v>3.35</v>
          </cell>
          <cell r="AP66">
            <v>2.35</v>
          </cell>
          <cell r="AQ66">
            <v>2.8</v>
          </cell>
          <cell r="AR66">
            <v>2.72</v>
          </cell>
          <cell r="AS66">
            <v>2.19</v>
          </cell>
          <cell r="AT66">
            <v>2.3199999999999998</v>
          </cell>
          <cell r="AU66">
            <v>2.62</v>
          </cell>
          <cell r="AV66">
            <v>2.2999999999999998</v>
          </cell>
          <cell r="AW66">
            <v>1.79</v>
          </cell>
          <cell r="AX66">
            <v>1.81</v>
          </cell>
          <cell r="AY66">
            <v>2.64</v>
          </cell>
          <cell r="AZ66">
            <v>3.84</v>
          </cell>
          <cell r="BA66">
            <v>4.0199999999999996</v>
          </cell>
          <cell r="BB66">
            <v>2.88</v>
          </cell>
          <cell r="BC66">
            <v>1.77</v>
          </cell>
          <cell r="BD66">
            <v>1.79</v>
          </cell>
          <cell r="BE66">
            <v>2.1</v>
          </cell>
          <cell r="BF66">
            <v>2.31</v>
          </cell>
          <cell r="BG66">
            <v>2.13</v>
          </cell>
          <cell r="BH66">
            <v>2.16</v>
          </cell>
          <cell r="BI66">
            <v>2.5299999999999998</v>
          </cell>
          <cell r="BJ66">
            <v>3.08</v>
          </cell>
          <cell r="BK66">
            <v>3.26</v>
          </cell>
          <cell r="BL66">
            <v>2.5099999999999998</v>
          </cell>
          <cell r="BM66">
            <v>2.25</v>
          </cell>
          <cell r="BN66">
            <v>1.99</v>
          </cell>
          <cell r="BO66">
            <v>2.23</v>
          </cell>
          <cell r="BP66">
            <v>2.2200000000000002</v>
          </cell>
          <cell r="BQ66">
            <v>2.25</v>
          </cell>
          <cell r="BR66">
            <v>2</v>
          </cell>
          <cell r="BS66">
            <v>2.33</v>
          </cell>
          <cell r="BT66">
            <v>1.91</v>
          </cell>
          <cell r="BU66">
            <v>1.58</v>
          </cell>
          <cell r="BV66">
            <v>2.02</v>
          </cell>
          <cell r="BW66">
            <v>1.96</v>
          </cell>
          <cell r="BX66">
            <v>2.0699999999999998</v>
          </cell>
          <cell r="BY66">
            <v>1.74</v>
          </cell>
          <cell r="BZ66">
            <v>1.79</v>
          </cell>
          <cell r="CA66">
            <v>1.61</v>
          </cell>
          <cell r="CB66">
            <v>1.87</v>
          </cell>
          <cell r="CC66">
            <v>2.34</v>
          </cell>
          <cell r="CD66">
            <v>2.2000000000000002</v>
          </cell>
          <cell r="CE66">
            <v>2.2400000000000002</v>
          </cell>
          <cell r="CF66">
            <v>2.59</v>
          </cell>
          <cell r="CG66">
            <v>2.87</v>
          </cell>
        </row>
        <row r="67">
          <cell r="A67" t="str">
            <v>VAL-TX</v>
          </cell>
          <cell r="B67">
            <v>64</v>
          </cell>
          <cell r="C67">
            <v>2.04</v>
          </cell>
          <cell r="D67">
            <v>2.0499999999999998</v>
          </cell>
          <cell r="E67">
            <v>1.9</v>
          </cell>
          <cell r="F67">
            <v>1.56</v>
          </cell>
          <cell r="G67">
            <v>1.8</v>
          </cell>
          <cell r="H67">
            <v>2.15</v>
          </cell>
          <cell r="I67">
            <v>2.5</v>
          </cell>
          <cell r="J67">
            <v>1.81</v>
          </cell>
          <cell r="K67">
            <v>1.82</v>
          </cell>
          <cell r="L67">
            <v>2.02</v>
          </cell>
          <cell r="M67">
            <v>2.2400000000000002</v>
          </cell>
          <cell r="N67">
            <v>1.85</v>
          </cell>
          <cell r="O67">
            <v>1.95</v>
          </cell>
          <cell r="P67">
            <v>2.2999999999999998</v>
          </cell>
          <cell r="Q67">
            <v>1.91</v>
          </cell>
          <cell r="R67">
            <v>2</v>
          </cell>
          <cell r="S67">
            <v>2.09</v>
          </cell>
          <cell r="T67">
            <v>1.84</v>
          </cell>
          <cell r="U67">
            <v>1.9</v>
          </cell>
          <cell r="V67">
            <v>1.64</v>
          </cell>
          <cell r="W67">
            <v>1.85</v>
          </cell>
          <cell r="X67">
            <v>1.65</v>
          </cell>
          <cell r="Y67">
            <v>1.39</v>
          </cell>
          <cell r="Z67">
            <v>1.29</v>
          </cell>
          <cell r="AA67">
            <v>1.56</v>
          </cell>
          <cell r="AB67">
            <v>1.58</v>
          </cell>
          <cell r="AC67">
            <v>1.45</v>
          </cell>
          <cell r="AD67">
            <v>1.26</v>
          </cell>
          <cell r="AE67">
            <v>1.28</v>
          </cell>
          <cell r="AF67">
            <v>1.38</v>
          </cell>
          <cell r="AG67">
            <v>1.5</v>
          </cell>
          <cell r="AH67">
            <v>1.53</v>
          </cell>
          <cell r="AI67">
            <v>1.36</v>
          </cell>
          <cell r="AJ67">
            <v>1.26</v>
          </cell>
          <cell r="AK67">
            <v>1.43</v>
          </cell>
          <cell r="AL67">
            <v>1.5</v>
          </cell>
          <cell r="AM67">
            <v>1.61</v>
          </cell>
          <cell r="AN67">
            <v>1.97</v>
          </cell>
          <cell r="AO67">
            <v>2.04</v>
          </cell>
          <cell r="AP67">
            <v>1.77</v>
          </cell>
          <cell r="AQ67">
            <v>1.89</v>
          </cell>
          <cell r="AR67">
            <v>2.1800000000000002</v>
          </cell>
          <cell r="AS67">
            <v>2.06</v>
          </cell>
          <cell r="AT67">
            <v>2.1800000000000002</v>
          </cell>
          <cell r="AU67">
            <v>2.37</v>
          </cell>
          <cell r="AV67">
            <v>2.16</v>
          </cell>
          <cell r="AW67">
            <v>1.74</v>
          </cell>
          <cell r="AX67">
            <v>1.71</v>
          </cell>
          <cell r="AY67">
            <v>2.4900000000000002</v>
          </cell>
          <cell r="AZ67">
            <v>3.55</v>
          </cell>
          <cell r="BA67">
            <v>3.76</v>
          </cell>
          <cell r="BB67">
            <v>2.64</v>
          </cell>
          <cell r="BC67">
            <v>1.6</v>
          </cell>
          <cell r="BD67">
            <v>1.69</v>
          </cell>
          <cell r="BE67">
            <v>1.96</v>
          </cell>
          <cell r="BF67">
            <v>2.17</v>
          </cell>
          <cell r="BG67">
            <v>2.0299999999999998</v>
          </cell>
          <cell r="BH67">
            <v>2.0699999999999998</v>
          </cell>
          <cell r="BI67">
            <v>2.38</v>
          </cell>
          <cell r="BJ67">
            <v>3</v>
          </cell>
          <cell r="BK67">
            <v>3.15</v>
          </cell>
          <cell r="BL67">
            <v>2.31</v>
          </cell>
          <cell r="BM67">
            <v>2.09</v>
          </cell>
          <cell r="BN67">
            <v>1.88</v>
          </cell>
          <cell r="BO67">
            <v>2.11</v>
          </cell>
          <cell r="BP67">
            <v>2.1800000000000002</v>
          </cell>
          <cell r="BQ67">
            <v>2.17</v>
          </cell>
          <cell r="BR67">
            <v>1.93</v>
          </cell>
        </row>
        <row r="68">
          <cell r="A68" t="str">
            <v>WILL-TOK</v>
          </cell>
          <cell r="B68">
            <v>65</v>
          </cell>
          <cell r="C68">
            <v>1.98</v>
          </cell>
          <cell r="D68">
            <v>2</v>
          </cell>
          <cell r="E68">
            <v>2.0299999999999998</v>
          </cell>
          <cell r="F68">
            <v>1.65</v>
          </cell>
          <cell r="G68">
            <v>1.85</v>
          </cell>
          <cell r="H68">
            <v>2.0699999999999998</v>
          </cell>
          <cell r="I68">
            <v>2.57</v>
          </cell>
          <cell r="J68">
            <v>1.75</v>
          </cell>
          <cell r="K68">
            <v>1.73</v>
          </cell>
          <cell r="L68">
            <v>1.86</v>
          </cell>
          <cell r="M68">
            <v>2.1</v>
          </cell>
          <cell r="N68">
            <v>1.83</v>
          </cell>
          <cell r="O68">
            <v>1.83</v>
          </cell>
          <cell r="P68">
            <v>2.25</v>
          </cell>
          <cell r="Q68">
            <v>1.94</v>
          </cell>
          <cell r="R68">
            <v>2.1</v>
          </cell>
          <cell r="S68">
            <v>2.11</v>
          </cell>
          <cell r="T68">
            <v>1.76</v>
          </cell>
          <cell r="U68">
            <v>1.77</v>
          </cell>
          <cell r="V68">
            <v>1.53</v>
          </cell>
          <cell r="W68">
            <v>1.61</v>
          </cell>
          <cell r="X68">
            <v>1.55</v>
          </cell>
          <cell r="Y68">
            <v>1.33</v>
          </cell>
          <cell r="Z68">
            <v>1.24</v>
          </cell>
          <cell r="AA68">
            <v>1.45</v>
          </cell>
          <cell r="AB68">
            <v>1.6</v>
          </cell>
          <cell r="AC68">
            <v>1.51</v>
          </cell>
          <cell r="AD68">
            <v>1.23</v>
          </cell>
          <cell r="AE68">
            <v>1.24</v>
          </cell>
          <cell r="AF68">
            <v>1.27</v>
          </cell>
          <cell r="AG68">
            <v>1.4</v>
          </cell>
          <cell r="AH68">
            <v>1.44</v>
          </cell>
          <cell r="AI68">
            <v>1.23</v>
          </cell>
          <cell r="AJ68">
            <v>1.18</v>
          </cell>
          <cell r="AK68">
            <v>1.42</v>
          </cell>
          <cell r="AL68">
            <v>1.49</v>
          </cell>
          <cell r="AM68">
            <v>1.6</v>
          </cell>
          <cell r="AN68">
            <v>1.88</v>
          </cell>
          <cell r="AO68">
            <v>2.0299999999999998</v>
          </cell>
          <cell r="AP68">
            <v>1.84</v>
          </cell>
          <cell r="AQ68">
            <v>1.9</v>
          </cell>
          <cell r="AR68">
            <v>2.15</v>
          </cell>
          <cell r="AS68">
            <v>2</v>
          </cell>
          <cell r="AT68">
            <v>2.0299999999999998</v>
          </cell>
          <cell r="AU68">
            <v>2.1800000000000002</v>
          </cell>
          <cell r="AV68">
            <v>2.14</v>
          </cell>
          <cell r="AW68">
            <v>1.67</v>
          </cell>
          <cell r="AX68">
            <v>1.68</v>
          </cell>
          <cell r="AY68">
            <v>2.5</v>
          </cell>
          <cell r="AZ68">
            <v>3.68</v>
          </cell>
          <cell r="BA68">
            <v>4.3</v>
          </cell>
          <cell r="BB68">
            <v>2.81</v>
          </cell>
          <cell r="BC68">
            <v>2.81</v>
          </cell>
          <cell r="BD68">
            <v>1.7</v>
          </cell>
          <cell r="BE68">
            <v>1.92</v>
          </cell>
          <cell r="BG68">
            <v>2.04</v>
          </cell>
          <cell r="BH68">
            <v>2.0499999999999998</v>
          </cell>
          <cell r="BI68">
            <v>2.38</v>
          </cell>
          <cell r="BJ68">
            <v>2.98</v>
          </cell>
          <cell r="BK68">
            <v>3.15</v>
          </cell>
          <cell r="BL68">
            <v>2.37</v>
          </cell>
          <cell r="BM68">
            <v>2.15</v>
          </cell>
          <cell r="BN68">
            <v>1.92</v>
          </cell>
          <cell r="BO68">
            <v>2.15</v>
          </cell>
          <cell r="BP68">
            <v>2.1800000000000002</v>
          </cell>
          <cell r="BQ68">
            <v>2.16</v>
          </cell>
          <cell r="BR68">
            <v>1.93</v>
          </cell>
          <cell r="BS68">
            <v>2.27</v>
          </cell>
          <cell r="BT68">
            <v>1.85</v>
          </cell>
          <cell r="BU68">
            <v>1.56</v>
          </cell>
          <cell r="BV68">
            <v>1.9</v>
          </cell>
          <cell r="BW68">
            <v>1.94</v>
          </cell>
          <cell r="BX68">
            <v>2.0499999999999998</v>
          </cell>
          <cell r="BY68">
            <v>1.78</v>
          </cell>
          <cell r="BZ68">
            <v>1.75</v>
          </cell>
          <cell r="CA68">
            <v>1.57</v>
          </cell>
          <cell r="CB68">
            <v>1.74</v>
          </cell>
          <cell r="CC68">
            <v>2.2200000000000002</v>
          </cell>
          <cell r="CD68">
            <v>2.12</v>
          </cell>
          <cell r="CE68">
            <v>2.17</v>
          </cell>
          <cell r="CF68">
            <v>2.5</v>
          </cell>
          <cell r="CG68">
            <v>2.77</v>
          </cell>
        </row>
      </sheetData>
      <sheetData sheetId="1" refreshError="1">
        <row r="2">
          <cell r="A2">
            <v>33909</v>
          </cell>
          <cell r="B2">
            <v>3</v>
          </cell>
          <cell r="D2" t="str">
            <v>3D</v>
          </cell>
          <cell r="E2" t="str">
            <v>3D Avg</v>
          </cell>
          <cell r="F2">
            <v>2</v>
          </cell>
        </row>
        <row r="3">
          <cell r="A3">
            <v>33939</v>
          </cell>
          <cell r="B3">
            <v>4</v>
          </cell>
          <cell r="D3" t="str">
            <v>2D</v>
          </cell>
          <cell r="E3" t="str">
            <v>2D Avg</v>
          </cell>
          <cell r="F3">
            <v>3</v>
          </cell>
        </row>
        <row r="4">
          <cell r="A4">
            <v>33970</v>
          </cell>
          <cell r="B4">
            <v>5</v>
          </cell>
          <cell r="D4" t="str">
            <v>FD</v>
          </cell>
          <cell r="E4" t="str">
            <v>Settle</v>
          </cell>
          <cell r="F4">
            <v>4</v>
          </cell>
        </row>
        <row r="5">
          <cell r="A5">
            <v>34001</v>
          </cell>
          <cell r="B5">
            <v>6</v>
          </cell>
          <cell r="D5" t="str">
            <v>AECO-NT</v>
          </cell>
          <cell r="E5" t="str">
            <v>AECO Hub</v>
          </cell>
          <cell r="F5">
            <v>5</v>
          </cell>
        </row>
        <row r="6">
          <cell r="A6">
            <v>34029</v>
          </cell>
          <cell r="B6">
            <v>7</v>
          </cell>
          <cell r="D6" t="str">
            <v>ANR-LA</v>
          </cell>
          <cell r="E6" t="str">
            <v>ANR-Louisiana</v>
          </cell>
          <cell r="F6">
            <v>6</v>
          </cell>
        </row>
        <row r="7">
          <cell r="A7">
            <v>34060</v>
          </cell>
          <cell r="B7">
            <v>8</v>
          </cell>
          <cell r="D7" t="str">
            <v>ANR-OFF</v>
          </cell>
          <cell r="E7" t="str">
            <v>ANR-Offshore</v>
          </cell>
          <cell r="F7">
            <v>7</v>
          </cell>
        </row>
        <row r="8">
          <cell r="A8">
            <v>34090</v>
          </cell>
          <cell r="B8">
            <v>9</v>
          </cell>
          <cell r="D8" t="str">
            <v>ANR-OK</v>
          </cell>
          <cell r="E8" t="str">
            <v>ANR-Oklahoma</v>
          </cell>
          <cell r="F8">
            <v>8</v>
          </cell>
        </row>
        <row r="9">
          <cell r="A9">
            <v>34121</v>
          </cell>
          <cell r="B9">
            <v>10</v>
          </cell>
          <cell r="D9" t="str">
            <v>CG-APP</v>
          </cell>
          <cell r="E9" t="str">
            <v>Columbia Gas-App</v>
          </cell>
          <cell r="F9">
            <v>9</v>
          </cell>
        </row>
        <row r="10">
          <cell r="A10">
            <v>34151</v>
          </cell>
          <cell r="B10">
            <v>11</v>
          </cell>
          <cell r="D10" t="str">
            <v>CGLF-LA</v>
          </cell>
          <cell r="E10" t="str">
            <v>Columbia Gulf-Louisiana</v>
          </cell>
          <cell r="F10">
            <v>10</v>
          </cell>
        </row>
        <row r="11">
          <cell r="A11">
            <v>34182</v>
          </cell>
          <cell r="B11">
            <v>12</v>
          </cell>
          <cell r="D11" t="str">
            <v>CGLF-OFS</v>
          </cell>
          <cell r="E11" t="str">
            <v>Columbia Gulf-Offshore</v>
          </cell>
          <cell r="F11">
            <v>11</v>
          </cell>
        </row>
        <row r="12">
          <cell r="A12">
            <v>34213</v>
          </cell>
          <cell r="B12">
            <v>13</v>
          </cell>
          <cell r="D12" t="str">
            <v>CHIC</v>
          </cell>
          <cell r="E12" t="str">
            <v>Chicago City Gate</v>
          </cell>
          <cell r="F12">
            <v>12</v>
          </cell>
        </row>
        <row r="13">
          <cell r="A13">
            <v>34243</v>
          </cell>
          <cell r="B13">
            <v>14</v>
          </cell>
          <cell r="D13" t="str">
            <v>CIG-ROCK</v>
          </cell>
          <cell r="E13" t="str">
            <v>CIG-Rocky Mtn</v>
          </cell>
          <cell r="F13">
            <v>13</v>
          </cell>
        </row>
        <row r="14">
          <cell r="A14">
            <v>34274</v>
          </cell>
          <cell r="B14">
            <v>15</v>
          </cell>
          <cell r="D14" t="str">
            <v>CNG</v>
          </cell>
          <cell r="E14" t="str">
            <v>CNG-Appalacian</v>
          </cell>
          <cell r="F14">
            <v>14</v>
          </cell>
        </row>
        <row r="15">
          <cell r="A15">
            <v>34304</v>
          </cell>
          <cell r="B15">
            <v>16</v>
          </cell>
          <cell r="D15" t="str">
            <v>EPNG-ANAD</v>
          </cell>
          <cell r="E15" t="str">
            <v>El Paso-Anadarko</v>
          </cell>
          <cell r="F15">
            <v>15</v>
          </cell>
        </row>
        <row r="16">
          <cell r="A16">
            <v>34335</v>
          </cell>
          <cell r="B16">
            <v>17</v>
          </cell>
          <cell r="D16" t="str">
            <v>EPNG-PERM</v>
          </cell>
          <cell r="E16" t="str">
            <v>El Paso-Permian</v>
          </cell>
          <cell r="F16">
            <v>16</v>
          </cell>
        </row>
        <row r="17">
          <cell r="A17">
            <v>34366</v>
          </cell>
          <cell r="B17">
            <v>18</v>
          </cell>
          <cell r="D17" t="str">
            <v>EPNG-SJ</v>
          </cell>
          <cell r="E17" t="str">
            <v>El Paso-San Juan</v>
          </cell>
          <cell r="F17">
            <v>17</v>
          </cell>
        </row>
        <row r="18">
          <cell r="A18">
            <v>34394</v>
          </cell>
          <cell r="B18">
            <v>19</v>
          </cell>
          <cell r="D18" t="str">
            <v>FGT-Z1</v>
          </cell>
          <cell r="E18" t="str">
            <v>Florida-Zone 1</v>
          </cell>
          <cell r="F18">
            <v>18</v>
          </cell>
        </row>
        <row r="19">
          <cell r="A19">
            <v>34425</v>
          </cell>
          <cell r="B19">
            <v>20</v>
          </cell>
          <cell r="D19" t="str">
            <v>FGT-Z2</v>
          </cell>
          <cell r="E19" t="str">
            <v>Florida-Zone 2</v>
          </cell>
          <cell r="F19">
            <v>19</v>
          </cell>
        </row>
        <row r="20">
          <cell r="A20">
            <v>34455</v>
          </cell>
          <cell r="B20">
            <v>21</v>
          </cell>
          <cell r="D20" t="str">
            <v>FGT-Z3</v>
          </cell>
          <cell r="E20" t="str">
            <v>Florida-Zone 3</v>
          </cell>
          <cell r="F20">
            <v>20</v>
          </cell>
        </row>
        <row r="21">
          <cell r="A21">
            <v>34486</v>
          </cell>
          <cell r="B21">
            <v>22</v>
          </cell>
          <cell r="D21" t="str">
            <v>HSC</v>
          </cell>
          <cell r="E21" t="str">
            <v>Hous Ship Chan</v>
          </cell>
          <cell r="F21">
            <v>21</v>
          </cell>
        </row>
        <row r="22">
          <cell r="A22">
            <v>34516</v>
          </cell>
          <cell r="B22">
            <v>23</v>
          </cell>
          <cell r="D22" t="str">
            <v>HUB</v>
          </cell>
          <cell r="E22" t="str">
            <v>Henry Hub</v>
          </cell>
          <cell r="F22">
            <v>22</v>
          </cell>
        </row>
        <row r="23">
          <cell r="A23">
            <v>34547</v>
          </cell>
          <cell r="B23">
            <v>24</v>
          </cell>
          <cell r="D23" t="str">
            <v>KERN</v>
          </cell>
          <cell r="E23" t="str">
            <v>Kern River</v>
          </cell>
          <cell r="F23">
            <v>23</v>
          </cell>
        </row>
        <row r="24">
          <cell r="A24">
            <v>34578</v>
          </cell>
          <cell r="B24">
            <v>25</v>
          </cell>
          <cell r="D24" t="str">
            <v>KERN-NGI</v>
          </cell>
          <cell r="E24" t="str">
            <v>Kern River-NGI</v>
          </cell>
          <cell r="F24">
            <v>24</v>
          </cell>
        </row>
        <row r="25">
          <cell r="A25">
            <v>34608</v>
          </cell>
          <cell r="B25">
            <v>26</v>
          </cell>
          <cell r="D25" t="str">
            <v>KOCH-LA</v>
          </cell>
          <cell r="E25" t="str">
            <v>Koch Gateway-LA</v>
          </cell>
          <cell r="F25">
            <v>25</v>
          </cell>
        </row>
        <row r="26">
          <cell r="A26">
            <v>34639</v>
          </cell>
          <cell r="B26">
            <v>27</v>
          </cell>
          <cell r="D26" t="str">
            <v>KOCH-TX</v>
          </cell>
          <cell r="E26" t="str">
            <v>Koch Gateway-TX</v>
          </cell>
          <cell r="F26">
            <v>26</v>
          </cell>
        </row>
        <row r="27">
          <cell r="A27">
            <v>34669</v>
          </cell>
          <cell r="B27">
            <v>28</v>
          </cell>
          <cell r="D27" t="str">
            <v>MALIN-400</v>
          </cell>
          <cell r="E27" t="str">
            <v>Malin-400 Border</v>
          </cell>
          <cell r="F27">
            <v>27</v>
          </cell>
        </row>
        <row r="28">
          <cell r="A28">
            <v>34700</v>
          </cell>
          <cell r="B28">
            <v>29</v>
          </cell>
          <cell r="D28" t="str">
            <v>MALIN-401</v>
          </cell>
          <cell r="E28" t="str">
            <v>Malin-401 Border</v>
          </cell>
          <cell r="F28">
            <v>28</v>
          </cell>
        </row>
        <row r="29">
          <cell r="A29">
            <v>34731</v>
          </cell>
          <cell r="B29">
            <v>30</v>
          </cell>
          <cell r="D29" t="str">
            <v>MICH</v>
          </cell>
          <cell r="E29" t="str">
            <v>MichCon</v>
          </cell>
          <cell r="F29">
            <v>29</v>
          </cell>
        </row>
        <row r="30">
          <cell r="A30">
            <v>34759</v>
          </cell>
          <cell r="B30">
            <v>31</v>
          </cell>
          <cell r="D30" t="str">
            <v>MRC</v>
          </cell>
          <cell r="E30" t="str">
            <v>Miss River Corr</v>
          </cell>
          <cell r="F30">
            <v>30</v>
          </cell>
        </row>
        <row r="31">
          <cell r="A31">
            <v>34790</v>
          </cell>
          <cell r="B31">
            <v>32</v>
          </cell>
          <cell r="D31" t="str">
            <v>NGPL-LA</v>
          </cell>
          <cell r="E31" t="str">
            <v>NGPL-Louisiana</v>
          </cell>
          <cell r="F31">
            <v>31</v>
          </cell>
        </row>
        <row r="32">
          <cell r="A32">
            <v>34820</v>
          </cell>
          <cell r="B32">
            <v>33</v>
          </cell>
          <cell r="D32" t="str">
            <v>NGPL-MC</v>
          </cell>
          <cell r="E32" t="str">
            <v>NGPL-MidContinent</v>
          </cell>
          <cell r="F32">
            <v>32</v>
          </cell>
        </row>
        <row r="33">
          <cell r="A33">
            <v>34851</v>
          </cell>
          <cell r="B33">
            <v>34</v>
          </cell>
          <cell r="D33" t="str">
            <v>NGPL-OK</v>
          </cell>
          <cell r="E33" t="str">
            <v>NGPL-Oklahoma</v>
          </cell>
          <cell r="F33">
            <v>33</v>
          </cell>
        </row>
        <row r="34">
          <cell r="A34">
            <v>34881</v>
          </cell>
          <cell r="B34">
            <v>35</v>
          </cell>
          <cell r="D34" t="str">
            <v>NGPL-STX</v>
          </cell>
          <cell r="E34" t="str">
            <v>NGPL-Texas</v>
          </cell>
          <cell r="F34">
            <v>34</v>
          </cell>
        </row>
        <row r="35">
          <cell r="A35">
            <v>34912</v>
          </cell>
          <cell r="B35">
            <v>36</v>
          </cell>
          <cell r="D35" t="str">
            <v>NNG-DEMARC</v>
          </cell>
          <cell r="E35" t="str">
            <v>Northern-Demarc</v>
          </cell>
          <cell r="F35">
            <v>35</v>
          </cell>
        </row>
        <row r="36">
          <cell r="A36">
            <v>34943</v>
          </cell>
          <cell r="B36">
            <v>37</v>
          </cell>
          <cell r="D36" t="str">
            <v>NNG-TOK</v>
          </cell>
          <cell r="E36" t="str">
            <v>Northern-TOK</v>
          </cell>
          <cell r="F36">
            <v>36</v>
          </cell>
        </row>
        <row r="37">
          <cell r="A37">
            <v>34973</v>
          </cell>
          <cell r="B37">
            <v>38</v>
          </cell>
          <cell r="D37" t="str">
            <v>NNG-VENT</v>
          </cell>
          <cell r="E37" t="str">
            <v>Northern-Ventura</v>
          </cell>
          <cell r="F37">
            <v>37</v>
          </cell>
        </row>
        <row r="38">
          <cell r="A38">
            <v>35004</v>
          </cell>
          <cell r="B38">
            <v>39</v>
          </cell>
          <cell r="D38" t="str">
            <v>NOR-AM</v>
          </cell>
          <cell r="E38" t="str">
            <v>Noram</v>
          </cell>
          <cell r="F38">
            <v>38</v>
          </cell>
        </row>
        <row r="39">
          <cell r="A39">
            <v>35034</v>
          </cell>
          <cell r="B39">
            <v>40</v>
          </cell>
          <cell r="D39" t="str">
            <v>NOR-EAST</v>
          </cell>
          <cell r="E39" t="str">
            <v>Noram East</v>
          </cell>
          <cell r="F39">
            <v>39</v>
          </cell>
        </row>
        <row r="40">
          <cell r="A40">
            <v>35065</v>
          </cell>
          <cell r="B40">
            <v>41</v>
          </cell>
          <cell r="D40" t="str">
            <v>NOR-WEST</v>
          </cell>
          <cell r="E40" t="str">
            <v>Noram West</v>
          </cell>
          <cell r="F40">
            <v>40</v>
          </cell>
        </row>
        <row r="41">
          <cell r="A41">
            <v>35096</v>
          </cell>
          <cell r="B41">
            <v>42</v>
          </cell>
          <cell r="D41" t="str">
            <v>NWPL-CAN</v>
          </cell>
          <cell r="E41" t="str">
            <v>Northwest-Canada</v>
          </cell>
          <cell r="F41">
            <v>41</v>
          </cell>
        </row>
        <row r="42">
          <cell r="A42">
            <v>35125</v>
          </cell>
          <cell r="B42">
            <v>43</v>
          </cell>
          <cell r="D42" t="str">
            <v>NWPL-ROCK</v>
          </cell>
          <cell r="E42" t="str">
            <v>Northwest-Rock Mtn</v>
          </cell>
          <cell r="F42">
            <v>42</v>
          </cell>
        </row>
        <row r="43">
          <cell r="A43">
            <v>35156</v>
          </cell>
          <cell r="B43">
            <v>44</v>
          </cell>
          <cell r="D43" t="str">
            <v>ONG-OKL</v>
          </cell>
          <cell r="E43" t="str">
            <v>ONG-Oklahoma</v>
          </cell>
          <cell r="F43">
            <v>43</v>
          </cell>
        </row>
        <row r="44">
          <cell r="A44">
            <v>35186</v>
          </cell>
          <cell r="B44">
            <v>45</v>
          </cell>
          <cell r="D44" t="str">
            <v>PEPL-FZ</v>
          </cell>
          <cell r="E44" t="str">
            <v>Panhandle-Field Zone</v>
          </cell>
          <cell r="F44">
            <v>44</v>
          </cell>
        </row>
        <row r="45">
          <cell r="A45">
            <v>35217</v>
          </cell>
          <cell r="B45">
            <v>46</v>
          </cell>
          <cell r="D45" t="str">
            <v>QUEST</v>
          </cell>
          <cell r="E45" t="str">
            <v>Questar</v>
          </cell>
          <cell r="F45">
            <v>45</v>
          </cell>
        </row>
        <row r="46">
          <cell r="A46">
            <v>35247</v>
          </cell>
          <cell r="B46">
            <v>47</v>
          </cell>
          <cell r="D46" t="str">
            <v>NGI-Socal</v>
          </cell>
          <cell r="E46" t="str">
            <v>So Cal Border</v>
          </cell>
          <cell r="F46">
            <v>46</v>
          </cell>
        </row>
        <row r="47">
          <cell r="A47">
            <v>35278</v>
          </cell>
          <cell r="B47">
            <v>48</v>
          </cell>
          <cell r="D47" t="str">
            <v>SONAT-LA</v>
          </cell>
          <cell r="E47" t="str">
            <v>Southern-Louisiana</v>
          </cell>
          <cell r="F47">
            <v>47</v>
          </cell>
        </row>
        <row r="48">
          <cell r="A48">
            <v>35309</v>
          </cell>
          <cell r="B48">
            <v>49</v>
          </cell>
          <cell r="D48" t="str">
            <v>TANG</v>
          </cell>
          <cell r="E48" t="str">
            <v>Transamerican</v>
          </cell>
          <cell r="F48">
            <v>48</v>
          </cell>
        </row>
        <row r="49">
          <cell r="A49">
            <v>35339</v>
          </cell>
          <cell r="B49">
            <v>50</v>
          </cell>
          <cell r="D49" t="str">
            <v>TENN-Z0</v>
          </cell>
          <cell r="E49" t="str">
            <v>Tennessee-Zone 0</v>
          </cell>
          <cell r="F49">
            <v>49</v>
          </cell>
        </row>
        <row r="50">
          <cell r="A50">
            <v>35370</v>
          </cell>
          <cell r="B50">
            <v>51</v>
          </cell>
          <cell r="D50" t="str">
            <v>TENN-Z1</v>
          </cell>
          <cell r="E50" t="str">
            <v>Tennessee-Zone 1</v>
          </cell>
          <cell r="F50">
            <v>50</v>
          </cell>
        </row>
        <row r="51">
          <cell r="A51">
            <v>35400</v>
          </cell>
          <cell r="B51">
            <v>52</v>
          </cell>
          <cell r="D51" t="str">
            <v>TET-ELA</v>
          </cell>
          <cell r="E51" t="str">
            <v>Texas Eastern-ELA</v>
          </cell>
          <cell r="F51">
            <v>51</v>
          </cell>
        </row>
        <row r="52">
          <cell r="A52">
            <v>35431</v>
          </cell>
          <cell r="B52">
            <v>53</v>
          </cell>
          <cell r="D52" t="str">
            <v>TET-ETX</v>
          </cell>
          <cell r="E52" t="str">
            <v>Texas Eastern-ETX</v>
          </cell>
          <cell r="F52">
            <v>52</v>
          </cell>
        </row>
        <row r="53">
          <cell r="A53">
            <v>35462</v>
          </cell>
          <cell r="B53">
            <v>54</v>
          </cell>
          <cell r="D53" t="str">
            <v>TET-M3</v>
          </cell>
          <cell r="E53" t="str">
            <v>Texas Eastern-M3</v>
          </cell>
          <cell r="F53">
            <v>53</v>
          </cell>
        </row>
        <row r="54">
          <cell r="A54">
            <v>35490</v>
          </cell>
          <cell r="B54">
            <v>55</v>
          </cell>
          <cell r="D54" t="str">
            <v>TET-STX</v>
          </cell>
          <cell r="E54" t="str">
            <v>Texas Eastern-STX</v>
          </cell>
          <cell r="F54">
            <v>54</v>
          </cell>
        </row>
        <row r="55">
          <cell r="A55">
            <v>35521</v>
          </cell>
          <cell r="B55">
            <v>56</v>
          </cell>
          <cell r="D55" t="str">
            <v>TET-WLA</v>
          </cell>
          <cell r="E55" t="str">
            <v>Texas Eastern-WLA</v>
          </cell>
          <cell r="F55">
            <v>55</v>
          </cell>
        </row>
        <row r="56">
          <cell r="A56">
            <v>35551</v>
          </cell>
          <cell r="B56">
            <v>57</v>
          </cell>
          <cell r="D56" t="str">
            <v>TRAN-Z1</v>
          </cell>
          <cell r="E56" t="str">
            <v>Transco-Zone 1</v>
          </cell>
          <cell r="F56">
            <v>56</v>
          </cell>
        </row>
        <row r="57">
          <cell r="A57">
            <v>35582</v>
          </cell>
          <cell r="B57">
            <v>58</v>
          </cell>
          <cell r="D57" t="str">
            <v>TRAN-Z2</v>
          </cell>
          <cell r="E57" t="str">
            <v>Transco-Zone 2</v>
          </cell>
          <cell r="F57">
            <v>57</v>
          </cell>
        </row>
        <row r="58">
          <cell r="A58">
            <v>35612</v>
          </cell>
          <cell r="B58">
            <v>59</v>
          </cell>
          <cell r="D58" t="str">
            <v>TRAN-Z3</v>
          </cell>
          <cell r="E58" t="str">
            <v>Transco-Zone 3</v>
          </cell>
          <cell r="F58">
            <v>58</v>
          </cell>
        </row>
        <row r="59">
          <cell r="A59">
            <v>35643</v>
          </cell>
          <cell r="B59">
            <v>60</v>
          </cell>
          <cell r="D59" t="str">
            <v>TRAN-Z4</v>
          </cell>
          <cell r="E59" t="str">
            <v>Transco-Zone 4</v>
          </cell>
          <cell r="F59">
            <v>59</v>
          </cell>
        </row>
        <row r="60">
          <cell r="A60">
            <v>35674</v>
          </cell>
          <cell r="B60">
            <v>61</v>
          </cell>
          <cell r="D60" t="str">
            <v>TRAN-Z6</v>
          </cell>
          <cell r="E60" t="str">
            <v>Transco-Zone 6</v>
          </cell>
          <cell r="F60">
            <v>60</v>
          </cell>
        </row>
        <row r="61">
          <cell r="A61">
            <v>35704</v>
          </cell>
          <cell r="B61">
            <v>62</v>
          </cell>
          <cell r="D61" t="str">
            <v>TRUNK-FZ</v>
          </cell>
          <cell r="E61" t="str">
            <v>Trunkline-Field Zone</v>
          </cell>
          <cell r="F61">
            <v>61</v>
          </cell>
        </row>
        <row r="62">
          <cell r="A62">
            <v>35735</v>
          </cell>
          <cell r="B62">
            <v>63</v>
          </cell>
          <cell r="D62" t="str">
            <v>TRUNK-LA</v>
          </cell>
          <cell r="E62" t="str">
            <v>Trunkline-Louisiana</v>
          </cell>
          <cell r="F62">
            <v>62</v>
          </cell>
        </row>
        <row r="63">
          <cell r="A63">
            <v>35765</v>
          </cell>
          <cell r="B63">
            <v>64</v>
          </cell>
          <cell r="D63" t="str">
            <v>TRUNK-TX</v>
          </cell>
          <cell r="E63" t="str">
            <v>Trunkline-Texas</v>
          </cell>
          <cell r="F63">
            <v>63</v>
          </cell>
        </row>
        <row r="64">
          <cell r="A64">
            <v>35796</v>
          </cell>
          <cell r="B64">
            <v>65</v>
          </cell>
          <cell r="D64" t="str">
            <v>TW-PERM</v>
          </cell>
          <cell r="E64" t="str">
            <v>Transwestern-Permian</v>
          </cell>
          <cell r="F64">
            <v>64</v>
          </cell>
        </row>
        <row r="65">
          <cell r="A65">
            <v>35827</v>
          </cell>
          <cell r="B65">
            <v>66</v>
          </cell>
          <cell r="D65" t="str">
            <v>TXG-Z1</v>
          </cell>
          <cell r="E65" t="str">
            <v>Texas Gas-Zone 1</v>
          </cell>
          <cell r="F65">
            <v>65</v>
          </cell>
        </row>
        <row r="66">
          <cell r="A66">
            <v>35855</v>
          </cell>
          <cell r="B66">
            <v>67</v>
          </cell>
          <cell r="D66" t="str">
            <v>TXG-ZSL</v>
          </cell>
          <cell r="E66" t="str">
            <v>Texas Gas-Zone SL</v>
          </cell>
          <cell r="F66">
            <v>66</v>
          </cell>
        </row>
        <row r="67">
          <cell r="A67">
            <v>35886</v>
          </cell>
          <cell r="B67">
            <v>68</v>
          </cell>
          <cell r="D67" t="str">
            <v>VAL-TX</v>
          </cell>
          <cell r="E67" t="str">
            <v>Valero-TX</v>
          </cell>
          <cell r="F67">
            <v>67</v>
          </cell>
        </row>
        <row r="68">
          <cell r="A68">
            <v>35916</v>
          </cell>
          <cell r="B68">
            <v>69</v>
          </cell>
          <cell r="D68" t="str">
            <v>KRS (SOCAL)-NGI</v>
          </cell>
          <cell r="E68" t="str">
            <v>Kern River Station</v>
          </cell>
          <cell r="F68">
            <v>68</v>
          </cell>
        </row>
        <row r="69">
          <cell r="A69">
            <v>35947</v>
          </cell>
          <cell r="B69">
            <v>70</v>
          </cell>
        </row>
        <row r="70">
          <cell r="A70">
            <v>35977</v>
          </cell>
          <cell r="B70">
            <v>71</v>
          </cell>
        </row>
        <row r="71">
          <cell r="A71">
            <v>36008</v>
          </cell>
          <cell r="B71">
            <v>72</v>
          </cell>
        </row>
        <row r="72">
          <cell r="A72">
            <v>36039</v>
          </cell>
          <cell r="B72">
            <v>73</v>
          </cell>
        </row>
        <row r="73">
          <cell r="A73">
            <v>36069</v>
          </cell>
          <cell r="B73">
            <v>74</v>
          </cell>
        </row>
        <row r="74">
          <cell r="A74">
            <v>36100</v>
          </cell>
          <cell r="B74">
            <v>75</v>
          </cell>
        </row>
        <row r="75">
          <cell r="A75">
            <v>36130</v>
          </cell>
          <cell r="B75">
            <v>76</v>
          </cell>
        </row>
        <row r="76">
          <cell r="A76">
            <v>36161</v>
          </cell>
          <cell r="B76">
            <v>77</v>
          </cell>
        </row>
        <row r="77">
          <cell r="A77">
            <v>36192</v>
          </cell>
          <cell r="B77">
            <v>78</v>
          </cell>
        </row>
        <row r="78">
          <cell r="A78">
            <v>36220</v>
          </cell>
          <cell r="B78">
            <v>79</v>
          </cell>
        </row>
        <row r="79">
          <cell r="A79">
            <v>36251</v>
          </cell>
          <cell r="B79">
            <v>80</v>
          </cell>
        </row>
        <row r="80">
          <cell r="A80">
            <v>36281</v>
          </cell>
          <cell r="B80">
            <v>81</v>
          </cell>
        </row>
        <row r="81">
          <cell r="A81">
            <v>36312</v>
          </cell>
          <cell r="B81">
            <v>82</v>
          </cell>
        </row>
        <row r="82">
          <cell r="A82">
            <v>36342</v>
          </cell>
          <cell r="B82">
            <v>83</v>
          </cell>
        </row>
        <row r="83">
          <cell r="A83">
            <v>36373</v>
          </cell>
          <cell r="B83">
            <v>84</v>
          </cell>
        </row>
        <row r="84">
          <cell r="A84">
            <v>36404</v>
          </cell>
          <cell r="B84">
            <v>85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DWtoGTdirectSetup_"/>
      <sheetName val="_UnregulatedCurves_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trlProp" Target="../ctrlProps/ctrlProp5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8"/>
  <dimension ref="A1:S1163"/>
  <sheetViews>
    <sheetView tabSelected="1" zoomScale="70" zoomScaleNormal="70" workbookViewId="0">
      <pane xSplit="1" ySplit="16" topLeftCell="B212" activePane="bottomRight" state="frozen"/>
      <selection activeCell="A7" sqref="A7"/>
      <selection pane="topRight" activeCell="A7" sqref="A7"/>
      <selection pane="bottomLeft" activeCell="A7" sqref="A7"/>
      <selection pane="bottomRight" activeCell="A7" sqref="A7"/>
    </sheetView>
  </sheetViews>
  <sheetFormatPr defaultColWidth="7.109375" defaultRowHeight="15"/>
  <cols>
    <col min="1" max="1" width="7.5546875" style="2" bestFit="1" customWidth="1"/>
    <col min="2" max="5" width="10" style="1" customWidth="1"/>
    <col min="6" max="6" width="9.33203125" style="2" customWidth="1"/>
    <col min="7" max="7" width="13.33203125" style="1" customWidth="1"/>
    <col min="8" max="8" width="12.6640625" style="2" customWidth="1"/>
    <col min="9" max="9" width="10" style="1" customWidth="1"/>
    <col min="10" max="10" width="9.6640625" style="1" customWidth="1"/>
    <col min="11" max="11" width="13.33203125" style="1" customWidth="1"/>
    <col min="12" max="12" width="7.21875" style="1" bestFit="1" customWidth="1"/>
    <col min="13" max="13" width="13.6640625" style="1" bestFit="1" customWidth="1"/>
    <col min="14" max="14" width="6.109375" style="1" bestFit="1" customWidth="1"/>
    <col min="15" max="15" width="10.21875" style="1" customWidth="1"/>
    <col min="16" max="16" width="9.21875" style="1" customWidth="1"/>
    <col min="17" max="17" width="9.88671875" style="1" customWidth="1"/>
    <col min="18" max="18" width="9.33203125" style="1" customWidth="1"/>
    <col min="19" max="19" width="9.21875" style="1" customWidth="1"/>
    <col min="20" max="20" width="10.21875" style="1" customWidth="1"/>
    <col min="21" max="21" width="11.77734375" style="1" customWidth="1"/>
    <col min="22" max="22" width="7.109375" style="1" customWidth="1"/>
    <col min="23" max="23" width="8.77734375" style="1" customWidth="1"/>
    <col min="24" max="24" width="9.21875" style="1" customWidth="1"/>
    <col min="25" max="25" width="11.77734375" style="1" customWidth="1"/>
    <col min="26" max="26" width="7.109375" style="1" customWidth="1"/>
    <col min="27" max="27" width="9.21875" style="1" customWidth="1"/>
    <col min="28" max="28" width="9.33203125" style="1" customWidth="1"/>
    <col min="29" max="29" width="8.21875" style="1" customWidth="1"/>
    <col min="30" max="30" width="9" style="1" customWidth="1"/>
    <col min="31" max="16384" width="7.109375" style="1"/>
  </cols>
  <sheetData>
    <row r="1" spans="1:19" ht="15.75">
      <c r="A1" s="88" t="s">
        <v>64</v>
      </c>
    </row>
    <row r="2" spans="1:19" ht="15.75">
      <c r="A2" s="88" t="s">
        <v>65</v>
      </c>
    </row>
    <row r="3" spans="1:19" ht="15.75">
      <c r="A3" s="88" t="s">
        <v>66</v>
      </c>
    </row>
    <row r="4" spans="1:19" ht="15.75">
      <c r="A4" s="88" t="s">
        <v>67</v>
      </c>
    </row>
    <row r="5" spans="1:19" ht="15.75">
      <c r="A5" s="88" t="s">
        <v>69</v>
      </c>
    </row>
    <row r="6" spans="1:19" ht="15.75">
      <c r="A6" s="88" t="s">
        <v>68</v>
      </c>
    </row>
    <row r="8" spans="1:19" ht="24.75" customHeight="1">
      <c r="A8" s="35" t="s">
        <v>26</v>
      </c>
    </row>
    <row r="9" spans="1:19" ht="15" customHeight="1">
      <c r="A9" s="34" t="s">
        <v>25</v>
      </c>
    </row>
    <row r="10" spans="1:19" ht="15" customHeight="1">
      <c r="A10" s="1"/>
      <c r="G10" s="33"/>
      <c r="N10" s="32"/>
    </row>
    <row r="11" spans="1:19" ht="15" customHeight="1">
      <c r="C11" s="31" t="s">
        <v>24</v>
      </c>
      <c r="D11" s="30">
        <f>1-0.209</f>
        <v>0.79100000000000004</v>
      </c>
      <c r="E11" s="31" t="s">
        <v>23</v>
      </c>
      <c r="F11" s="30">
        <f>1+0.209</f>
        <v>1.2090000000000001</v>
      </c>
    </row>
    <row r="12" spans="1:19" ht="15" customHeight="1">
      <c r="A12" s="1"/>
    </row>
    <row r="13" spans="1:19" ht="15" customHeight="1">
      <c r="D13" s="10"/>
      <c r="E13" s="10"/>
      <c r="F13" s="10"/>
      <c r="G13" s="10"/>
      <c r="I13" s="10"/>
      <c r="K13" s="29"/>
      <c r="L13" s="89" t="s">
        <v>22</v>
      </c>
      <c r="M13" s="89"/>
      <c r="N13" s="89"/>
      <c r="O13" s="89"/>
      <c r="P13" s="89"/>
      <c r="Q13" s="89"/>
      <c r="R13" s="89"/>
      <c r="S13" s="89"/>
    </row>
    <row r="14" spans="1:19" ht="15" customHeight="1">
      <c r="B14" s="10"/>
      <c r="C14" s="10"/>
      <c r="D14" s="10"/>
      <c r="E14" s="10"/>
      <c r="F14" s="10"/>
      <c r="G14" s="10"/>
      <c r="I14" s="10"/>
      <c r="K14" s="28"/>
      <c r="L14" s="89" t="s">
        <v>21</v>
      </c>
      <c r="M14" s="89"/>
      <c r="N14" s="89"/>
      <c r="O14" s="89"/>
      <c r="P14" s="89"/>
      <c r="Q14" s="89"/>
      <c r="R14" s="89"/>
      <c r="S14" s="89"/>
    </row>
    <row r="15" spans="1:19" s="22" customFormat="1" ht="112.5" customHeight="1">
      <c r="B15" s="25" t="s">
        <v>20</v>
      </c>
      <c r="C15" s="25" t="s">
        <v>19</v>
      </c>
      <c r="D15" s="25" t="s">
        <v>18</v>
      </c>
      <c r="E15" s="25" t="s">
        <v>17</v>
      </c>
      <c r="F15" s="24" t="s">
        <v>16</v>
      </c>
      <c r="G15" s="25" t="s">
        <v>15</v>
      </c>
      <c r="H15" s="24" t="s">
        <v>14</v>
      </c>
      <c r="I15" s="25" t="s">
        <v>13</v>
      </c>
      <c r="J15" s="24" t="s">
        <v>12</v>
      </c>
      <c r="K15" s="27" t="s">
        <v>11</v>
      </c>
      <c r="L15" s="23" t="s">
        <v>10</v>
      </c>
      <c r="M15" s="23" t="s">
        <v>9</v>
      </c>
      <c r="N15" s="23" t="s">
        <v>8</v>
      </c>
      <c r="O15" s="23" t="s">
        <v>7</v>
      </c>
      <c r="P15" s="23" t="s">
        <v>6</v>
      </c>
      <c r="Q15" s="23" t="s">
        <v>5</v>
      </c>
      <c r="R15" s="23" t="s">
        <v>4</v>
      </c>
      <c r="S15" s="26" t="s">
        <v>3</v>
      </c>
    </row>
    <row r="16" spans="1:19" s="22" customFormat="1" ht="15" customHeight="1">
      <c r="A16" s="24" t="s">
        <v>2</v>
      </c>
      <c r="B16" s="25" t="s">
        <v>1</v>
      </c>
      <c r="C16" s="25" t="s">
        <v>1</v>
      </c>
      <c r="D16" s="25" t="s">
        <v>1</v>
      </c>
      <c r="E16" s="25" t="s">
        <v>1</v>
      </c>
      <c r="F16" s="24" t="s">
        <v>1</v>
      </c>
      <c r="G16" s="25" t="s">
        <v>1</v>
      </c>
      <c r="H16" s="24" t="s">
        <v>1</v>
      </c>
      <c r="I16" s="25" t="s">
        <v>1</v>
      </c>
      <c r="J16" s="24" t="s">
        <v>1</v>
      </c>
      <c r="K16" s="24" t="s">
        <v>1</v>
      </c>
      <c r="L16" s="23" t="s">
        <v>0</v>
      </c>
      <c r="M16" s="23" t="s">
        <v>0</v>
      </c>
      <c r="N16" s="23" t="s">
        <v>0</v>
      </c>
      <c r="O16" s="23" t="s">
        <v>0</v>
      </c>
      <c r="P16" s="23" t="s">
        <v>0</v>
      </c>
      <c r="Q16" s="23" t="s">
        <v>0</v>
      </c>
      <c r="R16" s="23" t="s">
        <v>0</v>
      </c>
      <c r="S16" s="23" t="s">
        <v>0</v>
      </c>
    </row>
    <row r="17" spans="1:19" ht="15" customHeight="1">
      <c r="A17" s="13">
        <v>41640</v>
      </c>
      <c r="B17" s="8">
        <v>4.5403508981821297</v>
      </c>
      <c r="C17" s="8">
        <v>4.5453053729014501</v>
      </c>
      <c r="D17" s="8">
        <v>4.5474406031906298</v>
      </c>
      <c r="E17" s="12">
        <v>4.5470654716081098</v>
      </c>
      <c r="F17" s="4">
        <v>5.2054822160436602</v>
      </c>
      <c r="G17" s="8">
        <v>4.5299185954854799</v>
      </c>
      <c r="H17" s="4">
        <v>5.1810010193679901</v>
      </c>
      <c r="I17" s="8">
        <v>4.5333202317294603</v>
      </c>
      <c r="J17" s="4">
        <v>4.407</v>
      </c>
      <c r="K17" s="4">
        <v>4.4959996929375601</v>
      </c>
      <c r="L17" s="9">
        <v>29.253942540000001</v>
      </c>
      <c r="M17" s="9">
        <v>12.063650000000001</v>
      </c>
      <c r="N17" s="9">
        <v>4.9444999999999997</v>
      </c>
      <c r="O17" s="9">
        <v>0.71033400000000002</v>
      </c>
      <c r="P17" s="9">
        <v>0.77903628000000003</v>
      </c>
      <c r="Q17" s="9"/>
      <c r="R17" s="9">
        <v>0.4</v>
      </c>
      <c r="S17" s="21">
        <v>1.0435350000000001</v>
      </c>
    </row>
    <row r="18" spans="1:19" ht="15" customHeight="1">
      <c r="A18" s="13">
        <v>41671</v>
      </c>
      <c r="B18" s="8">
        <v>5.7253939823975104</v>
      </c>
      <c r="C18" s="8">
        <v>5.7303484571168299</v>
      </c>
      <c r="D18" s="8">
        <v>5.7503593719377601</v>
      </c>
      <c r="E18" s="12">
        <v>5.7440587165890404</v>
      </c>
      <c r="F18" s="4">
        <v>6.4008229009180804</v>
      </c>
      <c r="G18" s="8">
        <v>5.7195685555344298</v>
      </c>
      <c r="H18" s="4">
        <v>6.3642786331106604</v>
      </c>
      <c r="I18" s="8">
        <v>5.77879893816087</v>
      </c>
      <c r="J18" s="4">
        <v>5.55779533908155</v>
      </c>
      <c r="K18" s="4">
        <v>5.6800276756208303</v>
      </c>
      <c r="L18" s="9">
        <v>26.512149040000001</v>
      </c>
      <c r="M18" s="9">
        <v>10.8962</v>
      </c>
      <c r="N18" s="9">
        <v>4.4660000000000002</v>
      </c>
      <c r="O18" s="9">
        <v>0.64159200000000005</v>
      </c>
      <c r="P18" s="9">
        <v>0.77903628000000003</v>
      </c>
      <c r="Q18" s="9"/>
      <c r="R18" s="9">
        <v>0.4</v>
      </c>
      <c r="S18" s="21">
        <v>1.0435350000000001</v>
      </c>
    </row>
    <row r="19" spans="1:19" ht="15" customHeight="1">
      <c r="A19" s="13">
        <v>41699</v>
      </c>
      <c r="B19" s="8">
        <v>5.0025024161324501</v>
      </c>
      <c r="C19" s="8">
        <v>5.0074568908517696</v>
      </c>
      <c r="D19" s="8">
        <v>5.0614249041503099</v>
      </c>
      <c r="E19" s="12">
        <v>5.0429066154505398</v>
      </c>
      <c r="F19" s="4">
        <v>5.7088241366301604</v>
      </c>
      <c r="G19" s="8">
        <v>5.0372470232526201</v>
      </c>
      <c r="H19" s="4">
        <v>5.6792633425907804</v>
      </c>
      <c r="I19" s="8">
        <v>5.0444680614808997</v>
      </c>
      <c r="J19" s="4">
        <v>4.85579533908155</v>
      </c>
      <c r="K19" s="4">
        <v>4.9655957411274896</v>
      </c>
      <c r="L19" s="9">
        <v>29.394616540000001</v>
      </c>
      <c r="M19" s="9">
        <v>12.063650000000001</v>
      </c>
      <c r="N19" s="9">
        <v>4.9444999999999997</v>
      </c>
      <c r="O19" s="9">
        <v>0.71033400000000002</v>
      </c>
      <c r="P19" s="9">
        <v>0.77903628000000003</v>
      </c>
      <c r="Q19" s="9"/>
      <c r="R19" s="9">
        <v>0.4</v>
      </c>
      <c r="S19" s="21">
        <v>1.0435350000000001</v>
      </c>
    </row>
    <row r="20" spans="1:19" ht="15" customHeight="1">
      <c r="A20" s="13">
        <v>41730</v>
      </c>
      <c r="B20" s="8">
        <v>4.7242193852928898</v>
      </c>
      <c r="C20" s="8">
        <v>4.7285916418283396</v>
      </c>
      <c r="D20" s="8">
        <v>4.8068059613357903</v>
      </c>
      <c r="E20" s="12">
        <v>4.7822326339714403</v>
      </c>
      <c r="F20" s="4">
        <v>5.4863959623947602</v>
      </c>
      <c r="G20" s="8">
        <v>4.7603316510110698</v>
      </c>
      <c r="H20" s="4">
        <v>5.4590798563522398</v>
      </c>
      <c r="I20" s="8">
        <v>4.7562598941315004</v>
      </c>
      <c r="J20" s="4">
        <v>4.5847953390815501</v>
      </c>
      <c r="K20" s="4">
        <v>4.68923954870169</v>
      </c>
      <c r="L20" s="9">
        <v>30.193848039999999</v>
      </c>
      <c r="M20" s="9">
        <v>11.6745</v>
      </c>
      <c r="N20" s="9">
        <v>4.7850000000000001</v>
      </c>
      <c r="O20" s="9">
        <v>0.68742000000000003</v>
      </c>
      <c r="P20" s="9">
        <v>0.77903628000000003</v>
      </c>
      <c r="Q20" s="9"/>
      <c r="R20" s="9">
        <v>0.3</v>
      </c>
      <c r="S20" s="21">
        <v>1.0435350000000001</v>
      </c>
    </row>
    <row r="21" spans="1:19" ht="15" customHeight="1">
      <c r="A21" s="13">
        <v>41760</v>
      </c>
      <c r="B21" s="8">
        <v>4.9381176608916197</v>
      </c>
      <c r="C21" s="8">
        <v>4.9461153623711702</v>
      </c>
      <c r="D21" s="8">
        <v>5.0065241995266598</v>
      </c>
      <c r="E21" s="12">
        <v>4.99187975990304</v>
      </c>
      <c r="F21" s="4">
        <v>5.7148753737689901</v>
      </c>
      <c r="G21" s="8">
        <v>4.9585702312142796</v>
      </c>
      <c r="H21" s="4">
        <v>5.93206327334065</v>
      </c>
      <c r="I21" s="8">
        <v>4.9481720595449401</v>
      </c>
      <c r="J21" s="4">
        <v>4.7961753344205196</v>
      </c>
      <c r="K21" s="4">
        <v>4.8989427169094304</v>
      </c>
      <c r="L21" s="9">
        <v>32.596418040000003</v>
      </c>
      <c r="M21" s="9">
        <v>12.063650000000001</v>
      </c>
      <c r="N21" s="9">
        <v>4.9444999999999997</v>
      </c>
      <c r="O21" s="9">
        <v>0.71033400000000002</v>
      </c>
      <c r="P21" s="9">
        <v>0.80500415599999997</v>
      </c>
      <c r="Q21" s="9"/>
      <c r="R21" s="9">
        <v>0.3</v>
      </c>
      <c r="S21" s="21">
        <v>1.0435350000000001</v>
      </c>
    </row>
    <row r="22" spans="1:19" ht="15" customHeight="1">
      <c r="A22" s="13">
        <v>41791</v>
      </c>
      <c r="B22" s="8">
        <f>CHOOSE( CONTROL!$C$32, 4.771, 4.7706) * CHOOSE(CONTROL!$C$15, $D$11, 100%, $F$11)</f>
        <v>4.7709999999999999</v>
      </c>
      <c r="C22" s="8">
        <f>CHOOSE( CONTROL!$C$32, 4.779, 4.7785) * CHOOSE(CONTROL!$C$15, $D$11, 100%, $F$11)</f>
        <v>4.7789999999999999</v>
      </c>
      <c r="D22" s="8">
        <f>CHOOSE( CONTROL!$C$32, 4.8071, 4.8067) * CHOOSE( CONTROL!$C$15, $D$11, 100%, $F$11)</f>
        <v>4.8071000000000002</v>
      </c>
      <c r="E22" s="12">
        <f>CHOOSE( CONTROL!$C$32, 4.7961, 4.7957) * CHOOSE( CONTROL!$C$15, $D$11, 100%, $F$11)</f>
        <v>4.7961</v>
      </c>
      <c r="F22" s="4">
        <f>CHOOSE( CONTROL!$C$32, 5.514, 5.5136) * CHOOSE(CONTROL!$C$15, $D$11, 100%, $F$11)</f>
        <v>5.5140000000000002</v>
      </c>
      <c r="G22" s="8">
        <f>CHOOSE( CONTROL!$C$32, 4.7586, 4.7582) * CHOOSE( CONTROL!$C$15, $D$11, 100%, $F$11)</f>
        <v>4.7586000000000004</v>
      </c>
      <c r="H22" s="4">
        <f>CHOOSE( CONTROL!$C$32, 5.6961, 5.6956) * CHOOSE(CONTROL!$C$15, $D$11, 100%, $F$11)</f>
        <v>5.6961000000000004</v>
      </c>
      <c r="I22" s="8">
        <f>CHOOSE( CONTROL!$C$32, 4.7508, 4.7504) * CHOOSE(CONTROL!$C$15, $D$11, 100%, $F$11)</f>
        <v>4.7507999999999999</v>
      </c>
      <c r="J22" s="4">
        <f>CHOOSE( CONTROL!$C$32, 4.6194, 4.619) * CHOOSE(CONTROL!$C$15, $D$11, 100%, $F$11)</f>
        <v>4.6193999999999997</v>
      </c>
      <c r="K22" s="4">
        <f>CHOOSE( CONTROL!$C$32, 4.7119, 4.7115) * CHOOSE(CONTROL!$C$15, $D$11, 100%, $F$11)</f>
        <v>4.7119</v>
      </c>
      <c r="L22" s="9">
        <v>30.775700000000001</v>
      </c>
      <c r="M22" s="9">
        <v>11.6745</v>
      </c>
      <c r="N22" s="9">
        <v>4.3724999999999996</v>
      </c>
      <c r="O22" s="9">
        <v>0.59589999999999999</v>
      </c>
      <c r="P22" s="9">
        <v>0.78300000000000003</v>
      </c>
      <c r="Q22" s="9"/>
      <c r="R22" s="9">
        <v>0.3</v>
      </c>
      <c r="S22" s="20">
        <v>1.0573999999999999</v>
      </c>
    </row>
    <row r="23" spans="1:19" ht="15" customHeight="1">
      <c r="A23" s="13">
        <v>41821</v>
      </c>
      <c r="B23" s="8">
        <f>CHOOSE( CONTROL!$C$32, 4.5454, 4.5449) * CHOOSE(CONTROL!$C$15, $D$11, 100%, $F$11)</f>
        <v>4.5453999999999999</v>
      </c>
      <c r="C23" s="8">
        <f>CHOOSE( CONTROL!$C$32, 4.5533, 4.5529) * CHOOSE(CONTROL!$C$15, $D$11, 100%, $F$11)</f>
        <v>4.5533000000000001</v>
      </c>
      <c r="D23" s="8">
        <f>CHOOSE( CONTROL!$C$32, 4.5953, 4.5949) * CHOOSE( CONTROL!$C$15, $D$11, 100%, $F$11)</f>
        <v>4.5952999999999999</v>
      </c>
      <c r="E23" s="12">
        <f>CHOOSE( CONTROL!$C$32, 4.5795, 4.5791) * CHOOSE( CONTROL!$C$15, $D$11, 100%, $F$11)</f>
        <v>4.5795000000000003</v>
      </c>
      <c r="F23" s="4">
        <f>CHOOSE( CONTROL!$C$32, 5.2997, 5.2992) * CHOOSE(CONTROL!$C$15, $D$11, 100%, $F$11)</f>
        <v>5.2996999999999996</v>
      </c>
      <c r="G23" s="8">
        <f>CHOOSE( CONTROL!$C$32, 4.5495, 4.549) * CHOOSE( CONTROL!$C$15, $D$11, 100%, $F$11)</f>
        <v>4.5495000000000001</v>
      </c>
      <c r="H23" s="4">
        <f>CHOOSE( CONTROL!$C$32, 5.4843, 5.4838) * CHOOSE(CONTROL!$C$15, $D$11, 100%, $F$11)</f>
        <v>5.4843000000000002</v>
      </c>
      <c r="I23" s="8">
        <f>CHOOSE( CONTROL!$C$32, 4.5434, 4.543) * CHOOSE(CONTROL!$C$15, $D$11, 100%, $F$11)</f>
        <v>4.5434000000000001</v>
      </c>
      <c r="J23" s="4">
        <f>CHOOSE( CONTROL!$C$32, 4.4004, 4.4) * CHOOSE(CONTROL!$C$15, $D$11, 100%, $F$11)</f>
        <v>4.4004000000000003</v>
      </c>
      <c r="K23" s="4">
        <f>CHOOSE( CONTROL!$C$32, 4.5082, 4.5078) * CHOOSE(CONTROL!$C$15, $D$11, 100%, $F$11)</f>
        <v>4.5082000000000004</v>
      </c>
      <c r="L23" s="9">
        <v>31.801500000000001</v>
      </c>
      <c r="M23" s="9">
        <v>12.063700000000001</v>
      </c>
      <c r="N23" s="9">
        <v>4.5183</v>
      </c>
      <c r="O23" s="9">
        <v>0.61570000000000003</v>
      </c>
      <c r="P23" s="9">
        <v>0.80910000000000004</v>
      </c>
      <c r="Q23" s="9"/>
      <c r="R23" s="9">
        <f t="shared" ref="R23:R56" si="0">(0.12*2500000)/1000000</f>
        <v>0.3</v>
      </c>
      <c r="S23" s="17">
        <v>1.0592999999999999</v>
      </c>
    </row>
    <row r="24" spans="1:19" ht="15" customHeight="1">
      <c r="A24" s="13">
        <v>41852</v>
      </c>
      <c r="B24" s="8">
        <f>CHOOSE( CONTROL!$C$32, 3.9354, 3.9349) * CHOOSE(CONTROL!$C$15, $D$11, 100%, $F$11)</f>
        <v>3.9354</v>
      </c>
      <c r="C24" s="8">
        <f>CHOOSE( CONTROL!$C$32, 3.9433, 3.9429) * CHOOSE(CONTROL!$C$15, $D$11, 100%, $F$11)</f>
        <v>3.9432999999999998</v>
      </c>
      <c r="D24" s="8">
        <f>CHOOSE( CONTROL!$C$32, 3.9507, 3.9502) * CHOOSE( CONTROL!$C$15, $D$11, 100%, $F$11)</f>
        <v>3.9506999999999999</v>
      </c>
      <c r="E24" s="12">
        <f>CHOOSE( CONTROL!$C$32, 3.947, 3.9465) * CHOOSE( CONTROL!$C$15, $D$11, 100%, $F$11)</f>
        <v>3.9470000000000001</v>
      </c>
      <c r="F24" s="4">
        <f>CHOOSE( CONTROL!$C$32, 4.6165, 4.6161) * CHOOSE(CONTROL!$C$15, $D$11, 100%, $F$11)</f>
        <v>4.6165000000000003</v>
      </c>
      <c r="G24" s="8">
        <f>CHOOSE( CONTROL!$C$32, 3.9091, 3.9087) * CHOOSE( CONTROL!$C$15, $D$11, 100%, $F$11)</f>
        <v>3.9091</v>
      </c>
      <c r="H24" s="4">
        <f>CHOOSE( CONTROL!$C$32, 4.8091, 4.8087) * CHOOSE(CONTROL!$C$15, $D$11, 100%, $F$11)</f>
        <v>4.8090999999999999</v>
      </c>
      <c r="I24" s="8">
        <f>CHOOSE( CONTROL!$C$32, 3.9341, 3.9336) * CHOOSE(CONTROL!$C$15, $D$11, 100%, $F$11)</f>
        <v>3.9340999999999999</v>
      </c>
      <c r="J24" s="4">
        <f>CHOOSE( CONTROL!$C$32, 3.8084, 3.808) * CHOOSE(CONTROL!$C$15, $D$11, 100%, $F$11)</f>
        <v>3.8083999999999998</v>
      </c>
      <c r="K24" s="4">
        <f>CHOOSE( CONTROL!$C$32, 3.8997, 3.8993) * CHOOSE(CONTROL!$C$15, $D$11, 100%, $F$11)</f>
        <v>3.8997000000000002</v>
      </c>
      <c r="L24" s="9">
        <v>31.801500000000001</v>
      </c>
      <c r="M24" s="9">
        <v>12.063700000000001</v>
      </c>
      <c r="N24" s="9">
        <v>4.5183</v>
      </c>
      <c r="O24" s="9">
        <v>0.61570000000000003</v>
      </c>
      <c r="P24" s="9">
        <v>0.80910000000000004</v>
      </c>
      <c r="Q24" s="9"/>
      <c r="R24" s="9">
        <f t="shared" si="0"/>
        <v>0.3</v>
      </c>
      <c r="S24" s="17">
        <v>1.0592999999999999</v>
      </c>
    </row>
    <row r="25" spans="1:19" ht="15" customHeight="1">
      <c r="A25" s="13">
        <v>41883</v>
      </c>
      <c r="B25" s="8">
        <f>CHOOSE( CONTROL!$C$32, 4.0889, 4.0884) * CHOOSE(CONTROL!$C$15, $D$11, 100%, $F$11)</f>
        <v>4.0888999999999998</v>
      </c>
      <c r="C25" s="8">
        <f>CHOOSE( CONTROL!$C$32, 4.0969, 4.0964) * CHOOSE(CONTROL!$C$15, $D$11, 100%, $F$11)</f>
        <v>4.0968999999999998</v>
      </c>
      <c r="D25" s="8">
        <f>CHOOSE( CONTROL!$C$32, 4.1282, 4.1278) * CHOOSE( CONTROL!$C$15, $D$11, 100%, $F$11)</f>
        <v>4.1281999999999996</v>
      </c>
      <c r="E25" s="12">
        <f>CHOOSE( CONTROL!$C$32, 4.1161, 4.1157) * CHOOSE( CONTROL!$C$15, $D$11, 100%, $F$11)</f>
        <v>4.1161000000000003</v>
      </c>
      <c r="F25" s="4">
        <f>CHOOSE( CONTROL!$C$32, 4.801, 4.8005) * CHOOSE(CONTROL!$C$15, $D$11, 100%, $F$11)</f>
        <v>4.8010000000000002</v>
      </c>
      <c r="G25" s="8">
        <f>CHOOSE( CONTROL!$C$32, 4.0837, 4.0832) * CHOOSE( CONTROL!$C$15, $D$11, 100%, $F$11)</f>
        <v>4.0837000000000003</v>
      </c>
      <c r="H25" s="4">
        <f>CHOOSE( CONTROL!$C$32, 4.9914, 4.9909) * CHOOSE(CONTROL!$C$15, $D$11, 100%, $F$11)</f>
        <v>4.9913999999999996</v>
      </c>
      <c r="I25" s="8">
        <f>CHOOSE( CONTROL!$C$32, 4.09, 4.0896) * CHOOSE(CONTROL!$C$15, $D$11, 100%, $F$11)</f>
        <v>4.09</v>
      </c>
      <c r="J25" s="4">
        <f>CHOOSE( CONTROL!$C$32, 3.9574, 3.957) * CHOOSE(CONTROL!$C$15, $D$11, 100%, $F$11)</f>
        <v>3.9573999999999998</v>
      </c>
      <c r="K25" s="4">
        <f>CHOOSE( CONTROL!$C$32, 4.0584, 4.0579) * CHOOSE(CONTROL!$C$15, $D$11, 100%, $F$11)</f>
        <v>4.0583999999999998</v>
      </c>
      <c r="L25" s="9">
        <v>30.775700000000001</v>
      </c>
      <c r="M25" s="9">
        <v>11.6745</v>
      </c>
      <c r="N25" s="9">
        <v>4.3724999999999996</v>
      </c>
      <c r="O25" s="9">
        <v>0.59589999999999999</v>
      </c>
      <c r="P25" s="9">
        <v>0.78300000000000003</v>
      </c>
      <c r="Q25" s="9"/>
      <c r="R25" s="9">
        <f t="shared" si="0"/>
        <v>0.3</v>
      </c>
      <c r="S25" s="17">
        <v>1.0592999999999999</v>
      </c>
    </row>
    <row r="26" spans="1:19" ht="15" customHeight="1">
      <c r="A26" s="13">
        <v>41913</v>
      </c>
      <c r="B26" s="8">
        <f>CHOOSE( CONTROL!$C$32, 4.1148, 4.1145) * CHOOSE(CONTROL!$C$15, $D$11, 100%, $F$11)</f>
        <v>4.1147999999999998</v>
      </c>
      <c r="C26" s="8">
        <f>CHOOSE( CONTROL!$C$32, 4.1201, 4.1199) * CHOOSE(CONTROL!$C$15, $D$11, 100%, $F$11)</f>
        <v>4.1200999999999999</v>
      </c>
      <c r="D26" s="8">
        <f>CHOOSE( CONTROL!$C$32, 4.1338, 4.1335) * CHOOSE( CONTROL!$C$15, $D$11, 100%, $F$11)</f>
        <v>4.1337999999999999</v>
      </c>
      <c r="E26" s="12">
        <f>CHOOSE( CONTROL!$C$32, 4.1287, 4.1284) * CHOOSE( CONTROL!$C$15, $D$11, 100%, $F$11)</f>
        <v>4.1287000000000003</v>
      </c>
      <c r="F26" s="4">
        <f>CHOOSE( CONTROL!$C$32, 4.7719, 4.7717) * CHOOSE(CONTROL!$C$15, $D$11, 100%, $F$11)</f>
        <v>4.7718999999999996</v>
      </c>
      <c r="G26" s="8">
        <f>CHOOSE( CONTROL!$C$32, 4.0878, 4.0875) * CHOOSE( CONTROL!$C$15, $D$11, 100%, $F$11)</f>
        <v>4.0877999999999997</v>
      </c>
      <c r="H26" s="4">
        <f>CHOOSE( CONTROL!$C$32, 4.9627, 4.9624) * CHOOSE(CONTROL!$C$15, $D$11, 100%, $F$11)</f>
        <v>4.9626999999999999</v>
      </c>
      <c r="I26" s="8">
        <f>CHOOSE( CONTROL!$C$32, 4.1073, 4.1071) * CHOOSE(CONTROL!$C$15, $D$11, 100%, $F$11)</f>
        <v>4.1073000000000004</v>
      </c>
      <c r="J26" s="4">
        <f>CHOOSE( CONTROL!$C$32, 3.9843, 3.984) * CHOOSE(CONTROL!$C$15, $D$11, 100%, $F$11)</f>
        <v>3.9843000000000002</v>
      </c>
      <c r="K26" s="4">
        <f>CHOOSE( CONTROL!$C$32, 4.0797, 4.0794) * CHOOSE(CONTROL!$C$15, $D$11, 100%, $F$11)</f>
        <v>4.0796999999999999</v>
      </c>
      <c r="L26" s="9">
        <v>30.661300000000001</v>
      </c>
      <c r="M26" s="9">
        <v>12.063700000000001</v>
      </c>
      <c r="N26" s="9">
        <v>4.9444999999999997</v>
      </c>
      <c r="O26" s="9">
        <v>0.61570000000000003</v>
      </c>
      <c r="P26" s="9">
        <v>0.80910000000000004</v>
      </c>
      <c r="Q26" s="9"/>
      <c r="R26" s="9">
        <f t="shared" si="0"/>
        <v>0.3</v>
      </c>
      <c r="S26" s="17">
        <v>1.0592999999999999</v>
      </c>
    </row>
    <row r="27" spans="1:19" ht="15" customHeight="1">
      <c r="A27" s="13">
        <v>41944</v>
      </c>
      <c r="B27" s="8">
        <f>CHOOSE( CONTROL!$C$32, 3.8506, 3.8503) * CHOOSE(CONTROL!$C$15, $D$11, 100%, $F$11)</f>
        <v>3.8506</v>
      </c>
      <c r="C27" s="8">
        <f>CHOOSE( CONTROL!$C$32, 3.8557, 3.8554) * CHOOSE(CONTROL!$C$15, $D$11, 100%, $F$11)</f>
        <v>3.8557000000000001</v>
      </c>
      <c r="D27" s="8">
        <f>CHOOSE( CONTROL!$C$32, 3.8357, 3.8355) * CHOOSE( CONTROL!$C$15, $D$11, 100%, $F$11)</f>
        <v>3.8357000000000001</v>
      </c>
      <c r="E27" s="12">
        <f>CHOOSE( CONTROL!$C$32, 3.8425, 3.8422) * CHOOSE( CONTROL!$C$15, $D$11, 100%, $F$11)</f>
        <v>3.8424999999999998</v>
      </c>
      <c r="F27" s="4">
        <f>CHOOSE( CONTROL!$C$32, 4.4788, 4.4785) * CHOOSE(CONTROL!$C$15, $D$11, 100%, $F$11)</f>
        <v>4.4787999999999997</v>
      </c>
      <c r="G27" s="8">
        <f>CHOOSE( CONTROL!$C$32, 3.8005, 3.8002) * CHOOSE( CONTROL!$C$15, $D$11, 100%, $F$11)</f>
        <v>3.8005</v>
      </c>
      <c r="H27" s="19">
        <f>CHOOSE( CONTROL!$C$32, 4.673, 4.6727) * CHOOSE(CONTROL!$C$15, $D$11, 100%, $F$11)</f>
        <v>4.673</v>
      </c>
      <c r="I27" s="8">
        <f>CHOOSE( CONTROL!$C$32, 3.8294, 3.8292) * CHOOSE(CONTROL!$C$15, $D$11, 100%, $F$11)</f>
        <v>3.8294000000000001</v>
      </c>
      <c r="J27" s="4">
        <f>CHOOSE( CONTROL!$C$32, 3.7283, 3.728) * CHOOSE(CONTROL!$C$15, $D$11, 100%, $F$11)</f>
        <v>3.7282999999999999</v>
      </c>
      <c r="K27" s="4">
        <f>CHOOSE( CONTROL!$C$32, 3.8059, 3.8056) * CHOOSE(CONTROL!$C$15, $D$11, 100%, $F$11)</f>
        <v>3.8058999999999998</v>
      </c>
      <c r="L27" s="9">
        <v>27.9406</v>
      </c>
      <c r="M27" s="9">
        <v>11.6745</v>
      </c>
      <c r="N27" s="9">
        <v>4.7850000000000001</v>
      </c>
      <c r="O27" s="9">
        <v>0.59589999999999999</v>
      </c>
      <c r="P27" s="9">
        <v>0</v>
      </c>
      <c r="Q27" s="9"/>
      <c r="R27" s="9">
        <f t="shared" si="0"/>
        <v>0.3</v>
      </c>
      <c r="S27" s="17">
        <v>1.0592999999999999</v>
      </c>
    </row>
    <row r="28" spans="1:19" ht="15" customHeight="1">
      <c r="A28" s="13">
        <v>41974</v>
      </c>
      <c r="B28" s="8">
        <f>CHOOSE( CONTROL!$C$32, 4.4215, 4.4212) * CHOOSE(CONTROL!$C$15, $D$11, 100%, $F$11)</f>
        <v>4.4215</v>
      </c>
      <c r="C28" s="8">
        <f>CHOOSE( CONTROL!$C$32, 4.4265, 4.4263) * CHOOSE(CONTROL!$C$15, $D$11, 100%, $F$11)</f>
        <v>4.4264999999999999</v>
      </c>
      <c r="D28" s="8">
        <f>CHOOSE( CONTROL!$C$32, 4.4379, 4.4376) * CHOOSE( CONTROL!$C$15, $D$11, 100%, $F$11)</f>
        <v>4.4379</v>
      </c>
      <c r="E28" s="12">
        <f>CHOOSE( CONTROL!$C$32, 4.4332, 4.4329) * CHOOSE( CONTROL!$C$15, $D$11, 100%, $F$11)</f>
        <v>4.4332000000000003</v>
      </c>
      <c r="F28" s="4">
        <f>CHOOSE( CONTROL!$C$32, 5.0687, 5.0684) * CHOOSE(CONTROL!$C$15, $D$11, 100%, $F$11)</f>
        <v>5.0686999999999998</v>
      </c>
      <c r="G28" s="8">
        <f>CHOOSE( CONTROL!$C$32, 4.3956, 4.3953) * CHOOSE( CONTROL!$C$15, $D$11, 100%, $F$11)</f>
        <v>4.3956</v>
      </c>
      <c r="H28" s="4">
        <f>CHOOSE( CONTROL!$C$32, 5.256, 5.2557) * CHOOSE(CONTROL!$C$15, $D$11, 100%, $F$11)</f>
        <v>5.2560000000000002</v>
      </c>
      <c r="I28" s="8">
        <f>CHOOSE( CONTROL!$C$32, 4.4398, 4.4395) * CHOOSE(CONTROL!$C$15, $D$11, 100%, $F$11)</f>
        <v>4.4398</v>
      </c>
      <c r="J28" s="18">
        <f>CHOOSE( CONTROL!$C$32, 4.2823, 4.282) * CHOOSE(CONTROL!$C$15, $D$11, 100%, $F$11)</f>
        <v>4.2823000000000002</v>
      </c>
      <c r="K28" s="4">
        <f>CHOOSE( CONTROL!$C$32, 4.4001, 4.3998) * CHOOSE(CONTROL!$C$15, $D$11, 100%, $F$11)</f>
        <v>4.4001000000000001</v>
      </c>
      <c r="L28" s="9">
        <v>28.872</v>
      </c>
      <c r="M28" s="9">
        <v>12.063700000000001</v>
      </c>
      <c r="N28" s="9">
        <v>4.9444999999999997</v>
      </c>
      <c r="O28" s="9">
        <v>0.61570000000000003</v>
      </c>
      <c r="P28" s="9">
        <v>0</v>
      </c>
      <c r="Q28" s="9"/>
      <c r="R28" s="9">
        <f t="shared" si="0"/>
        <v>0.3</v>
      </c>
      <c r="S28" s="17">
        <v>1.0592999999999999</v>
      </c>
    </row>
    <row r="29" spans="1:19" ht="15" customHeight="1">
      <c r="A29" s="13">
        <v>42005</v>
      </c>
      <c r="B29" s="8">
        <f>CHOOSE( CONTROL!$C$32, 4.1381, 4.1378) * CHOOSE(CONTROL!$C$15, $D$11, 100%, $F$11)</f>
        <v>4.1380999999999997</v>
      </c>
      <c r="C29" s="8">
        <f>CHOOSE( CONTROL!$C$32, 4.1432, 4.1429) * CHOOSE(CONTROL!$C$15, $D$11, 100%, $F$11)</f>
        <v>4.1432000000000002</v>
      </c>
      <c r="D29" s="8">
        <f>CHOOSE( CONTROL!$C$32, 4.1349, 4.1346) * CHOOSE( CONTROL!$C$15, $D$11, 100%, $F$11)</f>
        <v>4.1349</v>
      </c>
      <c r="E29" s="12">
        <f>CHOOSE( CONTROL!$C$32, 4.1374, 4.1371) * CHOOSE( CONTROL!$C$15, $D$11, 100%, $F$11)</f>
        <v>4.1374000000000004</v>
      </c>
      <c r="F29" s="4">
        <f>CHOOSE( CONTROL!$C$32, 4.7802, 4.7799) * CHOOSE(CONTROL!$C$15, $D$11, 100%, $F$11)</f>
        <v>4.7801999999999998</v>
      </c>
      <c r="G29" s="8">
        <f>CHOOSE( CONTROL!$C$32, 4.0965, 4.0962) * CHOOSE( CONTROL!$C$15, $D$11, 100%, $F$11)</f>
        <v>4.0964999999999998</v>
      </c>
      <c r="H29" s="4">
        <f>CHOOSE( CONTROL!$C$32, 4.9709, 4.9706) * CHOOSE(CONTROL!$C$15, $D$11, 100%, $F$11)</f>
        <v>4.9709000000000003</v>
      </c>
      <c r="I29" s="8">
        <f>CHOOSE( CONTROL!$C$32, 4.1567, 4.1565) * CHOOSE(CONTROL!$C$15, $D$11, 100%, $F$11)</f>
        <v>4.1566999999999998</v>
      </c>
      <c r="J29" s="4">
        <f>CHOOSE( CONTROL!$C$32, 4.0073, 4.007) * CHOOSE(CONTROL!$C$15, $D$11, 100%, $F$11)</f>
        <v>4.0072999999999999</v>
      </c>
      <c r="K29" s="4">
        <f>CHOOSE( CONTROL!$C$32, 4.1094, 4.1091) * CHOOSE(CONTROL!$C$15, $D$11, 100%, $F$11)</f>
        <v>4.1093999999999999</v>
      </c>
      <c r="L29" s="9">
        <v>28.872</v>
      </c>
      <c r="M29" s="9">
        <v>12.063700000000001</v>
      </c>
      <c r="N29" s="9">
        <v>4.9444999999999997</v>
      </c>
      <c r="O29" s="9">
        <v>0.61570000000000003</v>
      </c>
      <c r="P29" s="9">
        <v>0</v>
      </c>
      <c r="Q29" s="9"/>
      <c r="R29" s="9">
        <f t="shared" si="0"/>
        <v>0.3</v>
      </c>
      <c r="S29" s="17">
        <v>1.0592999999999999</v>
      </c>
    </row>
    <row r="30" spans="1:19" ht="15" customHeight="1">
      <c r="A30" s="13">
        <v>42036</v>
      </c>
      <c r="B30" s="8">
        <f>CHOOSE( CONTROL!$C$32, 4.1402, 4.1399) * CHOOSE(CONTROL!$C$15, $D$11, 100%, $F$11)</f>
        <v>4.1402000000000001</v>
      </c>
      <c r="C30" s="8">
        <f>CHOOSE( CONTROL!$C$32, 4.1452, 4.145) * CHOOSE(CONTROL!$C$15, $D$11, 100%, $F$11)</f>
        <v>4.1452</v>
      </c>
      <c r="D30" s="8">
        <f>CHOOSE( CONTROL!$C$32, 4.1348, 4.1345) * CHOOSE( CONTROL!$C$15, $D$11, 100%, $F$11)</f>
        <v>4.1348000000000003</v>
      </c>
      <c r="E30" s="12">
        <f>CHOOSE( CONTROL!$C$32, 4.1381, 4.1378) * CHOOSE( CONTROL!$C$15, $D$11, 100%, $F$11)</f>
        <v>4.1380999999999997</v>
      </c>
      <c r="F30" s="4">
        <f>CHOOSE( CONTROL!$C$32, 4.7797, 4.7794) * CHOOSE(CONTROL!$C$15, $D$11, 100%, $F$11)</f>
        <v>4.7797000000000001</v>
      </c>
      <c r="G30" s="8">
        <f>CHOOSE( CONTROL!$C$32, 4.0962, 4.0959) * CHOOSE( CONTROL!$C$15, $D$11, 100%, $F$11)</f>
        <v>4.0961999999999996</v>
      </c>
      <c r="H30" s="4">
        <f>CHOOSE( CONTROL!$C$32, 4.9703, 4.9701) * CHOOSE(CONTROL!$C$15, $D$11, 100%, $F$11)</f>
        <v>4.9702999999999999</v>
      </c>
      <c r="I30" s="8">
        <f>CHOOSE( CONTROL!$C$32, 4.1434, 4.1431) * CHOOSE(CONTROL!$C$15, $D$11, 100%, $F$11)</f>
        <v>4.1433999999999997</v>
      </c>
      <c r="J30" s="4">
        <f>CHOOSE( CONTROL!$C$32, 4.0093, 4.009) * CHOOSE(CONTROL!$C$15, $D$11, 100%, $F$11)</f>
        <v>4.0092999999999996</v>
      </c>
      <c r="K30" s="4">
        <f>CHOOSE( CONTROL!$C$32, 4.1104, 4.1101) * CHOOSE(CONTROL!$C$15, $D$11, 100%, $F$11)</f>
        <v>4.1104000000000003</v>
      </c>
      <c r="L30" s="9">
        <v>26.0779</v>
      </c>
      <c r="M30" s="9">
        <v>10.8962</v>
      </c>
      <c r="N30" s="9">
        <v>4.4660000000000002</v>
      </c>
      <c r="O30" s="9">
        <v>0.55610000000000004</v>
      </c>
      <c r="P30" s="9">
        <v>0</v>
      </c>
      <c r="Q30" s="9"/>
      <c r="R30" s="9">
        <f t="shared" si="0"/>
        <v>0.3</v>
      </c>
      <c r="S30" s="17">
        <v>1.0592999999999999</v>
      </c>
    </row>
    <row r="31" spans="1:19" ht="15" customHeight="1">
      <c r="A31" s="13">
        <v>42064</v>
      </c>
      <c r="B31" s="8">
        <f>CHOOSE( CONTROL!$C$32, 4.0825, 4.0822) * CHOOSE(CONTROL!$C$15, $D$11, 100%, $F$11)</f>
        <v>4.0824999999999996</v>
      </c>
      <c r="C31" s="8">
        <f>CHOOSE( CONTROL!$C$32, 4.0875, 4.0873) * CHOOSE(CONTROL!$C$15, $D$11, 100%, $F$11)</f>
        <v>4.0875000000000004</v>
      </c>
      <c r="D31" s="8">
        <f>CHOOSE( CONTROL!$C$32, 4.074, 4.0737) * CHOOSE( CONTROL!$C$15, $D$11, 100%, $F$11)</f>
        <v>4.0739999999999998</v>
      </c>
      <c r="E31" s="12">
        <f>CHOOSE( CONTROL!$C$32, 4.0784, 4.0781) * CHOOSE( CONTROL!$C$15, $D$11, 100%, $F$11)</f>
        <v>4.0784000000000002</v>
      </c>
      <c r="F31" s="4">
        <f>CHOOSE( CONTROL!$C$32, 4.722, 4.7217) * CHOOSE(CONTROL!$C$15, $D$11, 100%, $F$11)</f>
        <v>4.7220000000000004</v>
      </c>
      <c r="G31" s="8">
        <f>CHOOSE( CONTROL!$C$32, 4.0362, 4.0359) * CHOOSE( CONTROL!$C$15, $D$11, 100%, $F$11)</f>
        <v>4.0362</v>
      </c>
      <c r="H31" s="4">
        <f>CHOOSE( CONTROL!$C$32, 4.9133, 4.913) * CHOOSE(CONTROL!$C$15, $D$11, 100%, $F$11)</f>
        <v>4.9132999999999996</v>
      </c>
      <c r="I31" s="8">
        <f>CHOOSE( CONTROL!$C$32, 4.0857, 4.0855) * CHOOSE(CONTROL!$C$15, $D$11, 100%, $F$11)</f>
        <v>4.0857000000000001</v>
      </c>
      <c r="J31" s="4">
        <f>CHOOSE( CONTROL!$C$32, 3.9533, 3.953) * CHOOSE(CONTROL!$C$15, $D$11, 100%, $F$11)</f>
        <v>3.9533</v>
      </c>
      <c r="K31" s="4">
        <f>CHOOSE( CONTROL!$C$32, 4.0531, 4.0528) * CHOOSE(CONTROL!$C$15, $D$11, 100%, $F$11)</f>
        <v>4.0530999999999997</v>
      </c>
      <c r="L31" s="9">
        <v>28.872</v>
      </c>
      <c r="M31" s="9">
        <v>12.063700000000001</v>
      </c>
      <c r="N31" s="9">
        <v>4.9444999999999997</v>
      </c>
      <c r="O31" s="9">
        <v>0.61570000000000003</v>
      </c>
      <c r="P31" s="9">
        <v>0</v>
      </c>
      <c r="Q31" s="9"/>
      <c r="R31" s="9">
        <f t="shared" si="0"/>
        <v>0.3</v>
      </c>
      <c r="S31" s="17">
        <v>1.0592999999999999</v>
      </c>
    </row>
    <row r="32" spans="1:19" ht="15" customHeight="1">
      <c r="A32" s="13">
        <v>42095</v>
      </c>
      <c r="B32" s="8">
        <f>CHOOSE( CONTROL!$C$32, 3.7689, 3.7687) * CHOOSE(CONTROL!$C$15, $D$11, 100%, $F$11)</f>
        <v>3.7688999999999999</v>
      </c>
      <c r="C32" s="8">
        <f>CHOOSE( CONTROL!$C$32, 3.7735, 3.7732) * CHOOSE(CONTROL!$C$15, $D$11, 100%, $F$11)</f>
        <v>3.7734999999999999</v>
      </c>
      <c r="D32" s="8">
        <f>CHOOSE( CONTROL!$C$32, 3.7608, 3.7606) * CHOOSE( CONTROL!$C$15, $D$11, 100%, $F$11)</f>
        <v>3.7608000000000001</v>
      </c>
      <c r="E32" s="12">
        <f>CHOOSE( CONTROL!$C$32, 3.7645, 3.7642) * CHOOSE( CONTROL!$C$15, $D$11, 100%, $F$11)</f>
        <v>3.7645</v>
      </c>
      <c r="F32" s="4">
        <f>CHOOSE( CONTROL!$C$32, 4.4731, 4.4729) * CHOOSE(CONTROL!$C$15, $D$11, 100%, $F$11)</f>
        <v>4.4730999999999996</v>
      </c>
      <c r="G32" s="8">
        <f>CHOOSE( CONTROL!$C$32, 3.7186, 3.7183) * CHOOSE( CONTROL!$C$15, $D$11, 100%, $F$11)</f>
        <v>3.7185999999999999</v>
      </c>
      <c r="H32" s="4">
        <f>CHOOSE( CONTROL!$C$32, 4.6674, 4.6671) * CHOOSE(CONTROL!$C$15, $D$11, 100%, $F$11)</f>
        <v>4.6673999999999998</v>
      </c>
      <c r="I32" s="8">
        <f>CHOOSE( CONTROL!$C$32, 3.7548, 3.7545) * CHOOSE(CONTROL!$C$15, $D$11, 100%, $F$11)</f>
        <v>3.7547999999999999</v>
      </c>
      <c r="J32" s="4">
        <f>CHOOSE( CONTROL!$C$32, 3.6483, 3.648) * CHOOSE(CONTROL!$C$15, $D$11, 100%, $F$11)</f>
        <v>3.6482999999999999</v>
      </c>
      <c r="K32" s="4">
        <f>CHOOSE( CONTROL!$C$32, 3.7215, 3.7212) * CHOOSE(CONTROL!$C$15, $D$11, 100%, $F$11)</f>
        <v>3.7214999999999998</v>
      </c>
      <c r="L32" s="9">
        <v>30.092199999999998</v>
      </c>
      <c r="M32" s="9">
        <v>11.6745</v>
      </c>
      <c r="N32" s="9">
        <v>4.7850000000000001</v>
      </c>
      <c r="O32" s="9">
        <v>0.59589999999999999</v>
      </c>
      <c r="P32" s="9">
        <v>2.0339999999999998</v>
      </c>
      <c r="Q32" s="9"/>
      <c r="R32" s="9">
        <f t="shared" si="0"/>
        <v>0.3</v>
      </c>
      <c r="S32" s="17">
        <v>1.0592999999999999</v>
      </c>
    </row>
    <row r="33" spans="1:19" ht="15" customHeight="1">
      <c r="A33" s="13">
        <v>42125</v>
      </c>
      <c r="B33" s="8">
        <f>CHOOSE( CONTROL!$C$32, 3.7406, 3.7402) * CHOOSE(CONTROL!$C$15, $D$11, 100%, $F$11)</f>
        <v>3.7406000000000001</v>
      </c>
      <c r="C33" s="8">
        <f>CHOOSE( CONTROL!$C$32, 3.7486, 3.7481) * CHOOSE(CONTROL!$C$15, $D$11, 100%, $F$11)</f>
        <v>3.7486000000000002</v>
      </c>
      <c r="D33" s="8">
        <f>CHOOSE( CONTROL!$C$32, 3.7265, 3.7261) * CHOOSE( CONTROL!$C$15, $D$11, 100%, $F$11)</f>
        <v>3.7265000000000001</v>
      </c>
      <c r="E33" s="12">
        <f>CHOOSE( CONTROL!$C$32, 3.733, 3.7326) * CHOOSE( CONTROL!$C$15, $D$11, 100%, $F$11)</f>
        <v>3.7330000000000001</v>
      </c>
      <c r="F33" s="4">
        <f>CHOOSE( CONTROL!$C$32, 4.4434, 4.443) * CHOOSE(CONTROL!$C$15, $D$11, 100%, $F$11)</f>
        <v>4.4433999999999996</v>
      </c>
      <c r="G33" s="8">
        <f>CHOOSE( CONTROL!$C$32, 3.7, 3.6996) * CHOOSE( CONTROL!$C$15, $D$11, 100%, $F$11)</f>
        <v>3.7</v>
      </c>
      <c r="H33" s="4">
        <f>CHOOSE( CONTROL!$C$32, 4.638, 4.6376) * CHOOSE(CONTROL!$C$15, $D$11, 100%, $F$11)</f>
        <v>4.6379999999999999</v>
      </c>
      <c r="I33" s="8">
        <f>CHOOSE( CONTROL!$C$32, 3.7251, 3.7247) * CHOOSE(CONTROL!$C$15, $D$11, 100%, $F$11)</f>
        <v>3.7250999999999999</v>
      </c>
      <c r="J33" s="4">
        <f>CHOOSE( CONTROL!$C$32, 3.6194, 3.619) * CHOOSE(CONTROL!$C$15, $D$11, 100%, $F$11)</f>
        <v>3.6194000000000002</v>
      </c>
      <c r="K33" s="4">
        <f>CHOOSE( CONTROL!$C$32, 3.6919, 3.6915) * CHOOSE(CONTROL!$C$15, $D$11, 100%, $F$11)</f>
        <v>3.6919</v>
      </c>
      <c r="L33" s="9">
        <v>32.235500000000002</v>
      </c>
      <c r="M33" s="9">
        <v>12.063700000000001</v>
      </c>
      <c r="N33" s="9">
        <v>4.5183</v>
      </c>
      <c r="O33" s="9">
        <v>0.61570000000000003</v>
      </c>
      <c r="P33" s="9">
        <v>2.1017999999999999</v>
      </c>
      <c r="Q33" s="9"/>
      <c r="R33" s="9">
        <f t="shared" si="0"/>
        <v>0.3</v>
      </c>
      <c r="S33" s="17">
        <v>1.0592999999999999</v>
      </c>
    </row>
    <row r="34" spans="1:19" ht="15" customHeight="1">
      <c r="A34" s="13">
        <v>42156</v>
      </c>
      <c r="B34" s="8">
        <f>CHOOSE( CONTROL!$C$32, 3.7643, 3.7639) * CHOOSE(CONTROL!$C$15, $D$11, 100%, $F$11)</f>
        <v>3.7643</v>
      </c>
      <c r="C34" s="8">
        <f>CHOOSE( CONTROL!$C$32, 3.7723, 3.7718) * CHOOSE(CONTROL!$C$15, $D$11, 100%, $F$11)</f>
        <v>3.7723</v>
      </c>
      <c r="D34" s="8">
        <f>CHOOSE( CONTROL!$C$32, 3.7505, 3.75) * CHOOSE( CONTROL!$C$15, $D$11, 100%, $F$11)</f>
        <v>3.7505000000000002</v>
      </c>
      <c r="E34" s="12">
        <f>CHOOSE( CONTROL!$C$32, 3.7569, 3.7564) * CHOOSE( CONTROL!$C$15, $D$11, 100%, $F$11)</f>
        <v>3.7568999999999999</v>
      </c>
      <c r="F34" s="4">
        <f>CHOOSE( CONTROL!$C$32, 4.4671, 4.4667) * CHOOSE(CONTROL!$C$15, $D$11, 100%, $F$11)</f>
        <v>4.4671000000000003</v>
      </c>
      <c r="G34" s="8">
        <f>CHOOSE( CONTROL!$C$32, 3.7236, 3.7232) * CHOOSE( CONTROL!$C$15, $D$11, 100%, $F$11)</f>
        <v>3.7235999999999998</v>
      </c>
      <c r="H34" s="4">
        <f>CHOOSE( CONTROL!$C$32, 4.6615, 4.661) * CHOOSE(CONTROL!$C$15, $D$11, 100%, $F$11)</f>
        <v>4.6615000000000002</v>
      </c>
      <c r="I34" s="8">
        <f>CHOOSE( CONTROL!$C$32, 3.7488, 3.7484) * CHOOSE(CONTROL!$C$15, $D$11, 100%, $F$11)</f>
        <v>3.7488000000000001</v>
      </c>
      <c r="J34" s="4">
        <f>CHOOSE( CONTROL!$C$32, 3.6424, 3.642) * CHOOSE(CONTROL!$C$15, $D$11, 100%, $F$11)</f>
        <v>3.6423999999999999</v>
      </c>
      <c r="K34" s="4">
        <f>CHOOSE( CONTROL!$C$32, 3.7155, 3.715) * CHOOSE(CONTROL!$C$15, $D$11, 100%, $F$11)</f>
        <v>3.7155</v>
      </c>
      <c r="L34" s="9">
        <v>31.195699999999999</v>
      </c>
      <c r="M34" s="9">
        <v>11.6745</v>
      </c>
      <c r="N34" s="9">
        <v>4.3724999999999996</v>
      </c>
      <c r="O34" s="9">
        <v>0.59589999999999999</v>
      </c>
      <c r="P34" s="9">
        <v>2.0339999999999998</v>
      </c>
      <c r="Q34" s="9"/>
      <c r="R34" s="9">
        <f t="shared" si="0"/>
        <v>0.3</v>
      </c>
      <c r="S34" s="16">
        <v>1.0722</v>
      </c>
    </row>
    <row r="35" spans="1:19" ht="15" customHeight="1">
      <c r="A35" s="13">
        <v>42186</v>
      </c>
      <c r="B35" s="8">
        <f>CHOOSE( CONTROL!$C$32, 3.7921, 3.7917) * CHOOSE(CONTROL!$C$15, $D$11, 100%, $F$11)</f>
        <v>3.7921</v>
      </c>
      <c r="C35" s="8">
        <f>CHOOSE( CONTROL!$C$32, 3.8001, 3.7996) * CHOOSE(CONTROL!$C$15, $D$11, 100%, $F$11)</f>
        <v>3.8001</v>
      </c>
      <c r="D35" s="8">
        <f>CHOOSE( CONTROL!$C$32, 3.7785, 3.7781) * CHOOSE( CONTROL!$C$15, $D$11, 100%, $F$11)</f>
        <v>3.7785000000000002</v>
      </c>
      <c r="E35" s="12">
        <f>CHOOSE( CONTROL!$C$32, 3.7849, 3.7844) * CHOOSE( CONTROL!$C$15, $D$11, 100%, $F$11)</f>
        <v>3.7848999999999999</v>
      </c>
      <c r="F35" s="4">
        <f>CHOOSE( CONTROL!$C$32, 4.495, 4.4945) * CHOOSE(CONTROL!$C$15, $D$11, 100%, $F$11)</f>
        <v>4.4950000000000001</v>
      </c>
      <c r="G35" s="8">
        <f>CHOOSE( CONTROL!$C$32, 3.7513, 3.7509) * CHOOSE( CONTROL!$C$15, $D$11, 100%, $F$11)</f>
        <v>3.7513000000000001</v>
      </c>
      <c r="H35" s="4">
        <f>CHOOSE( CONTROL!$C$32, 4.689, 4.6885) * CHOOSE(CONTROL!$C$15, $D$11, 100%, $F$11)</f>
        <v>4.6890000000000001</v>
      </c>
      <c r="I35" s="8">
        <f>CHOOSE( CONTROL!$C$32, 3.7766, 3.7761) * CHOOSE(CONTROL!$C$15, $D$11, 100%, $F$11)</f>
        <v>3.7766000000000002</v>
      </c>
      <c r="J35" s="4">
        <f>CHOOSE( CONTROL!$C$32, 3.6694, 3.669) * CHOOSE(CONTROL!$C$15, $D$11, 100%, $F$11)</f>
        <v>3.6694</v>
      </c>
      <c r="K35" s="4">
        <f>CHOOSE( CONTROL!$C$32, 3.7431, 3.7427) * CHOOSE(CONTROL!$C$15, $D$11, 100%, $F$11)</f>
        <v>3.7431000000000001</v>
      </c>
      <c r="L35" s="9">
        <v>32.235500000000002</v>
      </c>
      <c r="M35" s="9">
        <v>12.063700000000001</v>
      </c>
      <c r="N35" s="9">
        <v>4.5183</v>
      </c>
      <c r="O35" s="9">
        <v>0.61570000000000003</v>
      </c>
      <c r="P35" s="9">
        <v>2.1017999999999999</v>
      </c>
      <c r="Q35" s="9"/>
      <c r="R35" s="9">
        <f t="shared" si="0"/>
        <v>0.3</v>
      </c>
      <c r="S35" s="15">
        <v>1.0738000000000001</v>
      </c>
    </row>
    <row r="36" spans="1:19" ht="15" customHeight="1">
      <c r="A36" s="13">
        <v>42217</v>
      </c>
      <c r="B36" s="8">
        <f>CHOOSE( CONTROL!$C$32, 3.7993, 3.7989) * CHOOSE(CONTROL!$C$15, $D$11, 100%, $F$11)</f>
        <v>3.7993000000000001</v>
      </c>
      <c r="C36" s="8">
        <f>CHOOSE( CONTROL!$C$32, 3.8073, 3.8069) * CHOOSE(CONTROL!$C$15, $D$11, 100%, $F$11)</f>
        <v>3.8073000000000001</v>
      </c>
      <c r="D36" s="8">
        <f>CHOOSE( CONTROL!$C$32, 3.7858, 3.7854) * CHOOSE( CONTROL!$C$15, $D$11, 100%, $F$11)</f>
        <v>3.7858000000000001</v>
      </c>
      <c r="E36" s="12">
        <f>CHOOSE( CONTROL!$C$32, 3.7921, 3.7917) * CHOOSE( CONTROL!$C$15, $D$11, 100%, $F$11)</f>
        <v>3.7921</v>
      </c>
      <c r="F36" s="4">
        <f>CHOOSE( CONTROL!$C$32, 4.5022, 4.5017) * CHOOSE(CONTROL!$C$15, $D$11, 100%, $F$11)</f>
        <v>4.5022000000000002</v>
      </c>
      <c r="G36" s="8">
        <f>CHOOSE( CONTROL!$C$32, 3.7585, 3.7581) * CHOOSE( CONTROL!$C$15, $D$11, 100%, $F$11)</f>
        <v>3.7585000000000002</v>
      </c>
      <c r="H36" s="4">
        <f>CHOOSE( CONTROL!$C$32, 4.6961, 4.6956) * CHOOSE(CONTROL!$C$15, $D$11, 100%, $F$11)</f>
        <v>4.6961000000000004</v>
      </c>
      <c r="I36" s="8">
        <f>CHOOSE( CONTROL!$C$32, 3.7838, 3.7833) * CHOOSE(CONTROL!$C$15, $D$11, 100%, $F$11)</f>
        <v>3.7837999999999998</v>
      </c>
      <c r="J36" s="4">
        <f>CHOOSE( CONTROL!$C$32, 3.6764, 3.676) * CHOOSE(CONTROL!$C$15, $D$11, 100%, $F$11)</f>
        <v>3.6764000000000001</v>
      </c>
      <c r="K36" s="4">
        <f>CHOOSE( CONTROL!$C$32, 3.7503, 3.7498) * CHOOSE(CONTROL!$C$15, $D$11, 100%, $F$11)</f>
        <v>3.7503000000000002</v>
      </c>
      <c r="L36" s="9">
        <v>32.235500000000002</v>
      </c>
      <c r="M36" s="9">
        <v>12.063700000000001</v>
      </c>
      <c r="N36" s="9">
        <v>4.5183</v>
      </c>
      <c r="O36" s="9">
        <v>0.61570000000000003</v>
      </c>
      <c r="P36" s="9">
        <v>2.1017999999999999</v>
      </c>
      <c r="Q36" s="9"/>
      <c r="R36" s="9">
        <f t="shared" si="0"/>
        <v>0.3</v>
      </c>
      <c r="S36" s="15">
        <v>1.0738000000000001</v>
      </c>
    </row>
    <row r="37" spans="1:19" ht="15" customHeight="1">
      <c r="A37" s="13">
        <v>42248</v>
      </c>
      <c r="B37" s="8">
        <f>CHOOSE( CONTROL!$C$32, 3.7808, 3.7803) * CHOOSE(CONTROL!$C$15, $D$11, 100%, $F$11)</f>
        <v>3.7808000000000002</v>
      </c>
      <c r="C37" s="8">
        <f>CHOOSE( CONTROL!$C$32, 3.7888, 3.7883) * CHOOSE(CONTROL!$C$15, $D$11, 100%, $F$11)</f>
        <v>3.7888000000000002</v>
      </c>
      <c r="D37" s="8">
        <f>CHOOSE( CONTROL!$C$32, 3.7671, 3.7666) * CHOOSE( CONTROL!$C$15, $D$11, 100%, $F$11)</f>
        <v>3.7671000000000001</v>
      </c>
      <c r="E37" s="12">
        <f>CHOOSE( CONTROL!$C$32, 3.7735, 3.773) * CHOOSE( CONTROL!$C$15, $D$11, 100%, $F$11)</f>
        <v>3.7734999999999999</v>
      </c>
      <c r="F37" s="4">
        <f>CHOOSE( CONTROL!$C$32, 4.4836, 4.4832) * CHOOSE(CONTROL!$C$15, $D$11, 100%, $F$11)</f>
        <v>4.4836</v>
      </c>
      <c r="G37" s="8">
        <f>CHOOSE( CONTROL!$C$32, 3.7401, 3.7396) * CHOOSE( CONTROL!$C$15, $D$11, 100%, $F$11)</f>
        <v>3.7401</v>
      </c>
      <c r="H37" s="4">
        <f>CHOOSE( CONTROL!$C$32, 4.6778, 4.6773) * CHOOSE(CONTROL!$C$15, $D$11, 100%, $F$11)</f>
        <v>4.6778000000000004</v>
      </c>
      <c r="I37" s="8">
        <f>CHOOSE( CONTROL!$C$32, 3.7653, 3.7648) * CHOOSE(CONTROL!$C$15, $D$11, 100%, $F$11)</f>
        <v>3.7652999999999999</v>
      </c>
      <c r="J37" s="4">
        <f>CHOOSE( CONTROL!$C$32, 3.6584, 3.658) * CHOOSE(CONTROL!$C$15, $D$11, 100%, $F$11)</f>
        <v>3.6583999999999999</v>
      </c>
      <c r="K37" s="4">
        <f>CHOOSE( CONTROL!$C$32, 3.7319, 3.7314) * CHOOSE(CONTROL!$C$15, $D$11, 100%, $F$11)</f>
        <v>3.7319</v>
      </c>
      <c r="L37" s="9">
        <v>31.195699999999999</v>
      </c>
      <c r="M37" s="9">
        <v>11.6745</v>
      </c>
      <c r="N37" s="9">
        <v>4.3724999999999996</v>
      </c>
      <c r="O37" s="9">
        <v>0.59589999999999999</v>
      </c>
      <c r="P37" s="9">
        <v>2.0339999999999998</v>
      </c>
      <c r="Q37" s="9"/>
      <c r="R37" s="9">
        <f t="shared" si="0"/>
        <v>0.3</v>
      </c>
      <c r="S37" s="15">
        <v>1.0738000000000001</v>
      </c>
    </row>
    <row r="38" spans="1:19" ht="15" customHeight="1">
      <c r="A38" s="13">
        <v>42278</v>
      </c>
      <c r="B38" s="8">
        <f>CHOOSE( CONTROL!$C$32, 3.8077, 3.8075) * CHOOSE(CONTROL!$C$15, $D$11, 100%, $F$11)</f>
        <v>3.8077000000000001</v>
      </c>
      <c r="C38" s="8">
        <f>CHOOSE( CONTROL!$C$32, 3.8131, 3.8128) * CHOOSE(CONTROL!$C$15, $D$11, 100%, $F$11)</f>
        <v>3.8130999999999999</v>
      </c>
      <c r="D38" s="8">
        <f>CHOOSE( CONTROL!$C$32, 3.7846, 3.7843) * CHOOSE( CONTROL!$C$15, $D$11, 100%, $F$11)</f>
        <v>3.7846000000000002</v>
      </c>
      <c r="E38" s="12">
        <f>CHOOSE( CONTROL!$C$32, 3.7934, 3.7931) * CHOOSE( CONTROL!$C$15, $D$11, 100%, $F$11)</f>
        <v>3.7934000000000001</v>
      </c>
      <c r="F38" s="4">
        <f>CHOOSE( CONTROL!$C$32, 4.5123, 4.512) * CHOOSE(CONTROL!$C$15, $D$11, 100%, $F$11)</f>
        <v>4.5122999999999998</v>
      </c>
      <c r="G38" s="8">
        <f>CHOOSE( CONTROL!$C$32, 3.7786, 3.7783) * CHOOSE( CONTROL!$C$15, $D$11, 100%, $F$11)</f>
        <v>3.7786</v>
      </c>
      <c r="H38" s="4">
        <f>CHOOSE( CONTROL!$C$32, 4.7061, 4.7058) * CHOOSE(CONTROL!$C$15, $D$11, 100%, $F$11)</f>
        <v>4.7061000000000002</v>
      </c>
      <c r="I38" s="8">
        <f>CHOOSE( CONTROL!$C$32, 3.7939, 3.7936) * CHOOSE(CONTROL!$C$15, $D$11, 100%, $F$11)</f>
        <v>3.7938999999999998</v>
      </c>
      <c r="J38" s="4">
        <f>CHOOSE( CONTROL!$C$32, 3.6863, 3.686) * CHOOSE(CONTROL!$C$15, $D$11, 100%, $F$11)</f>
        <v>3.6863000000000001</v>
      </c>
      <c r="K38" s="4">
        <f>CHOOSE( CONTROL!$C$32, 3.7603, 3.7601) * CHOOSE(CONTROL!$C$15, $D$11, 100%, $F$11)</f>
        <v>3.7603</v>
      </c>
      <c r="L38" s="9">
        <v>31.095300000000002</v>
      </c>
      <c r="M38" s="9">
        <v>12.063700000000001</v>
      </c>
      <c r="N38" s="9">
        <v>4.9444999999999997</v>
      </c>
      <c r="O38" s="9">
        <v>0.61570000000000003</v>
      </c>
      <c r="P38" s="9">
        <v>2.1017999999999999</v>
      </c>
      <c r="Q38" s="9"/>
      <c r="R38" s="9">
        <f t="shared" si="0"/>
        <v>0.3</v>
      </c>
      <c r="S38" s="15">
        <v>1.0738000000000001</v>
      </c>
    </row>
    <row r="39" spans="1:19" ht="15" customHeight="1">
      <c r="A39" s="13">
        <v>42309</v>
      </c>
      <c r="B39" s="8">
        <f>CHOOSE( CONTROL!$C$32, 3.9011, 3.9008) * CHOOSE(CONTROL!$C$15, $D$11, 100%, $F$11)</f>
        <v>3.9011</v>
      </c>
      <c r="C39" s="8">
        <f>CHOOSE( CONTROL!$C$32, 3.9062, 3.9059) * CHOOSE(CONTROL!$C$15, $D$11, 100%, $F$11)</f>
        <v>3.9062000000000001</v>
      </c>
      <c r="D39" s="8">
        <f>CHOOSE( CONTROL!$C$32, 3.8886, 3.8884) * CHOOSE( CONTROL!$C$15, $D$11, 100%, $F$11)</f>
        <v>3.8885999999999998</v>
      </c>
      <c r="E39" s="12">
        <f>CHOOSE( CONTROL!$C$32, 3.8945, 3.8943) * CHOOSE( CONTROL!$C$15, $D$11, 100%, $F$11)</f>
        <v>3.8944999999999999</v>
      </c>
      <c r="F39" s="4">
        <f>CHOOSE( CONTROL!$C$32, 4.5664, 4.5661) * CHOOSE(CONTROL!$C$15, $D$11, 100%, $F$11)</f>
        <v>4.5663999999999998</v>
      </c>
      <c r="G39" s="8">
        <f>CHOOSE( CONTROL!$C$32, 3.8653, 3.865) * CHOOSE( CONTROL!$C$15, $D$11, 100%, $F$11)</f>
        <v>3.8653</v>
      </c>
      <c r="H39" s="4">
        <f>CHOOSE( CONTROL!$C$32, 4.7595, 4.7593) * CHOOSE(CONTROL!$C$15, $D$11, 100%, $F$11)</f>
        <v>4.7595000000000001</v>
      </c>
      <c r="I39" s="8">
        <f>CHOOSE( CONTROL!$C$32, 3.9406, 3.9403) * CHOOSE(CONTROL!$C$15, $D$11, 100%, $F$11)</f>
        <v>3.9405999999999999</v>
      </c>
      <c r="J39" s="4">
        <f>CHOOSE( CONTROL!$C$32, 3.7773, 3.777) * CHOOSE(CONTROL!$C$15, $D$11, 100%, $F$11)</f>
        <v>3.7772999999999999</v>
      </c>
      <c r="K39" s="4">
        <f>CHOOSE( CONTROL!$C$32, 3.8694, 3.8691) * CHOOSE(CONTROL!$C$15, $D$11, 100%, $F$11)</f>
        <v>3.8694000000000002</v>
      </c>
      <c r="L39" s="9">
        <v>28.360600000000002</v>
      </c>
      <c r="M39" s="9">
        <v>11.6745</v>
      </c>
      <c r="N39" s="9">
        <v>4.7850000000000001</v>
      </c>
      <c r="O39" s="9">
        <v>0.59589999999999999</v>
      </c>
      <c r="P39" s="9">
        <v>1.1791</v>
      </c>
      <c r="Q39" s="9"/>
      <c r="R39" s="9">
        <f t="shared" si="0"/>
        <v>0.3</v>
      </c>
      <c r="S39" s="15">
        <v>1.0738000000000001</v>
      </c>
    </row>
    <row r="40" spans="1:19" ht="15" customHeight="1">
      <c r="A40" s="13">
        <v>42339</v>
      </c>
      <c r="B40" s="8">
        <f>CHOOSE( CONTROL!$C$32, 4.101, 4.1007) * CHOOSE(CONTROL!$C$15, $D$11, 100%, $F$11)</f>
        <v>4.101</v>
      </c>
      <c r="C40" s="8">
        <f>CHOOSE( CONTROL!$C$32, 4.1061, 4.1058) * CHOOSE(CONTROL!$C$15, $D$11, 100%, $F$11)</f>
        <v>4.1060999999999996</v>
      </c>
      <c r="D40" s="8">
        <f>CHOOSE( CONTROL!$C$32, 4.0904, 4.0901) * CHOOSE( CONTROL!$C$15, $D$11, 100%, $F$11)</f>
        <v>4.0903999999999998</v>
      </c>
      <c r="E40" s="12">
        <f>CHOOSE( CONTROL!$C$32, 4.0956, 4.0953) * CHOOSE( CONTROL!$C$15, $D$11, 100%, $F$11)</f>
        <v>4.0956000000000001</v>
      </c>
      <c r="F40" s="4">
        <f>CHOOSE( CONTROL!$C$32, 4.7663, 4.766) * CHOOSE(CONTROL!$C$15, $D$11, 100%, $F$11)</f>
        <v>4.7663000000000002</v>
      </c>
      <c r="G40" s="8">
        <f>CHOOSE( CONTROL!$C$32, 4.0641, 4.0639) * CHOOSE( CONTROL!$C$15, $D$11, 100%, $F$11)</f>
        <v>4.0640999999999998</v>
      </c>
      <c r="H40" s="4">
        <f>CHOOSE( CONTROL!$C$32, 4.9571, 4.9568) * CHOOSE(CONTROL!$C$15, $D$11, 100%, $F$11)</f>
        <v>4.9570999999999996</v>
      </c>
      <c r="I40" s="8">
        <f>CHOOSE( CONTROL!$C$32, 4.1403, 4.14) * CHOOSE(CONTROL!$C$15, $D$11, 100%, $F$11)</f>
        <v>4.1402999999999999</v>
      </c>
      <c r="J40" s="4">
        <f>CHOOSE( CONTROL!$C$32, 3.9713, 3.971) * CHOOSE(CONTROL!$C$15, $D$11, 100%, $F$11)</f>
        <v>3.9712999999999998</v>
      </c>
      <c r="K40" s="4">
        <f>CHOOSE( CONTROL!$C$32, 4.0679, 4.0676) * CHOOSE(CONTROL!$C$15, $D$11, 100%, $F$11)</f>
        <v>4.0678999999999998</v>
      </c>
      <c r="L40" s="9">
        <v>29.306000000000001</v>
      </c>
      <c r="M40" s="9">
        <v>12.063700000000001</v>
      </c>
      <c r="N40" s="9">
        <v>4.9444999999999997</v>
      </c>
      <c r="O40" s="9">
        <v>0.61570000000000003</v>
      </c>
      <c r="P40" s="9">
        <v>1.2183999999999999</v>
      </c>
      <c r="Q40" s="9"/>
      <c r="R40" s="9">
        <f t="shared" si="0"/>
        <v>0.3</v>
      </c>
      <c r="S40" s="15">
        <v>1.0738000000000001</v>
      </c>
    </row>
    <row r="41" spans="1:19" ht="15" customHeight="1">
      <c r="A41" s="13">
        <v>42370</v>
      </c>
      <c r="B41" s="8">
        <f>CHOOSE( CONTROL!$C$32, 4.2422, 4.2419) * CHOOSE(CONTROL!$C$15, $D$11, 100%, $F$11)</f>
        <v>4.2422000000000004</v>
      </c>
      <c r="C41" s="8">
        <f>CHOOSE( CONTROL!$C$32, 4.2472, 4.247) * CHOOSE(CONTROL!$C$15, $D$11, 100%, $F$11)</f>
        <v>4.2472000000000003</v>
      </c>
      <c r="D41" s="8">
        <f>CHOOSE( CONTROL!$C$32, 4.2346, 4.2344) * CHOOSE( CONTROL!$C$15, $D$11, 100%, $F$11)</f>
        <v>4.2346000000000004</v>
      </c>
      <c r="E41" s="12">
        <f>CHOOSE( CONTROL!$C$32, 4.2387, 4.2385) * CHOOSE( CONTROL!$C$15, $D$11, 100%, $F$11)</f>
        <v>4.2386999999999997</v>
      </c>
      <c r="F41" s="4">
        <f>CHOOSE( CONTROL!$C$32, 4.9074, 4.9072) * CHOOSE(CONTROL!$C$15, $D$11, 100%, $F$11)</f>
        <v>4.9074</v>
      </c>
      <c r="G41" s="8">
        <f>CHOOSE( CONTROL!$C$32, 4.205, 4.2047) * CHOOSE( CONTROL!$C$15, $D$11, 100%, $F$11)</f>
        <v>4.2050000000000001</v>
      </c>
      <c r="H41" s="4">
        <f>CHOOSE( CONTROL!$C$32, 5.0966, 5.0963) * CHOOSE(CONTROL!$C$15, $D$11, 100%, $F$11)</f>
        <v>5.0965999999999996</v>
      </c>
      <c r="I41" s="8">
        <f>CHOOSE( CONTROL!$C$32, 4.2578, 4.2575) * CHOOSE(CONTROL!$C$15, $D$11, 100%, $F$11)</f>
        <v>4.2577999999999996</v>
      </c>
      <c r="J41" s="4">
        <f>CHOOSE( CONTROL!$C$32, 4.1083, 4.108) * CHOOSE(CONTROL!$C$15, $D$11, 100%, $F$11)</f>
        <v>4.1082999999999998</v>
      </c>
      <c r="K41" s="4"/>
      <c r="L41" s="9">
        <v>29.306000000000001</v>
      </c>
      <c r="M41" s="9">
        <v>12.063700000000001</v>
      </c>
      <c r="N41" s="9">
        <v>4.9444999999999997</v>
      </c>
      <c r="O41" s="9">
        <v>0.61570000000000003</v>
      </c>
      <c r="P41" s="9">
        <v>1.2183999999999999</v>
      </c>
      <c r="Q41" s="9"/>
      <c r="R41" s="9">
        <f t="shared" si="0"/>
        <v>0.3</v>
      </c>
      <c r="S41" s="11"/>
    </row>
    <row r="42" spans="1:19" ht="15" customHeight="1">
      <c r="A42" s="13">
        <v>42401</v>
      </c>
      <c r="B42" s="8">
        <f>CHOOSE( CONTROL!$C$32, 4.2195, 4.2192) * CHOOSE(CONTROL!$C$15, $D$11, 100%, $F$11)</f>
        <v>4.2195</v>
      </c>
      <c r="C42" s="8">
        <f>CHOOSE( CONTROL!$C$32, 4.2246, 4.2243) * CHOOSE(CONTROL!$C$15, $D$11, 100%, $F$11)</f>
        <v>4.2245999999999997</v>
      </c>
      <c r="D42" s="8">
        <f>CHOOSE( CONTROL!$C$32, 4.2115, 4.2113) * CHOOSE( CONTROL!$C$15, $D$11, 100%, $F$11)</f>
        <v>4.2115</v>
      </c>
      <c r="E42" s="12">
        <f>CHOOSE( CONTROL!$C$32, 4.2157, 4.2155) * CHOOSE( CONTROL!$C$15, $D$11, 100%, $F$11)</f>
        <v>4.2157</v>
      </c>
      <c r="F42" s="4">
        <f>CHOOSE( CONTROL!$C$32, 4.8848, 4.8845) * CHOOSE(CONTROL!$C$15, $D$11, 100%, $F$11)</f>
        <v>4.8848000000000003</v>
      </c>
      <c r="G42" s="8">
        <f>CHOOSE( CONTROL!$C$32, 4.1816, 4.1813) * CHOOSE( CONTROL!$C$15, $D$11, 100%, $F$11)</f>
        <v>4.1816000000000004</v>
      </c>
      <c r="H42" s="4">
        <f>CHOOSE( CONTROL!$C$32, 5.0742, 5.0739) * CHOOSE(CONTROL!$C$15, $D$11, 100%, $F$11)</f>
        <v>5.0742000000000003</v>
      </c>
      <c r="I42" s="8">
        <f>CHOOSE( CONTROL!$C$32, 4.2204, 4.2201) * CHOOSE(CONTROL!$C$15, $D$11, 100%, $F$11)</f>
        <v>4.2203999999999997</v>
      </c>
      <c r="J42" s="4">
        <f>CHOOSE( CONTROL!$C$32, 4.0863, 4.086) * CHOOSE(CONTROL!$C$15, $D$11, 100%, $F$11)</f>
        <v>4.0862999999999996</v>
      </c>
      <c r="K42" s="4"/>
      <c r="L42" s="9">
        <v>27.415299999999998</v>
      </c>
      <c r="M42" s="9">
        <v>11.285299999999999</v>
      </c>
      <c r="N42" s="9">
        <v>4.6254999999999997</v>
      </c>
      <c r="O42" s="9">
        <v>0.57599999999999996</v>
      </c>
      <c r="P42" s="9">
        <v>1.1397999999999999</v>
      </c>
      <c r="Q42" s="9"/>
      <c r="R42" s="9">
        <f t="shared" si="0"/>
        <v>0.3</v>
      </c>
      <c r="S42" s="11"/>
    </row>
    <row r="43" spans="1:19" ht="15" customHeight="1">
      <c r="A43" s="13">
        <v>42430</v>
      </c>
      <c r="B43" s="8">
        <f>CHOOSE( CONTROL!$C$32, 4.1505, 4.1502) * CHOOSE(CONTROL!$C$15, $D$11, 100%, $F$11)</f>
        <v>4.1505000000000001</v>
      </c>
      <c r="C43" s="8">
        <f>CHOOSE( CONTROL!$C$32, 4.1555, 4.1553) * CHOOSE(CONTROL!$C$15, $D$11, 100%, $F$11)</f>
        <v>4.1555</v>
      </c>
      <c r="D43" s="8">
        <f>CHOOSE( CONTROL!$C$32, 4.1377, 4.1374) * CHOOSE( CONTROL!$C$15, $D$11, 100%, $F$11)</f>
        <v>4.1376999999999997</v>
      </c>
      <c r="E43" s="12">
        <f>CHOOSE( CONTROL!$C$32, 4.1437, 4.1434) * CHOOSE( CONTROL!$C$15, $D$11, 100%, $F$11)</f>
        <v>4.1436999999999999</v>
      </c>
      <c r="F43" s="4">
        <f>CHOOSE( CONTROL!$C$32, 4.8157, 4.8155) * CHOOSE(CONTROL!$C$15, $D$11, 100%, $F$11)</f>
        <v>4.8156999999999996</v>
      </c>
      <c r="G43" s="8">
        <f>CHOOSE( CONTROL!$C$32, 4.1099, 4.1096) * CHOOSE( CONTROL!$C$15, $D$11, 100%, $F$11)</f>
        <v>4.1098999999999997</v>
      </c>
      <c r="H43" s="4">
        <f>CHOOSE( CONTROL!$C$32, 5.006, 5.0057) * CHOOSE(CONTROL!$C$15, $D$11, 100%, $F$11)</f>
        <v>5.0060000000000002</v>
      </c>
      <c r="I43" s="8">
        <f>CHOOSE( CONTROL!$C$32, 4.1518, 4.1515) * CHOOSE(CONTROL!$C$15, $D$11, 100%, $F$11)</f>
        <v>4.1517999999999997</v>
      </c>
      <c r="J43" s="4">
        <f>CHOOSE( CONTROL!$C$32, 4.0193, 4.019) * CHOOSE(CONTROL!$C$15, $D$11, 100%, $F$11)</f>
        <v>4.0193000000000003</v>
      </c>
      <c r="K43" s="4"/>
      <c r="L43" s="9">
        <v>29.306000000000001</v>
      </c>
      <c r="M43" s="9">
        <v>12.063700000000001</v>
      </c>
      <c r="N43" s="9">
        <v>4.9444999999999997</v>
      </c>
      <c r="O43" s="9">
        <v>0.61570000000000003</v>
      </c>
      <c r="P43" s="9">
        <v>1.2183999999999999</v>
      </c>
      <c r="Q43" s="9"/>
      <c r="R43" s="9">
        <f t="shared" si="0"/>
        <v>0.3</v>
      </c>
      <c r="S43" s="11"/>
    </row>
    <row r="44" spans="1:19" ht="15" customHeight="1">
      <c r="A44" s="13">
        <v>42461</v>
      </c>
      <c r="B44" s="8">
        <f>CHOOSE( CONTROL!$C$32, 3.9153, 3.915) * CHOOSE(CONTROL!$C$15, $D$11, 100%, $F$11)</f>
        <v>3.9152999999999998</v>
      </c>
      <c r="C44" s="8">
        <f>CHOOSE( CONTROL!$C$32, 3.9198, 3.9195) * CHOOSE(CONTROL!$C$15, $D$11, 100%, $F$11)</f>
        <v>3.9198</v>
      </c>
      <c r="D44" s="8">
        <f>CHOOSE( CONTROL!$C$32, 3.9072, 3.9069) * CHOOSE( CONTROL!$C$15, $D$11, 100%, $F$11)</f>
        <v>3.9072</v>
      </c>
      <c r="E44" s="12">
        <f>CHOOSE( CONTROL!$C$32, 3.9108, 3.9105) * CHOOSE( CONTROL!$C$15, $D$11, 100%, $F$11)</f>
        <v>3.9108000000000001</v>
      </c>
      <c r="F44" s="4">
        <f>CHOOSE( CONTROL!$C$32, 4.6194, 4.6192) * CHOOSE(CONTROL!$C$15, $D$11, 100%, $F$11)</f>
        <v>4.6193999999999997</v>
      </c>
      <c r="G44" s="8">
        <f>CHOOSE( CONTROL!$C$32, 3.8632, 3.8629) * CHOOSE( CONTROL!$C$15, $D$11, 100%, $F$11)</f>
        <v>3.8632</v>
      </c>
      <c r="H44" s="4">
        <f>CHOOSE( CONTROL!$C$32, 4.812, 4.8117) * CHOOSE(CONTROL!$C$15, $D$11, 100%, $F$11)</f>
        <v>4.8120000000000003</v>
      </c>
      <c r="I44" s="8">
        <f>CHOOSE( CONTROL!$C$32, 3.8969, 3.8966) * CHOOSE(CONTROL!$C$15, $D$11, 100%, $F$11)</f>
        <v>3.8969</v>
      </c>
      <c r="J44" s="4">
        <f>CHOOSE( CONTROL!$C$32, 3.7903, 3.79) * CHOOSE(CONTROL!$C$15, $D$11, 100%, $F$11)</f>
        <v>3.7902999999999998</v>
      </c>
      <c r="K44" s="4"/>
      <c r="L44" s="9">
        <v>30.092199999999998</v>
      </c>
      <c r="M44" s="9">
        <v>11.6745</v>
      </c>
      <c r="N44" s="9">
        <v>4.7850000000000001</v>
      </c>
      <c r="O44" s="9">
        <v>0.59589999999999999</v>
      </c>
      <c r="P44" s="9">
        <v>2.0339999999999998</v>
      </c>
      <c r="Q44" s="9"/>
      <c r="R44" s="9">
        <f t="shared" si="0"/>
        <v>0.3</v>
      </c>
      <c r="S44" s="11"/>
    </row>
    <row r="45" spans="1:19" ht="15" customHeight="1">
      <c r="A45" s="13">
        <v>42491</v>
      </c>
      <c r="B45" s="8">
        <f>CHOOSE( CONTROL!$C$32, 3.9075, 3.9071) * CHOOSE(CONTROL!$C$15, $D$11, 100%, $F$11)</f>
        <v>3.9075000000000002</v>
      </c>
      <c r="C45" s="8">
        <f>CHOOSE( CONTROL!$C$32, 3.9155, 3.9151) * CHOOSE(CONTROL!$C$15, $D$11, 100%, $F$11)</f>
        <v>3.9155000000000002</v>
      </c>
      <c r="D45" s="8">
        <f>CHOOSE( CONTROL!$C$32, 3.9081, 3.9077) * CHOOSE( CONTROL!$C$15, $D$11, 100%, $F$11)</f>
        <v>3.9081000000000001</v>
      </c>
      <c r="E45" s="12">
        <f>CHOOSE( CONTROL!$C$32, 3.9096, 3.9092) * CHOOSE( CONTROL!$C$15, $D$11, 100%, $F$11)</f>
        <v>3.9096000000000002</v>
      </c>
      <c r="F45" s="4">
        <f>CHOOSE( CONTROL!$C$32, 4.6104, 4.6099) * CHOOSE(CONTROL!$C$15, $D$11, 100%, $F$11)</f>
        <v>4.6104000000000003</v>
      </c>
      <c r="G45" s="8">
        <f>CHOOSE( CONTROL!$C$32, 3.8506, 3.8502) * CHOOSE( CONTROL!$C$15, $D$11, 100%, $F$11)</f>
        <v>3.8506</v>
      </c>
      <c r="H45" s="4">
        <f>CHOOSE( CONTROL!$C$32, 4.803, 4.8026) * CHOOSE(CONTROL!$C$15, $D$11, 100%, $F$11)</f>
        <v>4.8029999999999999</v>
      </c>
      <c r="I45" s="8">
        <f>CHOOSE( CONTROL!$C$32, 3.8872, 3.8868) * CHOOSE(CONTROL!$C$15, $D$11, 100%, $F$11)</f>
        <v>3.8872</v>
      </c>
      <c r="J45" s="4">
        <f>CHOOSE( CONTROL!$C$32, 3.7814, 3.781) * CHOOSE(CONTROL!$C$15, $D$11, 100%, $F$11)</f>
        <v>3.7814000000000001</v>
      </c>
      <c r="K45" s="4"/>
      <c r="L45" s="9">
        <v>30.7165</v>
      </c>
      <c r="M45" s="9">
        <v>12.063700000000001</v>
      </c>
      <c r="N45" s="9">
        <v>4.9444999999999997</v>
      </c>
      <c r="O45" s="9">
        <v>0.37409999999999999</v>
      </c>
      <c r="P45" s="9">
        <v>2.1017999999999999</v>
      </c>
      <c r="Q45" s="9"/>
      <c r="R45" s="9">
        <f t="shared" si="0"/>
        <v>0.3</v>
      </c>
      <c r="S45" s="11"/>
    </row>
    <row r="46" spans="1:19" ht="15" customHeight="1">
      <c r="A46" s="13">
        <v>42522</v>
      </c>
      <c r="B46" s="8">
        <f>CHOOSE( CONTROL!$C$32, 3.9312, 3.9308) * CHOOSE(CONTROL!$C$15, $D$11, 100%, $F$11)</f>
        <v>3.9312</v>
      </c>
      <c r="C46" s="8">
        <f>CHOOSE( CONTROL!$C$32, 3.9392, 3.9388) * CHOOSE(CONTROL!$C$15, $D$11, 100%, $F$11)</f>
        <v>3.9392</v>
      </c>
      <c r="D46" s="8">
        <f>CHOOSE( CONTROL!$C$32, 3.932, 3.9316) * CHOOSE( CONTROL!$C$15, $D$11, 100%, $F$11)</f>
        <v>3.9319999999999999</v>
      </c>
      <c r="E46" s="12">
        <f>CHOOSE( CONTROL!$C$32, 3.9334, 3.933) * CHOOSE( CONTROL!$C$15, $D$11, 100%, $F$11)</f>
        <v>3.9333999999999998</v>
      </c>
      <c r="F46" s="4">
        <f>CHOOSE( CONTROL!$C$32, 4.6341, 4.6336) * CHOOSE(CONTROL!$C$15, $D$11, 100%, $F$11)</f>
        <v>4.6341000000000001</v>
      </c>
      <c r="G46" s="8">
        <f>CHOOSE( CONTROL!$C$32, 3.8743, 3.8738) * CHOOSE( CONTROL!$C$15, $D$11, 100%, $F$11)</f>
        <v>3.8742999999999999</v>
      </c>
      <c r="H46" s="4">
        <f>CHOOSE( CONTROL!$C$32, 4.8264, 4.826) * CHOOSE(CONTROL!$C$15, $D$11, 100%, $F$11)</f>
        <v>4.8263999999999996</v>
      </c>
      <c r="I46" s="8">
        <f>CHOOSE( CONTROL!$C$32, 3.9109, 3.9104) * CHOOSE(CONTROL!$C$15, $D$11, 100%, $F$11)</f>
        <v>3.9108999999999998</v>
      </c>
      <c r="J46" s="4">
        <f>CHOOSE( CONTROL!$C$32, 3.8044, 3.804) * CHOOSE(CONTROL!$C$15, $D$11, 100%, $F$11)</f>
        <v>3.8043999999999998</v>
      </c>
      <c r="K46" s="4"/>
      <c r="L46" s="9">
        <v>29.7257</v>
      </c>
      <c r="M46" s="9">
        <v>11.6745</v>
      </c>
      <c r="N46" s="9">
        <v>4.7850000000000001</v>
      </c>
      <c r="O46" s="9">
        <v>0.36199999999999999</v>
      </c>
      <c r="P46" s="9">
        <v>2.0339999999999998</v>
      </c>
      <c r="Q46" s="9"/>
      <c r="R46" s="9">
        <f t="shared" si="0"/>
        <v>0.3</v>
      </c>
      <c r="S46" s="11"/>
    </row>
    <row r="47" spans="1:19" ht="15" customHeight="1">
      <c r="A47" s="13">
        <v>42552</v>
      </c>
      <c r="B47" s="8">
        <f>CHOOSE( CONTROL!$C$32, 3.956, 3.9555) * CHOOSE(CONTROL!$C$15, $D$11, 100%, $F$11)</f>
        <v>3.956</v>
      </c>
      <c r="C47" s="8">
        <f>CHOOSE( CONTROL!$C$32, 3.9639, 3.9635) * CHOOSE(CONTROL!$C$15, $D$11, 100%, $F$11)</f>
        <v>3.9639000000000002</v>
      </c>
      <c r="D47" s="8">
        <f>CHOOSE( CONTROL!$C$32, 3.957, 3.9565) * CHOOSE( CONTROL!$C$15, $D$11, 100%, $F$11)</f>
        <v>3.9569999999999999</v>
      </c>
      <c r="E47" s="12">
        <f>CHOOSE( CONTROL!$C$32, 3.9583, 3.9578) * CHOOSE( CONTROL!$C$15, $D$11, 100%, $F$11)</f>
        <v>3.9582999999999999</v>
      </c>
      <c r="F47" s="4">
        <f>CHOOSE( CONTROL!$C$32, 4.6588, 4.6583) * CHOOSE(CONTROL!$C$15, $D$11, 100%, $F$11)</f>
        <v>4.6588000000000003</v>
      </c>
      <c r="G47" s="8">
        <f>CHOOSE( CONTROL!$C$32, 3.8989, 3.8985) * CHOOSE( CONTROL!$C$15, $D$11, 100%, $F$11)</f>
        <v>3.8988999999999998</v>
      </c>
      <c r="H47" s="4">
        <f>CHOOSE( CONTROL!$C$32, 4.8509, 4.8504) * CHOOSE(CONTROL!$C$15, $D$11, 100%, $F$11)</f>
        <v>4.8509000000000002</v>
      </c>
      <c r="I47" s="8">
        <f>CHOOSE( CONTROL!$C$32, 3.9357, 3.9352) * CHOOSE(CONTROL!$C$15, $D$11, 100%, $F$11)</f>
        <v>3.9357000000000002</v>
      </c>
      <c r="J47" s="4">
        <f>CHOOSE( CONTROL!$C$32, 3.8284, 3.828) * CHOOSE(CONTROL!$C$15, $D$11, 100%, $F$11)</f>
        <v>3.8283999999999998</v>
      </c>
      <c r="K47" s="4"/>
      <c r="L47" s="9">
        <v>30.7165</v>
      </c>
      <c r="M47" s="9">
        <v>12.063700000000001</v>
      </c>
      <c r="N47" s="9">
        <v>4.9444999999999997</v>
      </c>
      <c r="O47" s="9">
        <v>0.37409999999999999</v>
      </c>
      <c r="P47" s="9">
        <v>2.1017999999999999</v>
      </c>
      <c r="Q47" s="9"/>
      <c r="R47" s="9">
        <f t="shared" si="0"/>
        <v>0.3</v>
      </c>
      <c r="S47" s="11"/>
    </row>
    <row r="48" spans="1:19" ht="15" customHeight="1">
      <c r="A48" s="13">
        <v>42583</v>
      </c>
      <c r="B48" s="8">
        <f>CHOOSE( CONTROL!$C$32, 3.9642, 3.9638) * CHOOSE(CONTROL!$C$15, $D$11, 100%, $F$11)</f>
        <v>3.9641999999999999</v>
      </c>
      <c r="C48" s="8">
        <f>CHOOSE( CONTROL!$C$32, 3.9722, 3.9717) * CHOOSE(CONTROL!$C$15, $D$11, 100%, $F$11)</f>
        <v>3.9722</v>
      </c>
      <c r="D48" s="8">
        <f>CHOOSE( CONTROL!$C$32, 3.9653, 3.9648) * CHOOSE( CONTROL!$C$15, $D$11, 100%, $F$11)</f>
        <v>3.9653</v>
      </c>
      <c r="E48" s="12">
        <f>CHOOSE( CONTROL!$C$32, 3.9666, 3.9661) * CHOOSE( CONTROL!$C$15, $D$11, 100%, $F$11)</f>
        <v>3.9666000000000001</v>
      </c>
      <c r="F48" s="4">
        <f>CHOOSE( CONTROL!$C$32, 4.667, 4.6666) * CHOOSE(CONTROL!$C$15, $D$11, 100%, $F$11)</f>
        <v>4.6669999999999998</v>
      </c>
      <c r="G48" s="8">
        <f>CHOOSE( CONTROL!$C$32, 3.9072, 3.9067) * CHOOSE( CONTROL!$C$15, $D$11, 100%, $F$11)</f>
        <v>3.9072</v>
      </c>
      <c r="H48" s="4">
        <f>CHOOSE( CONTROL!$C$32, 4.859, 4.8586) * CHOOSE(CONTROL!$C$15, $D$11, 100%, $F$11)</f>
        <v>4.859</v>
      </c>
      <c r="I48" s="8">
        <f>CHOOSE( CONTROL!$C$32, 3.9439, 3.9434) * CHOOSE(CONTROL!$C$15, $D$11, 100%, $F$11)</f>
        <v>3.9439000000000002</v>
      </c>
      <c r="J48" s="4">
        <f>CHOOSE( CONTROL!$C$32, 3.8364, 3.836) * CHOOSE(CONTROL!$C$15, $D$11, 100%, $F$11)</f>
        <v>3.8363999999999998</v>
      </c>
      <c r="K48" s="4"/>
      <c r="L48" s="9">
        <v>30.7165</v>
      </c>
      <c r="M48" s="9">
        <v>12.063700000000001</v>
      </c>
      <c r="N48" s="9">
        <v>4.9444999999999997</v>
      </c>
      <c r="O48" s="9">
        <v>0.37409999999999999</v>
      </c>
      <c r="P48" s="9">
        <v>2.1017999999999999</v>
      </c>
      <c r="Q48" s="9"/>
      <c r="R48" s="9">
        <f t="shared" si="0"/>
        <v>0.3</v>
      </c>
      <c r="S48" s="11"/>
    </row>
    <row r="49" spans="1:19" ht="15" customHeight="1">
      <c r="A49" s="13">
        <v>42614</v>
      </c>
      <c r="B49" s="8">
        <f>CHOOSE( CONTROL!$C$32, 3.9498, 3.9493) * CHOOSE(CONTROL!$C$15, $D$11, 100%, $F$11)</f>
        <v>3.9498000000000002</v>
      </c>
      <c r="C49" s="8">
        <f>CHOOSE( CONTROL!$C$32, 3.9578, 3.9573) * CHOOSE(CONTROL!$C$15, $D$11, 100%, $F$11)</f>
        <v>3.9578000000000002</v>
      </c>
      <c r="D49" s="8">
        <f>CHOOSE( CONTROL!$C$32, 3.9507, 3.9503) * CHOOSE( CONTROL!$C$15, $D$11, 100%, $F$11)</f>
        <v>3.9506999999999999</v>
      </c>
      <c r="E49" s="12">
        <f>CHOOSE( CONTROL!$C$32, 3.9521, 3.9516) * CHOOSE( CONTROL!$C$15, $D$11, 100%, $F$11)</f>
        <v>3.9521000000000002</v>
      </c>
      <c r="F49" s="4">
        <f>CHOOSE( CONTROL!$C$32, 4.6526, 4.6521) * CHOOSE(CONTROL!$C$15, $D$11, 100%, $F$11)</f>
        <v>4.6525999999999996</v>
      </c>
      <c r="G49" s="8">
        <f>CHOOSE( CONTROL!$C$32, 3.8927, 3.8923) * CHOOSE( CONTROL!$C$15, $D$11, 100%, $F$11)</f>
        <v>3.8927</v>
      </c>
      <c r="H49" s="4">
        <f>CHOOSE( CONTROL!$C$32, 4.8448, 4.8443) * CHOOSE(CONTROL!$C$15, $D$11, 100%, $F$11)</f>
        <v>4.8448000000000002</v>
      </c>
      <c r="I49" s="8">
        <f>CHOOSE( CONTROL!$C$32, 3.9293, 3.9289) * CHOOSE(CONTROL!$C$15, $D$11, 100%, $F$11)</f>
        <v>3.9293</v>
      </c>
      <c r="J49" s="4">
        <f>CHOOSE( CONTROL!$C$32, 3.8224, 3.822) * CHOOSE(CONTROL!$C$15, $D$11, 100%, $F$11)</f>
        <v>3.8224</v>
      </c>
      <c r="K49" s="4"/>
      <c r="L49" s="9">
        <v>29.7257</v>
      </c>
      <c r="M49" s="9">
        <v>11.6745</v>
      </c>
      <c r="N49" s="9">
        <v>4.7850000000000001</v>
      </c>
      <c r="O49" s="9">
        <v>0.36199999999999999</v>
      </c>
      <c r="P49" s="9">
        <v>2.0339999999999998</v>
      </c>
      <c r="Q49" s="9"/>
      <c r="R49" s="9">
        <f t="shared" si="0"/>
        <v>0.3</v>
      </c>
      <c r="S49" s="11"/>
    </row>
    <row r="50" spans="1:19" ht="15" customHeight="1">
      <c r="A50" s="13">
        <v>42644</v>
      </c>
      <c r="B50" s="8">
        <f>CHOOSE( CONTROL!$C$32, 3.9726, 3.9723) * CHOOSE(CONTROL!$C$15, $D$11, 100%, $F$11)</f>
        <v>3.9725999999999999</v>
      </c>
      <c r="C50" s="8">
        <f>CHOOSE( CONTROL!$C$32, 3.9779, 3.9777) * CHOOSE(CONTROL!$C$15, $D$11, 100%, $F$11)</f>
        <v>3.9779</v>
      </c>
      <c r="D50" s="8">
        <f>CHOOSE( CONTROL!$C$32, 3.9609, 3.9606) * CHOOSE( CONTROL!$C$15, $D$11, 100%, $F$11)</f>
        <v>3.9609000000000001</v>
      </c>
      <c r="E50" s="12">
        <f>CHOOSE( CONTROL!$C$32, 3.9659, 3.9657) * CHOOSE( CONTROL!$C$15, $D$11, 100%, $F$11)</f>
        <v>3.9659</v>
      </c>
      <c r="F50" s="4">
        <f>CHOOSE( CONTROL!$C$32, 4.6771, 4.6769) * CHOOSE(CONTROL!$C$15, $D$11, 100%, $F$11)</f>
        <v>4.6771000000000003</v>
      </c>
      <c r="G50" s="8">
        <f>CHOOSE( CONTROL!$C$32, 3.9381, 3.9379) * CHOOSE( CONTROL!$C$15, $D$11, 100%, $F$11)</f>
        <v>3.9380999999999999</v>
      </c>
      <c r="H50" s="4">
        <f>CHOOSE( CONTROL!$C$32, 4.869, 4.8687) * CHOOSE(CONTROL!$C$15, $D$11, 100%, $F$11)</f>
        <v>4.8689999999999998</v>
      </c>
      <c r="I50" s="8">
        <f>CHOOSE( CONTROL!$C$32, 3.954, 3.9537) * CHOOSE(CONTROL!$C$15, $D$11, 100%, $F$11)</f>
        <v>3.9540000000000002</v>
      </c>
      <c r="J50" s="4">
        <f>CHOOSE( CONTROL!$C$32, 3.8463, 3.846) * CHOOSE(CONTROL!$C$15, $D$11, 100%, $F$11)</f>
        <v>3.8462999999999998</v>
      </c>
      <c r="K50" s="4"/>
      <c r="L50" s="9">
        <v>31.095300000000002</v>
      </c>
      <c r="M50" s="9">
        <v>12.063700000000001</v>
      </c>
      <c r="N50" s="9">
        <v>4.9444999999999997</v>
      </c>
      <c r="O50" s="9">
        <v>0.37409999999999999</v>
      </c>
      <c r="P50" s="9">
        <v>2.1017999999999999</v>
      </c>
      <c r="Q50" s="9"/>
      <c r="R50" s="9">
        <f t="shared" si="0"/>
        <v>0.3</v>
      </c>
      <c r="S50" s="11"/>
    </row>
    <row r="51" spans="1:19" ht="15" customHeight="1">
      <c r="A51" s="13">
        <v>42675</v>
      </c>
      <c r="B51" s="8">
        <f>CHOOSE( CONTROL!$C$32, 4.0464, 4.0461) * CHOOSE(CONTROL!$C$15, $D$11, 100%, $F$11)</f>
        <v>4.0464000000000002</v>
      </c>
      <c r="C51" s="8">
        <f>CHOOSE( CONTROL!$C$32, 4.0515, 4.0512) * CHOOSE(CONTROL!$C$15, $D$11, 100%, $F$11)</f>
        <v>4.0514999999999999</v>
      </c>
      <c r="D51" s="8">
        <f>CHOOSE( CONTROL!$C$32, 4.0342, 4.0339) * CHOOSE( CONTROL!$C$15, $D$11, 100%, $F$11)</f>
        <v>4.0342000000000002</v>
      </c>
      <c r="E51" s="12">
        <f>CHOOSE( CONTROL!$C$32, 4.04, 4.0397) * CHOOSE( CONTROL!$C$15, $D$11, 100%, $F$11)</f>
        <v>4.04</v>
      </c>
      <c r="F51" s="4">
        <f>CHOOSE( CONTROL!$C$32, 4.7117, 4.7114) * CHOOSE(CONTROL!$C$15, $D$11, 100%, $F$11)</f>
        <v>4.7117000000000004</v>
      </c>
      <c r="G51" s="8">
        <f>CHOOSE( CONTROL!$C$32, 4.0084, 4.0081) * CHOOSE( CONTROL!$C$15, $D$11, 100%, $F$11)</f>
        <v>4.0084</v>
      </c>
      <c r="H51" s="4">
        <f>CHOOSE( CONTROL!$C$32, 4.9031, 4.9029) * CHOOSE(CONTROL!$C$15, $D$11, 100%, $F$11)</f>
        <v>4.9031000000000002</v>
      </c>
      <c r="I51" s="8">
        <f>CHOOSE( CONTROL!$C$32, 4.0817, 4.0814) * CHOOSE(CONTROL!$C$15, $D$11, 100%, $F$11)</f>
        <v>4.0816999999999997</v>
      </c>
      <c r="J51" s="4">
        <f>CHOOSE( CONTROL!$C$32, 3.9183, 3.918) * CHOOSE(CONTROL!$C$15, $D$11, 100%, $F$11)</f>
        <v>3.9182999999999999</v>
      </c>
      <c r="K51" s="4"/>
      <c r="L51" s="9">
        <v>28.360600000000002</v>
      </c>
      <c r="M51" s="9">
        <v>11.6745</v>
      </c>
      <c r="N51" s="9">
        <v>4.7850000000000001</v>
      </c>
      <c r="O51" s="9">
        <v>0.36199999999999999</v>
      </c>
      <c r="P51" s="9">
        <v>1.1791</v>
      </c>
      <c r="Q51" s="9"/>
      <c r="R51" s="9">
        <f t="shared" si="0"/>
        <v>0.3</v>
      </c>
      <c r="S51" s="11"/>
    </row>
    <row r="52" spans="1:19" ht="15" customHeight="1">
      <c r="A52" s="13">
        <v>42705</v>
      </c>
      <c r="B52" s="8">
        <f>CHOOSE( CONTROL!$C$32, 4.2246, 4.2244) * CHOOSE(CONTROL!$C$15, $D$11, 100%, $F$11)</f>
        <v>4.2245999999999997</v>
      </c>
      <c r="C52" s="8">
        <f>CHOOSE( CONTROL!$C$32, 4.2297, 4.2294) * CHOOSE(CONTROL!$C$15, $D$11, 100%, $F$11)</f>
        <v>4.2297000000000002</v>
      </c>
      <c r="D52" s="8">
        <f>CHOOSE( CONTROL!$C$32, 4.2142, 4.214) * CHOOSE( CONTROL!$C$15, $D$11, 100%, $F$11)</f>
        <v>4.2141999999999999</v>
      </c>
      <c r="E52" s="12">
        <f>CHOOSE( CONTROL!$C$32, 4.2193, 4.2191) * CHOOSE( CONTROL!$C$15, $D$11, 100%, $F$11)</f>
        <v>4.2192999999999996</v>
      </c>
      <c r="F52" s="4">
        <f>CHOOSE( CONTROL!$C$32, 4.8899, 4.8897) * CHOOSE(CONTROL!$C$15, $D$11, 100%, $F$11)</f>
        <v>4.8898999999999999</v>
      </c>
      <c r="G52" s="8">
        <f>CHOOSE( CONTROL!$C$32, 4.1858, 4.1856) * CHOOSE( CONTROL!$C$15, $D$11, 100%, $F$11)</f>
        <v>4.1858000000000004</v>
      </c>
      <c r="H52" s="4">
        <f>CHOOSE( CONTROL!$C$32, 5.0793, 5.079) * CHOOSE(CONTROL!$C$15, $D$11, 100%, $F$11)</f>
        <v>5.0792999999999999</v>
      </c>
      <c r="I52" s="8">
        <f>CHOOSE( CONTROL!$C$32, 4.2603, 4.2601) * CHOOSE(CONTROL!$C$15, $D$11, 100%, $F$11)</f>
        <v>4.2603</v>
      </c>
      <c r="J52" s="4">
        <f>CHOOSE( CONTROL!$C$32, 4.0913, 4.091) * CHOOSE(CONTROL!$C$15, $D$11, 100%, $F$11)</f>
        <v>4.0913000000000004</v>
      </c>
      <c r="K52" s="4"/>
      <c r="L52" s="9">
        <v>29.306000000000001</v>
      </c>
      <c r="M52" s="9">
        <v>12.063700000000001</v>
      </c>
      <c r="N52" s="9">
        <v>4.9444999999999997</v>
      </c>
      <c r="O52" s="9">
        <v>0.37409999999999999</v>
      </c>
      <c r="P52" s="9">
        <v>1.2183999999999999</v>
      </c>
      <c r="Q52" s="9"/>
      <c r="R52" s="9">
        <f t="shared" si="0"/>
        <v>0.3</v>
      </c>
      <c r="S52" s="11"/>
    </row>
    <row r="53" spans="1:19" ht="15" customHeight="1">
      <c r="A53" s="13">
        <v>42736</v>
      </c>
      <c r="B53" s="8">
        <f>CHOOSE( CONTROL!$C$32, 4.3182, 4.3179) * CHOOSE(CONTROL!$C$15, $D$11, 100%, $F$11)</f>
        <v>4.3182</v>
      </c>
      <c r="C53" s="8">
        <f>CHOOSE( CONTROL!$C$32, 4.3233, 4.323) * CHOOSE(CONTROL!$C$15, $D$11, 100%, $F$11)</f>
        <v>4.3232999999999997</v>
      </c>
      <c r="D53" s="8">
        <f>CHOOSE( CONTROL!$C$32, 4.3137, 4.3135) * CHOOSE( CONTROL!$C$15, $D$11, 100%, $F$11)</f>
        <v>4.3136999999999999</v>
      </c>
      <c r="E53" s="12">
        <f>CHOOSE( CONTROL!$C$32, 4.3167, 4.3164) * CHOOSE( CONTROL!$C$15, $D$11, 100%, $F$11)</f>
        <v>4.3167</v>
      </c>
      <c r="F53" s="4">
        <f>CHOOSE( CONTROL!$C$32, 4.9835, 4.9832) * CHOOSE(CONTROL!$C$15, $D$11, 100%, $F$11)</f>
        <v>4.9835000000000003</v>
      </c>
      <c r="G53" s="8">
        <f>CHOOSE( CONTROL!$C$32, 4.279, 4.2788) * CHOOSE( CONTROL!$C$15, $D$11, 100%, $F$11)</f>
        <v>4.2789999999999999</v>
      </c>
      <c r="H53" s="4">
        <f>CHOOSE( CONTROL!$C$32, 5.1718, 5.1715) * CHOOSE(CONTROL!$C$15, $D$11, 100%, $F$11)</f>
        <v>5.1718000000000002</v>
      </c>
      <c r="I53" s="8">
        <f>CHOOSE( CONTROL!$C$32, 4.3316, 4.3314) * CHOOSE(CONTROL!$C$15, $D$11, 100%, $F$11)</f>
        <v>4.3315999999999999</v>
      </c>
      <c r="J53" s="4">
        <f>CHOOSE( CONTROL!$C$32, 4.1821, 4.1818) * CHOOSE(CONTROL!$C$15, $D$11, 100%, $F$11)</f>
        <v>4.1821000000000002</v>
      </c>
      <c r="K53" s="4"/>
      <c r="L53" s="9">
        <v>29.306000000000001</v>
      </c>
      <c r="M53" s="9">
        <v>12.063700000000001</v>
      </c>
      <c r="N53" s="9">
        <v>4.9444999999999997</v>
      </c>
      <c r="O53" s="9">
        <v>0.37409999999999999</v>
      </c>
      <c r="P53" s="9">
        <v>1.2183999999999999</v>
      </c>
      <c r="Q53" s="9"/>
      <c r="R53" s="9">
        <f t="shared" si="0"/>
        <v>0.3</v>
      </c>
      <c r="S53" s="11"/>
    </row>
    <row r="54" spans="1:19" ht="15" customHeight="1">
      <c r="A54" s="13">
        <v>42767</v>
      </c>
      <c r="B54" s="8">
        <f>CHOOSE( CONTROL!$C$32, 4.0397, 4.0394) * CHOOSE(CONTROL!$C$15, $D$11, 100%, $F$11)</f>
        <v>4.0396999999999998</v>
      </c>
      <c r="C54" s="8">
        <f>CHOOSE( CONTROL!$C$32, 4.0447, 4.0445) * CHOOSE(CONTROL!$C$15, $D$11, 100%, $F$11)</f>
        <v>4.0446999999999997</v>
      </c>
      <c r="D54" s="8">
        <f>CHOOSE( CONTROL!$C$32, 4.0368, 4.0366) * CHOOSE( CONTROL!$C$15, $D$11, 100%, $F$11)</f>
        <v>4.0368000000000004</v>
      </c>
      <c r="E54" s="12">
        <f>CHOOSE( CONTROL!$C$32, 4.0392, 4.0389) * CHOOSE( CONTROL!$C$15, $D$11, 100%, $F$11)</f>
        <v>4.0392000000000001</v>
      </c>
      <c r="F54" s="4">
        <f>CHOOSE( CONTROL!$C$32, 4.7049, 4.7047) * CHOOSE(CONTROL!$C$15, $D$11, 100%, $F$11)</f>
        <v>4.7049000000000003</v>
      </c>
      <c r="G54" s="8">
        <f>CHOOSE( CONTROL!$C$32, 4.0022, 4.002) * CHOOSE( CONTROL!$C$15, $D$11, 100%, $F$11)</f>
        <v>4.0022000000000002</v>
      </c>
      <c r="H54" s="4">
        <f>CHOOSE( CONTROL!$C$32, 4.8965, 4.8962) * CHOOSE(CONTROL!$C$15, $D$11, 100%, $F$11)</f>
        <v>4.8964999999999996</v>
      </c>
      <c r="I54" s="8">
        <f>CHOOSE( CONTROL!$C$32, 4.0458, 4.0455) * CHOOSE(CONTROL!$C$15, $D$11, 100%, $F$11)</f>
        <v>4.0457999999999998</v>
      </c>
      <c r="J54" s="4">
        <f>CHOOSE( CONTROL!$C$32, 3.9117, 3.9115) * CHOOSE(CONTROL!$C$15, $D$11, 100%, $F$11)</f>
        <v>3.9117000000000002</v>
      </c>
      <c r="K54" s="4"/>
      <c r="L54" s="9">
        <v>26.469899999999999</v>
      </c>
      <c r="M54" s="9">
        <v>10.8962</v>
      </c>
      <c r="N54" s="9">
        <v>4.4660000000000002</v>
      </c>
      <c r="O54" s="9">
        <v>0.33789999999999998</v>
      </c>
      <c r="P54" s="9">
        <v>1.1005</v>
      </c>
      <c r="Q54" s="9"/>
      <c r="R54" s="9">
        <f t="shared" si="0"/>
        <v>0.3</v>
      </c>
      <c r="S54" s="11"/>
    </row>
    <row r="55" spans="1:19" ht="15" customHeight="1">
      <c r="A55" s="13">
        <v>42795</v>
      </c>
      <c r="B55" s="8">
        <f>CHOOSE( CONTROL!$C$32, 3.9539, 3.9536) * CHOOSE(CONTROL!$C$15, $D$11, 100%, $F$11)</f>
        <v>3.9539</v>
      </c>
      <c r="C55" s="8">
        <f>CHOOSE( CONTROL!$C$32, 3.9589, 3.9587) * CHOOSE(CONTROL!$C$15, $D$11, 100%, $F$11)</f>
        <v>3.9588999999999999</v>
      </c>
      <c r="D55" s="8">
        <f>CHOOSE( CONTROL!$C$32, 3.9462, 3.946) * CHOOSE( CONTROL!$C$15, $D$11, 100%, $F$11)</f>
        <v>3.9462000000000002</v>
      </c>
      <c r="E55" s="12">
        <f>CHOOSE( CONTROL!$C$32, 3.9503, 3.9501) * CHOOSE( CONTROL!$C$15, $D$11, 100%, $F$11)</f>
        <v>3.9502999999999999</v>
      </c>
      <c r="F55" s="4">
        <f>CHOOSE( CONTROL!$C$32, 4.6191, 4.6189) * CHOOSE(CONTROL!$C$15, $D$11, 100%, $F$11)</f>
        <v>4.6191000000000004</v>
      </c>
      <c r="G55" s="8">
        <f>CHOOSE( CONTROL!$C$32, 3.914, 3.9137) * CHOOSE( CONTROL!$C$15, $D$11, 100%, $F$11)</f>
        <v>3.9140000000000001</v>
      </c>
      <c r="H55" s="4">
        <f>CHOOSE( CONTROL!$C$32, 4.8117, 4.8114) * CHOOSE(CONTROL!$C$15, $D$11, 100%, $F$11)</f>
        <v>4.8117000000000001</v>
      </c>
      <c r="I55" s="8">
        <f>CHOOSE( CONTROL!$C$32, 3.9609, 3.9606) * CHOOSE(CONTROL!$C$15, $D$11, 100%, $F$11)</f>
        <v>3.9609000000000001</v>
      </c>
      <c r="J55" s="4">
        <f>CHOOSE( CONTROL!$C$32, 3.8285, 3.8282) * CHOOSE(CONTROL!$C$15, $D$11, 100%, $F$11)</f>
        <v>3.8285</v>
      </c>
      <c r="K55" s="4"/>
      <c r="L55" s="9">
        <v>29.306000000000001</v>
      </c>
      <c r="M55" s="9">
        <v>12.063700000000001</v>
      </c>
      <c r="N55" s="9">
        <v>4.9444999999999997</v>
      </c>
      <c r="O55" s="9">
        <v>0.37409999999999999</v>
      </c>
      <c r="P55" s="9">
        <v>1.2183999999999999</v>
      </c>
      <c r="Q55" s="9"/>
      <c r="R55" s="9">
        <f t="shared" si="0"/>
        <v>0.3</v>
      </c>
      <c r="S55" s="11"/>
    </row>
    <row r="56" spans="1:19" ht="15" customHeight="1">
      <c r="A56" s="13">
        <v>42826</v>
      </c>
      <c r="B56" s="8">
        <f>CHOOSE( CONTROL!$C$32, 4.0146, 4.0143) * CHOOSE(CONTROL!$C$15, $D$11, 100%, $F$11)</f>
        <v>4.0145999999999997</v>
      </c>
      <c r="C56" s="8">
        <f>CHOOSE( CONTROL!$C$32, 4.0191, 4.0188) * CHOOSE(CONTROL!$C$15, $D$11, 100%, $F$11)</f>
        <v>4.0190999999999999</v>
      </c>
      <c r="D56" s="8">
        <f>CHOOSE( CONTROL!$C$32, 4.0179, 4.0176) * CHOOSE( CONTROL!$C$15, $D$11, 100%, $F$11)</f>
        <v>4.0179</v>
      </c>
      <c r="E56" s="12">
        <f>CHOOSE( CONTROL!$C$32, 4.0178, 4.0175) * CHOOSE( CONTROL!$C$15, $D$11, 100%, $F$11)</f>
        <v>4.0178000000000003</v>
      </c>
      <c r="F56" s="4">
        <f>CHOOSE( CONTROL!$C$32, 4.7188, 4.7185) * CHOOSE(CONTROL!$C$15, $D$11, 100%, $F$11)</f>
        <v>4.7187999999999999</v>
      </c>
      <c r="G56" s="8">
        <f>CHOOSE( CONTROL!$C$32, 3.958, 3.9577) * CHOOSE( CONTROL!$C$15, $D$11, 100%, $F$11)</f>
        <v>3.9580000000000002</v>
      </c>
      <c r="H56" s="4">
        <f>CHOOSE( CONTROL!$C$32, 4.9101, 4.9099) * CHOOSE(CONTROL!$C$15, $D$11, 100%, $F$11)</f>
        <v>4.9100999999999999</v>
      </c>
      <c r="I56" s="8">
        <f>CHOOSE( CONTROL!$C$32, 3.9933, 3.993) * CHOOSE(CONTROL!$C$15, $D$11, 100%, $F$11)</f>
        <v>3.9933000000000001</v>
      </c>
      <c r="J56" s="4">
        <f>CHOOSE( CONTROL!$C$32, 3.8867, 3.8864) * CHOOSE(CONTROL!$C$15, $D$11, 100%, $F$11)</f>
        <v>3.8866999999999998</v>
      </c>
      <c r="K56" s="4"/>
      <c r="L56" s="9">
        <v>30.092199999999998</v>
      </c>
      <c r="M56" s="9">
        <v>11.6745</v>
      </c>
      <c r="N56" s="9">
        <v>4.7850000000000001</v>
      </c>
      <c r="O56" s="9">
        <v>0.36199999999999999</v>
      </c>
      <c r="P56" s="9">
        <v>2.0339999999999998</v>
      </c>
      <c r="Q56" s="9"/>
      <c r="R56" s="9">
        <f t="shared" si="0"/>
        <v>0.3</v>
      </c>
      <c r="S56" s="11"/>
    </row>
    <row r="57" spans="1:19" ht="15" customHeight="1">
      <c r="A57" s="13">
        <v>42856</v>
      </c>
      <c r="B57" s="8">
        <f>CHOOSE( CONTROL!$C$32, 4.1228, 4.1224) * CHOOSE(CONTROL!$C$15, $D$11, 100%, $F$11)</f>
        <v>4.1227999999999998</v>
      </c>
      <c r="C57" s="8">
        <f>CHOOSE( CONTROL!$C$32, 4.1308, 4.1303) * CHOOSE(CONTROL!$C$15, $D$11, 100%, $F$11)</f>
        <v>4.1307999999999998</v>
      </c>
      <c r="D57" s="8">
        <f>CHOOSE( CONTROL!$C$32, 4.1234, 4.1229) * CHOOSE( CONTROL!$C$15, $D$11, 100%, $F$11)</f>
        <v>4.1234000000000002</v>
      </c>
      <c r="E57" s="12">
        <f>CHOOSE( CONTROL!$C$32, 4.1249, 4.1244) * CHOOSE( CONTROL!$C$15, $D$11, 100%, $F$11)</f>
        <v>4.1249000000000002</v>
      </c>
      <c r="F57" s="4">
        <f>CHOOSE( CONTROL!$C$32, 4.8256, 4.8252) * CHOOSE(CONTROL!$C$15, $D$11, 100%, $F$11)</f>
        <v>4.8255999999999997</v>
      </c>
      <c r="G57" s="8">
        <f>CHOOSE( CONTROL!$C$32, 4.0634, 4.063) * CHOOSE( CONTROL!$C$15, $D$11, 100%, $F$11)</f>
        <v>4.0633999999999997</v>
      </c>
      <c r="H57" s="4">
        <f>CHOOSE( CONTROL!$C$32, 5.0158, 5.0153) * CHOOSE(CONTROL!$C$15, $D$11, 100%, $F$11)</f>
        <v>5.0157999999999996</v>
      </c>
      <c r="I57" s="8">
        <f>CHOOSE( CONTROL!$C$32, 4.0962, 4.0958) * CHOOSE(CONTROL!$C$15, $D$11, 100%, $F$11)</f>
        <v>4.0961999999999996</v>
      </c>
      <c r="J57" s="4">
        <f>CHOOSE( CONTROL!$C$32, 3.9904, 3.9899) * CHOOSE(CONTROL!$C$15, $D$11, 100%, $F$11)</f>
        <v>3.9904000000000002</v>
      </c>
      <c r="K57" s="4"/>
      <c r="L57" s="9">
        <v>30.7165</v>
      </c>
      <c r="M57" s="9">
        <v>12.063700000000001</v>
      </c>
      <c r="N57" s="9">
        <v>4.9444999999999997</v>
      </c>
      <c r="O57" s="9">
        <v>0.37409999999999999</v>
      </c>
      <c r="P57" s="9">
        <v>2.1017999999999999</v>
      </c>
      <c r="Q57" s="9">
        <v>25.076499999999999</v>
      </c>
      <c r="R57" s="9"/>
      <c r="S57" s="11"/>
    </row>
    <row r="58" spans="1:19" ht="15" customHeight="1">
      <c r="A58" s="13">
        <v>42887</v>
      </c>
      <c r="B58" s="8">
        <f>CHOOSE( CONTROL!$C$32, 4.0567, 4.0563) * CHOOSE(CONTROL!$C$15, $D$11, 100%, $F$11)</f>
        <v>4.0567000000000002</v>
      </c>
      <c r="C58" s="8">
        <f>CHOOSE( CONTROL!$C$32, 4.0647, 4.0642) * CHOOSE(CONTROL!$C$15, $D$11, 100%, $F$11)</f>
        <v>4.0647000000000002</v>
      </c>
      <c r="D58" s="8">
        <f>CHOOSE( CONTROL!$C$32, 4.0575, 4.0571) * CHOOSE( CONTROL!$C$15, $D$11, 100%, $F$11)</f>
        <v>4.0575000000000001</v>
      </c>
      <c r="E58" s="12">
        <f>CHOOSE( CONTROL!$C$32, 4.0589, 4.0585) * CHOOSE( CONTROL!$C$15, $D$11, 100%, $F$11)</f>
        <v>4.0589000000000004</v>
      </c>
      <c r="F58" s="4">
        <f>CHOOSE( CONTROL!$C$32, 4.7596, 4.7591) * CHOOSE(CONTROL!$C$15, $D$11, 100%, $F$11)</f>
        <v>4.7595999999999998</v>
      </c>
      <c r="G58" s="8">
        <f>CHOOSE( CONTROL!$C$32, 3.9983, 3.9978) * CHOOSE( CONTROL!$C$15, $D$11, 100%, $F$11)</f>
        <v>3.9983</v>
      </c>
      <c r="H58" s="4">
        <f>CHOOSE( CONTROL!$C$32, 4.9505, 4.95) * CHOOSE(CONTROL!$C$15, $D$11, 100%, $F$11)</f>
        <v>4.9504999999999999</v>
      </c>
      <c r="I58" s="8">
        <f>CHOOSE( CONTROL!$C$32, 4.0327, 4.0323) * CHOOSE(CONTROL!$C$15, $D$11, 100%, $F$11)</f>
        <v>4.0327000000000002</v>
      </c>
      <c r="J58" s="4">
        <f>CHOOSE( CONTROL!$C$32, 3.9262, 3.9258) * CHOOSE(CONTROL!$C$15, $D$11, 100%, $F$11)</f>
        <v>3.9262000000000001</v>
      </c>
      <c r="K58" s="4"/>
      <c r="L58" s="9">
        <v>29.7257</v>
      </c>
      <c r="M58" s="9">
        <v>11.6745</v>
      </c>
      <c r="N58" s="9">
        <v>4.7850000000000001</v>
      </c>
      <c r="O58" s="9">
        <v>0.36199999999999999</v>
      </c>
      <c r="P58" s="9">
        <v>2.0339999999999998</v>
      </c>
      <c r="Q58" s="9">
        <v>24.267600000000002</v>
      </c>
      <c r="R58" s="9"/>
      <c r="S58" s="11"/>
    </row>
    <row r="59" spans="1:19" ht="15" customHeight="1">
      <c r="A59" s="13">
        <v>42917</v>
      </c>
      <c r="B59" s="8">
        <f>CHOOSE( CONTROL!$C$32, 4.2308, 4.2303) * CHOOSE(CONTROL!$C$15, $D$11, 100%, $F$11)</f>
        <v>4.2308000000000003</v>
      </c>
      <c r="C59" s="8">
        <f>CHOOSE( CONTROL!$C$32, 4.2388, 4.2383) * CHOOSE(CONTROL!$C$15, $D$11, 100%, $F$11)</f>
        <v>4.2388000000000003</v>
      </c>
      <c r="D59" s="8">
        <f>CHOOSE( CONTROL!$C$32, 4.2318, 4.2314) * CHOOSE( CONTROL!$C$15, $D$11, 100%, $F$11)</f>
        <v>4.2317999999999998</v>
      </c>
      <c r="E59" s="12">
        <f>CHOOSE( CONTROL!$C$32, 4.2331, 4.2327) * CHOOSE( CONTROL!$C$15, $D$11, 100%, $F$11)</f>
        <v>4.2331000000000003</v>
      </c>
      <c r="F59" s="4">
        <f>CHOOSE( CONTROL!$C$32, 4.9336, 4.9332) * CHOOSE(CONTROL!$C$15, $D$11, 100%, $F$11)</f>
        <v>4.9336000000000002</v>
      </c>
      <c r="G59" s="8">
        <f>CHOOSE( CONTROL!$C$32, 4.1706, 4.1701) * CHOOSE( CONTROL!$C$15, $D$11, 100%, $F$11)</f>
        <v>4.1706000000000003</v>
      </c>
      <c r="H59" s="4">
        <f>CHOOSE( CONTROL!$C$32, 5.1225, 5.122) * CHOOSE(CONTROL!$C$15, $D$11, 100%, $F$11)</f>
        <v>5.1224999999999996</v>
      </c>
      <c r="I59" s="8">
        <f>CHOOSE( CONTROL!$C$32, 4.2025, 4.2021) * CHOOSE(CONTROL!$C$15, $D$11, 100%, $F$11)</f>
        <v>4.2024999999999997</v>
      </c>
      <c r="J59" s="4">
        <f>CHOOSE( CONTROL!$C$32, 4.0952, 4.0947) * CHOOSE(CONTROL!$C$15, $D$11, 100%, $F$11)</f>
        <v>4.0952000000000002</v>
      </c>
      <c r="K59" s="4"/>
      <c r="L59" s="9">
        <v>30.7165</v>
      </c>
      <c r="M59" s="9">
        <v>12.063700000000001</v>
      </c>
      <c r="N59" s="9">
        <v>4.9444999999999997</v>
      </c>
      <c r="O59" s="9">
        <v>0.37409999999999999</v>
      </c>
      <c r="P59" s="9">
        <v>2.1017999999999999</v>
      </c>
      <c r="Q59" s="9">
        <v>25.076499999999999</v>
      </c>
      <c r="R59" s="9"/>
      <c r="S59" s="11"/>
    </row>
    <row r="60" spans="1:19" ht="15" customHeight="1">
      <c r="A60" s="13">
        <v>42948</v>
      </c>
      <c r="B60" s="8">
        <f>CHOOSE( CONTROL!$C$32, 3.9051, 3.9046) * CHOOSE(CONTROL!$C$15, $D$11, 100%, $F$11)</f>
        <v>3.9051</v>
      </c>
      <c r="C60" s="8">
        <f>CHOOSE( CONTROL!$C$32, 3.9131, 3.9126) * CHOOSE(CONTROL!$C$15, $D$11, 100%, $F$11)</f>
        <v>3.9131</v>
      </c>
      <c r="D60" s="8">
        <f>CHOOSE( CONTROL!$C$32, 3.9062, 3.9057) * CHOOSE( CONTROL!$C$15, $D$11, 100%, $F$11)</f>
        <v>3.9062000000000001</v>
      </c>
      <c r="E60" s="12">
        <f>CHOOSE( CONTROL!$C$32, 3.9075, 3.907) * CHOOSE( CONTROL!$C$15, $D$11, 100%, $F$11)</f>
        <v>3.9075000000000002</v>
      </c>
      <c r="F60" s="4">
        <f>CHOOSE( CONTROL!$C$32, 4.6079, 4.6075) * CHOOSE(CONTROL!$C$15, $D$11, 100%, $F$11)</f>
        <v>4.6078999999999999</v>
      </c>
      <c r="G60" s="8">
        <f>CHOOSE( CONTROL!$C$32, 3.8487, 3.8483) * CHOOSE( CONTROL!$C$15, $D$11, 100%, $F$11)</f>
        <v>3.8487</v>
      </c>
      <c r="H60" s="4">
        <f>CHOOSE( CONTROL!$C$32, 4.8006, 4.8002) * CHOOSE(CONTROL!$C$15, $D$11, 100%, $F$11)</f>
        <v>4.8006000000000002</v>
      </c>
      <c r="I60" s="8">
        <f>CHOOSE( CONTROL!$C$32, 3.8865, 3.886) * CHOOSE(CONTROL!$C$15, $D$11, 100%, $F$11)</f>
        <v>3.8864999999999998</v>
      </c>
      <c r="J60" s="4">
        <f>CHOOSE( CONTROL!$C$32, 3.7791, 3.7786) * CHOOSE(CONTROL!$C$15, $D$11, 100%, $F$11)</f>
        <v>3.7791000000000001</v>
      </c>
      <c r="K60" s="4"/>
      <c r="L60" s="9">
        <v>30.7165</v>
      </c>
      <c r="M60" s="9">
        <v>12.063700000000001</v>
      </c>
      <c r="N60" s="9">
        <v>4.9444999999999997</v>
      </c>
      <c r="O60" s="9">
        <v>0.37409999999999999</v>
      </c>
      <c r="P60" s="9">
        <v>2.1017999999999999</v>
      </c>
      <c r="Q60" s="9">
        <v>25.076499999999999</v>
      </c>
      <c r="R60" s="9"/>
      <c r="S60" s="11"/>
    </row>
    <row r="61" spans="1:19" ht="15" customHeight="1">
      <c r="A61" s="13">
        <v>42979</v>
      </c>
      <c r="B61" s="8">
        <f>CHOOSE( CONTROL!$C$32, 3.8235, 3.8231) * CHOOSE(CONTROL!$C$15, $D$11, 100%, $F$11)</f>
        <v>3.8235000000000001</v>
      </c>
      <c r="C61" s="8">
        <f>CHOOSE( CONTROL!$C$32, 3.8315, 3.8311) * CHOOSE(CONTROL!$C$15, $D$11, 100%, $F$11)</f>
        <v>3.8315000000000001</v>
      </c>
      <c r="D61" s="8">
        <f>CHOOSE( CONTROL!$C$32, 3.8245, 3.824) * CHOOSE( CONTROL!$C$15, $D$11, 100%, $F$11)</f>
        <v>3.8245</v>
      </c>
      <c r="E61" s="12">
        <f>CHOOSE( CONTROL!$C$32, 3.8258, 3.8254) * CHOOSE( CONTROL!$C$15, $D$11, 100%, $F$11)</f>
        <v>3.8258000000000001</v>
      </c>
      <c r="F61" s="4">
        <f>CHOOSE( CONTROL!$C$32, 4.5264, 4.5259) * CHOOSE(CONTROL!$C$15, $D$11, 100%, $F$11)</f>
        <v>4.5263999999999998</v>
      </c>
      <c r="G61" s="8">
        <f>CHOOSE( CONTROL!$C$32, 3.768, 3.7675) * CHOOSE( CONTROL!$C$15, $D$11, 100%, $F$11)</f>
        <v>3.7679999999999998</v>
      </c>
      <c r="H61" s="4">
        <f>CHOOSE( CONTROL!$C$32, 4.72, 4.7196) * CHOOSE(CONTROL!$C$15, $D$11, 100%, $F$11)</f>
        <v>4.72</v>
      </c>
      <c r="I61" s="8">
        <f>CHOOSE( CONTROL!$C$32, 3.8068, 3.8063) * CHOOSE(CONTROL!$C$15, $D$11, 100%, $F$11)</f>
        <v>3.8068</v>
      </c>
      <c r="J61" s="4">
        <f>CHOOSE( CONTROL!$C$32, 3.6999, 3.6995) * CHOOSE(CONTROL!$C$15, $D$11, 100%, $F$11)</f>
        <v>3.6999</v>
      </c>
      <c r="K61" s="4"/>
      <c r="L61" s="9">
        <v>29.7257</v>
      </c>
      <c r="M61" s="9">
        <v>11.6745</v>
      </c>
      <c r="N61" s="9">
        <v>4.7850000000000001</v>
      </c>
      <c r="O61" s="9">
        <v>0.36199999999999999</v>
      </c>
      <c r="P61" s="9">
        <v>2.0339999999999998</v>
      </c>
      <c r="Q61" s="9">
        <v>24.267600000000002</v>
      </c>
      <c r="R61" s="9"/>
      <c r="S61" s="11"/>
    </row>
    <row r="62" spans="1:19" ht="15" customHeight="1">
      <c r="A62" s="13">
        <v>43009</v>
      </c>
      <c r="B62" s="8">
        <f>CHOOSE( CONTROL!$C$32, 3.991, 3.9907) * CHOOSE(CONTROL!$C$15, $D$11, 100%, $F$11)</f>
        <v>3.9910000000000001</v>
      </c>
      <c r="C62" s="8">
        <f>CHOOSE( CONTROL!$C$32, 3.9963, 3.996) * CHOOSE(CONTROL!$C$15, $D$11, 100%, $F$11)</f>
        <v>3.9963000000000002</v>
      </c>
      <c r="D62" s="8">
        <f>CHOOSE( CONTROL!$C$32, 3.9792, 3.979) * CHOOSE( CONTROL!$C$15, $D$11, 100%, $F$11)</f>
        <v>3.9792000000000001</v>
      </c>
      <c r="E62" s="12">
        <f>CHOOSE( CONTROL!$C$32, 3.9843, 3.984) * CHOOSE( CONTROL!$C$15, $D$11, 100%, $F$11)</f>
        <v>3.9843000000000002</v>
      </c>
      <c r="F62" s="4">
        <f>CHOOSE( CONTROL!$C$32, 4.6955, 4.6953) * CHOOSE(CONTROL!$C$15, $D$11, 100%, $F$11)</f>
        <v>4.6955</v>
      </c>
      <c r="G62" s="8">
        <f>CHOOSE( CONTROL!$C$32, 3.9563, 3.956) * CHOOSE( CONTROL!$C$15, $D$11, 100%, $F$11)</f>
        <v>3.9563000000000001</v>
      </c>
      <c r="H62" s="4">
        <f>CHOOSE( CONTROL!$C$32, 4.8872, 4.8869) * CHOOSE(CONTROL!$C$15, $D$11, 100%, $F$11)</f>
        <v>4.8872</v>
      </c>
      <c r="I62" s="8">
        <f>CHOOSE( CONTROL!$C$32, 3.9718, 3.9716) * CHOOSE(CONTROL!$C$15, $D$11, 100%, $F$11)</f>
        <v>3.9718</v>
      </c>
      <c r="J62" s="4">
        <f>CHOOSE( CONTROL!$C$32, 3.8641, 3.8638) * CHOOSE(CONTROL!$C$15, $D$11, 100%, $F$11)</f>
        <v>3.8641000000000001</v>
      </c>
      <c r="K62" s="4"/>
      <c r="L62" s="9">
        <v>31.095300000000002</v>
      </c>
      <c r="M62" s="9">
        <v>12.063700000000001</v>
      </c>
      <c r="N62" s="9">
        <v>4.9444999999999997</v>
      </c>
      <c r="O62" s="9">
        <v>0.37409999999999999</v>
      </c>
      <c r="P62" s="9">
        <v>2.1017999999999999</v>
      </c>
      <c r="Q62" s="9">
        <v>25.076499999999999</v>
      </c>
      <c r="R62" s="9"/>
      <c r="S62" s="11"/>
    </row>
    <row r="63" spans="1:19" ht="15" customHeight="1">
      <c r="A63" s="13">
        <v>43040</v>
      </c>
      <c r="B63" s="8">
        <f>CHOOSE( CONTROL!$C$32, 4.3031, 4.3029) * CHOOSE(CONTROL!$C$15, $D$11, 100%, $F$11)</f>
        <v>4.3030999999999997</v>
      </c>
      <c r="C63" s="8">
        <f>CHOOSE( CONTROL!$C$32, 4.3082, 4.3079) * CHOOSE(CONTROL!$C$15, $D$11, 100%, $F$11)</f>
        <v>4.3082000000000003</v>
      </c>
      <c r="D63" s="8">
        <f>CHOOSE( CONTROL!$C$32, 4.2909, 4.2907) * CHOOSE( CONTROL!$C$15, $D$11, 100%, $F$11)</f>
        <v>4.2908999999999997</v>
      </c>
      <c r="E63" s="12">
        <f>CHOOSE( CONTROL!$C$32, 4.2967, 4.2965) * CHOOSE( CONTROL!$C$15, $D$11, 100%, $F$11)</f>
        <v>4.2967000000000004</v>
      </c>
      <c r="F63" s="4">
        <f>CHOOSE( CONTROL!$C$32, 4.9684, 4.9681) * CHOOSE(CONTROL!$C$15, $D$11, 100%, $F$11)</f>
        <v>4.9683999999999999</v>
      </c>
      <c r="G63" s="8">
        <f>CHOOSE( CONTROL!$C$32, 4.2621, 4.2618) * CHOOSE( CONTROL!$C$15, $D$11, 100%, $F$11)</f>
        <v>4.2621000000000002</v>
      </c>
      <c r="H63" s="4">
        <f>CHOOSE( CONTROL!$C$32, 5.1569, 5.1566) * CHOOSE(CONTROL!$C$15, $D$11, 100%, $F$11)</f>
        <v>5.1569000000000003</v>
      </c>
      <c r="I63" s="8">
        <f>CHOOSE( CONTROL!$C$32, 4.331, 4.3307) * CHOOSE(CONTROL!$C$15, $D$11, 100%, $F$11)</f>
        <v>4.3310000000000004</v>
      </c>
      <c r="J63" s="4">
        <f>CHOOSE( CONTROL!$C$32, 4.1674, 4.1672) * CHOOSE(CONTROL!$C$15, $D$11, 100%, $F$11)</f>
        <v>4.1673999999999998</v>
      </c>
      <c r="K63" s="4"/>
      <c r="L63" s="9">
        <v>28.360600000000002</v>
      </c>
      <c r="M63" s="9">
        <v>11.6745</v>
      </c>
      <c r="N63" s="9">
        <v>4.7850000000000001</v>
      </c>
      <c r="O63" s="9">
        <v>0.36199999999999999</v>
      </c>
      <c r="P63" s="9">
        <v>1.2509999999999999</v>
      </c>
      <c r="Q63" s="9">
        <v>24.267600000000002</v>
      </c>
      <c r="R63" s="9"/>
      <c r="S63" s="11"/>
    </row>
    <row r="64" spans="1:19" ht="15" customHeight="1">
      <c r="A64" s="13">
        <v>43070</v>
      </c>
      <c r="B64" s="8">
        <f>CHOOSE( CONTROL!$C$32, 4.2953, 4.2951) * CHOOSE(CONTROL!$C$15, $D$11, 100%, $F$11)</f>
        <v>4.2953000000000001</v>
      </c>
      <c r="C64" s="8">
        <f>CHOOSE( CONTROL!$C$32, 4.3004, 4.3001) * CHOOSE(CONTROL!$C$15, $D$11, 100%, $F$11)</f>
        <v>4.3003999999999998</v>
      </c>
      <c r="D64" s="8">
        <f>CHOOSE( CONTROL!$C$32, 4.2849, 4.2846) * CHOOSE( CONTROL!$C$15, $D$11, 100%, $F$11)</f>
        <v>4.2849000000000004</v>
      </c>
      <c r="E64" s="12">
        <f>CHOOSE( CONTROL!$C$32, 4.29, 4.2897) * CHOOSE( CONTROL!$C$15, $D$11, 100%, $F$11)</f>
        <v>4.29</v>
      </c>
      <c r="F64" s="4">
        <f>CHOOSE( CONTROL!$C$32, 4.9606, 4.9603) * CHOOSE(CONTROL!$C$15, $D$11, 100%, $F$11)</f>
        <v>4.9606000000000003</v>
      </c>
      <c r="G64" s="8">
        <f>CHOOSE( CONTROL!$C$32, 4.2557, 4.2554) * CHOOSE( CONTROL!$C$15, $D$11, 100%, $F$11)</f>
        <v>4.2557</v>
      </c>
      <c r="H64" s="4">
        <f>CHOOSE( CONTROL!$C$32, 5.1492, 5.1489) * CHOOSE(CONTROL!$C$15, $D$11, 100%, $F$11)</f>
        <v>5.1492000000000004</v>
      </c>
      <c r="I64" s="8">
        <f>CHOOSE( CONTROL!$C$32, 4.329, 4.3287) * CHOOSE(CONTROL!$C$15, $D$11, 100%, $F$11)</f>
        <v>4.3289999999999997</v>
      </c>
      <c r="J64" s="4">
        <f>CHOOSE( CONTROL!$C$32, 4.1599, 4.1596) * CHOOSE(CONTROL!$C$15, $D$11, 100%, $F$11)</f>
        <v>4.1599000000000004</v>
      </c>
      <c r="K64" s="4"/>
      <c r="L64" s="9">
        <v>29.306000000000001</v>
      </c>
      <c r="M64" s="9">
        <v>12.063700000000001</v>
      </c>
      <c r="N64" s="9">
        <v>4.9444999999999997</v>
      </c>
      <c r="O64" s="9">
        <v>0.37409999999999999</v>
      </c>
      <c r="P64" s="9">
        <v>1.2927</v>
      </c>
      <c r="Q64" s="9">
        <v>25.076499999999999</v>
      </c>
      <c r="R64" s="9"/>
      <c r="S64" s="11"/>
    </row>
    <row r="65" spans="1:19" ht="15" customHeight="1">
      <c r="A65" s="13">
        <v>43101</v>
      </c>
      <c r="B65" s="8">
        <f>CHOOSE( CONTROL!$C$32, 4.5986, 4.5983) * CHOOSE(CONTROL!$C$15, $D$11, 100%, $F$11)</f>
        <v>4.5986000000000002</v>
      </c>
      <c r="C65" s="8">
        <f>CHOOSE( CONTROL!$C$32, 4.6037, 4.6034) * CHOOSE(CONTROL!$C$15, $D$11, 100%, $F$11)</f>
        <v>4.6036999999999999</v>
      </c>
      <c r="D65" s="8">
        <f>CHOOSE( CONTROL!$C$32, 4.5941, 4.5938) * CHOOSE( CONTROL!$C$15, $D$11, 100%, $F$11)</f>
        <v>4.5941000000000001</v>
      </c>
      <c r="E65" s="12">
        <f>CHOOSE( CONTROL!$C$32, 4.5971, 4.5968) * CHOOSE( CONTROL!$C$15, $D$11, 100%, $F$11)</f>
        <v>4.5971000000000002</v>
      </c>
      <c r="F65" s="4">
        <f>CHOOSE( CONTROL!$C$32, 5.2639, 5.2636) * CHOOSE(CONTROL!$C$15, $D$11, 100%, $F$11)</f>
        <v>5.2638999999999996</v>
      </c>
      <c r="G65" s="8">
        <f>CHOOSE( CONTROL!$C$32, 4.5561, 4.5559) * CHOOSE( CONTROL!$C$15, $D$11, 100%, $F$11)</f>
        <v>4.5560999999999998</v>
      </c>
      <c r="H65" s="4">
        <f>CHOOSE( CONTROL!$C$32, 5.4489, 5.4486) * CHOOSE(CONTROL!$C$15, $D$11, 100%, $F$11)</f>
        <v>5.4489000000000001</v>
      </c>
      <c r="I65" s="8">
        <f>CHOOSE( CONTROL!$C$32, 4.6039, 4.6036) * CHOOSE(CONTROL!$C$15, $D$11, 100%, $F$11)</f>
        <v>4.6039000000000003</v>
      </c>
      <c r="J65" s="4">
        <f>CHOOSE( CONTROL!$C$32, 4.4542, 4.4539) * CHOOSE(CONTROL!$C$15, $D$11, 100%, $F$11)</f>
        <v>4.4542000000000002</v>
      </c>
      <c r="K65" s="4"/>
      <c r="L65" s="9">
        <v>29.306000000000001</v>
      </c>
      <c r="M65" s="9">
        <v>12.063700000000001</v>
      </c>
      <c r="N65" s="9">
        <v>4.9444999999999997</v>
      </c>
      <c r="O65" s="9">
        <v>0.37409999999999999</v>
      </c>
      <c r="P65" s="9">
        <v>1.2927</v>
      </c>
      <c r="Q65" s="9">
        <v>24.901700000000002</v>
      </c>
      <c r="R65" s="9"/>
      <c r="S65" s="11"/>
    </row>
    <row r="66" spans="1:19" ht="15" customHeight="1">
      <c r="A66" s="13">
        <v>43132</v>
      </c>
      <c r="B66" s="8">
        <f>CHOOSE( CONTROL!$C$32, 4.3019, 4.3016) * CHOOSE(CONTROL!$C$15, $D$11, 100%, $F$11)</f>
        <v>4.3018999999999998</v>
      </c>
      <c r="C66" s="8">
        <f>CHOOSE( CONTROL!$C$32, 4.307, 4.3067) * CHOOSE(CONTROL!$C$15, $D$11, 100%, $F$11)</f>
        <v>4.3070000000000004</v>
      </c>
      <c r="D66" s="8">
        <f>CHOOSE( CONTROL!$C$32, 4.2991, 4.2988) * CHOOSE( CONTROL!$C$15, $D$11, 100%, $F$11)</f>
        <v>4.2991000000000001</v>
      </c>
      <c r="E66" s="12">
        <f>CHOOSE( CONTROL!$C$32, 4.3014, 4.3011) * CHOOSE( CONTROL!$C$15, $D$11, 100%, $F$11)</f>
        <v>4.3014000000000001</v>
      </c>
      <c r="F66" s="4">
        <f>CHOOSE( CONTROL!$C$32, 4.9672, 4.9669) * CHOOSE(CONTROL!$C$15, $D$11, 100%, $F$11)</f>
        <v>4.9672000000000001</v>
      </c>
      <c r="G66" s="8">
        <f>CHOOSE( CONTROL!$C$32, 4.2614, 4.2612) * CHOOSE( CONTROL!$C$15, $D$11, 100%, $F$11)</f>
        <v>4.2614000000000001</v>
      </c>
      <c r="H66" s="4">
        <f>CHOOSE( CONTROL!$C$32, 5.1557, 5.1554) * CHOOSE(CONTROL!$C$15, $D$11, 100%, $F$11)</f>
        <v>5.1557000000000004</v>
      </c>
      <c r="I66" s="8">
        <f>CHOOSE( CONTROL!$C$32, 4.3004, 4.3002) * CHOOSE(CONTROL!$C$15, $D$11, 100%, $F$11)</f>
        <v>4.3003999999999998</v>
      </c>
      <c r="J66" s="4">
        <f>CHOOSE( CONTROL!$C$32, 4.1663, 4.166) * CHOOSE(CONTROL!$C$15, $D$11, 100%, $F$11)</f>
        <v>4.1662999999999997</v>
      </c>
      <c r="K66" s="4"/>
      <c r="L66" s="9">
        <v>26.469899999999999</v>
      </c>
      <c r="M66" s="9">
        <v>10.8962</v>
      </c>
      <c r="N66" s="9">
        <v>4.4660000000000002</v>
      </c>
      <c r="O66" s="9">
        <v>0.33789999999999998</v>
      </c>
      <c r="P66" s="9">
        <v>1.1676</v>
      </c>
      <c r="Q66" s="9">
        <v>22.491800000000001</v>
      </c>
      <c r="R66" s="9"/>
      <c r="S66" s="11"/>
    </row>
    <row r="67" spans="1:19" ht="15" customHeight="1">
      <c r="A67" s="13">
        <v>43160</v>
      </c>
      <c r="B67" s="8">
        <f>CHOOSE( CONTROL!$C$32, 4.2105, 4.2103) * CHOOSE(CONTROL!$C$15, $D$11, 100%, $F$11)</f>
        <v>4.2104999999999997</v>
      </c>
      <c r="C67" s="8">
        <f>CHOOSE( CONTROL!$C$32, 4.2156, 4.2153) * CHOOSE(CONTROL!$C$15, $D$11, 100%, $F$11)</f>
        <v>4.2156000000000002</v>
      </c>
      <c r="D67" s="8">
        <f>CHOOSE( CONTROL!$C$32, 4.2029, 4.2026) * CHOOSE( CONTROL!$C$15, $D$11, 100%, $F$11)</f>
        <v>4.2028999999999996</v>
      </c>
      <c r="E67" s="12">
        <f>CHOOSE( CONTROL!$C$32, 4.207, 4.2067) * CHOOSE( CONTROL!$C$15, $D$11, 100%, $F$11)</f>
        <v>4.2069999999999999</v>
      </c>
      <c r="F67" s="4">
        <f>CHOOSE( CONTROL!$C$32, 4.8758, 4.8755) * CHOOSE(CONTROL!$C$15, $D$11, 100%, $F$11)</f>
        <v>4.8757999999999999</v>
      </c>
      <c r="G67" s="8">
        <f>CHOOSE( CONTROL!$C$32, 4.1677, 4.1674) * CHOOSE( CONTROL!$C$15, $D$11, 100%, $F$11)</f>
        <v>4.1677</v>
      </c>
      <c r="H67" s="4">
        <f>CHOOSE( CONTROL!$C$32, 5.0654, 5.0651) * CHOOSE(CONTROL!$C$15, $D$11, 100%, $F$11)</f>
        <v>5.0654000000000003</v>
      </c>
      <c r="I67" s="8">
        <f>CHOOSE( CONTROL!$C$32, 4.2101, 4.2098) * CHOOSE(CONTROL!$C$15, $D$11, 100%, $F$11)</f>
        <v>4.2100999999999997</v>
      </c>
      <c r="J67" s="4">
        <f>CHOOSE( CONTROL!$C$32, 4.0776, 4.0773) * CHOOSE(CONTROL!$C$15, $D$11, 100%, $F$11)</f>
        <v>4.0776000000000003</v>
      </c>
      <c r="K67" s="4"/>
      <c r="L67" s="9">
        <v>29.306000000000001</v>
      </c>
      <c r="M67" s="9">
        <v>12.063700000000001</v>
      </c>
      <c r="N67" s="9">
        <v>4.9444999999999997</v>
      </c>
      <c r="O67" s="9">
        <v>0.37409999999999999</v>
      </c>
      <c r="P67" s="9">
        <v>1.2927</v>
      </c>
      <c r="Q67" s="9">
        <v>24.901700000000002</v>
      </c>
      <c r="R67" s="9"/>
      <c r="S67" s="11"/>
    </row>
    <row r="68" spans="1:19" ht="15" customHeight="1">
      <c r="A68" s="13">
        <v>43191</v>
      </c>
      <c r="B68" s="8">
        <f>CHOOSE( CONTROL!$C$32, 4.2752, 4.2749) * CHOOSE(CONTROL!$C$15, $D$11, 100%, $F$11)</f>
        <v>4.2751999999999999</v>
      </c>
      <c r="C68" s="8">
        <f>CHOOSE( CONTROL!$C$32, 4.2797, 4.2794) * CHOOSE(CONTROL!$C$15, $D$11, 100%, $F$11)</f>
        <v>4.2797000000000001</v>
      </c>
      <c r="D68" s="8">
        <f>CHOOSE( CONTROL!$C$32, 4.2845, 4.2843) * CHOOSE( CONTROL!$C$15, $D$11, 100%, $F$11)</f>
        <v>4.2845000000000004</v>
      </c>
      <c r="E68" s="12">
        <f>CHOOSE( CONTROL!$C$32, 4.2824, 4.2822) * CHOOSE( CONTROL!$C$15, $D$11, 100%, $F$11)</f>
        <v>4.2824</v>
      </c>
      <c r="F68" s="4">
        <f>CHOOSE( CONTROL!$C$32, 4.9793, 4.9791) * CHOOSE(CONTROL!$C$15, $D$11, 100%, $F$11)</f>
        <v>4.9793000000000003</v>
      </c>
      <c r="G68" s="8">
        <f>CHOOSE( CONTROL!$C$32, 4.2365, 4.2363) * CHOOSE( CONTROL!$C$15, $D$11, 100%, $F$11)</f>
        <v>4.2365000000000004</v>
      </c>
      <c r="H68" s="4">
        <f>CHOOSE( CONTROL!$C$32, 5.1677, 5.1674) * CHOOSE(CONTROL!$C$15, $D$11, 100%, $F$11)</f>
        <v>5.1677</v>
      </c>
      <c r="I68" s="8">
        <f>CHOOSE( CONTROL!$C$32, 4.2463, 4.2461) * CHOOSE(CONTROL!$C$15, $D$11, 100%, $F$11)</f>
        <v>4.2462999999999997</v>
      </c>
      <c r="J68" s="4">
        <f>CHOOSE( CONTROL!$C$32, 4.1395, 4.1393) * CHOOSE(CONTROL!$C$15, $D$11, 100%, $F$11)</f>
        <v>4.1395</v>
      </c>
      <c r="K68" s="4"/>
      <c r="L68" s="9">
        <v>30.092199999999998</v>
      </c>
      <c r="M68" s="9">
        <v>11.6745</v>
      </c>
      <c r="N68" s="9">
        <v>4.7850000000000001</v>
      </c>
      <c r="O68" s="9">
        <v>0.36199999999999999</v>
      </c>
      <c r="P68" s="9">
        <v>1.2509999999999999</v>
      </c>
      <c r="Q68" s="9">
        <v>24.098400000000002</v>
      </c>
      <c r="R68" s="9"/>
      <c r="S68" s="11"/>
    </row>
    <row r="69" spans="1:19" ht="15" customHeight="1">
      <c r="A69" s="13">
        <v>43221</v>
      </c>
      <c r="B69" s="8">
        <f>CHOOSE( CONTROL!$C$32, 4.3903, 4.3899) * CHOOSE(CONTROL!$C$15, $D$11, 100%, $F$11)</f>
        <v>4.3902999999999999</v>
      </c>
      <c r="C69" s="8">
        <f>CHOOSE( CONTROL!$C$32, 4.3983, 4.3979) * CHOOSE(CONTROL!$C$15, $D$11, 100%, $F$11)</f>
        <v>4.3982999999999999</v>
      </c>
      <c r="D69" s="8">
        <f>CHOOSE( CONTROL!$C$32, 4.3971, 4.3967) * CHOOSE( CONTROL!$C$15, $D$11, 100%, $F$11)</f>
        <v>4.3971</v>
      </c>
      <c r="E69" s="12">
        <f>CHOOSE( CONTROL!$C$32, 4.3963, 4.3959) * CHOOSE( CONTROL!$C$15, $D$11, 100%, $F$11)</f>
        <v>4.3963000000000001</v>
      </c>
      <c r="F69" s="4">
        <f>CHOOSE( CONTROL!$C$32, 5.0932, 5.0927) * CHOOSE(CONTROL!$C$15, $D$11, 100%, $F$11)</f>
        <v>5.0932000000000004</v>
      </c>
      <c r="G69" s="8">
        <f>CHOOSE( CONTROL!$C$32, 4.3488, 4.3484) * CHOOSE( CONTROL!$C$15, $D$11, 100%, $F$11)</f>
        <v>4.3487999999999998</v>
      </c>
      <c r="H69" s="4">
        <f>CHOOSE( CONTROL!$C$32, 5.2802, 5.2797) * CHOOSE(CONTROL!$C$15, $D$11, 100%, $F$11)</f>
        <v>5.2801999999999998</v>
      </c>
      <c r="I69" s="8">
        <f>CHOOSE( CONTROL!$C$32, 4.356, 4.3556) * CHOOSE(CONTROL!$C$15, $D$11, 100%, $F$11)</f>
        <v>4.3559999999999999</v>
      </c>
      <c r="J69" s="4">
        <f>CHOOSE( CONTROL!$C$32, 4.25, 4.2496) * CHOOSE(CONTROL!$C$15, $D$11, 100%, $F$11)</f>
        <v>4.25</v>
      </c>
      <c r="K69" s="4"/>
      <c r="L69" s="9">
        <v>30.7165</v>
      </c>
      <c r="M69" s="9">
        <v>12.063700000000001</v>
      </c>
      <c r="N69" s="9">
        <v>4.9444999999999997</v>
      </c>
      <c r="O69" s="9">
        <v>0.37409999999999999</v>
      </c>
      <c r="P69" s="9">
        <v>1.2927</v>
      </c>
      <c r="Q69" s="9">
        <v>24.901700000000002</v>
      </c>
      <c r="R69" s="9"/>
      <c r="S69" s="11"/>
    </row>
    <row r="70" spans="1:19" ht="15" customHeight="1">
      <c r="A70" s="13">
        <v>43252</v>
      </c>
      <c r="B70" s="8">
        <f>CHOOSE( CONTROL!$C$32, 4.3199, 4.3195) * CHOOSE(CONTROL!$C$15, $D$11, 100%, $F$11)</f>
        <v>4.3198999999999996</v>
      </c>
      <c r="C70" s="8">
        <f>CHOOSE( CONTROL!$C$32, 4.3279, 4.3275) * CHOOSE(CONTROL!$C$15, $D$11, 100%, $F$11)</f>
        <v>4.3278999999999996</v>
      </c>
      <c r="D70" s="8">
        <f>CHOOSE( CONTROL!$C$32, 4.3269, 4.3264) * CHOOSE( CONTROL!$C$15, $D$11, 100%, $F$11)</f>
        <v>4.3269000000000002</v>
      </c>
      <c r="E70" s="12">
        <f>CHOOSE( CONTROL!$C$32, 4.326, 4.3256) * CHOOSE( CONTROL!$C$15, $D$11, 100%, $F$11)</f>
        <v>4.3259999999999996</v>
      </c>
      <c r="F70" s="4">
        <f>CHOOSE( CONTROL!$C$32, 5.0228, 5.0223) * CHOOSE(CONTROL!$C$15, $D$11, 100%, $F$11)</f>
        <v>5.0228000000000002</v>
      </c>
      <c r="G70" s="8">
        <f>CHOOSE( CONTROL!$C$32, 4.2794, 4.279) * CHOOSE( CONTROL!$C$15, $D$11, 100%, $F$11)</f>
        <v>4.2793999999999999</v>
      </c>
      <c r="H70" s="4">
        <f>CHOOSE( CONTROL!$C$32, 5.2106, 5.2101) * CHOOSE(CONTROL!$C$15, $D$11, 100%, $F$11)</f>
        <v>5.2106000000000003</v>
      </c>
      <c r="I70" s="8">
        <f>CHOOSE( CONTROL!$C$32, 4.2883, 4.2879) * CHOOSE(CONTROL!$C$15, $D$11, 100%, $F$11)</f>
        <v>4.2882999999999996</v>
      </c>
      <c r="J70" s="4">
        <f>CHOOSE( CONTROL!$C$32, 4.1817, 4.1812) * CHOOSE(CONTROL!$C$15, $D$11, 100%, $F$11)</f>
        <v>4.1817000000000002</v>
      </c>
      <c r="K70" s="4"/>
      <c r="L70" s="9">
        <v>29.7257</v>
      </c>
      <c r="M70" s="9">
        <v>11.6745</v>
      </c>
      <c r="N70" s="9">
        <v>4.7850000000000001</v>
      </c>
      <c r="O70" s="9">
        <v>0.36199999999999999</v>
      </c>
      <c r="P70" s="9">
        <v>1.2509999999999999</v>
      </c>
      <c r="Q70" s="9">
        <v>24.098400000000002</v>
      </c>
      <c r="R70" s="9"/>
      <c r="S70" s="11"/>
    </row>
    <row r="71" spans="1:19" ht="15" customHeight="1">
      <c r="A71" s="13">
        <v>43282</v>
      </c>
      <c r="B71" s="8">
        <f>CHOOSE( CONTROL!$C$32, 4.5053, 4.5049) * CHOOSE(CONTROL!$C$15, $D$11, 100%, $F$11)</f>
        <v>4.5053000000000001</v>
      </c>
      <c r="C71" s="8">
        <f>CHOOSE( CONTROL!$C$32, 4.5133, 4.5129) * CHOOSE(CONTROL!$C$15, $D$11, 100%, $F$11)</f>
        <v>4.5133000000000001</v>
      </c>
      <c r="D71" s="8">
        <f>CHOOSE( CONTROL!$C$32, 4.5125, 4.5121) * CHOOSE( CONTROL!$C$15, $D$11, 100%, $F$11)</f>
        <v>4.5125000000000002</v>
      </c>
      <c r="E71" s="12">
        <f>CHOOSE( CONTROL!$C$32, 4.5116, 4.5112) * CHOOSE( CONTROL!$C$15, $D$11, 100%, $F$11)</f>
        <v>4.5115999999999996</v>
      </c>
      <c r="F71" s="4">
        <f>CHOOSE( CONTROL!$C$32, 5.2082, 5.2077) * CHOOSE(CONTROL!$C$15, $D$11, 100%, $F$11)</f>
        <v>5.2081999999999997</v>
      </c>
      <c r="G71" s="8">
        <f>CHOOSE( CONTROL!$C$32, 4.4628, 4.4624) * CHOOSE( CONTROL!$C$15, $D$11, 100%, $F$11)</f>
        <v>4.4627999999999997</v>
      </c>
      <c r="H71" s="4">
        <f>CHOOSE( CONTROL!$C$32, 5.3938, 5.3934) * CHOOSE(CONTROL!$C$15, $D$11, 100%, $F$11)</f>
        <v>5.3937999999999997</v>
      </c>
      <c r="I71" s="8">
        <f>CHOOSE( CONTROL!$C$32, 4.4691, 4.4687) * CHOOSE(CONTROL!$C$15, $D$11, 100%, $F$11)</f>
        <v>4.4691000000000001</v>
      </c>
      <c r="J71" s="4">
        <f>CHOOSE( CONTROL!$C$32, 4.3616, 4.3612) * CHOOSE(CONTROL!$C$15, $D$11, 100%, $F$11)</f>
        <v>4.3616000000000001</v>
      </c>
      <c r="K71" s="4"/>
      <c r="L71" s="9">
        <v>30.7165</v>
      </c>
      <c r="M71" s="9">
        <v>12.063700000000001</v>
      </c>
      <c r="N71" s="9">
        <v>4.9444999999999997</v>
      </c>
      <c r="O71" s="9">
        <v>0.37409999999999999</v>
      </c>
      <c r="P71" s="9">
        <v>1.2927</v>
      </c>
      <c r="Q71" s="9">
        <v>24.901700000000002</v>
      </c>
      <c r="R71" s="9"/>
      <c r="S71" s="11"/>
    </row>
    <row r="72" spans="1:19" ht="15" customHeight="1">
      <c r="A72" s="13">
        <v>43313</v>
      </c>
      <c r="B72" s="8">
        <f>CHOOSE( CONTROL!$C$32, 4.1585, 4.158) * CHOOSE(CONTROL!$C$15, $D$11, 100%, $F$11)</f>
        <v>4.1585000000000001</v>
      </c>
      <c r="C72" s="8">
        <f>CHOOSE( CONTROL!$C$32, 4.1664, 4.166) * CHOOSE(CONTROL!$C$15, $D$11, 100%, $F$11)</f>
        <v>4.1664000000000003</v>
      </c>
      <c r="D72" s="8">
        <f>CHOOSE( CONTROL!$C$32, 4.1657, 4.1652) * CHOOSE( CONTROL!$C$15, $D$11, 100%, $F$11)</f>
        <v>4.1657000000000002</v>
      </c>
      <c r="E72" s="12">
        <f>CHOOSE( CONTROL!$C$32, 4.1647, 4.1643) * CHOOSE( CONTROL!$C$15, $D$11, 100%, $F$11)</f>
        <v>4.1646999999999998</v>
      </c>
      <c r="F72" s="4">
        <f>CHOOSE( CONTROL!$C$32, 4.8613, 4.8608) * CHOOSE(CONTROL!$C$15, $D$11, 100%, $F$11)</f>
        <v>4.8613</v>
      </c>
      <c r="G72" s="8">
        <f>CHOOSE( CONTROL!$C$32, 4.12, 4.1196) * CHOOSE( CONTROL!$C$15, $D$11, 100%, $F$11)</f>
        <v>4.12</v>
      </c>
      <c r="H72" s="4">
        <f>CHOOSE( CONTROL!$C$32, 5.051, 5.0505) * CHOOSE(CONTROL!$C$15, $D$11, 100%, $F$11)</f>
        <v>5.0510000000000002</v>
      </c>
      <c r="I72" s="8">
        <f>CHOOSE( CONTROL!$C$32, 4.1325, 4.132) * CHOOSE(CONTROL!$C$15, $D$11, 100%, $F$11)</f>
        <v>4.1325000000000003</v>
      </c>
      <c r="J72" s="4">
        <f>CHOOSE( CONTROL!$C$32, 4.025, 4.0245) * CHOOSE(CONTROL!$C$15, $D$11, 100%, $F$11)</f>
        <v>4.0250000000000004</v>
      </c>
      <c r="K72" s="4"/>
      <c r="L72" s="9">
        <v>30.7165</v>
      </c>
      <c r="M72" s="9">
        <v>12.063700000000001</v>
      </c>
      <c r="N72" s="9">
        <v>4.9444999999999997</v>
      </c>
      <c r="O72" s="9">
        <v>0.37409999999999999</v>
      </c>
      <c r="P72" s="9">
        <v>1.2927</v>
      </c>
      <c r="Q72" s="9">
        <v>24.901700000000002</v>
      </c>
      <c r="R72" s="9"/>
      <c r="S72" s="11"/>
    </row>
    <row r="73" spans="1:19" ht="15" customHeight="1">
      <c r="A73" s="13">
        <v>43344</v>
      </c>
      <c r="B73" s="8">
        <f>CHOOSE( CONTROL!$C$32, 4.0716, 4.0711) * CHOOSE(CONTROL!$C$15, $D$11, 100%, $F$11)</f>
        <v>4.0716000000000001</v>
      </c>
      <c r="C73" s="8">
        <f>CHOOSE( CONTROL!$C$32, 4.0796, 4.0791) * CHOOSE(CONTROL!$C$15, $D$11, 100%, $F$11)</f>
        <v>4.0796000000000001</v>
      </c>
      <c r="D73" s="8">
        <f>CHOOSE( CONTROL!$C$32, 4.0787, 4.0782) * CHOOSE( CONTROL!$C$15, $D$11, 100%, $F$11)</f>
        <v>4.0787000000000004</v>
      </c>
      <c r="E73" s="12">
        <f>CHOOSE( CONTROL!$C$32, 4.0778, 4.0773) * CHOOSE( CONTROL!$C$15, $D$11, 100%, $F$11)</f>
        <v>4.0777999999999999</v>
      </c>
      <c r="F73" s="4">
        <f>CHOOSE( CONTROL!$C$32, 4.7744, 4.774) * CHOOSE(CONTROL!$C$15, $D$11, 100%, $F$11)</f>
        <v>4.7744</v>
      </c>
      <c r="G73" s="8">
        <f>CHOOSE( CONTROL!$C$32, 4.0341, 4.0336) * CHOOSE( CONTROL!$C$15, $D$11, 100%, $F$11)</f>
        <v>4.0340999999999996</v>
      </c>
      <c r="H73" s="4">
        <f>CHOOSE( CONTROL!$C$32, 4.9651, 4.9647) * CHOOSE(CONTROL!$C$15, $D$11, 100%, $F$11)</f>
        <v>4.9650999999999996</v>
      </c>
      <c r="I73" s="8">
        <f>CHOOSE( CONTROL!$C$32, 4.0476, 4.0472) * CHOOSE(CONTROL!$C$15, $D$11, 100%, $F$11)</f>
        <v>4.0476000000000001</v>
      </c>
      <c r="J73" s="4">
        <f>CHOOSE( CONTROL!$C$32, 3.9407, 3.9402) * CHOOSE(CONTROL!$C$15, $D$11, 100%, $F$11)</f>
        <v>3.9407000000000001</v>
      </c>
      <c r="K73" s="4"/>
      <c r="L73" s="9">
        <v>29.7257</v>
      </c>
      <c r="M73" s="9">
        <v>11.6745</v>
      </c>
      <c r="N73" s="9">
        <v>4.7850000000000001</v>
      </c>
      <c r="O73" s="9">
        <v>0.36199999999999999</v>
      </c>
      <c r="P73" s="9">
        <v>1.2509999999999999</v>
      </c>
      <c r="Q73" s="9">
        <v>24.098400000000002</v>
      </c>
      <c r="R73" s="9"/>
      <c r="S73" s="11"/>
    </row>
    <row r="74" spans="1:19" ht="15" customHeight="1">
      <c r="A74" s="13">
        <v>43374</v>
      </c>
      <c r="B74" s="8">
        <f>CHOOSE( CONTROL!$C$32, 4.25, 4.2498) * CHOOSE(CONTROL!$C$15, $D$11, 100%, $F$11)</f>
        <v>4.25</v>
      </c>
      <c r="C74" s="8">
        <f>CHOOSE( CONTROL!$C$32, 4.2554, 4.2551) * CHOOSE(CONTROL!$C$15, $D$11, 100%, $F$11)</f>
        <v>4.2553999999999998</v>
      </c>
      <c r="D74" s="8">
        <f>CHOOSE( CONTROL!$C$32, 4.2601, 4.2598) * CHOOSE( CONTROL!$C$15, $D$11, 100%, $F$11)</f>
        <v>4.2601000000000004</v>
      </c>
      <c r="E74" s="12">
        <f>CHOOSE( CONTROL!$C$32, 4.258, 4.2577) * CHOOSE( CONTROL!$C$15, $D$11, 100%, $F$11)</f>
        <v>4.258</v>
      </c>
      <c r="F74" s="4">
        <f>CHOOSE( CONTROL!$C$32, 4.9546, 4.9543) * CHOOSE(CONTROL!$C$15, $D$11, 100%, $F$11)</f>
        <v>4.9546000000000001</v>
      </c>
      <c r="G74" s="8">
        <f>CHOOSE( CONTROL!$C$32, 4.2123, 4.2121) * CHOOSE( CONTROL!$C$15, $D$11, 100%, $F$11)</f>
        <v>4.2122999999999999</v>
      </c>
      <c r="H74" s="4">
        <f>CHOOSE( CONTROL!$C$32, 5.1432, 5.1429) * CHOOSE(CONTROL!$C$15, $D$11, 100%, $F$11)</f>
        <v>5.1432000000000002</v>
      </c>
      <c r="I74" s="8">
        <f>CHOOSE( CONTROL!$C$32, 4.2234, 4.2231) * CHOOSE(CONTROL!$C$15, $D$11, 100%, $F$11)</f>
        <v>4.2233999999999998</v>
      </c>
      <c r="J74" s="4">
        <f>CHOOSE( CONTROL!$C$32, 4.1155, 4.1153) * CHOOSE(CONTROL!$C$15, $D$11, 100%, $F$11)</f>
        <v>4.1154999999999999</v>
      </c>
      <c r="K74" s="4"/>
      <c r="L74" s="9">
        <v>31.095300000000002</v>
      </c>
      <c r="M74" s="9">
        <v>12.063700000000001</v>
      </c>
      <c r="N74" s="9">
        <v>4.9444999999999997</v>
      </c>
      <c r="O74" s="9">
        <v>0.37409999999999999</v>
      </c>
      <c r="P74" s="9">
        <v>1.2927</v>
      </c>
      <c r="Q74" s="9">
        <v>24.901700000000002</v>
      </c>
      <c r="R74" s="9"/>
      <c r="S74" s="11"/>
    </row>
    <row r="75" spans="1:19" ht="15" customHeight="1">
      <c r="A75" s="13">
        <v>43405</v>
      </c>
      <c r="B75" s="8">
        <f>CHOOSE( CONTROL!$C$32, 4.5825, 4.5823) * CHOOSE(CONTROL!$C$15, $D$11, 100%, $F$11)</f>
        <v>4.5824999999999996</v>
      </c>
      <c r="C75" s="8">
        <f>CHOOSE( CONTROL!$C$32, 4.5876, 4.5873) * CHOOSE(CONTROL!$C$15, $D$11, 100%, $F$11)</f>
        <v>4.5876000000000001</v>
      </c>
      <c r="D75" s="8">
        <f>CHOOSE( CONTROL!$C$32, 4.5703, 4.5701) * CHOOSE( CONTROL!$C$15, $D$11, 100%, $F$11)</f>
        <v>4.5702999999999996</v>
      </c>
      <c r="E75" s="12">
        <f>CHOOSE( CONTROL!$C$32, 4.5761, 4.5759) * CHOOSE( CONTROL!$C$15, $D$11, 100%, $F$11)</f>
        <v>4.5761000000000003</v>
      </c>
      <c r="F75" s="4">
        <f>CHOOSE( CONTROL!$C$32, 5.2478, 5.2476) * CHOOSE(CONTROL!$C$15, $D$11, 100%, $F$11)</f>
        <v>5.2477999999999998</v>
      </c>
      <c r="G75" s="8">
        <f>CHOOSE( CONTROL!$C$32, 4.5382, 4.538) * CHOOSE( CONTROL!$C$15, $D$11, 100%, $F$11)</f>
        <v>4.5381999999999998</v>
      </c>
      <c r="H75" s="4">
        <f>CHOOSE( CONTROL!$C$32, 5.433, 5.4327) * CHOOSE(CONTROL!$C$15, $D$11, 100%, $F$11)</f>
        <v>5.4329999999999998</v>
      </c>
      <c r="I75" s="8">
        <f>CHOOSE( CONTROL!$C$32, 4.6023, 4.602) * CHOOSE(CONTROL!$C$15, $D$11, 100%, $F$11)</f>
        <v>4.6022999999999996</v>
      </c>
      <c r="J75" s="4">
        <f>CHOOSE( CONTROL!$C$32, 4.4386, 4.4383) * CHOOSE(CONTROL!$C$15, $D$11, 100%, $F$11)</f>
        <v>4.4386000000000001</v>
      </c>
      <c r="K75" s="4"/>
      <c r="L75" s="9">
        <v>28.360600000000002</v>
      </c>
      <c r="M75" s="9">
        <v>11.6745</v>
      </c>
      <c r="N75" s="9">
        <v>4.7850000000000001</v>
      </c>
      <c r="O75" s="9">
        <v>0.36199999999999999</v>
      </c>
      <c r="P75" s="9">
        <v>1.2509999999999999</v>
      </c>
      <c r="Q75" s="9">
        <v>24.098400000000002</v>
      </c>
      <c r="R75" s="9"/>
      <c r="S75" s="11"/>
    </row>
    <row r="76" spans="1:19" ht="15" customHeight="1">
      <c r="A76" s="13">
        <v>43435</v>
      </c>
      <c r="B76" s="8">
        <f>CHOOSE( CONTROL!$C$32, 4.5742, 4.574) * CHOOSE(CONTROL!$C$15, $D$11, 100%, $F$11)</f>
        <v>4.5742000000000003</v>
      </c>
      <c r="C76" s="8">
        <f>CHOOSE( CONTROL!$C$32, 4.5793, 4.579) * CHOOSE(CONTROL!$C$15, $D$11, 100%, $F$11)</f>
        <v>4.5792999999999999</v>
      </c>
      <c r="D76" s="8">
        <f>CHOOSE( CONTROL!$C$32, 4.5638, 4.5635) * CHOOSE( CONTROL!$C$15, $D$11, 100%, $F$11)</f>
        <v>4.5637999999999996</v>
      </c>
      <c r="E76" s="12">
        <f>CHOOSE( CONTROL!$C$32, 4.5689, 4.5686) * CHOOSE( CONTROL!$C$15, $D$11, 100%, $F$11)</f>
        <v>4.5689000000000002</v>
      </c>
      <c r="F76" s="4">
        <f>CHOOSE( CONTROL!$C$32, 5.2395, 5.2392) * CHOOSE(CONTROL!$C$15, $D$11, 100%, $F$11)</f>
        <v>5.2394999999999996</v>
      </c>
      <c r="G76" s="8">
        <f>CHOOSE( CONTROL!$C$32, 4.5313, 4.531) * CHOOSE( CONTROL!$C$15, $D$11, 100%, $F$11)</f>
        <v>4.5312999999999999</v>
      </c>
      <c r="H76" s="4">
        <f>CHOOSE( CONTROL!$C$32, 5.4248, 5.4245) * CHOOSE(CONTROL!$C$15, $D$11, 100%, $F$11)</f>
        <v>5.4248000000000003</v>
      </c>
      <c r="I76" s="8">
        <f>CHOOSE( CONTROL!$C$32, 4.5998, 4.5995) * CHOOSE(CONTROL!$C$15, $D$11, 100%, $F$11)</f>
        <v>4.5998000000000001</v>
      </c>
      <c r="J76" s="4">
        <f>CHOOSE( CONTROL!$C$32, 4.4305, 4.4303) * CHOOSE(CONTROL!$C$15, $D$11, 100%, $F$11)</f>
        <v>4.4305000000000003</v>
      </c>
      <c r="K76" s="4"/>
      <c r="L76" s="9">
        <v>29.306000000000001</v>
      </c>
      <c r="M76" s="9">
        <v>12.063700000000001</v>
      </c>
      <c r="N76" s="9">
        <v>4.9444999999999997</v>
      </c>
      <c r="O76" s="9">
        <v>0.37409999999999999</v>
      </c>
      <c r="P76" s="9">
        <v>1.2927</v>
      </c>
      <c r="Q76" s="9">
        <v>24.901700000000002</v>
      </c>
      <c r="R76" s="9"/>
      <c r="S76" s="11"/>
    </row>
    <row r="77" spans="1:19" ht="15" customHeight="1">
      <c r="A77" s="13">
        <v>43466</v>
      </c>
      <c r="B77" s="8">
        <f>CHOOSE( CONTROL!$C$32, 4.9636, 4.9634) * CHOOSE(CONTROL!$C$15, $D$11, 100%, $F$11)</f>
        <v>4.9635999999999996</v>
      </c>
      <c r="C77" s="8">
        <f>CHOOSE( CONTROL!$C$32, 4.9687, 4.9685) * CHOOSE(CONTROL!$C$15, $D$11, 100%, $F$11)</f>
        <v>4.9687000000000001</v>
      </c>
      <c r="D77" s="8">
        <f>CHOOSE( CONTROL!$C$32, 4.9592, 4.9589) * CHOOSE( CONTROL!$C$15, $D$11, 100%, $F$11)</f>
        <v>4.9592000000000001</v>
      </c>
      <c r="E77" s="12">
        <f>CHOOSE( CONTROL!$C$32, 4.9621, 4.9619) * CHOOSE( CONTROL!$C$15, $D$11, 100%, $F$11)</f>
        <v>4.9621000000000004</v>
      </c>
      <c r="F77" s="4">
        <f>CHOOSE( CONTROL!$C$32, 5.6289, 5.6287) * CHOOSE(CONTROL!$C$15, $D$11, 100%, $F$11)</f>
        <v>5.6288999999999998</v>
      </c>
      <c r="G77" s="8">
        <f>CHOOSE( CONTROL!$C$32, 4.9169, 4.9166) * CHOOSE( CONTROL!$C$15, $D$11, 100%, $F$11)</f>
        <v>4.9169</v>
      </c>
      <c r="H77" s="4">
        <f>CHOOSE( CONTROL!$C$32, 5.8097, 5.8094) * CHOOSE(CONTROL!$C$15, $D$11, 100%, $F$11)</f>
        <v>5.8097000000000003</v>
      </c>
      <c r="I77" s="8">
        <f>CHOOSE( CONTROL!$C$32, 4.9583, 4.9581) * CHOOSE(CONTROL!$C$15, $D$11, 100%, $F$11)</f>
        <v>4.9583000000000004</v>
      </c>
      <c r="J77" s="4">
        <f>CHOOSE( CONTROL!$C$32, 4.8085, 4.8082) * CHOOSE(CONTROL!$C$15, $D$11, 100%, $F$11)</f>
        <v>4.8085000000000004</v>
      </c>
      <c r="K77" s="4"/>
      <c r="L77" s="9">
        <v>29.306000000000001</v>
      </c>
      <c r="M77" s="9">
        <v>12.063700000000001</v>
      </c>
      <c r="N77" s="9">
        <v>4.9444999999999997</v>
      </c>
      <c r="O77" s="9">
        <v>0.37409999999999999</v>
      </c>
      <c r="P77" s="9">
        <v>1.2927</v>
      </c>
      <c r="Q77" s="9">
        <v>24.651199999999999</v>
      </c>
      <c r="R77" s="9"/>
      <c r="S77" s="11"/>
    </row>
    <row r="78" spans="1:19" ht="15" customHeight="1">
      <c r="A78" s="13">
        <v>43497</v>
      </c>
      <c r="B78" s="8">
        <f>CHOOSE( CONTROL!$C$32, 4.6434, 4.6431) * CHOOSE(CONTROL!$C$15, $D$11, 100%, $F$11)</f>
        <v>4.6433999999999997</v>
      </c>
      <c r="C78" s="8">
        <f>CHOOSE( CONTROL!$C$32, 4.6484, 4.6482) * CHOOSE(CONTROL!$C$15, $D$11, 100%, $F$11)</f>
        <v>4.6483999999999996</v>
      </c>
      <c r="D78" s="8">
        <f>CHOOSE( CONTROL!$C$32, 4.6405, 4.6403) * CHOOSE( CONTROL!$C$15, $D$11, 100%, $F$11)</f>
        <v>4.6405000000000003</v>
      </c>
      <c r="E78" s="12">
        <f>CHOOSE( CONTROL!$C$32, 4.6429, 4.6426) * CHOOSE( CONTROL!$C$15, $D$11, 100%, $F$11)</f>
        <v>4.6429</v>
      </c>
      <c r="F78" s="4">
        <f>CHOOSE( CONTROL!$C$32, 5.3086, 5.3084) * CHOOSE(CONTROL!$C$15, $D$11, 100%, $F$11)</f>
        <v>5.3086000000000002</v>
      </c>
      <c r="G78" s="8">
        <f>CHOOSE( CONTROL!$C$32, 4.5989, 4.5986) * CHOOSE( CONTROL!$C$15, $D$11, 100%, $F$11)</f>
        <v>4.5989000000000004</v>
      </c>
      <c r="H78" s="4">
        <f>CHOOSE( CONTROL!$C$32, 5.4931, 5.4928) * CHOOSE(CONTROL!$C$15, $D$11, 100%, $F$11)</f>
        <v>5.4931000000000001</v>
      </c>
      <c r="I78" s="8">
        <f>CHOOSE( CONTROL!$C$32, 4.632, 4.6317) * CHOOSE(CONTROL!$C$15, $D$11, 100%, $F$11)</f>
        <v>4.6319999999999997</v>
      </c>
      <c r="J78" s="4">
        <f>CHOOSE( CONTROL!$C$32, 4.4976, 4.4974) * CHOOSE(CONTROL!$C$15, $D$11, 100%, $F$11)</f>
        <v>4.4976000000000003</v>
      </c>
      <c r="K78" s="4"/>
      <c r="L78" s="9">
        <v>26.469899999999999</v>
      </c>
      <c r="M78" s="9">
        <v>10.8962</v>
      </c>
      <c r="N78" s="9">
        <v>4.4660000000000002</v>
      </c>
      <c r="O78" s="9">
        <v>0.33789999999999998</v>
      </c>
      <c r="P78" s="9">
        <v>1.1676</v>
      </c>
      <c r="Q78" s="9">
        <v>22.265599999999999</v>
      </c>
      <c r="R78" s="9"/>
      <c r="S78" s="11"/>
    </row>
    <row r="79" spans="1:19" ht="15" customHeight="1">
      <c r="A79" s="13">
        <v>43525</v>
      </c>
      <c r="B79" s="8">
        <f>CHOOSE( CONTROL!$C$32, 4.5447, 4.5444) * CHOOSE(CONTROL!$C$15, $D$11, 100%, $F$11)</f>
        <v>4.5446999999999997</v>
      </c>
      <c r="C79" s="8">
        <f>CHOOSE( CONTROL!$C$32, 4.5498, 4.5495) * CHOOSE(CONTROL!$C$15, $D$11, 100%, $F$11)</f>
        <v>4.5498000000000003</v>
      </c>
      <c r="D79" s="8">
        <f>CHOOSE( CONTROL!$C$32, 4.5371, 4.5368) * CHOOSE( CONTROL!$C$15, $D$11, 100%, $F$11)</f>
        <v>4.5370999999999997</v>
      </c>
      <c r="E79" s="12">
        <f>CHOOSE( CONTROL!$C$32, 4.5412, 4.5409) * CHOOSE( CONTROL!$C$15, $D$11, 100%, $F$11)</f>
        <v>4.5411999999999999</v>
      </c>
      <c r="F79" s="4">
        <f>CHOOSE( CONTROL!$C$32, 5.21, 5.2097) * CHOOSE(CONTROL!$C$15, $D$11, 100%, $F$11)</f>
        <v>5.21</v>
      </c>
      <c r="G79" s="8">
        <f>CHOOSE( CONTROL!$C$32, 4.4979, 4.4977) * CHOOSE( CONTROL!$C$15, $D$11, 100%, $F$11)</f>
        <v>4.4978999999999996</v>
      </c>
      <c r="H79" s="4">
        <f>CHOOSE( CONTROL!$C$32, 5.3956, 5.3954) * CHOOSE(CONTROL!$C$15, $D$11, 100%, $F$11)</f>
        <v>5.3956</v>
      </c>
      <c r="I79" s="8">
        <f>CHOOSE( CONTROL!$C$32, 4.5346, 4.5343) * CHOOSE(CONTROL!$C$15, $D$11, 100%, $F$11)</f>
        <v>4.5346000000000002</v>
      </c>
      <c r="J79" s="4">
        <f>CHOOSE( CONTROL!$C$32, 4.4019, 4.4016) * CHOOSE(CONTROL!$C$15, $D$11, 100%, $F$11)</f>
        <v>4.4019000000000004</v>
      </c>
      <c r="K79" s="4"/>
      <c r="L79" s="9">
        <v>29.306000000000001</v>
      </c>
      <c r="M79" s="9">
        <v>12.063700000000001</v>
      </c>
      <c r="N79" s="9">
        <v>4.9444999999999997</v>
      </c>
      <c r="O79" s="9">
        <v>0.37409999999999999</v>
      </c>
      <c r="P79" s="9">
        <v>1.2927</v>
      </c>
      <c r="Q79" s="9">
        <v>24.651199999999999</v>
      </c>
      <c r="R79" s="9"/>
      <c r="S79" s="11"/>
    </row>
    <row r="80" spans="1:19" ht="15" customHeight="1">
      <c r="A80" s="13">
        <v>43556</v>
      </c>
      <c r="B80" s="8">
        <f>CHOOSE( CONTROL!$C$32, 4.6144, 4.6141) * CHOOSE(CONTROL!$C$15, $D$11, 100%, $F$11)</f>
        <v>4.6143999999999998</v>
      </c>
      <c r="C80" s="8">
        <f>CHOOSE( CONTROL!$C$32, 4.6189, 4.6186) * CHOOSE(CONTROL!$C$15, $D$11, 100%, $F$11)</f>
        <v>4.6189</v>
      </c>
      <c r="D80" s="8">
        <f>CHOOSE( CONTROL!$C$32, 4.6238, 4.6235) * CHOOSE( CONTROL!$C$15, $D$11, 100%, $F$11)</f>
        <v>4.6238000000000001</v>
      </c>
      <c r="E80" s="12">
        <f>CHOOSE( CONTROL!$C$32, 4.6217, 4.6214) * CHOOSE( CONTROL!$C$15, $D$11, 100%, $F$11)</f>
        <v>4.6216999999999997</v>
      </c>
      <c r="F80" s="4">
        <f>CHOOSE( CONTROL!$C$32, 5.3186, 5.3183) * CHOOSE(CONTROL!$C$15, $D$11, 100%, $F$11)</f>
        <v>5.3186</v>
      </c>
      <c r="G80" s="8">
        <f>CHOOSE( CONTROL!$C$32, 4.5718, 4.5715) * CHOOSE( CONTROL!$C$15, $D$11, 100%, $F$11)</f>
        <v>4.5717999999999996</v>
      </c>
      <c r="H80" s="4">
        <f>CHOOSE( CONTROL!$C$32, 5.503, 5.5027) * CHOOSE(CONTROL!$C$15, $D$11, 100%, $F$11)</f>
        <v>5.5030000000000001</v>
      </c>
      <c r="I80" s="8">
        <f>CHOOSE( CONTROL!$C$32, 4.5757, 4.5755) * CHOOSE(CONTROL!$C$15, $D$11, 100%, $F$11)</f>
        <v>4.5757000000000003</v>
      </c>
      <c r="J80" s="4">
        <f>CHOOSE( CONTROL!$C$32, 4.4688, 4.4685) * CHOOSE(CONTROL!$C$15, $D$11, 100%, $F$11)</f>
        <v>4.4687999999999999</v>
      </c>
      <c r="K80" s="4"/>
      <c r="L80" s="9">
        <v>30.092199999999998</v>
      </c>
      <c r="M80" s="9">
        <v>11.6745</v>
      </c>
      <c r="N80" s="9">
        <v>4.7850000000000001</v>
      </c>
      <c r="O80" s="9">
        <v>0.36199999999999999</v>
      </c>
      <c r="P80" s="9">
        <v>1.2509999999999999</v>
      </c>
      <c r="Q80" s="9">
        <v>23.856000000000002</v>
      </c>
      <c r="R80" s="9"/>
      <c r="S80" s="11"/>
    </row>
    <row r="81" spans="1:19" ht="15" customHeight="1">
      <c r="A81" s="13">
        <v>43586</v>
      </c>
      <c r="B81" s="8">
        <f>CHOOSE( CONTROL!$C$32, 4.7386, 4.7382) * CHOOSE(CONTROL!$C$15, $D$11, 100%, $F$11)</f>
        <v>4.7385999999999999</v>
      </c>
      <c r="C81" s="8">
        <f>CHOOSE( CONTROL!$C$32, 4.7466, 4.7462) * CHOOSE(CONTROL!$C$15, $D$11, 100%, $F$11)</f>
        <v>4.7465999999999999</v>
      </c>
      <c r="D81" s="8">
        <f>CHOOSE( CONTROL!$C$32, 4.7454, 4.7449) * CHOOSE( CONTROL!$C$15, $D$11, 100%, $F$11)</f>
        <v>4.7454000000000001</v>
      </c>
      <c r="E81" s="12">
        <f>CHOOSE( CONTROL!$C$32, 4.7446, 4.7442) * CHOOSE( CONTROL!$C$15, $D$11, 100%, $F$11)</f>
        <v>4.7446000000000002</v>
      </c>
      <c r="F81" s="4">
        <f>CHOOSE( CONTROL!$C$32, 5.4415, 5.441) * CHOOSE(CONTROL!$C$15, $D$11, 100%, $F$11)</f>
        <v>5.4414999999999996</v>
      </c>
      <c r="G81" s="8">
        <f>CHOOSE( CONTROL!$C$32, 4.6931, 4.6926) * CHOOSE( CONTROL!$C$15, $D$11, 100%, $F$11)</f>
        <v>4.6931000000000003</v>
      </c>
      <c r="H81" s="4">
        <f>CHOOSE( CONTROL!$C$32, 5.6244, 5.6239) * CHOOSE(CONTROL!$C$15, $D$11, 100%, $F$11)</f>
        <v>5.6243999999999996</v>
      </c>
      <c r="I81" s="8">
        <f>CHOOSE( CONTROL!$C$32, 4.6942, 4.6938) * CHOOSE(CONTROL!$C$15, $D$11, 100%, $F$11)</f>
        <v>4.6942000000000004</v>
      </c>
      <c r="J81" s="4">
        <f>CHOOSE( CONTROL!$C$32, 4.588, 4.5876) * CHOOSE(CONTROL!$C$15, $D$11, 100%, $F$11)</f>
        <v>4.5880000000000001</v>
      </c>
      <c r="K81" s="4"/>
      <c r="L81" s="9">
        <v>30.7165</v>
      </c>
      <c r="M81" s="9">
        <v>12.063700000000001</v>
      </c>
      <c r="N81" s="9">
        <v>4.9444999999999997</v>
      </c>
      <c r="O81" s="9">
        <v>0.37409999999999999</v>
      </c>
      <c r="P81" s="9">
        <v>1.2927</v>
      </c>
      <c r="Q81" s="9">
        <v>24.651199999999999</v>
      </c>
      <c r="R81" s="9"/>
      <c r="S81" s="11"/>
    </row>
    <row r="82" spans="1:19" ht="15" customHeight="1">
      <c r="A82" s="13">
        <v>43617</v>
      </c>
      <c r="B82" s="8">
        <f>CHOOSE( CONTROL!$C$32, 4.6626, 4.6622) * CHOOSE(CONTROL!$C$15, $D$11, 100%, $F$11)</f>
        <v>4.6626000000000003</v>
      </c>
      <c r="C82" s="8">
        <f>CHOOSE( CONTROL!$C$32, 4.6706, 4.6702) * CHOOSE(CONTROL!$C$15, $D$11, 100%, $F$11)</f>
        <v>4.6706000000000003</v>
      </c>
      <c r="D82" s="8">
        <f>CHOOSE( CONTROL!$C$32, 4.6696, 4.6691) * CHOOSE( CONTROL!$C$15, $D$11, 100%, $F$11)</f>
        <v>4.6696</v>
      </c>
      <c r="E82" s="12">
        <f>CHOOSE( CONTROL!$C$32, 4.6687, 4.6683) * CHOOSE( CONTROL!$C$15, $D$11, 100%, $F$11)</f>
        <v>4.6687000000000003</v>
      </c>
      <c r="F82" s="4">
        <f>CHOOSE( CONTROL!$C$32, 5.3655, 5.365) * CHOOSE(CONTROL!$C$15, $D$11, 100%, $F$11)</f>
        <v>5.3654999999999999</v>
      </c>
      <c r="G82" s="8">
        <f>CHOOSE( CONTROL!$C$32, 4.6181, 4.6177) * CHOOSE( CONTROL!$C$15, $D$11, 100%, $F$11)</f>
        <v>4.6181000000000001</v>
      </c>
      <c r="H82" s="4">
        <f>CHOOSE( CONTROL!$C$32, 5.5493, 5.5488) * CHOOSE(CONTROL!$C$15, $D$11, 100%, $F$11)</f>
        <v>5.5492999999999997</v>
      </c>
      <c r="I82" s="8">
        <f>CHOOSE( CONTROL!$C$32, 4.6211, 4.6206) * CHOOSE(CONTROL!$C$15, $D$11, 100%, $F$11)</f>
        <v>4.6211000000000002</v>
      </c>
      <c r="J82" s="4">
        <f>CHOOSE( CONTROL!$C$32, 4.5143, 4.5138) * CHOOSE(CONTROL!$C$15, $D$11, 100%, $F$11)</f>
        <v>4.5143000000000004</v>
      </c>
      <c r="K82" s="4"/>
      <c r="L82" s="9">
        <v>29.7257</v>
      </c>
      <c r="M82" s="9">
        <v>11.6745</v>
      </c>
      <c r="N82" s="9">
        <v>4.7850000000000001</v>
      </c>
      <c r="O82" s="9">
        <v>0.36199999999999999</v>
      </c>
      <c r="P82" s="9">
        <v>1.2509999999999999</v>
      </c>
      <c r="Q82" s="9">
        <v>23.856000000000002</v>
      </c>
      <c r="R82" s="9"/>
      <c r="S82" s="11"/>
    </row>
    <row r="83" spans="1:19" ht="15" customHeight="1">
      <c r="A83" s="13">
        <v>43647</v>
      </c>
      <c r="B83" s="8">
        <f>CHOOSE( CONTROL!$C$32, 4.8628, 4.8623) * CHOOSE(CONTROL!$C$15, $D$11, 100%, $F$11)</f>
        <v>4.8628</v>
      </c>
      <c r="C83" s="8">
        <f>CHOOSE( CONTROL!$C$32, 4.8708, 4.8703) * CHOOSE(CONTROL!$C$15, $D$11, 100%, $F$11)</f>
        <v>4.8708</v>
      </c>
      <c r="D83" s="8">
        <f>CHOOSE( CONTROL!$C$32, 4.87, 4.8695) * CHOOSE( CONTROL!$C$15, $D$11, 100%, $F$11)</f>
        <v>4.87</v>
      </c>
      <c r="E83" s="12">
        <f>CHOOSE( CONTROL!$C$32, 4.8691, 4.8686) * CHOOSE( CONTROL!$C$15, $D$11, 100%, $F$11)</f>
        <v>4.8691000000000004</v>
      </c>
      <c r="F83" s="4">
        <f>CHOOSE( CONTROL!$C$32, 5.5656, 5.5651) * CHOOSE(CONTROL!$C$15, $D$11, 100%, $F$11)</f>
        <v>5.5655999999999999</v>
      </c>
      <c r="G83" s="8">
        <f>CHOOSE( CONTROL!$C$32, 4.8161, 4.8156) * CHOOSE( CONTROL!$C$15, $D$11, 100%, $F$11)</f>
        <v>4.8160999999999996</v>
      </c>
      <c r="H83" s="4">
        <f>CHOOSE( CONTROL!$C$32, 5.7471, 5.7466) * CHOOSE(CONTROL!$C$15, $D$11, 100%, $F$11)</f>
        <v>5.7470999999999997</v>
      </c>
      <c r="I83" s="8">
        <f>CHOOSE( CONTROL!$C$32, 4.8162, 4.8157) * CHOOSE(CONTROL!$C$15, $D$11, 100%, $F$11)</f>
        <v>4.8162000000000003</v>
      </c>
      <c r="J83" s="4">
        <f>CHOOSE( CONTROL!$C$32, 4.7085, 4.7081) * CHOOSE(CONTROL!$C$15, $D$11, 100%, $F$11)</f>
        <v>4.7084999999999999</v>
      </c>
      <c r="K83" s="4"/>
      <c r="L83" s="9">
        <v>30.7165</v>
      </c>
      <c r="M83" s="9">
        <v>12.063700000000001</v>
      </c>
      <c r="N83" s="9">
        <v>4.9444999999999997</v>
      </c>
      <c r="O83" s="9">
        <v>0.37409999999999999</v>
      </c>
      <c r="P83" s="9">
        <v>1.2927</v>
      </c>
      <c r="Q83" s="9">
        <v>24.651199999999999</v>
      </c>
      <c r="R83" s="9"/>
      <c r="S83" s="11"/>
    </row>
    <row r="84" spans="1:19" ht="15" customHeight="1">
      <c r="A84" s="13">
        <v>43678</v>
      </c>
      <c r="B84" s="8">
        <f>CHOOSE( CONTROL!$C$32, 4.4883, 4.4878) * CHOOSE(CONTROL!$C$15, $D$11, 100%, $F$11)</f>
        <v>4.4882999999999997</v>
      </c>
      <c r="C84" s="8">
        <f>CHOOSE( CONTROL!$C$32, 4.4963, 4.4958) * CHOOSE(CONTROL!$C$15, $D$11, 100%, $F$11)</f>
        <v>4.4962999999999997</v>
      </c>
      <c r="D84" s="8">
        <f>CHOOSE( CONTROL!$C$32, 4.4955, 4.4951) * CHOOSE( CONTROL!$C$15, $D$11, 100%, $F$11)</f>
        <v>4.4954999999999998</v>
      </c>
      <c r="E84" s="12">
        <f>CHOOSE( CONTROL!$C$32, 4.4946, 4.4941) * CHOOSE( CONTROL!$C$15, $D$11, 100%, $F$11)</f>
        <v>4.4946000000000002</v>
      </c>
      <c r="F84" s="4">
        <f>CHOOSE( CONTROL!$C$32, 5.1911, 5.1907) * CHOOSE(CONTROL!$C$15, $D$11, 100%, $F$11)</f>
        <v>5.1910999999999996</v>
      </c>
      <c r="G84" s="8">
        <f>CHOOSE( CONTROL!$C$32, 4.446, 4.4456) * CHOOSE( CONTROL!$C$15, $D$11, 100%, $F$11)</f>
        <v>4.4459999999999997</v>
      </c>
      <c r="H84" s="4">
        <f>CHOOSE( CONTROL!$C$32, 5.377, 5.3765) * CHOOSE(CONTROL!$C$15, $D$11, 100%, $F$11)</f>
        <v>5.3769999999999998</v>
      </c>
      <c r="I84" s="8">
        <f>CHOOSE( CONTROL!$C$32, 4.4528, 4.4523) * CHOOSE(CONTROL!$C$15, $D$11, 100%, $F$11)</f>
        <v>4.4527999999999999</v>
      </c>
      <c r="J84" s="4">
        <f>CHOOSE( CONTROL!$C$32, 4.3451, 4.3446) * CHOOSE(CONTROL!$C$15, $D$11, 100%, $F$11)</f>
        <v>4.3451000000000004</v>
      </c>
      <c r="K84" s="4"/>
      <c r="L84" s="9">
        <v>30.7165</v>
      </c>
      <c r="M84" s="9">
        <v>12.063700000000001</v>
      </c>
      <c r="N84" s="9">
        <v>4.9444999999999997</v>
      </c>
      <c r="O84" s="9">
        <v>0.37409999999999999</v>
      </c>
      <c r="P84" s="9">
        <v>1.2927</v>
      </c>
      <c r="Q84" s="9">
        <v>24.651199999999999</v>
      </c>
      <c r="R84" s="9"/>
      <c r="S84" s="11"/>
    </row>
    <row r="85" spans="1:19" ht="15" customHeight="1">
      <c r="A85" s="13">
        <v>43709</v>
      </c>
      <c r="B85" s="8">
        <f>CHOOSE( CONTROL!$C$32, 4.3945, 4.3941) * CHOOSE(CONTROL!$C$15, $D$11, 100%, $F$11)</f>
        <v>4.3944999999999999</v>
      </c>
      <c r="C85" s="8">
        <f>CHOOSE( CONTROL!$C$32, 4.4025, 4.402) * CHOOSE(CONTROL!$C$15, $D$11, 100%, $F$11)</f>
        <v>4.4024999999999999</v>
      </c>
      <c r="D85" s="8">
        <f>CHOOSE( CONTROL!$C$32, 4.4016, 4.4012) * CHOOSE( CONTROL!$C$15, $D$11, 100%, $F$11)</f>
        <v>4.4016000000000002</v>
      </c>
      <c r="E85" s="12">
        <f>CHOOSE( CONTROL!$C$32, 4.4007, 4.4003) * CHOOSE( CONTROL!$C$15, $D$11, 100%, $F$11)</f>
        <v>4.4006999999999996</v>
      </c>
      <c r="F85" s="4">
        <f>CHOOSE( CONTROL!$C$32, 5.0974, 5.0969) * CHOOSE(CONTROL!$C$15, $D$11, 100%, $F$11)</f>
        <v>5.0974000000000004</v>
      </c>
      <c r="G85" s="8">
        <f>CHOOSE( CONTROL!$C$32, 4.3532, 4.3528) * CHOOSE( CONTROL!$C$15, $D$11, 100%, $F$11)</f>
        <v>4.3532000000000002</v>
      </c>
      <c r="H85" s="4">
        <f>CHOOSE( CONTROL!$C$32, 5.2843, 5.2838) * CHOOSE(CONTROL!$C$15, $D$11, 100%, $F$11)</f>
        <v>5.2843</v>
      </c>
      <c r="I85" s="8">
        <f>CHOOSE( CONTROL!$C$32, 4.3612, 4.3607) * CHOOSE(CONTROL!$C$15, $D$11, 100%, $F$11)</f>
        <v>4.3612000000000002</v>
      </c>
      <c r="J85" s="4">
        <f>CHOOSE( CONTROL!$C$32, 4.2541, 4.2536) * CHOOSE(CONTROL!$C$15, $D$11, 100%, $F$11)</f>
        <v>4.2541000000000002</v>
      </c>
      <c r="K85" s="4"/>
      <c r="L85" s="9">
        <v>29.7257</v>
      </c>
      <c r="M85" s="9">
        <v>11.6745</v>
      </c>
      <c r="N85" s="9">
        <v>4.7850000000000001</v>
      </c>
      <c r="O85" s="9">
        <v>0.36199999999999999</v>
      </c>
      <c r="P85" s="9">
        <v>1.2509999999999999</v>
      </c>
      <c r="Q85" s="9">
        <v>23.856000000000002</v>
      </c>
      <c r="R85" s="9"/>
      <c r="S85" s="11"/>
    </row>
    <row r="86" spans="1:19" ht="15" customHeight="1">
      <c r="A86" s="13">
        <v>43739</v>
      </c>
      <c r="B86" s="8">
        <f>CHOOSE( CONTROL!$C$32, 4.5873, 4.5871) * CHOOSE(CONTROL!$C$15, $D$11, 100%, $F$11)</f>
        <v>4.5872999999999999</v>
      </c>
      <c r="C86" s="8">
        <f>CHOOSE( CONTROL!$C$32, 4.5927, 4.5924) * CHOOSE(CONTROL!$C$15, $D$11, 100%, $F$11)</f>
        <v>4.5926999999999998</v>
      </c>
      <c r="D86" s="8">
        <f>CHOOSE( CONTROL!$C$32, 4.5974, 4.5971) * CHOOSE( CONTROL!$C$15, $D$11, 100%, $F$11)</f>
        <v>4.5974000000000004</v>
      </c>
      <c r="E86" s="12">
        <f>CHOOSE( CONTROL!$C$32, 4.5953, 4.595) * CHOOSE( CONTROL!$C$15, $D$11, 100%, $F$11)</f>
        <v>4.5952999999999999</v>
      </c>
      <c r="F86" s="4">
        <f>CHOOSE( CONTROL!$C$32, 5.2919, 5.2916) * CHOOSE(CONTROL!$C$15, $D$11, 100%, $F$11)</f>
        <v>5.2919</v>
      </c>
      <c r="G86" s="8">
        <f>CHOOSE( CONTROL!$C$32, 4.5457, 4.5454) * CHOOSE( CONTROL!$C$15, $D$11, 100%, $F$11)</f>
        <v>4.5457000000000001</v>
      </c>
      <c r="H86" s="4">
        <f>CHOOSE( CONTROL!$C$32, 5.4765, 5.4763) * CHOOSE(CONTROL!$C$15, $D$11, 100%, $F$11)</f>
        <v>5.4764999999999997</v>
      </c>
      <c r="I86" s="8">
        <f>CHOOSE( CONTROL!$C$32, 4.5509, 4.5506) * CHOOSE(CONTROL!$C$15, $D$11, 100%, $F$11)</f>
        <v>4.5509000000000004</v>
      </c>
      <c r="J86" s="4">
        <f>CHOOSE( CONTROL!$C$32, 4.4429, 4.4426) * CHOOSE(CONTROL!$C$15, $D$11, 100%, $F$11)</f>
        <v>4.4428999999999998</v>
      </c>
      <c r="K86" s="4"/>
      <c r="L86" s="9">
        <v>31.095300000000002</v>
      </c>
      <c r="M86" s="9">
        <v>12.063700000000001</v>
      </c>
      <c r="N86" s="9">
        <v>4.9444999999999997</v>
      </c>
      <c r="O86" s="9">
        <v>0.37409999999999999</v>
      </c>
      <c r="P86" s="9">
        <v>1.2927</v>
      </c>
      <c r="Q86" s="9">
        <v>24.651199999999999</v>
      </c>
      <c r="R86" s="9"/>
      <c r="S86" s="11"/>
    </row>
    <row r="87" spans="1:19" ht="15" customHeight="1">
      <c r="A87" s="13">
        <v>43770</v>
      </c>
      <c r="B87" s="8">
        <f>CHOOSE( CONTROL!$C$32, 4.9463, 4.946) * CHOOSE(CONTROL!$C$15, $D$11, 100%, $F$11)</f>
        <v>4.9462999999999999</v>
      </c>
      <c r="C87" s="8">
        <f>CHOOSE( CONTROL!$C$32, 4.9514, 4.9511) * CHOOSE(CONTROL!$C$15, $D$11, 100%, $F$11)</f>
        <v>4.9513999999999996</v>
      </c>
      <c r="D87" s="8">
        <f>CHOOSE( CONTROL!$C$32, 4.9341, 4.9338) * CHOOSE( CONTROL!$C$15, $D$11, 100%, $F$11)</f>
        <v>4.9340999999999999</v>
      </c>
      <c r="E87" s="12">
        <f>CHOOSE( CONTROL!$C$32, 4.9399, 4.9396) * CHOOSE( CONTROL!$C$15, $D$11, 100%, $F$11)</f>
        <v>4.9398999999999997</v>
      </c>
      <c r="F87" s="4">
        <f>CHOOSE( CONTROL!$C$32, 5.6116, 5.6113) * CHOOSE(CONTROL!$C$15, $D$11, 100%, $F$11)</f>
        <v>5.6116000000000001</v>
      </c>
      <c r="G87" s="8">
        <f>CHOOSE( CONTROL!$C$32, 4.8978, 4.8975) * CHOOSE( CONTROL!$C$15, $D$11, 100%, $F$11)</f>
        <v>4.8978000000000002</v>
      </c>
      <c r="H87" s="4">
        <f>CHOOSE( CONTROL!$C$32, 5.7925, 5.7922) * CHOOSE(CONTROL!$C$15, $D$11, 100%, $F$11)</f>
        <v>5.7925000000000004</v>
      </c>
      <c r="I87" s="8">
        <f>CHOOSE( CONTROL!$C$32, 4.9555, 4.9552) * CHOOSE(CONTROL!$C$15, $D$11, 100%, $F$11)</f>
        <v>4.9554999999999998</v>
      </c>
      <c r="J87" s="4">
        <f>CHOOSE( CONTROL!$C$32, 4.7916, 4.7914) * CHOOSE(CONTROL!$C$15, $D$11, 100%, $F$11)</f>
        <v>4.7915999999999999</v>
      </c>
      <c r="K87" s="4"/>
      <c r="L87" s="9">
        <v>28.360600000000002</v>
      </c>
      <c r="M87" s="9">
        <v>11.6745</v>
      </c>
      <c r="N87" s="9">
        <v>4.7850000000000001</v>
      </c>
      <c r="O87" s="9">
        <v>0.36199999999999999</v>
      </c>
      <c r="P87" s="9">
        <v>1.2509999999999999</v>
      </c>
      <c r="Q87" s="9">
        <v>23.856000000000002</v>
      </c>
      <c r="R87" s="9"/>
      <c r="S87" s="11"/>
    </row>
    <row r="88" spans="1:19" ht="15.75">
      <c r="A88" s="13">
        <v>43800</v>
      </c>
      <c r="B88" s="8">
        <f>CHOOSE( CONTROL!$C$32, 4.9373, 4.9371) * CHOOSE(CONTROL!$C$15, $D$11, 100%, $F$11)</f>
        <v>4.9372999999999996</v>
      </c>
      <c r="C88" s="8">
        <f>CHOOSE( CONTROL!$C$32, 4.9424, 4.9421) * CHOOSE(CONTROL!$C$15, $D$11, 100%, $F$11)</f>
        <v>4.9424000000000001</v>
      </c>
      <c r="D88" s="8">
        <f>CHOOSE( CONTROL!$C$32, 4.9269, 4.9266) * CHOOSE( CONTROL!$C$15, $D$11, 100%, $F$11)</f>
        <v>4.9268999999999998</v>
      </c>
      <c r="E88" s="12">
        <f>CHOOSE( CONTROL!$C$32, 4.932, 4.9317) * CHOOSE( CONTROL!$C$15, $D$11, 100%, $F$11)</f>
        <v>4.9320000000000004</v>
      </c>
      <c r="F88" s="4">
        <f>CHOOSE( CONTROL!$C$32, 5.6026, 5.6023) * CHOOSE(CONTROL!$C$15, $D$11, 100%, $F$11)</f>
        <v>5.6025999999999998</v>
      </c>
      <c r="G88" s="8">
        <f>CHOOSE( CONTROL!$C$32, 4.8902, 4.8899) * CHOOSE( CONTROL!$C$15, $D$11, 100%, $F$11)</f>
        <v>4.8902000000000001</v>
      </c>
      <c r="H88" s="4">
        <f>CHOOSE( CONTROL!$C$32, 5.7836, 5.7834) * CHOOSE(CONTROL!$C$15, $D$11, 100%, $F$11)</f>
        <v>5.7835999999999999</v>
      </c>
      <c r="I88" s="8">
        <f>CHOOSE( CONTROL!$C$32, 4.9523, 4.9521) * CHOOSE(CONTROL!$C$15, $D$11, 100%, $F$11)</f>
        <v>4.9523000000000001</v>
      </c>
      <c r="J88" s="4">
        <f>CHOOSE( CONTROL!$C$32, 4.7829, 4.7827) * CHOOSE(CONTROL!$C$15, $D$11, 100%, $F$11)</f>
        <v>4.7828999999999997</v>
      </c>
      <c r="K88" s="4"/>
      <c r="L88" s="9">
        <v>29.306000000000001</v>
      </c>
      <c r="M88" s="9">
        <v>12.063700000000001</v>
      </c>
      <c r="N88" s="9">
        <v>4.9444999999999997</v>
      </c>
      <c r="O88" s="9">
        <v>0.37409999999999999</v>
      </c>
      <c r="P88" s="9">
        <v>1.2927</v>
      </c>
      <c r="Q88" s="9">
        <v>24.651199999999999</v>
      </c>
      <c r="R88" s="9"/>
      <c r="S88" s="11"/>
    </row>
    <row r="89" spans="1:19" ht="15.75">
      <c r="A89" s="13">
        <v>43831</v>
      </c>
      <c r="B89" s="8">
        <f>CHOOSE( CONTROL!$C$32, 5.4536, 5.4534) * CHOOSE(CONTROL!$C$15, $D$11, 100%, $F$11)</f>
        <v>5.4535999999999998</v>
      </c>
      <c r="C89" s="8">
        <f>CHOOSE( CONTROL!$C$32, 5.4587, 5.4584) * CHOOSE(CONTROL!$C$15, $D$11, 100%, $F$11)</f>
        <v>5.4587000000000003</v>
      </c>
      <c r="D89" s="8">
        <f>CHOOSE( CONTROL!$C$32, 5.4492, 5.4489) * CHOOSE( CONTROL!$C$15, $D$11, 100%, $F$11)</f>
        <v>5.4492000000000003</v>
      </c>
      <c r="E89" s="12">
        <f>CHOOSE( CONTROL!$C$32, 5.4521, 5.4518) * CHOOSE( CONTROL!$C$15, $D$11, 100%, $F$11)</f>
        <v>5.4520999999999997</v>
      </c>
      <c r="F89" s="4">
        <f>CHOOSE( CONTROL!$C$32, 6.1189, 6.1186) * CHOOSE(CONTROL!$C$15, $D$11, 100%, $F$11)</f>
        <v>6.1189</v>
      </c>
      <c r="G89" s="8">
        <f>CHOOSE( CONTROL!$C$32, 5.4011, 5.4009) * CHOOSE( CONTROL!$C$15, $D$11, 100%, $F$11)</f>
        <v>5.4010999999999996</v>
      </c>
      <c r="H89" s="4">
        <f>CHOOSE( CONTROL!$C$32, 6.2939, 6.2936) * CHOOSE(CONTROL!$C$15, $D$11, 100%, $F$11)</f>
        <v>6.2938999999999998</v>
      </c>
      <c r="I89" s="8">
        <f>CHOOSE( CONTROL!$C$32, 5.4341, 5.4339) * CHOOSE(CONTROL!$C$15, $D$11, 100%, $F$11)</f>
        <v>5.4340999999999999</v>
      </c>
      <c r="J89" s="4">
        <f>CHOOSE( CONTROL!$C$32, 5.284, 5.2837) * CHOOSE(CONTROL!$C$15, $D$11, 100%, $F$11)</f>
        <v>5.2839999999999998</v>
      </c>
      <c r="K89" s="4"/>
      <c r="L89" s="9">
        <v>29.306000000000001</v>
      </c>
      <c r="M89" s="9">
        <v>12.063700000000001</v>
      </c>
      <c r="N89" s="9">
        <v>4.9444999999999997</v>
      </c>
      <c r="O89" s="9">
        <v>0.37409999999999999</v>
      </c>
      <c r="P89" s="9">
        <v>1.2927</v>
      </c>
      <c r="Q89" s="9">
        <v>22.150099999999998</v>
      </c>
      <c r="R89" s="9"/>
      <c r="S89" s="11"/>
    </row>
    <row r="90" spans="1:19" ht="15.75">
      <c r="A90" s="13">
        <v>43862</v>
      </c>
      <c r="B90" s="8">
        <f>CHOOSE( CONTROL!$C$32, 5.1017, 5.1014) * CHOOSE(CONTROL!$C$15, $D$11, 100%, $F$11)</f>
        <v>5.1017000000000001</v>
      </c>
      <c r="C90" s="8">
        <f>CHOOSE( CONTROL!$C$32, 5.1067, 5.1065) * CHOOSE(CONTROL!$C$15, $D$11, 100%, $F$11)</f>
        <v>5.1067</v>
      </c>
      <c r="D90" s="8">
        <f>CHOOSE( CONTROL!$C$32, 5.0989, 5.0986) * CHOOSE( CONTROL!$C$15, $D$11, 100%, $F$11)</f>
        <v>5.0989000000000004</v>
      </c>
      <c r="E90" s="12">
        <f>CHOOSE( CONTROL!$C$32, 5.1012, 5.1009) * CHOOSE( CONTROL!$C$15, $D$11, 100%, $F$11)</f>
        <v>5.1012000000000004</v>
      </c>
      <c r="F90" s="4">
        <f>CHOOSE( CONTROL!$C$32, 5.767, 5.7667) * CHOOSE(CONTROL!$C$15, $D$11, 100%, $F$11)</f>
        <v>5.7670000000000003</v>
      </c>
      <c r="G90" s="8">
        <f>CHOOSE( CONTROL!$C$32, 5.0518, 5.0516) * CHOOSE( CONTROL!$C$15, $D$11, 100%, $F$11)</f>
        <v>5.0518000000000001</v>
      </c>
      <c r="H90" s="4">
        <f>CHOOSE( CONTROL!$C$32, 5.9461, 5.9458) * CHOOSE(CONTROL!$C$15, $D$11, 100%, $F$11)</f>
        <v>5.9461000000000004</v>
      </c>
      <c r="I90" s="8">
        <f>CHOOSE( CONTROL!$C$32, 5.077, 5.0767) * CHOOSE(CONTROL!$C$15, $D$11, 100%, $F$11)</f>
        <v>5.077</v>
      </c>
      <c r="J90" s="4">
        <f>CHOOSE( CONTROL!$C$32, 4.9424, 4.9422) * CHOOSE(CONTROL!$C$15, $D$11, 100%, $F$11)</f>
        <v>4.9424000000000001</v>
      </c>
      <c r="K90" s="4"/>
      <c r="L90" s="9">
        <v>27.415299999999998</v>
      </c>
      <c r="M90" s="9">
        <v>11.285299999999999</v>
      </c>
      <c r="N90" s="9">
        <v>4.6254999999999997</v>
      </c>
      <c r="O90" s="9">
        <v>0.34989999999999999</v>
      </c>
      <c r="P90" s="9">
        <v>1.2093</v>
      </c>
      <c r="Q90" s="9">
        <v>20.7211</v>
      </c>
      <c r="R90" s="9"/>
      <c r="S90" s="11"/>
    </row>
    <row r="91" spans="1:19" ht="15.75">
      <c r="A91" s="13">
        <v>43891</v>
      </c>
      <c r="B91" s="8">
        <f>CHOOSE( CONTROL!$C$32, 4.9933, 4.993) * CHOOSE(CONTROL!$C$15, $D$11, 100%, $F$11)</f>
        <v>4.9932999999999996</v>
      </c>
      <c r="C91" s="8">
        <f>CHOOSE( CONTROL!$C$32, 4.9983, 4.9981) * CHOOSE(CONTROL!$C$15, $D$11, 100%, $F$11)</f>
        <v>4.9983000000000004</v>
      </c>
      <c r="D91" s="8">
        <f>CHOOSE( CONTROL!$C$32, 4.9856, 4.9854) * CHOOSE( CONTROL!$C$15, $D$11, 100%, $F$11)</f>
        <v>4.9855999999999998</v>
      </c>
      <c r="E91" s="12">
        <f>CHOOSE( CONTROL!$C$32, 4.9897, 4.9895) * CHOOSE( CONTROL!$C$15, $D$11, 100%, $F$11)</f>
        <v>4.9897</v>
      </c>
      <c r="F91" s="4">
        <f>CHOOSE( CONTROL!$C$32, 5.6585, 5.6583) * CHOOSE(CONTROL!$C$15, $D$11, 100%, $F$11)</f>
        <v>5.6585000000000001</v>
      </c>
      <c r="G91" s="8">
        <f>CHOOSE( CONTROL!$C$32, 4.9412, 4.941) * CHOOSE( CONTROL!$C$15, $D$11, 100%, $F$11)</f>
        <v>4.9412000000000003</v>
      </c>
      <c r="H91" s="4">
        <f>CHOOSE( CONTROL!$C$32, 5.8389, 5.8387) * CHOOSE(CONTROL!$C$15, $D$11, 100%, $F$11)</f>
        <v>5.8388999999999998</v>
      </c>
      <c r="I91" s="8">
        <f>CHOOSE( CONTROL!$C$32, 4.9701, 4.9698) * CHOOSE(CONTROL!$C$15, $D$11, 100%, $F$11)</f>
        <v>4.9701000000000004</v>
      </c>
      <c r="J91" s="4">
        <f>CHOOSE( CONTROL!$C$32, 4.8372, 4.8369) * CHOOSE(CONTROL!$C$15, $D$11, 100%, $F$11)</f>
        <v>4.8372000000000002</v>
      </c>
      <c r="K91" s="4"/>
      <c r="L91" s="9">
        <v>29.306000000000001</v>
      </c>
      <c r="M91" s="9">
        <v>12.063700000000001</v>
      </c>
      <c r="N91" s="9">
        <v>4.9444999999999997</v>
      </c>
      <c r="O91" s="9">
        <v>0.37409999999999999</v>
      </c>
      <c r="P91" s="9">
        <v>1.2927</v>
      </c>
      <c r="Q91" s="9">
        <v>22.150099999999998</v>
      </c>
      <c r="R91" s="9"/>
      <c r="S91" s="11"/>
    </row>
    <row r="92" spans="1:19" ht="15.75">
      <c r="A92" s="13">
        <v>43922</v>
      </c>
      <c r="B92" s="8">
        <f>CHOOSE( CONTROL!$C$32, 5.0698, 5.0695) * CHOOSE(CONTROL!$C$15, $D$11, 100%, $F$11)</f>
        <v>5.0697999999999999</v>
      </c>
      <c r="C92" s="8">
        <f>CHOOSE( CONTROL!$C$32, 5.0743, 5.074) * CHOOSE(CONTROL!$C$15, $D$11, 100%, $F$11)</f>
        <v>5.0743</v>
      </c>
      <c r="D92" s="8">
        <f>CHOOSE( CONTROL!$C$32, 5.0792, 5.0789) * CHOOSE( CONTROL!$C$15, $D$11, 100%, $F$11)</f>
        <v>5.0792000000000002</v>
      </c>
      <c r="E92" s="12">
        <f>CHOOSE( CONTROL!$C$32, 5.0771, 5.0768) * CHOOSE( CONTROL!$C$15, $D$11, 100%, $F$11)</f>
        <v>5.0770999999999997</v>
      </c>
      <c r="F92" s="4">
        <f>CHOOSE( CONTROL!$C$32, 5.774, 5.7737) * CHOOSE(CONTROL!$C$15, $D$11, 100%, $F$11)</f>
        <v>5.774</v>
      </c>
      <c r="G92" s="8">
        <f>CHOOSE( CONTROL!$C$32, 5.0219, 5.0216) * CHOOSE( CONTROL!$C$15, $D$11, 100%, $F$11)</f>
        <v>5.0218999999999996</v>
      </c>
      <c r="H92" s="4">
        <f>CHOOSE( CONTROL!$C$32, 5.953, 5.9527) * CHOOSE(CONTROL!$C$15, $D$11, 100%, $F$11)</f>
        <v>5.9530000000000003</v>
      </c>
      <c r="I92" s="8">
        <f>CHOOSE( CONTROL!$C$32, 5.0179, 5.0176) * CHOOSE(CONTROL!$C$15, $D$11, 100%, $F$11)</f>
        <v>5.0179</v>
      </c>
      <c r="J92" s="4">
        <f>CHOOSE( CONTROL!$C$32, 4.9107, 4.9105) * CHOOSE(CONTROL!$C$15, $D$11, 100%, $F$11)</f>
        <v>4.9107000000000003</v>
      </c>
      <c r="K92" s="4"/>
      <c r="L92" s="9">
        <v>30.092199999999998</v>
      </c>
      <c r="M92" s="9">
        <v>11.6745</v>
      </c>
      <c r="N92" s="9">
        <v>4.7850000000000001</v>
      </c>
      <c r="O92" s="9">
        <v>0.36199999999999999</v>
      </c>
      <c r="P92" s="9">
        <v>1.2509999999999999</v>
      </c>
      <c r="Q92" s="9">
        <v>21.435600000000001</v>
      </c>
      <c r="R92" s="9"/>
      <c r="S92" s="11"/>
    </row>
    <row r="93" spans="1:19" ht="15.75">
      <c r="A93" s="13">
        <v>43952</v>
      </c>
      <c r="B93" s="8">
        <f>CHOOSE( CONTROL!$C$32, 5.2062, 5.2057) * CHOOSE(CONTROL!$C$15, $D$11, 100%, $F$11)</f>
        <v>5.2061999999999999</v>
      </c>
      <c r="C93" s="8">
        <f>CHOOSE( CONTROL!$C$32, 5.2141, 5.2137) * CHOOSE(CONTROL!$C$15, $D$11, 100%, $F$11)</f>
        <v>5.2141000000000002</v>
      </c>
      <c r="D93" s="8">
        <f>CHOOSE( CONTROL!$C$32, 5.2129, 5.2125) * CHOOSE( CONTROL!$C$15, $D$11, 100%, $F$11)</f>
        <v>5.2129000000000003</v>
      </c>
      <c r="E93" s="12">
        <f>CHOOSE( CONTROL!$C$32, 5.2121, 5.2117) * CHOOSE( CONTROL!$C$15, $D$11, 100%, $F$11)</f>
        <v>5.2121000000000004</v>
      </c>
      <c r="F93" s="4">
        <f>CHOOSE( CONTROL!$C$32, 5.909, 5.9085) * CHOOSE(CONTROL!$C$15, $D$11, 100%, $F$11)</f>
        <v>5.9089999999999998</v>
      </c>
      <c r="G93" s="8">
        <f>CHOOSE( CONTROL!$C$32, 5.1551, 5.1546) * CHOOSE( CONTROL!$C$15, $D$11, 100%, $F$11)</f>
        <v>5.1551</v>
      </c>
      <c r="H93" s="4">
        <f>CHOOSE( CONTROL!$C$32, 6.0864, 6.086) * CHOOSE(CONTROL!$C$15, $D$11, 100%, $F$11)</f>
        <v>6.0864000000000003</v>
      </c>
      <c r="I93" s="8">
        <f>CHOOSE( CONTROL!$C$32, 5.1481, 5.1477) * CHOOSE(CONTROL!$C$15, $D$11, 100%, $F$11)</f>
        <v>5.1481000000000003</v>
      </c>
      <c r="J93" s="4">
        <f>CHOOSE( CONTROL!$C$32, 5.0417, 5.0413) * CHOOSE(CONTROL!$C$15, $D$11, 100%, $F$11)</f>
        <v>5.0416999999999996</v>
      </c>
      <c r="K93" s="4"/>
      <c r="L93" s="9">
        <v>30.7165</v>
      </c>
      <c r="M93" s="9">
        <v>12.063700000000001</v>
      </c>
      <c r="N93" s="9">
        <v>4.9444999999999997</v>
      </c>
      <c r="O93" s="9">
        <v>0.37409999999999999</v>
      </c>
      <c r="P93" s="9">
        <v>1.2927</v>
      </c>
      <c r="Q93" s="9">
        <v>33.225200000000001</v>
      </c>
      <c r="R93" s="9"/>
      <c r="S93" s="11"/>
    </row>
    <row r="94" spans="1:19" ht="15.75">
      <c r="A94" s="13">
        <v>43983</v>
      </c>
      <c r="B94" s="8">
        <f>CHOOSE( CONTROL!$C$32, 5.1226, 5.1222) * CHOOSE(CONTROL!$C$15, $D$11, 100%, $F$11)</f>
        <v>5.1226000000000003</v>
      </c>
      <c r="C94" s="8">
        <f>CHOOSE( CONTROL!$C$32, 5.1306, 5.1302) * CHOOSE(CONTROL!$C$15, $D$11, 100%, $F$11)</f>
        <v>5.1306000000000003</v>
      </c>
      <c r="D94" s="8">
        <f>CHOOSE( CONTROL!$C$32, 5.1296, 5.1291) * CHOOSE( CONTROL!$C$15, $D$11, 100%, $F$11)</f>
        <v>5.1295999999999999</v>
      </c>
      <c r="E94" s="12">
        <f>CHOOSE( CONTROL!$C$32, 5.1287, 5.1283) * CHOOSE( CONTROL!$C$15, $D$11, 100%, $F$11)</f>
        <v>5.1287000000000003</v>
      </c>
      <c r="F94" s="4">
        <f>CHOOSE( CONTROL!$C$32, 5.8255, 5.825) * CHOOSE(CONTROL!$C$15, $D$11, 100%, $F$11)</f>
        <v>5.8254999999999999</v>
      </c>
      <c r="G94" s="8">
        <f>CHOOSE( CONTROL!$C$32, 5.0727, 5.0723) * CHOOSE( CONTROL!$C$15, $D$11, 100%, $F$11)</f>
        <v>5.0727000000000002</v>
      </c>
      <c r="H94" s="4">
        <f>CHOOSE( CONTROL!$C$32, 6.0039, 6.0034) * CHOOSE(CONTROL!$C$15, $D$11, 100%, $F$11)</f>
        <v>6.0038999999999998</v>
      </c>
      <c r="I94" s="8">
        <f>CHOOSE( CONTROL!$C$32, 5.0677, 5.0673) * CHOOSE(CONTROL!$C$15, $D$11, 100%, $F$11)</f>
        <v>5.0677000000000003</v>
      </c>
      <c r="J94" s="4">
        <f>CHOOSE( CONTROL!$C$32, 4.9607, 4.9603) * CHOOSE(CONTROL!$C$15, $D$11, 100%, $F$11)</f>
        <v>4.9607000000000001</v>
      </c>
      <c r="K94" s="4"/>
      <c r="L94" s="9">
        <v>29.7257</v>
      </c>
      <c r="M94" s="9">
        <v>11.6745</v>
      </c>
      <c r="N94" s="9">
        <v>4.7850000000000001</v>
      </c>
      <c r="O94" s="9">
        <v>0.36199999999999999</v>
      </c>
      <c r="P94" s="9">
        <v>1.2509999999999999</v>
      </c>
      <c r="Q94" s="9">
        <v>32.153399999999998</v>
      </c>
      <c r="R94" s="9"/>
      <c r="S94" s="11"/>
    </row>
    <row r="95" spans="1:19" ht="15.75">
      <c r="A95" s="13">
        <v>44013</v>
      </c>
      <c r="B95" s="8">
        <f>CHOOSE( CONTROL!$C$32, 5.3426, 5.3421) * CHOOSE(CONTROL!$C$15, $D$11, 100%, $F$11)</f>
        <v>5.3426</v>
      </c>
      <c r="C95" s="8">
        <f>CHOOSE( CONTROL!$C$32, 5.3505, 5.3501) * CHOOSE(CONTROL!$C$15, $D$11, 100%, $F$11)</f>
        <v>5.3505000000000003</v>
      </c>
      <c r="D95" s="8">
        <f>CHOOSE( CONTROL!$C$32, 5.3497, 5.3493) * CHOOSE( CONTROL!$C$15, $D$11, 100%, $F$11)</f>
        <v>5.3497000000000003</v>
      </c>
      <c r="E95" s="12">
        <f>CHOOSE( CONTROL!$C$32, 5.3488, 5.3484) * CHOOSE( CONTROL!$C$15, $D$11, 100%, $F$11)</f>
        <v>5.3487999999999998</v>
      </c>
      <c r="F95" s="4">
        <f>CHOOSE( CONTROL!$C$32, 6.0454, 6.0449) * CHOOSE(CONTROL!$C$15, $D$11, 100%, $F$11)</f>
        <v>6.0453999999999999</v>
      </c>
      <c r="G95" s="8">
        <f>CHOOSE( CONTROL!$C$32, 5.2902, 5.2898) * CHOOSE( CONTROL!$C$15, $D$11, 100%, $F$11)</f>
        <v>5.2901999999999996</v>
      </c>
      <c r="H95" s="4">
        <f>CHOOSE( CONTROL!$C$32, 6.2212, 6.2208) * CHOOSE(CONTROL!$C$15, $D$11, 100%, $F$11)</f>
        <v>6.2211999999999996</v>
      </c>
      <c r="I95" s="8">
        <f>CHOOSE( CONTROL!$C$32, 5.282, 5.2816) * CHOOSE(CONTROL!$C$15, $D$11, 100%, $F$11)</f>
        <v>5.282</v>
      </c>
      <c r="J95" s="4">
        <f>CHOOSE( CONTROL!$C$32, 5.1741, 5.1737) * CHOOSE(CONTROL!$C$15, $D$11, 100%, $F$11)</f>
        <v>5.1741000000000001</v>
      </c>
      <c r="K95" s="4"/>
      <c r="L95" s="9">
        <v>30.7165</v>
      </c>
      <c r="M95" s="9">
        <v>12.063700000000001</v>
      </c>
      <c r="N95" s="9">
        <v>4.9444999999999997</v>
      </c>
      <c r="O95" s="9">
        <v>0.37409999999999999</v>
      </c>
      <c r="P95" s="9">
        <v>1.2927</v>
      </c>
      <c r="Q95" s="9">
        <v>33.225200000000001</v>
      </c>
      <c r="R95" s="9"/>
      <c r="S95" s="11"/>
    </row>
    <row r="96" spans="1:19" ht="15.75">
      <c r="A96" s="13">
        <v>44044</v>
      </c>
      <c r="B96" s="8">
        <f>CHOOSE( CONTROL!$C$32, 4.9311, 4.9306) * CHOOSE(CONTROL!$C$15, $D$11, 100%, $F$11)</f>
        <v>4.9310999999999998</v>
      </c>
      <c r="C96" s="8">
        <f>CHOOSE( CONTROL!$C$32, 4.939, 4.9386) * CHOOSE(CONTROL!$C$15, $D$11, 100%, $F$11)</f>
        <v>4.9390000000000001</v>
      </c>
      <c r="D96" s="8">
        <f>CHOOSE( CONTROL!$C$32, 4.9383, 4.9378) * CHOOSE( CONTROL!$C$15, $D$11, 100%, $F$11)</f>
        <v>4.9382999999999999</v>
      </c>
      <c r="E96" s="12">
        <f>CHOOSE( CONTROL!$C$32, 4.9373, 4.9369) * CHOOSE( CONTROL!$C$15, $D$11, 100%, $F$11)</f>
        <v>4.9372999999999996</v>
      </c>
      <c r="F96" s="4">
        <f>CHOOSE( CONTROL!$C$32, 5.6339, 5.6334) * CHOOSE(CONTROL!$C$15, $D$11, 100%, $F$11)</f>
        <v>5.6338999999999997</v>
      </c>
      <c r="G96" s="8">
        <f>CHOOSE( CONTROL!$C$32, 4.8836, 4.8831) * CHOOSE( CONTROL!$C$15, $D$11, 100%, $F$11)</f>
        <v>4.8836000000000004</v>
      </c>
      <c r="H96" s="4">
        <f>CHOOSE( CONTROL!$C$32, 5.8145, 5.8141) * CHOOSE(CONTROL!$C$15, $D$11, 100%, $F$11)</f>
        <v>5.8144999999999998</v>
      </c>
      <c r="I96" s="8">
        <f>CHOOSE( CONTROL!$C$32, 4.8827, 4.8822) * CHOOSE(CONTROL!$C$15, $D$11, 100%, $F$11)</f>
        <v>4.8826999999999998</v>
      </c>
      <c r="J96" s="4">
        <f>CHOOSE( CONTROL!$C$32, 4.7748, 4.7743) * CHOOSE(CONTROL!$C$15, $D$11, 100%, $F$11)</f>
        <v>4.7747999999999999</v>
      </c>
      <c r="K96" s="4"/>
      <c r="L96" s="9">
        <v>30.7165</v>
      </c>
      <c r="M96" s="9">
        <v>12.063700000000001</v>
      </c>
      <c r="N96" s="9">
        <v>4.9444999999999997</v>
      </c>
      <c r="O96" s="9">
        <v>0.37409999999999999</v>
      </c>
      <c r="P96" s="9">
        <v>1.2927</v>
      </c>
      <c r="Q96" s="9">
        <v>33.225200000000001</v>
      </c>
      <c r="R96" s="9"/>
      <c r="S96" s="11"/>
    </row>
    <row r="97" spans="1:19" ht="15.75">
      <c r="A97" s="13">
        <v>44075</v>
      </c>
      <c r="B97" s="8">
        <f>CHOOSE( CONTROL!$C$32, 4.828, 4.8276) * CHOOSE(CONTROL!$C$15, $D$11, 100%, $F$11)</f>
        <v>4.8280000000000003</v>
      </c>
      <c r="C97" s="8">
        <f>CHOOSE( CONTROL!$C$32, 4.836, 4.8355) * CHOOSE(CONTROL!$C$15, $D$11, 100%, $F$11)</f>
        <v>4.8360000000000003</v>
      </c>
      <c r="D97" s="8">
        <f>CHOOSE( CONTROL!$C$32, 4.8351, 4.8346) * CHOOSE( CONTROL!$C$15, $D$11, 100%, $F$11)</f>
        <v>4.8350999999999997</v>
      </c>
      <c r="E97" s="12">
        <f>CHOOSE( CONTROL!$C$32, 4.8342, 4.8337) * CHOOSE( CONTROL!$C$15, $D$11, 100%, $F$11)</f>
        <v>4.8342000000000001</v>
      </c>
      <c r="F97" s="4">
        <f>CHOOSE( CONTROL!$C$32, 5.5308, 5.5304) * CHOOSE(CONTROL!$C$15, $D$11, 100%, $F$11)</f>
        <v>5.5308000000000002</v>
      </c>
      <c r="G97" s="8">
        <f>CHOOSE( CONTROL!$C$32, 4.7816, 4.7812) * CHOOSE( CONTROL!$C$15, $D$11, 100%, $F$11)</f>
        <v>4.7816000000000001</v>
      </c>
      <c r="H97" s="4">
        <f>CHOOSE( CONTROL!$C$32, 5.7127, 5.7122) * CHOOSE(CONTROL!$C$15, $D$11, 100%, $F$11)</f>
        <v>5.7126999999999999</v>
      </c>
      <c r="I97" s="8">
        <f>CHOOSE( CONTROL!$C$32, 4.7821, 4.7816) * CHOOSE(CONTROL!$C$15, $D$11, 100%, $F$11)</f>
        <v>4.7820999999999998</v>
      </c>
      <c r="J97" s="4">
        <f>CHOOSE( CONTROL!$C$32, 4.6748, 4.6743) * CHOOSE(CONTROL!$C$15, $D$11, 100%, $F$11)</f>
        <v>4.6748000000000003</v>
      </c>
      <c r="K97" s="4"/>
      <c r="L97" s="9">
        <v>29.7257</v>
      </c>
      <c r="M97" s="9">
        <v>11.6745</v>
      </c>
      <c r="N97" s="9">
        <v>4.7850000000000001</v>
      </c>
      <c r="O97" s="9">
        <v>0.36199999999999999</v>
      </c>
      <c r="P97" s="9">
        <v>1.2509999999999999</v>
      </c>
      <c r="Q97" s="9">
        <v>32.153399999999998</v>
      </c>
      <c r="R97" s="9"/>
      <c r="S97" s="11"/>
    </row>
    <row r="98" spans="1:19" ht="15.75">
      <c r="A98" s="13">
        <v>44105</v>
      </c>
      <c r="B98" s="8">
        <f>CHOOSE( CONTROL!$C$32, 5.0401, 5.0398) * CHOOSE(CONTROL!$C$15, $D$11, 100%, $F$11)</f>
        <v>5.0400999999999998</v>
      </c>
      <c r="C98" s="8">
        <f>CHOOSE( CONTROL!$C$32, 5.0454, 5.0451) * CHOOSE(CONTROL!$C$15, $D$11, 100%, $F$11)</f>
        <v>5.0453999999999999</v>
      </c>
      <c r="D98" s="8">
        <f>CHOOSE( CONTROL!$C$32, 5.0501, 5.0498) * CHOOSE( CONTROL!$C$15, $D$11, 100%, $F$11)</f>
        <v>5.0500999999999996</v>
      </c>
      <c r="E98" s="12">
        <f>CHOOSE( CONTROL!$C$32, 5.048, 5.0477) * CHOOSE( CONTROL!$C$15, $D$11, 100%, $F$11)</f>
        <v>5.048</v>
      </c>
      <c r="F98" s="4">
        <f>CHOOSE( CONTROL!$C$32, 5.7446, 5.7443) * CHOOSE(CONTROL!$C$15, $D$11, 100%, $F$11)</f>
        <v>5.7446000000000002</v>
      </c>
      <c r="G98" s="8">
        <f>CHOOSE( CONTROL!$C$32, 4.9931, 4.9928) * CHOOSE( CONTROL!$C$15, $D$11, 100%, $F$11)</f>
        <v>4.9931000000000001</v>
      </c>
      <c r="H98" s="4">
        <f>CHOOSE( CONTROL!$C$32, 5.924, 5.9237) * CHOOSE(CONTROL!$C$15, $D$11, 100%, $F$11)</f>
        <v>5.9240000000000004</v>
      </c>
      <c r="I98" s="8">
        <f>CHOOSE( CONTROL!$C$32, 4.9905, 4.9902) * CHOOSE(CONTROL!$C$15, $D$11, 100%, $F$11)</f>
        <v>4.9904999999999999</v>
      </c>
      <c r="J98" s="4">
        <f>CHOOSE( CONTROL!$C$32, 4.8822, 4.882) * CHOOSE(CONTROL!$C$15, $D$11, 100%, $F$11)</f>
        <v>4.8822000000000001</v>
      </c>
      <c r="K98" s="4"/>
      <c r="L98" s="9">
        <v>31.095300000000002</v>
      </c>
      <c r="M98" s="9">
        <v>12.063700000000001</v>
      </c>
      <c r="N98" s="9">
        <v>4.9444999999999997</v>
      </c>
      <c r="O98" s="9">
        <v>0.37409999999999999</v>
      </c>
      <c r="P98" s="9">
        <v>1.2927</v>
      </c>
      <c r="Q98" s="9">
        <v>33.225200000000001</v>
      </c>
      <c r="R98" s="9"/>
      <c r="S98" s="11"/>
    </row>
    <row r="99" spans="1:19" ht="15.75">
      <c r="A99" s="13">
        <v>44136</v>
      </c>
      <c r="B99" s="8">
        <f>CHOOSE( CONTROL!$C$32, 5.4346, 5.4343) * CHOOSE(CONTROL!$C$15, $D$11, 100%, $F$11)</f>
        <v>5.4345999999999997</v>
      </c>
      <c r="C99" s="8">
        <f>CHOOSE( CONTROL!$C$32, 5.4397, 5.4394) * CHOOSE(CONTROL!$C$15, $D$11, 100%, $F$11)</f>
        <v>5.4397000000000002</v>
      </c>
      <c r="D99" s="8">
        <f>CHOOSE( CONTROL!$C$32, 5.4224, 5.4221) * CHOOSE( CONTROL!$C$15, $D$11, 100%, $F$11)</f>
        <v>5.4223999999999997</v>
      </c>
      <c r="E99" s="12">
        <f>CHOOSE( CONTROL!$C$32, 5.4282, 5.4279) * CHOOSE( CONTROL!$C$15, $D$11, 100%, $F$11)</f>
        <v>5.4282000000000004</v>
      </c>
      <c r="F99" s="4">
        <f>CHOOSE( CONTROL!$C$32, 6.0999, 6.0996) * CHOOSE(CONTROL!$C$15, $D$11, 100%, $F$11)</f>
        <v>6.0998999999999999</v>
      </c>
      <c r="G99" s="8">
        <f>CHOOSE( CONTROL!$C$32, 5.3803, 5.38) * CHOOSE( CONTROL!$C$15, $D$11, 100%, $F$11)</f>
        <v>5.3803000000000001</v>
      </c>
      <c r="H99" s="4">
        <f>CHOOSE( CONTROL!$C$32, 6.2751, 6.2748) * CHOOSE(CONTROL!$C$15, $D$11, 100%, $F$11)</f>
        <v>6.2751000000000001</v>
      </c>
      <c r="I99" s="8">
        <f>CHOOSE( CONTROL!$C$32, 5.4296, 5.4293) * CHOOSE(CONTROL!$C$15, $D$11, 100%, $F$11)</f>
        <v>5.4295999999999998</v>
      </c>
      <c r="J99" s="4">
        <f>CHOOSE( CONTROL!$C$32, 5.2655, 5.2652) * CHOOSE(CONTROL!$C$15, $D$11, 100%, $F$11)</f>
        <v>5.2655000000000003</v>
      </c>
      <c r="K99" s="4"/>
      <c r="L99" s="9">
        <v>28.360600000000002</v>
      </c>
      <c r="M99" s="9">
        <v>11.6745</v>
      </c>
      <c r="N99" s="9">
        <v>4.7850000000000001</v>
      </c>
      <c r="O99" s="9">
        <v>0.36199999999999999</v>
      </c>
      <c r="P99" s="9">
        <v>1.2509999999999999</v>
      </c>
      <c r="Q99" s="9">
        <v>32.153399999999998</v>
      </c>
      <c r="R99" s="9"/>
      <c r="S99" s="11"/>
    </row>
    <row r="100" spans="1:19" ht="15.75">
      <c r="A100" s="13">
        <v>44166</v>
      </c>
      <c r="B100" s="8">
        <f>CHOOSE( CONTROL!$C$32, 5.4247, 5.4244) * CHOOSE(CONTROL!$C$15, $D$11, 100%, $F$11)</f>
        <v>5.4246999999999996</v>
      </c>
      <c r="C100" s="8">
        <f>CHOOSE( CONTROL!$C$32, 5.4298, 5.4295) * CHOOSE(CONTROL!$C$15, $D$11, 100%, $F$11)</f>
        <v>5.4298000000000002</v>
      </c>
      <c r="D100" s="8">
        <f>CHOOSE( CONTROL!$C$32, 5.4143, 5.414) * CHOOSE( CONTROL!$C$15, $D$11, 100%, $F$11)</f>
        <v>5.4142999999999999</v>
      </c>
      <c r="E100" s="12">
        <f>CHOOSE( CONTROL!$C$32, 5.4194, 5.4191) * CHOOSE( CONTROL!$C$15, $D$11, 100%, $F$11)</f>
        <v>5.4194000000000004</v>
      </c>
      <c r="F100" s="4">
        <f>CHOOSE( CONTROL!$C$32, 6.09, 6.0897) * CHOOSE(CONTROL!$C$15, $D$11, 100%, $F$11)</f>
        <v>6.09</v>
      </c>
      <c r="G100" s="8">
        <f>CHOOSE( CONTROL!$C$32, 5.3718, 5.3716) * CHOOSE( CONTROL!$C$15, $D$11, 100%, $F$11)</f>
        <v>5.3718000000000004</v>
      </c>
      <c r="H100" s="4">
        <f>CHOOSE( CONTROL!$C$32, 6.2653, 6.2651) * CHOOSE(CONTROL!$C$15, $D$11, 100%, $F$11)</f>
        <v>6.2652999999999999</v>
      </c>
      <c r="I100" s="8">
        <f>CHOOSE( CONTROL!$C$32, 5.4256, 5.4253) * CHOOSE(CONTROL!$C$15, $D$11, 100%, $F$11)</f>
        <v>5.4256000000000002</v>
      </c>
      <c r="J100" s="4">
        <f>CHOOSE( CONTROL!$C$32, 5.2559, 5.2557) * CHOOSE(CONTROL!$C$15, $D$11, 100%, $F$11)</f>
        <v>5.2558999999999996</v>
      </c>
      <c r="K100" s="4"/>
      <c r="L100" s="9">
        <v>29.306000000000001</v>
      </c>
      <c r="M100" s="9">
        <v>12.063700000000001</v>
      </c>
      <c r="N100" s="9">
        <v>4.9444999999999997</v>
      </c>
      <c r="O100" s="9">
        <v>0.37409999999999999</v>
      </c>
      <c r="P100" s="9">
        <v>1.2927</v>
      </c>
      <c r="Q100" s="9">
        <v>33.225200000000001</v>
      </c>
      <c r="R100" s="9"/>
      <c r="S100" s="11"/>
    </row>
    <row r="101" spans="1:19" ht="15.75">
      <c r="A101" s="13">
        <v>44197</v>
      </c>
      <c r="B101" s="8">
        <f>CHOOSE( CONTROL!$C$32, 5.8783, 5.878) * CHOOSE(CONTROL!$C$15, $D$11, 100%, $F$11)</f>
        <v>5.8783000000000003</v>
      </c>
      <c r="C101" s="8">
        <f>CHOOSE( CONTROL!$C$32, 5.8834, 5.8831) * CHOOSE(CONTROL!$C$15, $D$11, 100%, $F$11)</f>
        <v>5.8834</v>
      </c>
      <c r="D101" s="8">
        <f>CHOOSE( CONTROL!$C$32, 5.8738, 5.8735) * CHOOSE( CONTROL!$C$15, $D$11, 100%, $F$11)</f>
        <v>5.8738000000000001</v>
      </c>
      <c r="E101" s="12">
        <f>CHOOSE( CONTROL!$C$32, 5.8768, 5.8765) * CHOOSE( CONTROL!$C$15, $D$11, 100%, $F$11)</f>
        <v>5.8768000000000002</v>
      </c>
      <c r="F101" s="4">
        <f>CHOOSE( CONTROL!$C$32, 6.5436, 6.5433) * CHOOSE(CONTROL!$C$15, $D$11, 100%, $F$11)</f>
        <v>6.5435999999999996</v>
      </c>
      <c r="G101" s="8">
        <f>CHOOSE( CONTROL!$C$32, 5.8208, 5.8206) * CHOOSE( CONTROL!$C$15, $D$11, 100%, $F$11)</f>
        <v>5.8208000000000002</v>
      </c>
      <c r="H101" s="4">
        <f>CHOOSE( CONTROL!$C$32, 6.7136, 6.7133) * CHOOSE(CONTROL!$C$15, $D$11, 100%, $F$11)</f>
        <v>6.7135999999999996</v>
      </c>
      <c r="I101" s="8">
        <f>CHOOSE( CONTROL!$C$32, 5.8465, 5.8462) * CHOOSE(CONTROL!$C$15, $D$11, 100%, $F$11)</f>
        <v>5.8464999999999998</v>
      </c>
      <c r="J101" s="4">
        <f>CHOOSE( CONTROL!$C$32, 5.6961, 5.6959) * CHOOSE(CONTROL!$C$15, $D$11, 100%, $F$11)</f>
        <v>5.6961000000000004</v>
      </c>
      <c r="K101" s="4"/>
      <c r="L101" s="9">
        <v>29.306000000000001</v>
      </c>
      <c r="M101" s="9">
        <v>12.063700000000001</v>
      </c>
      <c r="N101" s="9">
        <v>4.9444999999999997</v>
      </c>
      <c r="O101" s="9">
        <v>0.37409999999999999</v>
      </c>
      <c r="P101" s="9">
        <v>1.2927</v>
      </c>
      <c r="Q101" s="9">
        <v>33.011299999999999</v>
      </c>
      <c r="R101" s="9"/>
      <c r="S101" s="11"/>
    </row>
    <row r="102" spans="1:19" ht="15.75">
      <c r="A102" s="13">
        <v>44228</v>
      </c>
      <c r="B102" s="8">
        <f>CHOOSE( CONTROL!$C$32, 5.4989, 5.4986) * CHOOSE(CONTROL!$C$15, $D$11, 100%, $F$11)</f>
        <v>5.4988999999999999</v>
      </c>
      <c r="C102" s="8">
        <f>CHOOSE( CONTROL!$C$32, 5.504, 5.5037) * CHOOSE(CONTROL!$C$15, $D$11, 100%, $F$11)</f>
        <v>5.5039999999999996</v>
      </c>
      <c r="D102" s="8">
        <f>CHOOSE( CONTROL!$C$32, 5.4961, 5.4958) * CHOOSE( CONTROL!$C$15, $D$11, 100%, $F$11)</f>
        <v>5.4961000000000002</v>
      </c>
      <c r="E102" s="12">
        <f>CHOOSE( CONTROL!$C$32, 5.4984, 5.4981) * CHOOSE( CONTROL!$C$15, $D$11, 100%, $F$11)</f>
        <v>5.4984000000000002</v>
      </c>
      <c r="F102" s="4">
        <f>CHOOSE( CONTROL!$C$32, 6.1642, 6.1639) * CHOOSE(CONTROL!$C$15, $D$11, 100%, $F$11)</f>
        <v>6.1642000000000001</v>
      </c>
      <c r="G102" s="8">
        <f>CHOOSE( CONTROL!$C$32, 5.4444, 5.4441) * CHOOSE( CONTROL!$C$15, $D$11, 100%, $F$11)</f>
        <v>5.4443999999999999</v>
      </c>
      <c r="H102" s="4">
        <f>CHOOSE( CONTROL!$C$32, 6.3386, 6.3383) * CHOOSE(CONTROL!$C$15, $D$11, 100%, $F$11)</f>
        <v>6.3385999999999996</v>
      </c>
      <c r="I102" s="8">
        <f>CHOOSE( CONTROL!$C$32, 5.4627, 5.4624) * CHOOSE(CONTROL!$C$15, $D$11, 100%, $F$11)</f>
        <v>5.4626999999999999</v>
      </c>
      <c r="J102" s="4">
        <f>CHOOSE( CONTROL!$C$32, 5.3279, 5.3276) * CHOOSE(CONTROL!$C$15, $D$11, 100%, $F$11)</f>
        <v>5.3278999999999996</v>
      </c>
      <c r="K102" s="4"/>
      <c r="L102" s="9">
        <v>26.469899999999999</v>
      </c>
      <c r="M102" s="9">
        <v>10.8962</v>
      </c>
      <c r="N102" s="9">
        <v>4.4660000000000002</v>
      </c>
      <c r="O102" s="9">
        <v>0.33789999999999998</v>
      </c>
      <c r="P102" s="9">
        <v>1.1676</v>
      </c>
      <c r="Q102" s="9">
        <v>29.816600000000001</v>
      </c>
      <c r="R102" s="9"/>
      <c r="S102" s="11"/>
    </row>
    <row r="103" spans="1:19" ht="15.75">
      <c r="A103" s="13">
        <v>44256</v>
      </c>
      <c r="B103" s="8">
        <f>CHOOSE( CONTROL!$C$32, 5.382, 5.3817) * CHOOSE(CONTROL!$C$15, $D$11, 100%, $F$11)</f>
        <v>5.3819999999999997</v>
      </c>
      <c r="C103" s="8">
        <f>CHOOSE( CONTROL!$C$32, 5.3871, 5.3868) * CHOOSE(CONTROL!$C$15, $D$11, 100%, $F$11)</f>
        <v>5.3871000000000002</v>
      </c>
      <c r="D103" s="8">
        <f>CHOOSE( CONTROL!$C$32, 5.3744, 5.3741) * CHOOSE( CONTROL!$C$15, $D$11, 100%, $F$11)</f>
        <v>5.3743999999999996</v>
      </c>
      <c r="E103" s="12">
        <f>CHOOSE( CONTROL!$C$32, 5.3785, 5.3782) * CHOOSE( CONTROL!$C$15, $D$11, 100%, $F$11)</f>
        <v>5.3784999999999998</v>
      </c>
      <c r="F103" s="4">
        <f>CHOOSE( CONTROL!$C$32, 6.0473, 6.047) * CHOOSE(CONTROL!$C$15, $D$11, 100%, $F$11)</f>
        <v>6.0472999999999999</v>
      </c>
      <c r="G103" s="8">
        <f>CHOOSE( CONTROL!$C$32, 5.3254, 5.3252) * CHOOSE( CONTROL!$C$15, $D$11, 100%, $F$11)</f>
        <v>5.3254000000000001</v>
      </c>
      <c r="H103" s="4">
        <f>CHOOSE( CONTROL!$C$32, 6.2231, 6.2229) * CHOOSE(CONTROL!$C$15, $D$11, 100%, $F$11)</f>
        <v>6.2230999999999996</v>
      </c>
      <c r="I103" s="8">
        <f>CHOOSE( CONTROL!$C$32, 5.3476, 5.3473) * CHOOSE(CONTROL!$C$15, $D$11, 100%, $F$11)</f>
        <v>5.3475999999999999</v>
      </c>
      <c r="J103" s="4">
        <f>CHOOSE( CONTROL!$C$32, 5.2145, 5.2142) * CHOOSE(CONTROL!$C$15, $D$11, 100%, $F$11)</f>
        <v>5.2145000000000001</v>
      </c>
      <c r="K103" s="4"/>
      <c r="L103" s="9">
        <v>29.306000000000001</v>
      </c>
      <c r="M103" s="9">
        <v>12.063700000000001</v>
      </c>
      <c r="N103" s="9">
        <v>4.9444999999999997</v>
      </c>
      <c r="O103" s="9">
        <v>0.37409999999999999</v>
      </c>
      <c r="P103" s="9">
        <v>1.2927</v>
      </c>
      <c r="Q103" s="9">
        <v>33.011299999999999</v>
      </c>
      <c r="R103" s="9"/>
      <c r="S103" s="11"/>
    </row>
    <row r="104" spans="1:19" ht="15.75">
      <c r="A104" s="13">
        <v>44287</v>
      </c>
      <c r="B104" s="8">
        <f>CHOOSE( CONTROL!$C$32, 5.4644, 5.4642) * CHOOSE(CONTROL!$C$15, $D$11, 100%, $F$11)</f>
        <v>5.4644000000000004</v>
      </c>
      <c r="C104" s="8">
        <f>CHOOSE( CONTROL!$C$32, 5.4689, 5.4687) * CHOOSE(CONTROL!$C$15, $D$11, 100%, $F$11)</f>
        <v>5.4688999999999997</v>
      </c>
      <c r="D104" s="8">
        <f>CHOOSE( CONTROL!$C$32, 5.4738, 5.4735) * CHOOSE( CONTROL!$C$15, $D$11, 100%, $F$11)</f>
        <v>5.4737999999999998</v>
      </c>
      <c r="E104" s="12">
        <f>CHOOSE( CONTROL!$C$32, 5.4717, 5.4714) * CHOOSE( CONTROL!$C$15, $D$11, 100%, $F$11)</f>
        <v>5.4717000000000002</v>
      </c>
      <c r="F104" s="4">
        <f>CHOOSE( CONTROL!$C$32, 6.1686, 6.1684) * CHOOSE(CONTROL!$C$15, $D$11, 100%, $F$11)</f>
        <v>6.1685999999999996</v>
      </c>
      <c r="G104" s="8">
        <f>CHOOSE( CONTROL!$C$32, 5.4119, 5.4116) * CHOOSE( CONTROL!$C$15, $D$11, 100%, $F$11)</f>
        <v>5.4119000000000002</v>
      </c>
      <c r="H104" s="4">
        <f>CHOOSE( CONTROL!$C$32, 6.343, 6.3428) * CHOOSE(CONTROL!$C$15, $D$11, 100%, $F$11)</f>
        <v>6.343</v>
      </c>
      <c r="I104" s="8">
        <f>CHOOSE( CONTROL!$C$32, 5.4011, 5.4008) * CHOOSE(CONTROL!$C$15, $D$11, 100%, $F$11)</f>
        <v>5.4010999999999996</v>
      </c>
      <c r="J104" s="4">
        <f>CHOOSE( CONTROL!$C$32, 5.2937, 5.2935) * CHOOSE(CONTROL!$C$15, $D$11, 100%, $F$11)</f>
        <v>5.2937000000000003</v>
      </c>
      <c r="K104" s="4"/>
      <c r="L104" s="9">
        <v>30.092199999999998</v>
      </c>
      <c r="M104" s="9">
        <v>11.6745</v>
      </c>
      <c r="N104" s="9">
        <v>4.7850000000000001</v>
      </c>
      <c r="O104" s="9">
        <v>0.36199999999999999</v>
      </c>
      <c r="P104" s="9">
        <v>1.2509999999999999</v>
      </c>
      <c r="Q104" s="9">
        <v>31.946400000000001</v>
      </c>
      <c r="R104" s="9"/>
      <c r="S104" s="11"/>
    </row>
    <row r="105" spans="1:19" ht="15.75">
      <c r="A105" s="13">
        <v>44317</v>
      </c>
      <c r="B105" s="8">
        <f>CHOOSE( CONTROL!$C$32, 5.6113, 5.6109) * CHOOSE(CONTROL!$C$15, $D$11, 100%, $F$11)</f>
        <v>5.6113</v>
      </c>
      <c r="C105" s="8">
        <f>CHOOSE( CONTROL!$C$32, 5.6193, 5.6188) * CHOOSE(CONTROL!$C$15, $D$11, 100%, $F$11)</f>
        <v>5.6193</v>
      </c>
      <c r="D105" s="8">
        <f>CHOOSE( CONTROL!$C$32, 5.6181, 5.6176) * CHOOSE( CONTROL!$C$15, $D$11, 100%, $F$11)</f>
        <v>5.6181000000000001</v>
      </c>
      <c r="E105" s="12">
        <f>CHOOSE( CONTROL!$C$32, 5.6173, 5.6168) * CHOOSE( CONTROL!$C$15, $D$11, 100%, $F$11)</f>
        <v>5.6173000000000002</v>
      </c>
      <c r="F105" s="4">
        <f>CHOOSE( CONTROL!$C$32, 6.3141, 6.3137) * CHOOSE(CONTROL!$C$15, $D$11, 100%, $F$11)</f>
        <v>6.3140999999999998</v>
      </c>
      <c r="G105" s="8">
        <f>CHOOSE( CONTROL!$C$32, 5.5555, 5.5551) * CHOOSE( CONTROL!$C$15, $D$11, 100%, $F$11)</f>
        <v>5.5555000000000003</v>
      </c>
      <c r="H105" s="4">
        <f>CHOOSE( CONTROL!$C$32, 6.4868, 6.4864) * CHOOSE(CONTROL!$C$15, $D$11, 100%, $F$11)</f>
        <v>6.4867999999999997</v>
      </c>
      <c r="I105" s="8">
        <f>CHOOSE( CONTROL!$C$32, 5.5416, 5.5411) * CHOOSE(CONTROL!$C$15, $D$11, 100%, $F$11)</f>
        <v>5.5415999999999999</v>
      </c>
      <c r="J105" s="4">
        <f>CHOOSE( CONTROL!$C$32, 5.435, 5.4345) * CHOOSE(CONTROL!$C$15, $D$11, 100%, $F$11)</f>
        <v>5.4349999999999996</v>
      </c>
      <c r="K105" s="4"/>
      <c r="L105" s="9">
        <v>30.7165</v>
      </c>
      <c r="M105" s="9">
        <v>12.063700000000001</v>
      </c>
      <c r="N105" s="9">
        <v>4.9444999999999997</v>
      </c>
      <c r="O105" s="9">
        <v>0.37409999999999999</v>
      </c>
      <c r="P105" s="9">
        <v>1.2927</v>
      </c>
      <c r="Q105" s="9">
        <v>33.011299999999999</v>
      </c>
      <c r="R105" s="9"/>
      <c r="S105" s="11"/>
    </row>
    <row r="106" spans="1:19" ht="15.75">
      <c r="A106" s="13">
        <v>44348</v>
      </c>
      <c r="B106" s="8">
        <f>CHOOSE( CONTROL!$C$32, 5.5213, 5.5208) * CHOOSE(CONTROL!$C$15, $D$11, 100%, $F$11)</f>
        <v>5.5213000000000001</v>
      </c>
      <c r="C106" s="8">
        <f>CHOOSE( CONTROL!$C$32, 5.5293, 5.5288) * CHOOSE(CONTROL!$C$15, $D$11, 100%, $F$11)</f>
        <v>5.5293000000000001</v>
      </c>
      <c r="D106" s="8">
        <f>CHOOSE( CONTROL!$C$32, 5.5282, 5.5278) * CHOOSE( CONTROL!$C$15, $D$11, 100%, $F$11)</f>
        <v>5.5282</v>
      </c>
      <c r="E106" s="12">
        <f>CHOOSE( CONTROL!$C$32, 5.5274, 5.5269) * CHOOSE( CONTROL!$C$15, $D$11, 100%, $F$11)</f>
        <v>5.5274000000000001</v>
      </c>
      <c r="F106" s="4">
        <f>CHOOSE( CONTROL!$C$32, 6.2241, 6.2237) * CHOOSE(CONTROL!$C$15, $D$11, 100%, $F$11)</f>
        <v>6.2241</v>
      </c>
      <c r="G106" s="8">
        <f>CHOOSE( CONTROL!$C$32, 5.4667, 5.4663) * CHOOSE( CONTROL!$C$15, $D$11, 100%, $F$11)</f>
        <v>5.4667000000000003</v>
      </c>
      <c r="H106" s="4">
        <f>CHOOSE( CONTROL!$C$32, 6.3979, 6.3974) * CHOOSE(CONTROL!$C$15, $D$11, 100%, $F$11)</f>
        <v>6.3978999999999999</v>
      </c>
      <c r="I106" s="8">
        <f>CHOOSE( CONTROL!$C$32, 5.4548, 5.4544) * CHOOSE(CONTROL!$C$15, $D$11, 100%, $F$11)</f>
        <v>5.4547999999999996</v>
      </c>
      <c r="J106" s="4">
        <f>CHOOSE( CONTROL!$C$32, 5.3476, 5.3472) * CHOOSE(CONTROL!$C$15, $D$11, 100%, $F$11)</f>
        <v>5.3475999999999999</v>
      </c>
      <c r="K106" s="4"/>
      <c r="L106" s="9">
        <v>29.7257</v>
      </c>
      <c r="M106" s="9">
        <v>11.6745</v>
      </c>
      <c r="N106" s="9">
        <v>4.7850000000000001</v>
      </c>
      <c r="O106" s="9">
        <v>0.36199999999999999</v>
      </c>
      <c r="P106" s="9">
        <v>1.2509999999999999</v>
      </c>
      <c r="Q106" s="9">
        <v>31.946400000000001</v>
      </c>
      <c r="R106" s="9"/>
      <c r="S106" s="11"/>
    </row>
    <row r="107" spans="1:19" ht="15.75">
      <c r="A107" s="13">
        <v>44378</v>
      </c>
      <c r="B107" s="8">
        <f>CHOOSE( CONTROL!$C$32, 5.7584, 5.7579) * CHOOSE(CONTROL!$C$15, $D$11, 100%, $F$11)</f>
        <v>5.7584</v>
      </c>
      <c r="C107" s="8">
        <f>CHOOSE( CONTROL!$C$32, 5.7664, 5.7659) * CHOOSE(CONTROL!$C$15, $D$11, 100%, $F$11)</f>
        <v>5.7664</v>
      </c>
      <c r="D107" s="8">
        <f>CHOOSE( CONTROL!$C$32, 5.7656, 5.7651) * CHOOSE( CONTROL!$C$15, $D$11, 100%, $F$11)</f>
        <v>5.7656000000000001</v>
      </c>
      <c r="E107" s="12">
        <f>CHOOSE( CONTROL!$C$32, 5.7647, 5.7642) * CHOOSE( CONTROL!$C$15, $D$11, 100%, $F$11)</f>
        <v>5.7647000000000004</v>
      </c>
      <c r="F107" s="4">
        <f>CHOOSE( CONTROL!$C$32, 6.4612, 6.4607) * CHOOSE(CONTROL!$C$15, $D$11, 100%, $F$11)</f>
        <v>6.4611999999999998</v>
      </c>
      <c r="G107" s="8">
        <f>CHOOSE( CONTROL!$C$32, 5.7012, 5.7007) * CHOOSE( CONTROL!$C$15, $D$11, 100%, $F$11)</f>
        <v>5.7012</v>
      </c>
      <c r="H107" s="4">
        <f>CHOOSE( CONTROL!$C$32, 6.6322, 6.6317) * CHOOSE(CONTROL!$C$15, $D$11, 100%, $F$11)</f>
        <v>6.6322000000000001</v>
      </c>
      <c r="I107" s="8">
        <f>CHOOSE( CONTROL!$C$32, 5.6858, 5.6853) * CHOOSE(CONTROL!$C$15, $D$11, 100%, $F$11)</f>
        <v>5.6858000000000004</v>
      </c>
      <c r="J107" s="4">
        <f>CHOOSE( CONTROL!$C$32, 5.5777, 5.5772) * CHOOSE(CONTROL!$C$15, $D$11, 100%, $F$11)</f>
        <v>5.5777000000000001</v>
      </c>
      <c r="K107" s="4"/>
      <c r="L107" s="9">
        <v>30.7165</v>
      </c>
      <c r="M107" s="9">
        <v>12.063700000000001</v>
      </c>
      <c r="N107" s="9">
        <v>4.9444999999999997</v>
      </c>
      <c r="O107" s="9">
        <v>0.37409999999999999</v>
      </c>
      <c r="P107" s="9">
        <v>1.2927</v>
      </c>
      <c r="Q107" s="9">
        <v>33.011299999999999</v>
      </c>
      <c r="R107" s="9"/>
      <c r="S107" s="11"/>
    </row>
    <row r="108" spans="1:19" ht="15.75">
      <c r="A108" s="13">
        <v>44409</v>
      </c>
      <c r="B108" s="8">
        <f>CHOOSE( CONTROL!$C$32, 5.3148, 5.3143) * CHOOSE(CONTROL!$C$15, $D$11, 100%, $F$11)</f>
        <v>5.3148</v>
      </c>
      <c r="C108" s="8">
        <f>CHOOSE( CONTROL!$C$32, 5.3227, 5.3223) * CHOOSE(CONTROL!$C$15, $D$11, 100%, $F$11)</f>
        <v>5.3227000000000002</v>
      </c>
      <c r="D108" s="8">
        <f>CHOOSE( CONTROL!$C$32, 5.322, 5.3215) * CHOOSE( CONTROL!$C$15, $D$11, 100%, $F$11)</f>
        <v>5.3220000000000001</v>
      </c>
      <c r="E108" s="12">
        <f>CHOOSE( CONTROL!$C$32, 5.321, 5.3206) * CHOOSE( CONTROL!$C$15, $D$11, 100%, $F$11)</f>
        <v>5.3209999999999997</v>
      </c>
      <c r="F108" s="4">
        <f>CHOOSE( CONTROL!$C$32, 6.0176, 6.0171) * CHOOSE(CONTROL!$C$15, $D$11, 100%, $F$11)</f>
        <v>6.0175999999999998</v>
      </c>
      <c r="G108" s="8">
        <f>CHOOSE( CONTROL!$C$32, 5.2628, 5.2624) * CHOOSE( CONTROL!$C$15, $D$11, 100%, $F$11)</f>
        <v>5.2628000000000004</v>
      </c>
      <c r="H108" s="4">
        <f>CHOOSE( CONTROL!$C$32, 6.1938, 6.1933) * CHOOSE(CONTROL!$C$15, $D$11, 100%, $F$11)</f>
        <v>6.1938000000000004</v>
      </c>
      <c r="I108" s="8">
        <f>CHOOSE( CONTROL!$C$32, 5.2552, 5.2548) * CHOOSE(CONTROL!$C$15, $D$11, 100%, $F$11)</f>
        <v>5.2552000000000003</v>
      </c>
      <c r="J108" s="4">
        <f>CHOOSE( CONTROL!$C$32, 5.1472, 5.1467) * CHOOSE(CONTROL!$C$15, $D$11, 100%, $F$11)</f>
        <v>5.1471999999999998</v>
      </c>
      <c r="K108" s="4"/>
      <c r="L108" s="9">
        <v>30.7165</v>
      </c>
      <c r="M108" s="9">
        <v>12.063700000000001</v>
      </c>
      <c r="N108" s="9">
        <v>4.9444999999999997</v>
      </c>
      <c r="O108" s="9">
        <v>0.37409999999999999</v>
      </c>
      <c r="P108" s="9">
        <v>1.2927</v>
      </c>
      <c r="Q108" s="9">
        <v>33.011299999999999</v>
      </c>
      <c r="R108" s="9"/>
      <c r="S108" s="11"/>
    </row>
    <row r="109" spans="1:19" ht="15.75">
      <c r="A109" s="13">
        <v>44440</v>
      </c>
      <c r="B109" s="8">
        <f>CHOOSE( CONTROL!$C$32, 5.2037, 5.2032) * CHOOSE(CONTROL!$C$15, $D$11, 100%, $F$11)</f>
        <v>5.2037000000000004</v>
      </c>
      <c r="C109" s="8">
        <f>CHOOSE( CONTROL!$C$32, 5.2117, 5.2112) * CHOOSE(CONTROL!$C$15, $D$11, 100%, $F$11)</f>
        <v>5.2117000000000004</v>
      </c>
      <c r="D109" s="8">
        <f>CHOOSE( CONTROL!$C$32, 5.2108, 5.2103) * CHOOSE( CONTROL!$C$15, $D$11, 100%, $F$11)</f>
        <v>5.2107999999999999</v>
      </c>
      <c r="E109" s="12">
        <f>CHOOSE( CONTROL!$C$32, 5.2099, 5.2094) * CHOOSE( CONTROL!$C$15, $D$11, 100%, $F$11)</f>
        <v>5.2099000000000002</v>
      </c>
      <c r="F109" s="4">
        <f>CHOOSE( CONTROL!$C$32, 5.9065, 5.9061) * CHOOSE(CONTROL!$C$15, $D$11, 100%, $F$11)</f>
        <v>5.9065000000000003</v>
      </c>
      <c r="G109" s="8">
        <f>CHOOSE( CONTROL!$C$32, 5.1529, 5.1525) * CHOOSE( CONTROL!$C$15, $D$11, 100%, $F$11)</f>
        <v>5.1528999999999998</v>
      </c>
      <c r="H109" s="4">
        <f>CHOOSE( CONTROL!$C$32, 6.084, 6.0835) * CHOOSE(CONTROL!$C$15, $D$11, 100%, $F$11)</f>
        <v>6.0839999999999996</v>
      </c>
      <c r="I109" s="8">
        <f>CHOOSE( CONTROL!$C$32, 5.1469, 5.1464) * CHOOSE(CONTROL!$C$15, $D$11, 100%, $F$11)</f>
        <v>5.1468999999999996</v>
      </c>
      <c r="J109" s="4">
        <f>CHOOSE( CONTROL!$C$32, 5.0394, 5.0389) * CHOOSE(CONTROL!$C$15, $D$11, 100%, $F$11)</f>
        <v>5.0393999999999997</v>
      </c>
      <c r="K109" s="4"/>
      <c r="L109" s="9">
        <v>29.7257</v>
      </c>
      <c r="M109" s="9">
        <v>11.6745</v>
      </c>
      <c r="N109" s="9">
        <v>4.7850000000000001</v>
      </c>
      <c r="O109" s="9">
        <v>0.36199999999999999</v>
      </c>
      <c r="P109" s="9">
        <v>1.2509999999999999</v>
      </c>
      <c r="Q109" s="9">
        <v>31.946400000000001</v>
      </c>
      <c r="R109" s="9"/>
      <c r="S109" s="11"/>
    </row>
    <row r="110" spans="1:19" ht="15.75">
      <c r="A110" s="13">
        <v>44470</v>
      </c>
      <c r="B110" s="8">
        <f>CHOOSE( CONTROL!$C$32, 5.4324, 5.4322) * CHOOSE(CONTROL!$C$15, $D$11, 100%, $F$11)</f>
        <v>5.4324000000000003</v>
      </c>
      <c r="C110" s="8">
        <f>CHOOSE( CONTROL!$C$32, 5.4378, 5.4375) * CHOOSE(CONTROL!$C$15, $D$11, 100%, $F$11)</f>
        <v>5.4378000000000002</v>
      </c>
      <c r="D110" s="8">
        <f>CHOOSE( CONTROL!$C$32, 5.4425, 5.4422) * CHOOSE( CONTROL!$C$15, $D$11, 100%, $F$11)</f>
        <v>5.4424999999999999</v>
      </c>
      <c r="E110" s="12">
        <f>CHOOSE( CONTROL!$C$32, 5.4404, 5.4401) * CHOOSE( CONTROL!$C$15, $D$11, 100%, $F$11)</f>
        <v>5.4404000000000003</v>
      </c>
      <c r="F110" s="4">
        <f>CHOOSE( CONTROL!$C$32, 6.137, 6.1367) * CHOOSE(CONTROL!$C$15, $D$11, 100%, $F$11)</f>
        <v>6.1369999999999996</v>
      </c>
      <c r="G110" s="8">
        <f>CHOOSE( CONTROL!$C$32, 5.3809, 5.3806) * CHOOSE( CONTROL!$C$15, $D$11, 100%, $F$11)</f>
        <v>5.3808999999999996</v>
      </c>
      <c r="H110" s="4">
        <f>CHOOSE( CONTROL!$C$32, 6.3117, 6.3115) * CHOOSE(CONTROL!$C$15, $D$11, 100%, $F$11)</f>
        <v>6.3117000000000001</v>
      </c>
      <c r="I110" s="8">
        <f>CHOOSE( CONTROL!$C$32, 5.3715, 5.3712) * CHOOSE(CONTROL!$C$15, $D$11, 100%, $F$11)</f>
        <v>5.3715000000000002</v>
      </c>
      <c r="J110" s="4">
        <f>CHOOSE( CONTROL!$C$32, 5.263, 5.2628) * CHOOSE(CONTROL!$C$15, $D$11, 100%, $F$11)</f>
        <v>5.2629999999999999</v>
      </c>
      <c r="K110" s="4"/>
      <c r="L110" s="9">
        <v>31.095300000000002</v>
      </c>
      <c r="M110" s="9">
        <v>12.063700000000001</v>
      </c>
      <c r="N110" s="9">
        <v>4.9444999999999997</v>
      </c>
      <c r="O110" s="9">
        <v>0.37409999999999999</v>
      </c>
      <c r="P110" s="9">
        <v>1.2927</v>
      </c>
      <c r="Q110" s="9">
        <v>33.011299999999999</v>
      </c>
      <c r="R110" s="9"/>
      <c r="S110" s="11"/>
    </row>
    <row r="111" spans="1:19" ht="15.75">
      <c r="A111" s="13">
        <v>44501</v>
      </c>
      <c r="B111" s="8">
        <f>CHOOSE( CONTROL!$C$32, 5.8578, 5.8575) * CHOOSE(CONTROL!$C$15, $D$11, 100%, $F$11)</f>
        <v>5.8578000000000001</v>
      </c>
      <c r="C111" s="8">
        <f>CHOOSE( CONTROL!$C$32, 5.8628, 5.8626) * CHOOSE(CONTROL!$C$15, $D$11, 100%, $F$11)</f>
        <v>5.8628</v>
      </c>
      <c r="D111" s="8">
        <f>CHOOSE( CONTROL!$C$32, 5.8455, 5.8453) * CHOOSE( CONTROL!$C$15, $D$11, 100%, $F$11)</f>
        <v>5.8455000000000004</v>
      </c>
      <c r="E111" s="12">
        <f>CHOOSE( CONTROL!$C$32, 5.8513, 5.8511) * CHOOSE( CONTROL!$C$15, $D$11, 100%, $F$11)</f>
        <v>5.8513000000000002</v>
      </c>
      <c r="F111" s="4">
        <f>CHOOSE( CONTROL!$C$32, 6.523, 6.5228) * CHOOSE(CONTROL!$C$15, $D$11, 100%, $F$11)</f>
        <v>6.5229999999999997</v>
      </c>
      <c r="G111" s="8">
        <f>CHOOSE( CONTROL!$C$32, 5.7985, 5.7983) * CHOOSE( CONTROL!$C$15, $D$11, 100%, $F$11)</f>
        <v>5.7984999999999998</v>
      </c>
      <c r="H111" s="4">
        <f>CHOOSE( CONTROL!$C$32, 6.6933, 6.693) * CHOOSE(CONTROL!$C$15, $D$11, 100%, $F$11)</f>
        <v>6.6932999999999998</v>
      </c>
      <c r="I111" s="8">
        <f>CHOOSE( CONTROL!$C$32, 5.8405, 5.8402) * CHOOSE(CONTROL!$C$15, $D$11, 100%, $F$11)</f>
        <v>5.8404999999999996</v>
      </c>
      <c r="J111" s="4">
        <f>CHOOSE( CONTROL!$C$32, 5.6762, 5.6759) * CHOOSE(CONTROL!$C$15, $D$11, 100%, $F$11)</f>
        <v>5.6761999999999997</v>
      </c>
      <c r="K111" s="4"/>
      <c r="L111" s="9">
        <v>28.360600000000002</v>
      </c>
      <c r="M111" s="9">
        <v>11.6745</v>
      </c>
      <c r="N111" s="9">
        <v>4.7850000000000001</v>
      </c>
      <c r="O111" s="9">
        <v>0.36199999999999999</v>
      </c>
      <c r="P111" s="9">
        <v>1.2509999999999999</v>
      </c>
      <c r="Q111" s="9">
        <v>31.946400000000001</v>
      </c>
      <c r="R111" s="9"/>
      <c r="S111" s="11"/>
    </row>
    <row r="112" spans="1:19" ht="15.75">
      <c r="A112" s="13">
        <v>44531</v>
      </c>
      <c r="B112" s="8">
        <f>CHOOSE( CONTROL!$C$32, 5.8471, 5.8468) * CHOOSE(CONTROL!$C$15, $D$11, 100%, $F$11)</f>
        <v>5.8471000000000002</v>
      </c>
      <c r="C112" s="8">
        <f>CHOOSE( CONTROL!$C$32, 5.8522, 5.8519) * CHOOSE(CONTROL!$C$15, $D$11, 100%, $F$11)</f>
        <v>5.8521999999999998</v>
      </c>
      <c r="D112" s="8">
        <f>CHOOSE( CONTROL!$C$32, 5.8367, 5.8364) * CHOOSE( CONTROL!$C$15, $D$11, 100%, $F$11)</f>
        <v>5.8367000000000004</v>
      </c>
      <c r="E112" s="12">
        <f>CHOOSE( CONTROL!$C$32, 5.8418, 5.8415) * CHOOSE( CONTROL!$C$15, $D$11, 100%, $F$11)</f>
        <v>5.8418000000000001</v>
      </c>
      <c r="F112" s="4">
        <f>CHOOSE( CONTROL!$C$32, 6.5124, 6.5121) * CHOOSE(CONTROL!$C$15, $D$11, 100%, $F$11)</f>
        <v>6.5124000000000004</v>
      </c>
      <c r="G112" s="8">
        <f>CHOOSE( CONTROL!$C$32, 5.7893, 5.789) * CHOOSE( CONTROL!$C$15, $D$11, 100%, $F$11)</f>
        <v>5.7892999999999999</v>
      </c>
      <c r="H112" s="4">
        <f>CHOOSE( CONTROL!$C$32, 6.6828, 6.6825) * CHOOSE(CONTROL!$C$15, $D$11, 100%, $F$11)</f>
        <v>6.6828000000000003</v>
      </c>
      <c r="I112" s="8">
        <f>CHOOSE( CONTROL!$C$32, 5.8357, 5.8355) * CHOOSE(CONTROL!$C$15, $D$11, 100%, $F$11)</f>
        <v>5.8357000000000001</v>
      </c>
      <c r="J112" s="4">
        <f>CHOOSE( CONTROL!$C$32, 5.6659, 5.6656) * CHOOSE(CONTROL!$C$15, $D$11, 100%, $F$11)</f>
        <v>5.6658999999999997</v>
      </c>
      <c r="K112" s="4"/>
      <c r="L112" s="9">
        <v>29.306000000000001</v>
      </c>
      <c r="M112" s="9">
        <v>12.063700000000001</v>
      </c>
      <c r="N112" s="9">
        <v>4.9444999999999997</v>
      </c>
      <c r="O112" s="9">
        <v>0.37409999999999999</v>
      </c>
      <c r="P112" s="9">
        <v>1.2927</v>
      </c>
      <c r="Q112" s="9">
        <v>33.011299999999999</v>
      </c>
      <c r="R112" s="9"/>
      <c r="S112" s="11"/>
    </row>
    <row r="113" spans="1:19" ht="15.75">
      <c r="A113" s="13">
        <v>44562</v>
      </c>
      <c r="B113" s="8">
        <f>CHOOSE( CONTROL!$C$32, 6.205, 6.2047) * CHOOSE(CONTROL!$C$15, $D$11, 100%, $F$11)</f>
        <v>6.2050000000000001</v>
      </c>
      <c r="C113" s="8">
        <f>CHOOSE( CONTROL!$C$32, 6.21, 6.2098) * CHOOSE(CONTROL!$C$15, $D$11, 100%, $F$11)</f>
        <v>6.21</v>
      </c>
      <c r="D113" s="8">
        <f>CHOOSE( CONTROL!$C$32, 6.2005, 6.2002) * CHOOSE( CONTROL!$C$15, $D$11, 100%, $F$11)</f>
        <v>6.2004999999999999</v>
      </c>
      <c r="E113" s="12">
        <f>CHOOSE( CONTROL!$C$32, 6.2034, 6.2032) * CHOOSE( CONTROL!$C$15, $D$11, 100%, $F$11)</f>
        <v>6.2034000000000002</v>
      </c>
      <c r="F113" s="4">
        <f>CHOOSE( CONTROL!$C$32, 6.8702, 6.87) * CHOOSE(CONTROL!$C$15, $D$11, 100%, $F$11)</f>
        <v>6.8701999999999996</v>
      </c>
      <c r="G113" s="8">
        <f>CHOOSE( CONTROL!$C$32, 6.1437, 6.1434) * CHOOSE( CONTROL!$C$15, $D$11, 100%, $F$11)</f>
        <v>6.1436999999999999</v>
      </c>
      <c r="H113" s="4">
        <f>CHOOSE( CONTROL!$C$32, 7.0364, 7.0362) * CHOOSE(CONTROL!$C$15, $D$11, 100%, $F$11)</f>
        <v>7.0364000000000004</v>
      </c>
      <c r="I113" s="8">
        <f>CHOOSE( CONTROL!$C$32, 6.1636, 6.1634) * CHOOSE(CONTROL!$C$15, $D$11, 100%, $F$11)</f>
        <v>6.1635999999999997</v>
      </c>
      <c r="J113" s="4">
        <f>CHOOSE( CONTROL!$C$32, 6.0132, 6.0129) * CHOOSE(CONTROL!$C$15, $D$11, 100%, $F$11)</f>
        <v>6.0132000000000003</v>
      </c>
      <c r="K113" s="4"/>
      <c r="L113" s="9">
        <v>29.306000000000001</v>
      </c>
      <c r="M113" s="9">
        <v>12.063700000000001</v>
      </c>
      <c r="N113" s="9">
        <v>4.9444999999999997</v>
      </c>
      <c r="O113" s="9">
        <v>0.37409999999999999</v>
      </c>
      <c r="P113" s="9">
        <v>1.2927</v>
      </c>
      <c r="Q113" s="9">
        <v>32.8123</v>
      </c>
      <c r="R113" s="9"/>
      <c r="S113" s="11"/>
    </row>
    <row r="114" spans="1:19" ht="15.75">
      <c r="A114" s="13">
        <v>44593</v>
      </c>
      <c r="B114" s="8">
        <f>CHOOSE( CONTROL!$C$32, 5.8044, 5.8041) * CHOOSE(CONTROL!$C$15, $D$11, 100%, $F$11)</f>
        <v>5.8044000000000002</v>
      </c>
      <c r="C114" s="8">
        <f>CHOOSE( CONTROL!$C$32, 5.8095, 5.8092) * CHOOSE(CONTROL!$C$15, $D$11, 100%, $F$11)</f>
        <v>5.8094999999999999</v>
      </c>
      <c r="D114" s="8">
        <f>CHOOSE( CONTROL!$C$32, 5.8016, 5.8013) * CHOOSE( CONTROL!$C$15, $D$11, 100%, $F$11)</f>
        <v>5.8015999999999996</v>
      </c>
      <c r="E114" s="12">
        <f>CHOOSE( CONTROL!$C$32, 5.8039, 5.8036) * CHOOSE( CONTROL!$C$15, $D$11, 100%, $F$11)</f>
        <v>5.8038999999999996</v>
      </c>
      <c r="F114" s="4">
        <f>CHOOSE( CONTROL!$C$32, 6.4697, 6.4694) * CHOOSE(CONTROL!$C$15, $D$11, 100%, $F$11)</f>
        <v>6.4696999999999996</v>
      </c>
      <c r="G114" s="8">
        <f>CHOOSE( CONTROL!$C$32, 5.7463, 5.7461) * CHOOSE( CONTROL!$C$15, $D$11, 100%, $F$11)</f>
        <v>5.7462999999999997</v>
      </c>
      <c r="H114" s="4">
        <f>CHOOSE( CONTROL!$C$32, 6.6406, 6.6403) * CHOOSE(CONTROL!$C$15, $D$11, 100%, $F$11)</f>
        <v>6.6406000000000001</v>
      </c>
      <c r="I114" s="8">
        <f>CHOOSE( CONTROL!$C$32, 5.7593, 5.7591) * CHOOSE(CONTROL!$C$15, $D$11, 100%, $F$11)</f>
        <v>5.7592999999999996</v>
      </c>
      <c r="J114" s="4">
        <f>CHOOSE( CONTROL!$C$32, 5.6244, 5.6242) * CHOOSE(CONTROL!$C$15, $D$11, 100%, $F$11)</f>
        <v>5.6243999999999996</v>
      </c>
      <c r="K114" s="4"/>
      <c r="L114" s="9">
        <v>26.469899999999999</v>
      </c>
      <c r="M114" s="9">
        <v>10.8962</v>
      </c>
      <c r="N114" s="9">
        <v>4.4660000000000002</v>
      </c>
      <c r="O114" s="9">
        <v>0.33789999999999998</v>
      </c>
      <c r="P114" s="9">
        <v>1.1676</v>
      </c>
      <c r="Q114" s="9">
        <v>29.636900000000001</v>
      </c>
      <c r="R114" s="9"/>
      <c r="S114" s="11"/>
    </row>
    <row r="115" spans="1:19" ht="15.75">
      <c r="A115" s="13">
        <v>44621</v>
      </c>
      <c r="B115" s="8">
        <f>CHOOSE( CONTROL!$C$32, 5.6811, 5.6808) * CHOOSE(CONTROL!$C$15, $D$11, 100%, $F$11)</f>
        <v>5.6810999999999998</v>
      </c>
      <c r="C115" s="8">
        <f>CHOOSE( CONTROL!$C$32, 5.6861, 5.6859) * CHOOSE(CONTROL!$C$15, $D$11, 100%, $F$11)</f>
        <v>5.6860999999999997</v>
      </c>
      <c r="D115" s="8">
        <f>CHOOSE( CONTROL!$C$32, 5.6734, 5.6732) * CHOOSE( CONTROL!$C$15, $D$11, 100%, $F$11)</f>
        <v>5.6734</v>
      </c>
      <c r="E115" s="12">
        <f>CHOOSE( CONTROL!$C$32, 5.6775, 5.6773) * CHOOSE( CONTROL!$C$15, $D$11, 100%, $F$11)</f>
        <v>5.6775000000000002</v>
      </c>
      <c r="F115" s="4">
        <f>CHOOSE( CONTROL!$C$32, 6.3463, 6.3461) * CHOOSE(CONTROL!$C$15, $D$11, 100%, $F$11)</f>
        <v>6.3463000000000003</v>
      </c>
      <c r="G115" s="8">
        <f>CHOOSE( CONTROL!$C$32, 5.621, 5.6207) * CHOOSE( CONTROL!$C$15, $D$11, 100%, $F$11)</f>
        <v>5.6210000000000004</v>
      </c>
      <c r="H115" s="4">
        <f>CHOOSE( CONTROL!$C$32, 6.5187, 6.5184) * CHOOSE(CONTROL!$C$15, $D$11, 100%, $F$11)</f>
        <v>6.5186999999999999</v>
      </c>
      <c r="I115" s="8">
        <f>CHOOSE( CONTROL!$C$32, 5.6379, 5.6377) * CHOOSE(CONTROL!$C$15, $D$11, 100%, $F$11)</f>
        <v>5.6379000000000001</v>
      </c>
      <c r="J115" s="4">
        <f>CHOOSE( CONTROL!$C$32, 5.5047, 5.5044) * CHOOSE(CONTROL!$C$15, $D$11, 100%, $F$11)</f>
        <v>5.5046999999999997</v>
      </c>
      <c r="K115" s="4"/>
      <c r="L115" s="9">
        <v>29.306000000000001</v>
      </c>
      <c r="M115" s="9">
        <v>12.063700000000001</v>
      </c>
      <c r="N115" s="9">
        <v>4.9444999999999997</v>
      </c>
      <c r="O115" s="9">
        <v>0.37409999999999999</v>
      </c>
      <c r="P115" s="9">
        <v>1.2927</v>
      </c>
      <c r="Q115" s="9">
        <v>32.8123</v>
      </c>
      <c r="R115" s="9"/>
      <c r="S115" s="11"/>
    </row>
    <row r="116" spans="1:19" ht="15.75">
      <c r="A116" s="13">
        <v>44652</v>
      </c>
      <c r="B116" s="8">
        <f>CHOOSE( CONTROL!$C$32, 5.768, 5.7678) * CHOOSE(CONTROL!$C$15, $D$11, 100%, $F$11)</f>
        <v>5.7679999999999998</v>
      </c>
      <c r="C116" s="8">
        <f>CHOOSE( CONTROL!$C$32, 5.7725, 5.7723) * CHOOSE(CONTROL!$C$15, $D$11, 100%, $F$11)</f>
        <v>5.7725</v>
      </c>
      <c r="D116" s="8">
        <f>CHOOSE( CONTROL!$C$32, 5.7774, 5.7771) * CHOOSE( CONTROL!$C$15, $D$11, 100%, $F$11)</f>
        <v>5.7774000000000001</v>
      </c>
      <c r="E116" s="12">
        <f>CHOOSE( CONTROL!$C$32, 5.7753, 5.775) * CHOOSE( CONTROL!$C$15, $D$11, 100%, $F$11)</f>
        <v>5.7752999999999997</v>
      </c>
      <c r="F116" s="4">
        <f>CHOOSE( CONTROL!$C$32, 6.4722, 6.4719) * CHOOSE(CONTROL!$C$15, $D$11, 100%, $F$11)</f>
        <v>6.4722</v>
      </c>
      <c r="G116" s="8">
        <f>CHOOSE( CONTROL!$C$32, 5.7119, 5.7117) * CHOOSE( CONTROL!$C$15, $D$11, 100%, $F$11)</f>
        <v>5.7119</v>
      </c>
      <c r="H116" s="4">
        <f>CHOOSE( CONTROL!$C$32, 6.6431, 6.6428) * CHOOSE(CONTROL!$C$15, $D$11, 100%, $F$11)</f>
        <v>6.6430999999999996</v>
      </c>
      <c r="I116" s="8">
        <f>CHOOSE( CONTROL!$C$32, 5.6959, 5.6956) * CHOOSE(CONTROL!$C$15, $D$11, 100%, $F$11)</f>
        <v>5.6959</v>
      </c>
      <c r="J116" s="4">
        <f>CHOOSE( CONTROL!$C$32, 5.5884, 5.5881) * CHOOSE(CONTROL!$C$15, $D$11, 100%, $F$11)</f>
        <v>5.5884</v>
      </c>
      <c r="K116" s="4"/>
      <c r="L116" s="9">
        <v>30.092199999999998</v>
      </c>
      <c r="M116" s="9">
        <v>11.6745</v>
      </c>
      <c r="N116" s="9">
        <v>4.7850000000000001</v>
      </c>
      <c r="O116" s="9">
        <v>0.36199999999999999</v>
      </c>
      <c r="P116" s="9">
        <v>1.2509999999999999</v>
      </c>
      <c r="Q116" s="9">
        <v>31.753799999999998</v>
      </c>
      <c r="R116" s="9"/>
      <c r="S116" s="11"/>
    </row>
    <row r="117" spans="1:19" ht="15.75">
      <c r="A117" s="13">
        <v>44682</v>
      </c>
      <c r="B117" s="8">
        <f>CHOOSE( CONTROL!$C$32, 5.923, 5.9225) * CHOOSE(CONTROL!$C$15, $D$11, 100%, $F$11)</f>
        <v>5.923</v>
      </c>
      <c r="C117" s="8">
        <f>CHOOSE( CONTROL!$C$32, 5.931, 5.9305) * CHOOSE(CONTROL!$C$15, $D$11, 100%, $F$11)</f>
        <v>5.931</v>
      </c>
      <c r="D117" s="8">
        <f>CHOOSE( CONTROL!$C$32, 5.9298, 5.9293) * CHOOSE( CONTROL!$C$15, $D$11, 100%, $F$11)</f>
        <v>5.9298000000000002</v>
      </c>
      <c r="E117" s="12">
        <f>CHOOSE( CONTROL!$C$32, 5.929, 5.9285) * CHOOSE( CONTROL!$C$15, $D$11, 100%, $F$11)</f>
        <v>5.9290000000000003</v>
      </c>
      <c r="F117" s="4">
        <f>CHOOSE( CONTROL!$C$32, 6.6258, 6.6254) * CHOOSE(CONTROL!$C$15, $D$11, 100%, $F$11)</f>
        <v>6.6257999999999999</v>
      </c>
      <c r="G117" s="8">
        <f>CHOOSE( CONTROL!$C$32, 5.8635, 5.8631) * CHOOSE( CONTROL!$C$15, $D$11, 100%, $F$11)</f>
        <v>5.8635000000000002</v>
      </c>
      <c r="H117" s="4">
        <f>CHOOSE( CONTROL!$C$32, 6.7949, 6.7944) * CHOOSE(CONTROL!$C$15, $D$11, 100%, $F$11)</f>
        <v>6.7949000000000002</v>
      </c>
      <c r="I117" s="8">
        <f>CHOOSE( CONTROL!$C$32, 5.8442, 5.8437) * CHOOSE(CONTROL!$C$15, $D$11, 100%, $F$11)</f>
        <v>5.8441999999999998</v>
      </c>
      <c r="J117" s="4">
        <f>CHOOSE( CONTROL!$C$32, 5.7375, 5.737) * CHOOSE(CONTROL!$C$15, $D$11, 100%, $F$11)</f>
        <v>5.7374999999999998</v>
      </c>
      <c r="K117" s="4"/>
      <c r="L117" s="9">
        <v>30.7165</v>
      </c>
      <c r="M117" s="9">
        <v>12.063700000000001</v>
      </c>
      <c r="N117" s="9">
        <v>4.9444999999999997</v>
      </c>
      <c r="O117" s="9">
        <v>0.37409999999999999</v>
      </c>
      <c r="P117" s="9">
        <v>1.2927</v>
      </c>
      <c r="Q117" s="9">
        <v>32.8123</v>
      </c>
      <c r="R117" s="9"/>
      <c r="S117" s="11"/>
    </row>
    <row r="118" spans="1:19" ht="15.75">
      <c r="A118" s="13">
        <v>44713</v>
      </c>
      <c r="B118" s="8">
        <f>CHOOSE( CONTROL!$C$32, 5.828, 5.8275) * CHOOSE(CONTROL!$C$15, $D$11, 100%, $F$11)</f>
        <v>5.8280000000000003</v>
      </c>
      <c r="C118" s="8">
        <f>CHOOSE( CONTROL!$C$32, 5.8359, 5.8355) * CHOOSE(CONTROL!$C$15, $D$11, 100%, $F$11)</f>
        <v>5.8358999999999996</v>
      </c>
      <c r="D118" s="8">
        <f>CHOOSE( CONTROL!$C$32, 5.8349, 5.8345) * CHOOSE( CONTROL!$C$15, $D$11, 100%, $F$11)</f>
        <v>5.8349000000000002</v>
      </c>
      <c r="E118" s="12">
        <f>CHOOSE( CONTROL!$C$32, 5.8341, 5.8336) * CHOOSE( CONTROL!$C$15, $D$11, 100%, $F$11)</f>
        <v>5.8341000000000003</v>
      </c>
      <c r="F118" s="4">
        <f>CHOOSE( CONTROL!$C$32, 6.5308, 6.5303) * CHOOSE(CONTROL!$C$15, $D$11, 100%, $F$11)</f>
        <v>6.5308000000000002</v>
      </c>
      <c r="G118" s="8">
        <f>CHOOSE( CONTROL!$C$32, 5.7698, 5.7693) * CHOOSE( CONTROL!$C$15, $D$11, 100%, $F$11)</f>
        <v>5.7698</v>
      </c>
      <c r="H118" s="4">
        <f>CHOOSE( CONTROL!$C$32, 6.7009, 6.7005) * CHOOSE(CONTROL!$C$15, $D$11, 100%, $F$11)</f>
        <v>6.7008999999999999</v>
      </c>
      <c r="I118" s="8">
        <f>CHOOSE( CONTROL!$C$32, 5.7526, 5.7521) * CHOOSE(CONTROL!$C$15, $D$11, 100%, $F$11)</f>
        <v>5.7526000000000002</v>
      </c>
      <c r="J118" s="4">
        <f>CHOOSE( CONTROL!$C$32, 5.6452, 5.6448) * CHOOSE(CONTROL!$C$15, $D$11, 100%, $F$11)</f>
        <v>5.6452</v>
      </c>
      <c r="K118" s="4"/>
      <c r="L118" s="9">
        <v>29.7257</v>
      </c>
      <c r="M118" s="9">
        <v>11.6745</v>
      </c>
      <c r="N118" s="9">
        <v>4.7850000000000001</v>
      </c>
      <c r="O118" s="9">
        <v>0.36199999999999999</v>
      </c>
      <c r="P118" s="9">
        <v>1.2509999999999999</v>
      </c>
      <c r="Q118" s="9">
        <v>31.753799999999998</v>
      </c>
      <c r="R118" s="9"/>
      <c r="S118" s="11"/>
    </row>
    <row r="119" spans="1:19" ht="15.75">
      <c r="A119" s="13">
        <v>44743</v>
      </c>
      <c r="B119" s="8">
        <f>CHOOSE( CONTROL!$C$32, 6.0782, 6.0778) * CHOOSE(CONTROL!$C$15, $D$11, 100%, $F$11)</f>
        <v>6.0781999999999998</v>
      </c>
      <c r="C119" s="8">
        <f>CHOOSE( CONTROL!$C$32, 6.0862, 6.0858) * CHOOSE(CONTROL!$C$15, $D$11, 100%, $F$11)</f>
        <v>6.0861999999999998</v>
      </c>
      <c r="D119" s="8">
        <f>CHOOSE( CONTROL!$C$32, 6.0854, 6.085) * CHOOSE( CONTROL!$C$15, $D$11, 100%, $F$11)</f>
        <v>6.0853999999999999</v>
      </c>
      <c r="E119" s="12">
        <f>CHOOSE( CONTROL!$C$32, 6.0845, 6.0841) * CHOOSE( CONTROL!$C$15, $D$11, 100%, $F$11)</f>
        <v>6.0845000000000002</v>
      </c>
      <c r="F119" s="4">
        <f>CHOOSE( CONTROL!$C$32, 6.7811, 6.7806) * CHOOSE(CONTROL!$C$15, $D$11, 100%, $F$11)</f>
        <v>6.7811000000000003</v>
      </c>
      <c r="G119" s="8">
        <f>CHOOSE( CONTROL!$C$32, 6.0173, 6.0169) * CHOOSE( CONTROL!$C$15, $D$11, 100%, $F$11)</f>
        <v>6.0172999999999996</v>
      </c>
      <c r="H119" s="4">
        <f>CHOOSE( CONTROL!$C$32, 6.9483, 6.9478) * CHOOSE(CONTROL!$C$15, $D$11, 100%, $F$11)</f>
        <v>6.9482999999999997</v>
      </c>
      <c r="I119" s="8">
        <f>CHOOSE( CONTROL!$C$32, 5.9964, 5.9959) * CHOOSE(CONTROL!$C$15, $D$11, 100%, $F$11)</f>
        <v>5.9964000000000004</v>
      </c>
      <c r="J119" s="4">
        <f>CHOOSE( CONTROL!$C$32, 5.8881, 5.8877) * CHOOSE(CONTROL!$C$15, $D$11, 100%, $F$11)</f>
        <v>5.8880999999999997</v>
      </c>
      <c r="K119" s="4"/>
      <c r="L119" s="9">
        <v>30.7165</v>
      </c>
      <c r="M119" s="9">
        <v>12.063700000000001</v>
      </c>
      <c r="N119" s="9">
        <v>4.9444999999999997</v>
      </c>
      <c r="O119" s="9">
        <v>0.37409999999999999</v>
      </c>
      <c r="P119" s="9">
        <v>1.2927</v>
      </c>
      <c r="Q119" s="9">
        <v>32.8123</v>
      </c>
      <c r="R119" s="9"/>
      <c r="S119" s="11"/>
    </row>
    <row r="120" spans="1:19" ht="15.75">
      <c r="A120" s="13">
        <v>44774</v>
      </c>
      <c r="B120" s="8">
        <f>CHOOSE( CONTROL!$C$32, 5.6099, 5.6095) * CHOOSE(CONTROL!$C$15, $D$11, 100%, $F$11)</f>
        <v>5.6098999999999997</v>
      </c>
      <c r="C120" s="8">
        <f>CHOOSE( CONTROL!$C$32, 5.6179, 5.6175) * CHOOSE(CONTROL!$C$15, $D$11, 100%, $F$11)</f>
        <v>5.6178999999999997</v>
      </c>
      <c r="D120" s="8">
        <f>CHOOSE( CONTROL!$C$32, 5.6172, 5.6167) * CHOOSE( CONTROL!$C$15, $D$11, 100%, $F$11)</f>
        <v>5.6172000000000004</v>
      </c>
      <c r="E120" s="12">
        <f>CHOOSE( CONTROL!$C$32, 5.6162, 5.6158) * CHOOSE( CONTROL!$C$15, $D$11, 100%, $F$11)</f>
        <v>5.6162000000000001</v>
      </c>
      <c r="F120" s="4">
        <f>CHOOSE( CONTROL!$C$32, 6.3128, 6.3123) * CHOOSE(CONTROL!$C$15, $D$11, 100%, $F$11)</f>
        <v>6.3128000000000002</v>
      </c>
      <c r="G120" s="8">
        <f>CHOOSE( CONTROL!$C$32, 5.5545, 5.5541) * CHOOSE( CONTROL!$C$15, $D$11, 100%, $F$11)</f>
        <v>5.5545</v>
      </c>
      <c r="H120" s="4">
        <f>CHOOSE( CONTROL!$C$32, 6.4855, 6.485) * CHOOSE(CONTROL!$C$15, $D$11, 100%, $F$11)</f>
        <v>6.4855</v>
      </c>
      <c r="I120" s="8">
        <f>CHOOSE( CONTROL!$C$32, 5.5419, 5.5414) * CHOOSE(CONTROL!$C$15, $D$11, 100%, $F$11)</f>
        <v>5.5419</v>
      </c>
      <c r="J120" s="4">
        <f>CHOOSE( CONTROL!$C$32, 5.4336, 5.4332) * CHOOSE(CONTROL!$C$15, $D$11, 100%, $F$11)</f>
        <v>5.4336000000000002</v>
      </c>
      <c r="K120" s="4"/>
      <c r="L120" s="9">
        <v>30.7165</v>
      </c>
      <c r="M120" s="9">
        <v>12.063700000000001</v>
      </c>
      <c r="N120" s="9">
        <v>4.9444999999999997</v>
      </c>
      <c r="O120" s="9">
        <v>0.37409999999999999</v>
      </c>
      <c r="P120" s="9">
        <v>1.2927</v>
      </c>
      <c r="Q120" s="9">
        <v>32.8123</v>
      </c>
      <c r="R120" s="9"/>
      <c r="S120" s="11"/>
    </row>
    <row r="121" spans="1:19" ht="15.75">
      <c r="A121" s="13">
        <v>44805</v>
      </c>
      <c r="B121" s="8">
        <f>CHOOSE( CONTROL!$C$32, 5.4927, 5.4922) * CHOOSE(CONTROL!$C$15, $D$11, 100%, $F$11)</f>
        <v>5.4927000000000001</v>
      </c>
      <c r="C121" s="8">
        <f>CHOOSE( CONTROL!$C$32, 5.5006, 5.5002) * CHOOSE(CONTROL!$C$15, $D$11, 100%, $F$11)</f>
        <v>5.5006000000000004</v>
      </c>
      <c r="D121" s="8">
        <f>CHOOSE( CONTROL!$C$32, 5.4998, 5.4993) * CHOOSE( CONTROL!$C$15, $D$11, 100%, $F$11)</f>
        <v>5.4997999999999996</v>
      </c>
      <c r="E121" s="12">
        <f>CHOOSE( CONTROL!$C$32, 5.4989, 5.4984) * CHOOSE( CONTROL!$C$15, $D$11, 100%, $F$11)</f>
        <v>5.4988999999999999</v>
      </c>
      <c r="F121" s="4">
        <f>CHOOSE( CONTROL!$C$32, 6.1955, 6.195) * CHOOSE(CONTROL!$C$15, $D$11, 100%, $F$11)</f>
        <v>6.1955</v>
      </c>
      <c r="G121" s="8">
        <f>CHOOSE( CONTROL!$C$32, 5.4385, 5.4381) * CHOOSE( CONTROL!$C$15, $D$11, 100%, $F$11)</f>
        <v>5.4385000000000003</v>
      </c>
      <c r="H121" s="4">
        <f>CHOOSE( CONTROL!$C$32, 6.3696, 6.3691) * CHOOSE(CONTROL!$C$15, $D$11, 100%, $F$11)</f>
        <v>6.3696000000000002</v>
      </c>
      <c r="I121" s="8">
        <f>CHOOSE( CONTROL!$C$32, 5.4275, 5.427) * CHOOSE(CONTROL!$C$15, $D$11, 100%, $F$11)</f>
        <v>5.4275000000000002</v>
      </c>
      <c r="J121" s="4">
        <f>CHOOSE( CONTROL!$C$32, 5.3198, 5.3194) * CHOOSE(CONTROL!$C$15, $D$11, 100%, $F$11)</f>
        <v>5.3197999999999999</v>
      </c>
      <c r="K121" s="4"/>
      <c r="L121" s="9">
        <v>29.7257</v>
      </c>
      <c r="M121" s="9">
        <v>11.6745</v>
      </c>
      <c r="N121" s="9">
        <v>4.7850000000000001</v>
      </c>
      <c r="O121" s="9">
        <v>0.36199999999999999</v>
      </c>
      <c r="P121" s="9">
        <v>1.2509999999999999</v>
      </c>
      <c r="Q121" s="9">
        <v>31.753799999999998</v>
      </c>
      <c r="R121" s="9"/>
      <c r="S121" s="11"/>
    </row>
    <row r="122" spans="1:19" ht="15.75">
      <c r="A122" s="13">
        <v>44835</v>
      </c>
      <c r="B122" s="8">
        <f>CHOOSE( CONTROL!$C$32, 5.7343, 5.734) * CHOOSE(CONTROL!$C$15, $D$11, 100%, $F$11)</f>
        <v>5.7343000000000002</v>
      </c>
      <c r="C122" s="8">
        <f>CHOOSE( CONTROL!$C$32, 5.7396, 5.7393) * CHOOSE(CONTROL!$C$15, $D$11, 100%, $F$11)</f>
        <v>5.7396000000000003</v>
      </c>
      <c r="D122" s="8">
        <f>CHOOSE( CONTROL!$C$32, 5.7443, 5.744) * CHOOSE( CONTROL!$C$15, $D$11, 100%, $F$11)</f>
        <v>5.7443</v>
      </c>
      <c r="E122" s="12">
        <f>CHOOSE( CONTROL!$C$32, 5.7422, 5.7419) * CHOOSE( CONTROL!$C$15, $D$11, 100%, $F$11)</f>
        <v>5.7422000000000004</v>
      </c>
      <c r="F122" s="4">
        <f>CHOOSE( CONTROL!$C$32, 6.4388, 6.4385) * CHOOSE(CONTROL!$C$15, $D$11, 100%, $F$11)</f>
        <v>6.4387999999999996</v>
      </c>
      <c r="G122" s="8">
        <f>CHOOSE( CONTROL!$C$32, 5.6791, 5.6789) * CHOOSE( CONTROL!$C$15, $D$11, 100%, $F$11)</f>
        <v>5.6791</v>
      </c>
      <c r="H122" s="4">
        <f>CHOOSE( CONTROL!$C$32, 6.61, 6.6098) * CHOOSE(CONTROL!$C$15, $D$11, 100%, $F$11)</f>
        <v>6.61</v>
      </c>
      <c r="I122" s="8">
        <f>CHOOSE( CONTROL!$C$32, 5.6645, 5.6643) * CHOOSE(CONTROL!$C$15, $D$11, 100%, $F$11)</f>
        <v>5.6645000000000003</v>
      </c>
      <c r="J122" s="4">
        <f>CHOOSE( CONTROL!$C$32, 5.5559, 5.5557) * CHOOSE(CONTROL!$C$15, $D$11, 100%, $F$11)</f>
        <v>5.5559000000000003</v>
      </c>
      <c r="K122" s="4"/>
      <c r="L122" s="9">
        <v>31.095300000000002</v>
      </c>
      <c r="M122" s="9">
        <v>12.063700000000001</v>
      </c>
      <c r="N122" s="9">
        <v>4.9444999999999997</v>
      </c>
      <c r="O122" s="9">
        <v>0.37409999999999999</v>
      </c>
      <c r="P122" s="9">
        <v>1.2927</v>
      </c>
      <c r="Q122" s="9">
        <v>32.8123</v>
      </c>
      <c r="R122" s="9"/>
      <c r="S122" s="11"/>
    </row>
    <row r="123" spans="1:19" ht="15.75">
      <c r="A123" s="13">
        <v>44866</v>
      </c>
      <c r="B123" s="8">
        <f>CHOOSE( CONTROL!$C$32, 6.1833, 6.183) * CHOOSE(CONTROL!$C$15, $D$11, 100%, $F$11)</f>
        <v>6.1833</v>
      </c>
      <c r="C123" s="8">
        <f>CHOOSE( CONTROL!$C$32, 6.1884, 6.1881) * CHOOSE(CONTROL!$C$15, $D$11, 100%, $F$11)</f>
        <v>6.1883999999999997</v>
      </c>
      <c r="D123" s="8">
        <f>CHOOSE( CONTROL!$C$32, 6.1711, 6.1708) * CHOOSE( CONTROL!$C$15, $D$11, 100%, $F$11)</f>
        <v>6.1711</v>
      </c>
      <c r="E123" s="12">
        <f>CHOOSE( CONTROL!$C$32, 6.1769, 6.1766) * CHOOSE( CONTROL!$C$15, $D$11, 100%, $F$11)</f>
        <v>6.1768999999999998</v>
      </c>
      <c r="F123" s="4">
        <f>CHOOSE( CONTROL!$C$32, 6.8486, 6.8483) * CHOOSE(CONTROL!$C$15, $D$11, 100%, $F$11)</f>
        <v>6.8486000000000002</v>
      </c>
      <c r="G123" s="8">
        <f>CHOOSE( CONTROL!$C$32, 6.1202, 6.12) * CHOOSE( CONTROL!$C$15, $D$11, 100%, $F$11)</f>
        <v>6.1201999999999996</v>
      </c>
      <c r="H123" s="4">
        <f>CHOOSE( CONTROL!$C$32, 7.015, 7.0147) * CHOOSE(CONTROL!$C$15, $D$11, 100%, $F$11)</f>
        <v>7.0149999999999997</v>
      </c>
      <c r="I123" s="8">
        <f>CHOOSE( CONTROL!$C$32, 6.1565, 6.1563) * CHOOSE(CONTROL!$C$15, $D$11, 100%, $F$11)</f>
        <v>6.1565000000000003</v>
      </c>
      <c r="J123" s="4">
        <f>CHOOSE( CONTROL!$C$32, 5.9921, 5.9919) * CHOOSE(CONTROL!$C$15, $D$11, 100%, $F$11)</f>
        <v>5.9920999999999998</v>
      </c>
      <c r="K123" s="4"/>
      <c r="L123" s="9">
        <v>28.360600000000002</v>
      </c>
      <c r="M123" s="9">
        <v>11.6745</v>
      </c>
      <c r="N123" s="9">
        <v>4.7850000000000001</v>
      </c>
      <c r="O123" s="9">
        <v>0.36199999999999999</v>
      </c>
      <c r="P123" s="9">
        <v>1.2509999999999999</v>
      </c>
      <c r="Q123" s="9">
        <v>31.753799999999998</v>
      </c>
      <c r="R123" s="9"/>
      <c r="S123" s="11"/>
    </row>
    <row r="124" spans="1:19" ht="15.75">
      <c r="A124" s="13">
        <v>44896</v>
      </c>
      <c r="B124" s="8">
        <f>CHOOSE( CONTROL!$C$32, 6.172, 6.1718) * CHOOSE(CONTROL!$C$15, $D$11, 100%, $F$11)</f>
        <v>6.1719999999999997</v>
      </c>
      <c r="C124" s="8">
        <f>CHOOSE( CONTROL!$C$32, 6.1771, 6.1768) * CHOOSE(CONTROL!$C$15, $D$11, 100%, $F$11)</f>
        <v>6.1771000000000003</v>
      </c>
      <c r="D124" s="8">
        <f>CHOOSE( CONTROL!$C$32, 6.1616, 6.1614) * CHOOSE( CONTROL!$C$15, $D$11, 100%, $F$11)</f>
        <v>6.1616</v>
      </c>
      <c r="E124" s="12">
        <f>CHOOSE( CONTROL!$C$32, 6.1667, 6.1665) * CHOOSE( CONTROL!$C$15, $D$11, 100%, $F$11)</f>
        <v>6.1666999999999996</v>
      </c>
      <c r="F124" s="4">
        <f>CHOOSE( CONTROL!$C$32, 6.8373, 6.8371) * CHOOSE(CONTROL!$C$15, $D$11, 100%, $F$11)</f>
        <v>6.8372999999999999</v>
      </c>
      <c r="G124" s="8">
        <f>CHOOSE( CONTROL!$C$32, 6.1104, 6.1102) * CHOOSE( CONTROL!$C$15, $D$11, 100%, $F$11)</f>
        <v>6.1104000000000003</v>
      </c>
      <c r="H124" s="4">
        <f>CHOOSE( CONTROL!$C$32, 7.0039, 7.0036) * CHOOSE(CONTROL!$C$15, $D$11, 100%, $F$11)</f>
        <v>7.0038999999999998</v>
      </c>
      <c r="I124" s="8">
        <f>CHOOSE( CONTROL!$C$32, 6.1512, 6.151) * CHOOSE(CONTROL!$C$15, $D$11, 100%, $F$11)</f>
        <v>6.1512000000000002</v>
      </c>
      <c r="J124" s="4">
        <f>CHOOSE( CONTROL!$C$32, 5.9812, 5.981) * CHOOSE(CONTROL!$C$15, $D$11, 100%, $F$11)</f>
        <v>5.9812000000000003</v>
      </c>
      <c r="K124" s="4"/>
      <c r="L124" s="9">
        <v>29.306000000000001</v>
      </c>
      <c r="M124" s="9">
        <v>12.063700000000001</v>
      </c>
      <c r="N124" s="9">
        <v>4.9444999999999997</v>
      </c>
      <c r="O124" s="9">
        <v>0.37409999999999999</v>
      </c>
      <c r="P124" s="9">
        <v>1.2927</v>
      </c>
      <c r="Q124" s="9">
        <v>32.8123</v>
      </c>
      <c r="R124" s="9"/>
      <c r="S124" s="11"/>
    </row>
    <row r="125" spans="1:19" ht="15.75">
      <c r="A125" s="13">
        <v>44927</v>
      </c>
      <c r="B125" s="8">
        <f>CHOOSE( CONTROL!$C$32, 6.4554, 6.4551) * CHOOSE(CONTROL!$C$15, $D$11, 100%, $F$11)</f>
        <v>6.4554</v>
      </c>
      <c r="C125" s="8">
        <f>CHOOSE( CONTROL!$C$32, 6.4605, 6.4602) * CHOOSE(CONTROL!$C$15, $D$11, 100%, $F$11)</f>
        <v>6.4604999999999997</v>
      </c>
      <c r="D125" s="8">
        <f>CHOOSE( CONTROL!$C$32, 6.4509, 6.4506) * CHOOSE( CONTROL!$C$15, $D$11, 100%, $F$11)</f>
        <v>6.4508999999999999</v>
      </c>
      <c r="E125" s="12">
        <f>CHOOSE( CONTROL!$C$32, 6.4539, 6.4536) * CHOOSE( CONTROL!$C$15, $D$11, 100%, $F$11)</f>
        <v>6.4539</v>
      </c>
      <c r="F125" s="4">
        <f>CHOOSE( CONTROL!$C$32, 7.1207, 7.1204) * CHOOSE(CONTROL!$C$15, $D$11, 100%, $F$11)</f>
        <v>7.1207000000000003</v>
      </c>
      <c r="G125" s="8">
        <f>CHOOSE( CONTROL!$C$32, 6.3912, 6.3909) * CHOOSE( CONTROL!$C$15, $D$11, 100%, $F$11)</f>
        <v>6.3912000000000004</v>
      </c>
      <c r="H125" s="4">
        <f>CHOOSE( CONTROL!$C$32, 7.2839, 7.2837) * CHOOSE(CONTROL!$C$15, $D$11, 100%, $F$11)</f>
        <v>7.2839</v>
      </c>
      <c r="I125" s="8">
        <f>CHOOSE( CONTROL!$C$32, 6.4068, 6.4066) * CHOOSE(CONTROL!$C$15, $D$11, 100%, $F$11)</f>
        <v>6.4067999999999996</v>
      </c>
      <c r="J125" s="4">
        <f>CHOOSE( CONTROL!$C$32, 6.2562, 6.2559) * CHOOSE(CONTROL!$C$15, $D$11, 100%, $F$11)</f>
        <v>6.2561999999999998</v>
      </c>
      <c r="K125" s="4"/>
      <c r="L125" s="9">
        <v>29.306000000000001</v>
      </c>
      <c r="M125" s="9">
        <v>12.063700000000001</v>
      </c>
      <c r="N125" s="9">
        <v>4.9444999999999997</v>
      </c>
      <c r="O125" s="9">
        <v>0.37409999999999999</v>
      </c>
      <c r="P125" s="9">
        <v>1.2927</v>
      </c>
      <c r="Q125" s="9">
        <v>32.624400000000001</v>
      </c>
      <c r="R125" s="9"/>
      <c r="S125" s="11"/>
    </row>
    <row r="126" spans="1:19" ht="15.75">
      <c r="A126" s="13">
        <v>44958</v>
      </c>
      <c r="B126" s="8">
        <f>CHOOSE( CONTROL!$C$32, 6.0387, 6.0384) * CHOOSE(CONTROL!$C$15, $D$11, 100%, $F$11)</f>
        <v>6.0387000000000004</v>
      </c>
      <c r="C126" s="8">
        <f>CHOOSE( CONTROL!$C$32, 6.0437, 6.0435) * CHOOSE(CONTROL!$C$15, $D$11, 100%, $F$11)</f>
        <v>6.0437000000000003</v>
      </c>
      <c r="D126" s="8">
        <f>CHOOSE( CONTROL!$C$32, 6.0359, 6.0356) * CHOOSE( CONTROL!$C$15, $D$11, 100%, $F$11)</f>
        <v>6.0358999999999998</v>
      </c>
      <c r="E126" s="12">
        <f>CHOOSE( CONTROL!$C$32, 6.0382, 6.0379) * CHOOSE( CONTROL!$C$15, $D$11, 100%, $F$11)</f>
        <v>6.0381999999999998</v>
      </c>
      <c r="F126" s="4">
        <f>CHOOSE( CONTROL!$C$32, 6.704, 6.7037) * CHOOSE(CONTROL!$C$15, $D$11, 100%, $F$11)</f>
        <v>6.7039999999999997</v>
      </c>
      <c r="G126" s="8">
        <f>CHOOSE( CONTROL!$C$32, 5.9779, 5.9776) * CHOOSE( CONTROL!$C$15, $D$11, 100%, $F$11)</f>
        <v>5.9779</v>
      </c>
      <c r="H126" s="4">
        <f>CHOOSE( CONTROL!$C$32, 6.8721, 6.8718) * CHOOSE(CONTROL!$C$15, $D$11, 100%, $F$11)</f>
        <v>6.8720999999999997</v>
      </c>
      <c r="I126" s="8">
        <f>CHOOSE( CONTROL!$C$32, 5.9868, 5.9865) * CHOOSE(CONTROL!$C$15, $D$11, 100%, $F$11)</f>
        <v>5.9867999999999997</v>
      </c>
      <c r="J126" s="4">
        <f>CHOOSE( CONTROL!$C$32, 5.8518, 5.8515) * CHOOSE(CONTROL!$C$15, $D$11, 100%, $F$11)</f>
        <v>5.8517999999999999</v>
      </c>
      <c r="K126" s="4"/>
      <c r="L126" s="9">
        <v>26.469899999999999</v>
      </c>
      <c r="M126" s="9">
        <v>10.8962</v>
      </c>
      <c r="N126" s="9">
        <v>4.4660000000000002</v>
      </c>
      <c r="O126" s="9">
        <v>0.33789999999999998</v>
      </c>
      <c r="P126" s="9">
        <v>1.1676</v>
      </c>
      <c r="Q126" s="9">
        <v>29.467199999999998</v>
      </c>
      <c r="R126" s="9"/>
      <c r="S126" s="11"/>
    </row>
    <row r="127" spans="1:19" ht="15.75">
      <c r="A127" s="13">
        <v>44986</v>
      </c>
      <c r="B127" s="8">
        <f>CHOOSE( CONTROL!$C$32, 5.9103, 5.91) * CHOOSE(CONTROL!$C$15, $D$11, 100%, $F$11)</f>
        <v>5.9103000000000003</v>
      </c>
      <c r="C127" s="8">
        <f>CHOOSE( CONTROL!$C$32, 5.9154, 5.9151) * CHOOSE(CONTROL!$C$15, $D$11, 100%, $F$11)</f>
        <v>5.9154</v>
      </c>
      <c r="D127" s="8">
        <f>CHOOSE( CONTROL!$C$32, 5.9027, 5.9024) * CHOOSE( CONTROL!$C$15, $D$11, 100%, $F$11)</f>
        <v>5.9027000000000003</v>
      </c>
      <c r="E127" s="12">
        <f>CHOOSE( CONTROL!$C$32, 5.9068, 5.9065) * CHOOSE( CONTROL!$C$15, $D$11, 100%, $F$11)</f>
        <v>5.9067999999999996</v>
      </c>
      <c r="F127" s="4">
        <f>CHOOSE( CONTROL!$C$32, 6.5756, 6.5753) * CHOOSE(CONTROL!$C$15, $D$11, 100%, $F$11)</f>
        <v>6.5755999999999997</v>
      </c>
      <c r="G127" s="8">
        <f>CHOOSE( CONTROL!$C$32, 5.8475, 5.8473) * CHOOSE( CONTROL!$C$15, $D$11, 100%, $F$11)</f>
        <v>5.8475000000000001</v>
      </c>
      <c r="H127" s="4">
        <f>CHOOSE( CONTROL!$C$32, 6.7452, 6.745) * CHOOSE(CONTROL!$C$15, $D$11, 100%, $F$11)</f>
        <v>6.7451999999999996</v>
      </c>
      <c r="I127" s="8">
        <f>CHOOSE( CONTROL!$C$32, 5.8606, 5.8603) * CHOOSE(CONTROL!$C$15, $D$11, 100%, $F$11)</f>
        <v>5.8605999999999998</v>
      </c>
      <c r="J127" s="4">
        <f>CHOOSE( CONTROL!$C$32, 5.7272, 5.7269) * CHOOSE(CONTROL!$C$15, $D$11, 100%, $F$11)</f>
        <v>5.7271999999999998</v>
      </c>
      <c r="K127" s="4"/>
      <c r="L127" s="9">
        <v>29.306000000000001</v>
      </c>
      <c r="M127" s="9">
        <v>12.063700000000001</v>
      </c>
      <c r="N127" s="9">
        <v>4.9444999999999997</v>
      </c>
      <c r="O127" s="9">
        <v>0.37409999999999999</v>
      </c>
      <c r="P127" s="9">
        <v>1.2927</v>
      </c>
      <c r="Q127" s="9">
        <v>32.624400000000001</v>
      </c>
      <c r="R127" s="9"/>
      <c r="S127" s="11"/>
    </row>
    <row r="128" spans="1:19" ht="15.75">
      <c r="A128" s="13">
        <v>45017</v>
      </c>
      <c r="B128" s="8">
        <f>CHOOSE( CONTROL!$C$32, 6.0008, 6.0005) * CHOOSE(CONTROL!$C$15, $D$11, 100%, $F$11)</f>
        <v>6.0007999999999999</v>
      </c>
      <c r="C128" s="8">
        <f>CHOOSE( CONTROL!$C$32, 6.0053, 6.005) * CHOOSE(CONTROL!$C$15, $D$11, 100%, $F$11)</f>
        <v>6.0053000000000001</v>
      </c>
      <c r="D128" s="8">
        <f>CHOOSE( CONTROL!$C$32, 6.0101, 6.0099) * CHOOSE( CONTROL!$C$15, $D$11, 100%, $F$11)</f>
        <v>6.0101000000000004</v>
      </c>
      <c r="E128" s="12">
        <f>CHOOSE( CONTROL!$C$32, 6.008, 6.0078) * CHOOSE( CONTROL!$C$15, $D$11, 100%, $F$11)</f>
        <v>6.008</v>
      </c>
      <c r="F128" s="4">
        <f>CHOOSE( CONTROL!$C$32, 6.705, 6.7047) * CHOOSE(CONTROL!$C$15, $D$11, 100%, $F$11)</f>
        <v>6.7050000000000001</v>
      </c>
      <c r="G128" s="8">
        <f>CHOOSE( CONTROL!$C$32, 5.9419, 5.9417) * CHOOSE( CONTROL!$C$15, $D$11, 100%, $F$11)</f>
        <v>5.9419000000000004</v>
      </c>
      <c r="H128" s="4">
        <f>CHOOSE( CONTROL!$C$32, 6.8731, 6.8728) * CHOOSE(CONTROL!$C$15, $D$11, 100%, $F$11)</f>
        <v>6.8731</v>
      </c>
      <c r="I128" s="8">
        <f>CHOOSE( CONTROL!$C$32, 5.9219, 5.9216) * CHOOSE(CONTROL!$C$15, $D$11, 100%, $F$11)</f>
        <v>5.9218999999999999</v>
      </c>
      <c r="J128" s="4">
        <f>CHOOSE( CONTROL!$C$32, 5.8143, 5.814) * CHOOSE(CONTROL!$C$15, $D$11, 100%, $F$11)</f>
        <v>5.8143000000000002</v>
      </c>
      <c r="K128" s="4"/>
      <c r="L128" s="9">
        <v>30.092199999999998</v>
      </c>
      <c r="M128" s="9">
        <v>11.6745</v>
      </c>
      <c r="N128" s="9">
        <v>4.7850000000000001</v>
      </c>
      <c r="O128" s="9">
        <v>0.36199999999999999</v>
      </c>
      <c r="P128" s="9">
        <v>1.2509999999999999</v>
      </c>
      <c r="Q128" s="9">
        <v>31.571999999999999</v>
      </c>
      <c r="R128" s="9"/>
      <c r="S128" s="11"/>
    </row>
    <row r="129" spans="1:19" ht="15.75">
      <c r="A129" s="13">
        <v>45047</v>
      </c>
      <c r="B129" s="8">
        <f>CHOOSE( CONTROL!$C$32, 6.1619, 6.1615) * CHOOSE(CONTROL!$C$15, $D$11, 100%, $F$11)</f>
        <v>6.1619000000000002</v>
      </c>
      <c r="C129" s="8">
        <f>CHOOSE( CONTROL!$C$32, 6.1699, 6.1695) * CHOOSE(CONTROL!$C$15, $D$11, 100%, $F$11)</f>
        <v>6.1699000000000002</v>
      </c>
      <c r="D129" s="8">
        <f>CHOOSE( CONTROL!$C$32, 6.1687, 6.1683) * CHOOSE( CONTROL!$C$15, $D$11, 100%, $F$11)</f>
        <v>6.1687000000000003</v>
      </c>
      <c r="E129" s="12">
        <f>CHOOSE( CONTROL!$C$32, 6.1679, 6.1675) * CHOOSE( CONTROL!$C$15, $D$11, 100%, $F$11)</f>
        <v>6.1679000000000004</v>
      </c>
      <c r="F129" s="4">
        <f>CHOOSE( CONTROL!$C$32, 6.8648, 6.8643) * CHOOSE(CONTROL!$C$15, $D$11, 100%, $F$11)</f>
        <v>6.8647999999999998</v>
      </c>
      <c r="G129" s="8">
        <f>CHOOSE( CONTROL!$C$32, 6.0997, 6.0992) * CHOOSE( CONTROL!$C$15, $D$11, 100%, $F$11)</f>
        <v>6.0997000000000003</v>
      </c>
      <c r="H129" s="4">
        <f>CHOOSE( CONTROL!$C$32, 7.031, 7.0306) * CHOOSE(CONTROL!$C$15, $D$11, 100%, $F$11)</f>
        <v>7.0309999999999997</v>
      </c>
      <c r="I129" s="8">
        <f>CHOOSE( CONTROL!$C$32, 6.0762, 6.0758) * CHOOSE(CONTROL!$C$15, $D$11, 100%, $F$11)</f>
        <v>6.0762</v>
      </c>
      <c r="J129" s="4">
        <f>CHOOSE( CONTROL!$C$32, 5.9694, 5.9689) * CHOOSE(CONTROL!$C$15, $D$11, 100%, $F$11)</f>
        <v>5.9694000000000003</v>
      </c>
      <c r="K129" s="4"/>
      <c r="L129" s="9">
        <v>30.7165</v>
      </c>
      <c r="M129" s="9">
        <v>12.063700000000001</v>
      </c>
      <c r="N129" s="9">
        <v>4.9444999999999997</v>
      </c>
      <c r="O129" s="9">
        <v>0.37409999999999999</v>
      </c>
      <c r="P129" s="9">
        <v>1.2927</v>
      </c>
      <c r="Q129" s="9">
        <v>32.624400000000001</v>
      </c>
      <c r="R129" s="9"/>
      <c r="S129" s="11"/>
    </row>
    <row r="130" spans="1:19" ht="15.75">
      <c r="A130" s="13">
        <v>45078</v>
      </c>
      <c r="B130" s="8">
        <f>CHOOSE( CONTROL!$C$32, 6.0631, 6.0626) * CHOOSE(CONTROL!$C$15, $D$11, 100%, $F$11)</f>
        <v>6.0631000000000004</v>
      </c>
      <c r="C130" s="8">
        <f>CHOOSE( CONTROL!$C$32, 6.071, 6.0706) * CHOOSE(CONTROL!$C$15, $D$11, 100%, $F$11)</f>
        <v>6.0709999999999997</v>
      </c>
      <c r="D130" s="8">
        <f>CHOOSE( CONTROL!$C$32, 6.07, 6.0696) * CHOOSE( CONTROL!$C$15, $D$11, 100%, $F$11)</f>
        <v>6.07</v>
      </c>
      <c r="E130" s="12">
        <f>CHOOSE( CONTROL!$C$32, 6.0692, 6.0687) * CHOOSE( CONTROL!$C$15, $D$11, 100%, $F$11)</f>
        <v>6.0692000000000004</v>
      </c>
      <c r="F130" s="4">
        <f>CHOOSE( CONTROL!$C$32, 6.7659, 6.7654) * CHOOSE(CONTROL!$C$15, $D$11, 100%, $F$11)</f>
        <v>6.7659000000000002</v>
      </c>
      <c r="G130" s="8">
        <f>CHOOSE( CONTROL!$C$32, 6.0021, 6.0017) * CHOOSE( CONTROL!$C$15, $D$11, 100%, $F$11)</f>
        <v>6.0021000000000004</v>
      </c>
      <c r="H130" s="4">
        <f>CHOOSE( CONTROL!$C$32, 6.9333, 6.9328) * CHOOSE(CONTROL!$C$15, $D$11, 100%, $F$11)</f>
        <v>6.9333</v>
      </c>
      <c r="I130" s="8">
        <f>CHOOSE( CONTROL!$C$32, 5.9809, 5.9804) * CHOOSE(CONTROL!$C$15, $D$11, 100%, $F$11)</f>
        <v>5.9809000000000001</v>
      </c>
      <c r="J130" s="4">
        <f>CHOOSE( CONTROL!$C$32, 5.8734, 5.8729) * CHOOSE(CONTROL!$C$15, $D$11, 100%, $F$11)</f>
        <v>5.8734000000000002</v>
      </c>
      <c r="K130" s="4"/>
      <c r="L130" s="9">
        <v>29.7257</v>
      </c>
      <c r="M130" s="9">
        <v>11.6745</v>
      </c>
      <c r="N130" s="9">
        <v>4.7850000000000001</v>
      </c>
      <c r="O130" s="9">
        <v>0.36199999999999999</v>
      </c>
      <c r="P130" s="9">
        <v>1.2509999999999999</v>
      </c>
      <c r="Q130" s="9">
        <v>31.571999999999999</v>
      </c>
      <c r="R130" s="9"/>
      <c r="S130" s="11"/>
    </row>
    <row r="131" spans="1:19" ht="15.75">
      <c r="A131" s="13">
        <v>45108</v>
      </c>
      <c r="B131" s="8">
        <f>CHOOSE( CONTROL!$C$32, 6.3235, 6.323) * CHOOSE(CONTROL!$C$15, $D$11, 100%, $F$11)</f>
        <v>6.3235000000000001</v>
      </c>
      <c r="C131" s="8">
        <f>CHOOSE( CONTROL!$C$32, 6.3314, 6.331) * CHOOSE(CONTROL!$C$15, $D$11, 100%, $F$11)</f>
        <v>6.3314000000000004</v>
      </c>
      <c r="D131" s="8">
        <f>CHOOSE( CONTROL!$C$32, 6.3306, 6.3302) * CHOOSE( CONTROL!$C$15, $D$11, 100%, $F$11)</f>
        <v>6.3305999999999996</v>
      </c>
      <c r="E131" s="12">
        <f>CHOOSE( CONTROL!$C$32, 6.3297, 6.3293) * CHOOSE( CONTROL!$C$15, $D$11, 100%, $F$11)</f>
        <v>6.3296999999999999</v>
      </c>
      <c r="F131" s="4">
        <f>CHOOSE( CONTROL!$C$32, 7.0263, 7.0258) * CHOOSE(CONTROL!$C$15, $D$11, 100%, $F$11)</f>
        <v>7.0263</v>
      </c>
      <c r="G131" s="8">
        <f>CHOOSE( CONTROL!$C$32, 6.2597, 6.2592) * CHOOSE( CONTROL!$C$15, $D$11, 100%, $F$11)</f>
        <v>6.2596999999999996</v>
      </c>
      <c r="H131" s="4">
        <f>CHOOSE( CONTROL!$C$32, 7.1906, 7.1902) * CHOOSE(CONTROL!$C$15, $D$11, 100%, $F$11)</f>
        <v>7.1905999999999999</v>
      </c>
      <c r="I131" s="8">
        <f>CHOOSE( CONTROL!$C$32, 6.2345, 6.234) * CHOOSE(CONTROL!$C$15, $D$11, 100%, $F$11)</f>
        <v>6.2344999999999997</v>
      </c>
      <c r="J131" s="4">
        <f>CHOOSE( CONTROL!$C$32, 6.1261, 6.1257) * CHOOSE(CONTROL!$C$15, $D$11, 100%, $F$11)</f>
        <v>6.1261000000000001</v>
      </c>
      <c r="K131" s="4"/>
      <c r="L131" s="9">
        <v>30.7165</v>
      </c>
      <c r="M131" s="9">
        <v>12.063700000000001</v>
      </c>
      <c r="N131" s="9">
        <v>4.9444999999999997</v>
      </c>
      <c r="O131" s="9">
        <v>0.37409999999999999</v>
      </c>
      <c r="P131" s="9">
        <v>1.2927</v>
      </c>
      <c r="Q131" s="9">
        <v>32.624400000000001</v>
      </c>
      <c r="R131" s="9"/>
      <c r="S131" s="11"/>
    </row>
    <row r="132" spans="1:19" ht="15.75">
      <c r="A132" s="13">
        <v>45139</v>
      </c>
      <c r="B132" s="8">
        <f>CHOOSE( CONTROL!$C$32, 5.8362, 5.8358) * CHOOSE(CONTROL!$C$15, $D$11, 100%, $F$11)</f>
        <v>5.8361999999999998</v>
      </c>
      <c r="C132" s="8">
        <f>CHOOSE( CONTROL!$C$32, 5.8442, 5.8438) * CHOOSE(CONTROL!$C$15, $D$11, 100%, $F$11)</f>
        <v>5.8441999999999998</v>
      </c>
      <c r="D132" s="8">
        <f>CHOOSE( CONTROL!$C$32, 5.8435, 5.843) * CHOOSE( CONTROL!$C$15, $D$11, 100%, $F$11)</f>
        <v>5.8434999999999997</v>
      </c>
      <c r="E132" s="12">
        <f>CHOOSE( CONTROL!$C$32, 5.8425, 5.8421) * CHOOSE( CONTROL!$C$15, $D$11, 100%, $F$11)</f>
        <v>5.8425000000000002</v>
      </c>
      <c r="F132" s="4">
        <f>CHOOSE( CONTROL!$C$32, 6.5391, 6.5386) * CHOOSE(CONTROL!$C$15, $D$11, 100%, $F$11)</f>
        <v>6.5391000000000004</v>
      </c>
      <c r="G132" s="8">
        <f>CHOOSE( CONTROL!$C$32, 5.7782, 5.7777) * CHOOSE( CONTROL!$C$15, $D$11, 100%, $F$11)</f>
        <v>5.7782</v>
      </c>
      <c r="H132" s="4">
        <f>CHOOSE( CONTROL!$C$32, 6.7091, 6.7087) * CHOOSE(CONTROL!$C$15, $D$11, 100%, $F$11)</f>
        <v>6.7091000000000003</v>
      </c>
      <c r="I132" s="8">
        <f>CHOOSE( CONTROL!$C$32, 5.7616, 5.7611) * CHOOSE(CONTROL!$C$15, $D$11, 100%, $F$11)</f>
        <v>5.7615999999999996</v>
      </c>
      <c r="J132" s="4">
        <f>CHOOSE( CONTROL!$C$32, 5.6532, 5.6528) * CHOOSE(CONTROL!$C$15, $D$11, 100%, $F$11)</f>
        <v>5.6532</v>
      </c>
      <c r="K132" s="4"/>
      <c r="L132" s="9">
        <v>30.7165</v>
      </c>
      <c r="M132" s="9">
        <v>12.063700000000001</v>
      </c>
      <c r="N132" s="9">
        <v>4.9444999999999997</v>
      </c>
      <c r="O132" s="9">
        <v>0.37409999999999999</v>
      </c>
      <c r="P132" s="9">
        <v>1.2927</v>
      </c>
      <c r="Q132" s="9">
        <v>32.624400000000001</v>
      </c>
      <c r="R132" s="9"/>
      <c r="S132" s="11"/>
    </row>
    <row r="133" spans="1:19" ht="15.75">
      <c r="A133" s="13">
        <v>45170</v>
      </c>
      <c r="B133" s="8">
        <f>CHOOSE( CONTROL!$C$32, 5.7142, 5.7138) * CHOOSE(CONTROL!$C$15, $D$11, 100%, $F$11)</f>
        <v>5.7141999999999999</v>
      </c>
      <c r="C133" s="8">
        <f>CHOOSE( CONTROL!$C$32, 5.7222, 5.7217) * CHOOSE(CONTROL!$C$15, $D$11, 100%, $F$11)</f>
        <v>5.7222</v>
      </c>
      <c r="D133" s="8">
        <f>CHOOSE( CONTROL!$C$32, 5.7213, 5.7209) * CHOOSE( CONTROL!$C$15, $D$11, 100%, $F$11)</f>
        <v>5.7213000000000003</v>
      </c>
      <c r="E133" s="12">
        <f>CHOOSE( CONTROL!$C$32, 5.7204, 5.72) * CHOOSE( CONTROL!$C$15, $D$11, 100%, $F$11)</f>
        <v>5.7203999999999997</v>
      </c>
      <c r="F133" s="4">
        <f>CHOOSE( CONTROL!$C$32, 6.417, 6.4166) * CHOOSE(CONTROL!$C$15, $D$11, 100%, $F$11)</f>
        <v>6.4169999999999998</v>
      </c>
      <c r="G133" s="8">
        <f>CHOOSE( CONTROL!$C$32, 5.6575, 5.657) * CHOOSE( CONTROL!$C$15, $D$11, 100%, $F$11)</f>
        <v>5.6574999999999998</v>
      </c>
      <c r="H133" s="4">
        <f>CHOOSE( CONTROL!$C$32, 6.5885, 6.5881) * CHOOSE(CONTROL!$C$15, $D$11, 100%, $F$11)</f>
        <v>6.5884999999999998</v>
      </c>
      <c r="I133" s="8">
        <f>CHOOSE( CONTROL!$C$32, 5.6426, 5.6422) * CHOOSE(CONTROL!$C$15, $D$11, 100%, $F$11)</f>
        <v>5.6425999999999998</v>
      </c>
      <c r="J133" s="4">
        <f>CHOOSE( CONTROL!$C$32, 5.5348, 5.5344) * CHOOSE(CONTROL!$C$15, $D$11, 100%, $F$11)</f>
        <v>5.5347999999999997</v>
      </c>
      <c r="K133" s="4"/>
      <c r="L133" s="9">
        <v>29.7257</v>
      </c>
      <c r="M133" s="9">
        <v>11.6745</v>
      </c>
      <c r="N133" s="9">
        <v>4.7850000000000001</v>
      </c>
      <c r="O133" s="9">
        <v>0.36199999999999999</v>
      </c>
      <c r="P133" s="9">
        <v>1.2509999999999999</v>
      </c>
      <c r="Q133" s="9">
        <v>31.571999999999999</v>
      </c>
      <c r="R133" s="9"/>
      <c r="S133" s="11"/>
    </row>
    <row r="134" spans="1:19" ht="15.75">
      <c r="A134" s="13">
        <v>45200</v>
      </c>
      <c r="B134" s="8">
        <f>CHOOSE( CONTROL!$C$32, 5.9656, 5.9654) * CHOOSE(CONTROL!$C$15, $D$11, 100%, $F$11)</f>
        <v>5.9656000000000002</v>
      </c>
      <c r="C134" s="8">
        <f>CHOOSE( CONTROL!$C$32, 5.971, 5.9707) * CHOOSE(CONTROL!$C$15, $D$11, 100%, $F$11)</f>
        <v>5.9710000000000001</v>
      </c>
      <c r="D134" s="8">
        <f>CHOOSE( CONTROL!$C$32, 5.9757, 5.9754) * CHOOSE( CONTROL!$C$15, $D$11, 100%, $F$11)</f>
        <v>5.9756999999999998</v>
      </c>
      <c r="E134" s="12">
        <f>CHOOSE( CONTROL!$C$32, 5.9736, 5.9733) * CHOOSE( CONTROL!$C$15, $D$11, 100%, $F$11)</f>
        <v>5.9736000000000002</v>
      </c>
      <c r="F134" s="4">
        <f>CHOOSE( CONTROL!$C$32, 6.6702, 6.6699) * CHOOSE(CONTROL!$C$15, $D$11, 100%, $F$11)</f>
        <v>6.6702000000000004</v>
      </c>
      <c r="G134" s="8">
        <f>CHOOSE( CONTROL!$C$32, 5.9078, 5.9076) * CHOOSE( CONTROL!$C$15, $D$11, 100%, $F$11)</f>
        <v>5.9077999999999999</v>
      </c>
      <c r="H134" s="4">
        <f>CHOOSE( CONTROL!$C$32, 6.8387, 6.8385) * CHOOSE(CONTROL!$C$15, $D$11, 100%, $F$11)</f>
        <v>6.8387000000000002</v>
      </c>
      <c r="I134" s="8">
        <f>CHOOSE( CONTROL!$C$32, 5.8892, 5.8889) * CHOOSE(CONTROL!$C$15, $D$11, 100%, $F$11)</f>
        <v>5.8891999999999998</v>
      </c>
      <c r="J134" s="4">
        <f>CHOOSE( CONTROL!$C$32, 5.7805, 5.7802) * CHOOSE(CONTROL!$C$15, $D$11, 100%, $F$11)</f>
        <v>5.7805</v>
      </c>
      <c r="K134" s="4"/>
      <c r="L134" s="9">
        <v>31.095300000000002</v>
      </c>
      <c r="M134" s="9">
        <v>12.063700000000001</v>
      </c>
      <c r="N134" s="9">
        <v>4.9444999999999997</v>
      </c>
      <c r="O134" s="9">
        <v>0.37409999999999999</v>
      </c>
      <c r="P134" s="9">
        <v>1.2927</v>
      </c>
      <c r="Q134" s="9">
        <v>32.624400000000001</v>
      </c>
      <c r="R134" s="9"/>
      <c r="S134" s="11"/>
    </row>
    <row r="135" spans="1:19" ht="15.75">
      <c r="A135" s="13">
        <v>45231</v>
      </c>
      <c r="B135" s="8">
        <f>CHOOSE( CONTROL!$C$32, 6.4328, 6.4326) * CHOOSE(CONTROL!$C$15, $D$11, 100%, $F$11)</f>
        <v>6.4328000000000003</v>
      </c>
      <c r="C135" s="8">
        <f>CHOOSE( CONTROL!$C$32, 6.4379, 6.4376) * CHOOSE(CONTROL!$C$15, $D$11, 100%, $F$11)</f>
        <v>6.4379</v>
      </c>
      <c r="D135" s="8">
        <f>CHOOSE( CONTROL!$C$32, 6.4206, 6.4203) * CHOOSE( CONTROL!$C$15, $D$11, 100%, $F$11)</f>
        <v>6.4206000000000003</v>
      </c>
      <c r="E135" s="12">
        <f>CHOOSE( CONTROL!$C$32, 6.4264, 6.4261) * CHOOSE( CONTROL!$C$15, $D$11, 100%, $F$11)</f>
        <v>6.4264000000000001</v>
      </c>
      <c r="F135" s="4">
        <f>CHOOSE( CONTROL!$C$32, 7.0981, 7.0978) * CHOOSE(CONTROL!$C$15, $D$11, 100%, $F$11)</f>
        <v>7.0980999999999996</v>
      </c>
      <c r="G135" s="8">
        <f>CHOOSE( CONTROL!$C$32, 6.3669, 6.3666) * CHOOSE( CONTROL!$C$15, $D$11, 100%, $F$11)</f>
        <v>6.3669000000000002</v>
      </c>
      <c r="H135" s="4">
        <f>CHOOSE( CONTROL!$C$32, 7.2616, 7.2614) * CHOOSE(CONTROL!$C$15, $D$11, 100%, $F$11)</f>
        <v>7.2615999999999996</v>
      </c>
      <c r="I135" s="8">
        <f>CHOOSE( CONTROL!$C$32, 6.3989, 6.3986) * CHOOSE(CONTROL!$C$15, $D$11, 100%, $F$11)</f>
        <v>6.3989000000000003</v>
      </c>
      <c r="J135" s="4">
        <f>CHOOSE( CONTROL!$C$32, 6.2343, 6.2341) * CHOOSE(CONTROL!$C$15, $D$11, 100%, $F$11)</f>
        <v>6.2343000000000002</v>
      </c>
      <c r="K135" s="4"/>
      <c r="L135" s="9">
        <v>28.360600000000002</v>
      </c>
      <c r="M135" s="9">
        <v>11.6745</v>
      </c>
      <c r="N135" s="9">
        <v>4.7850000000000001</v>
      </c>
      <c r="O135" s="9">
        <v>0.36199999999999999</v>
      </c>
      <c r="P135" s="9">
        <v>1.2509999999999999</v>
      </c>
      <c r="Q135" s="9">
        <v>31.571999999999999</v>
      </c>
      <c r="R135" s="9"/>
      <c r="S135" s="11"/>
    </row>
    <row r="136" spans="1:19" ht="15.75">
      <c r="A136" s="13">
        <v>45261</v>
      </c>
      <c r="B136" s="8">
        <f>CHOOSE( CONTROL!$C$32, 6.4212, 6.4209) * CHOOSE(CONTROL!$C$15, $D$11, 100%, $F$11)</f>
        <v>6.4211999999999998</v>
      </c>
      <c r="C136" s="8">
        <f>CHOOSE( CONTROL!$C$32, 6.4262, 6.426) * CHOOSE(CONTROL!$C$15, $D$11, 100%, $F$11)</f>
        <v>6.4261999999999997</v>
      </c>
      <c r="D136" s="8">
        <f>CHOOSE( CONTROL!$C$32, 6.4107, 6.4105) * CHOOSE( CONTROL!$C$15, $D$11, 100%, $F$11)</f>
        <v>6.4107000000000003</v>
      </c>
      <c r="E136" s="12">
        <f>CHOOSE( CONTROL!$C$32, 6.4158, 6.4156) * CHOOSE( CONTROL!$C$15, $D$11, 100%, $F$11)</f>
        <v>6.4157999999999999</v>
      </c>
      <c r="F136" s="4">
        <f>CHOOSE( CONTROL!$C$32, 7.0864, 7.0862) * CHOOSE(CONTROL!$C$15, $D$11, 100%, $F$11)</f>
        <v>7.0864000000000003</v>
      </c>
      <c r="G136" s="8">
        <f>CHOOSE( CONTROL!$C$32, 6.3566, 6.3563) * CHOOSE( CONTROL!$C$15, $D$11, 100%, $F$11)</f>
        <v>6.3566000000000003</v>
      </c>
      <c r="H136" s="4">
        <f>CHOOSE( CONTROL!$C$32, 7.2501, 7.2498) * CHOOSE(CONTROL!$C$15, $D$11, 100%, $F$11)</f>
        <v>7.2500999999999998</v>
      </c>
      <c r="I136" s="8">
        <f>CHOOSE( CONTROL!$C$32, 6.3931, 6.3928) * CHOOSE(CONTROL!$C$15, $D$11, 100%, $F$11)</f>
        <v>6.3930999999999996</v>
      </c>
      <c r="J136" s="4">
        <f>CHOOSE( CONTROL!$C$32, 6.223, 6.2227) * CHOOSE(CONTROL!$C$15, $D$11, 100%, $F$11)</f>
        <v>6.2229999999999999</v>
      </c>
      <c r="K136" s="4"/>
      <c r="L136" s="9">
        <v>29.306000000000001</v>
      </c>
      <c r="M136" s="9">
        <v>12.063700000000001</v>
      </c>
      <c r="N136" s="9">
        <v>4.9444999999999997</v>
      </c>
      <c r="O136" s="9">
        <v>0.37409999999999999</v>
      </c>
      <c r="P136" s="9">
        <v>1.2927</v>
      </c>
      <c r="Q136" s="9">
        <v>32.624400000000001</v>
      </c>
      <c r="R136" s="9"/>
      <c r="S136" s="11"/>
    </row>
    <row r="137" spans="1:19" ht="15.75">
      <c r="A137" s="13">
        <v>45292</v>
      </c>
      <c r="B137" s="8">
        <f>CHOOSE( CONTROL!$C$32, 6.6514, 6.6511) * CHOOSE(CONTROL!$C$15, $D$11, 100%, $F$11)</f>
        <v>6.6513999999999998</v>
      </c>
      <c r="C137" s="8">
        <f>CHOOSE( CONTROL!$C$32, 6.6565, 6.6562) * CHOOSE(CONTROL!$C$15, $D$11, 100%, $F$11)</f>
        <v>6.6565000000000003</v>
      </c>
      <c r="D137" s="8">
        <f>CHOOSE( CONTROL!$C$32, 6.6469, 6.6466) * CHOOSE( CONTROL!$C$15, $D$11, 100%, $F$11)</f>
        <v>6.6468999999999996</v>
      </c>
      <c r="E137" s="12">
        <f>CHOOSE( CONTROL!$C$32, 6.6499, 6.6496) * CHOOSE( CONTROL!$C$15, $D$11, 100%, $F$11)</f>
        <v>6.6498999999999997</v>
      </c>
      <c r="F137" s="4">
        <f>CHOOSE( CONTROL!$C$32, 7.3167, 7.3164) * CHOOSE(CONTROL!$C$15, $D$11, 100%, $F$11)</f>
        <v>7.3167</v>
      </c>
      <c r="G137" s="8">
        <f>CHOOSE( CONTROL!$C$32, 6.5849, 6.5846) * CHOOSE( CONTROL!$C$15, $D$11, 100%, $F$11)</f>
        <v>6.5849000000000002</v>
      </c>
      <c r="H137" s="4">
        <f>CHOOSE( CONTROL!$C$32, 7.4776, 7.4774) * CHOOSE(CONTROL!$C$15, $D$11, 100%, $F$11)</f>
        <v>7.4775999999999998</v>
      </c>
      <c r="I137" s="8">
        <f>CHOOSE( CONTROL!$C$32, 6.5971, 6.5969) * CHOOSE(CONTROL!$C$15, $D$11, 100%, $F$11)</f>
        <v>6.5971000000000002</v>
      </c>
      <c r="J137" s="4">
        <f>CHOOSE( CONTROL!$C$32, 6.4464, 6.4462) * CHOOSE(CONTROL!$C$15, $D$11, 100%, $F$11)</f>
        <v>6.4463999999999997</v>
      </c>
      <c r="K137" s="4"/>
      <c r="L137" s="9">
        <v>29.306000000000001</v>
      </c>
      <c r="M137" s="9">
        <v>12.063700000000001</v>
      </c>
      <c r="N137" s="9">
        <v>4.9444999999999997</v>
      </c>
      <c r="O137" s="9">
        <v>0.37409999999999999</v>
      </c>
      <c r="P137" s="9">
        <v>1.2927</v>
      </c>
      <c r="Q137" s="9">
        <v>32.440300000000001</v>
      </c>
      <c r="R137" s="9"/>
      <c r="S137" s="11"/>
    </row>
    <row r="138" spans="1:19" ht="15.75">
      <c r="A138" s="13">
        <v>45323</v>
      </c>
      <c r="B138" s="8">
        <f>CHOOSE( CONTROL!$C$32, 6.222, 6.2217) * CHOOSE(CONTROL!$C$15, $D$11, 100%, $F$11)</f>
        <v>6.2220000000000004</v>
      </c>
      <c r="C138" s="8">
        <f>CHOOSE( CONTROL!$C$32, 6.2271, 6.2268) * CHOOSE(CONTROL!$C$15, $D$11, 100%, $F$11)</f>
        <v>6.2271000000000001</v>
      </c>
      <c r="D138" s="8">
        <f>CHOOSE( CONTROL!$C$32, 6.2192, 6.2189) * CHOOSE( CONTROL!$C$15, $D$11, 100%, $F$11)</f>
        <v>6.2191999999999998</v>
      </c>
      <c r="E138" s="12">
        <f>CHOOSE( CONTROL!$C$32, 6.2215, 6.2212) * CHOOSE( CONTROL!$C$15, $D$11, 100%, $F$11)</f>
        <v>6.2214999999999998</v>
      </c>
      <c r="F138" s="4">
        <f>CHOOSE( CONTROL!$C$32, 6.8873, 6.887) * CHOOSE(CONTROL!$C$15, $D$11, 100%, $F$11)</f>
        <v>6.8872999999999998</v>
      </c>
      <c r="G138" s="8">
        <f>CHOOSE( CONTROL!$C$32, 6.159, 6.1588) * CHOOSE( CONTROL!$C$15, $D$11, 100%, $F$11)</f>
        <v>6.1589999999999998</v>
      </c>
      <c r="H138" s="4">
        <f>CHOOSE( CONTROL!$C$32, 7.0533, 7.053) * CHOOSE(CONTROL!$C$15, $D$11, 100%, $F$11)</f>
        <v>7.0533000000000001</v>
      </c>
      <c r="I138" s="8">
        <f>CHOOSE( CONTROL!$C$32, 6.1648, 6.1645) * CHOOSE(CONTROL!$C$15, $D$11, 100%, $F$11)</f>
        <v>6.1647999999999996</v>
      </c>
      <c r="J138" s="4">
        <f>CHOOSE( CONTROL!$C$32, 6.0297, 6.0294) * CHOOSE(CONTROL!$C$15, $D$11, 100%, $F$11)</f>
        <v>6.0297000000000001</v>
      </c>
      <c r="K138" s="4"/>
      <c r="L138" s="9">
        <v>27.415299999999998</v>
      </c>
      <c r="M138" s="9">
        <v>11.285299999999999</v>
      </c>
      <c r="N138" s="9">
        <v>4.6254999999999997</v>
      </c>
      <c r="O138" s="9">
        <v>0.34989999999999999</v>
      </c>
      <c r="P138" s="9">
        <v>1.2093</v>
      </c>
      <c r="Q138" s="9">
        <v>30.347300000000001</v>
      </c>
      <c r="R138" s="9"/>
      <c r="S138" s="11"/>
    </row>
    <row r="139" spans="1:19" ht="15.75">
      <c r="A139" s="13">
        <v>45352</v>
      </c>
      <c r="B139" s="8">
        <f>CHOOSE( CONTROL!$C$32, 6.0897, 6.0895) * CHOOSE(CONTROL!$C$15, $D$11, 100%, $F$11)</f>
        <v>6.0896999999999997</v>
      </c>
      <c r="C139" s="8">
        <f>CHOOSE( CONTROL!$C$32, 6.0948, 6.0945) * CHOOSE(CONTROL!$C$15, $D$11, 100%, $F$11)</f>
        <v>6.0948000000000002</v>
      </c>
      <c r="D139" s="8">
        <f>CHOOSE( CONTROL!$C$32, 6.0821, 6.0818) * CHOOSE( CONTROL!$C$15, $D$11, 100%, $F$11)</f>
        <v>6.0820999999999996</v>
      </c>
      <c r="E139" s="12">
        <f>CHOOSE( CONTROL!$C$32, 6.0862, 6.0859) * CHOOSE( CONTROL!$C$15, $D$11, 100%, $F$11)</f>
        <v>6.0861999999999998</v>
      </c>
      <c r="F139" s="4">
        <f>CHOOSE( CONTROL!$C$32, 6.755, 6.7548) * CHOOSE(CONTROL!$C$15, $D$11, 100%, $F$11)</f>
        <v>6.7549999999999999</v>
      </c>
      <c r="G139" s="8">
        <f>CHOOSE( CONTROL!$C$32, 6.0249, 6.0246) * CHOOSE( CONTROL!$C$15, $D$11, 100%, $F$11)</f>
        <v>6.0248999999999997</v>
      </c>
      <c r="H139" s="4">
        <f>CHOOSE( CONTROL!$C$32, 6.9226, 6.9223) * CHOOSE(CONTROL!$C$15, $D$11, 100%, $F$11)</f>
        <v>6.9226000000000001</v>
      </c>
      <c r="I139" s="8">
        <f>CHOOSE( CONTROL!$C$32, 6.0348, 6.0345) * CHOOSE(CONTROL!$C$15, $D$11, 100%, $F$11)</f>
        <v>6.0347999999999997</v>
      </c>
      <c r="J139" s="4">
        <f>CHOOSE( CONTROL!$C$32, 5.9013, 5.9011) * CHOOSE(CONTROL!$C$15, $D$11, 100%, $F$11)</f>
        <v>5.9013</v>
      </c>
      <c r="K139" s="4"/>
      <c r="L139" s="9">
        <v>29.306000000000001</v>
      </c>
      <c r="M139" s="9">
        <v>12.063700000000001</v>
      </c>
      <c r="N139" s="9">
        <v>4.9444999999999997</v>
      </c>
      <c r="O139" s="9">
        <v>0.37409999999999999</v>
      </c>
      <c r="P139" s="9">
        <v>1.2927</v>
      </c>
      <c r="Q139" s="9">
        <v>32.440300000000001</v>
      </c>
      <c r="R139" s="9"/>
      <c r="S139" s="11"/>
    </row>
    <row r="140" spans="1:19" ht="15.75">
      <c r="A140" s="13">
        <v>45383</v>
      </c>
      <c r="B140" s="8">
        <f>CHOOSE( CONTROL!$C$32, 6.1829, 6.1827) * CHOOSE(CONTROL!$C$15, $D$11, 100%, $F$11)</f>
        <v>6.1829000000000001</v>
      </c>
      <c r="C140" s="8">
        <f>CHOOSE( CONTROL!$C$32, 6.1874, 6.1872) * CHOOSE(CONTROL!$C$15, $D$11, 100%, $F$11)</f>
        <v>6.1874000000000002</v>
      </c>
      <c r="D140" s="8">
        <f>CHOOSE( CONTROL!$C$32, 6.1923, 6.192) * CHOOSE( CONTROL!$C$15, $D$11, 100%, $F$11)</f>
        <v>6.1923000000000004</v>
      </c>
      <c r="E140" s="12">
        <f>CHOOSE( CONTROL!$C$32, 6.1902, 6.1899) * CHOOSE( CONTROL!$C$15, $D$11, 100%, $F$11)</f>
        <v>6.1901999999999999</v>
      </c>
      <c r="F140" s="4">
        <f>CHOOSE( CONTROL!$C$32, 6.8871, 6.8868) * CHOOSE(CONTROL!$C$15, $D$11, 100%, $F$11)</f>
        <v>6.8871000000000002</v>
      </c>
      <c r="G140" s="8">
        <f>CHOOSE( CONTROL!$C$32, 6.122, 6.1217) * CHOOSE( CONTROL!$C$15, $D$11, 100%, $F$11)</f>
        <v>6.1219999999999999</v>
      </c>
      <c r="H140" s="4">
        <f>CHOOSE( CONTROL!$C$32, 7.0531, 7.0528) * CHOOSE(CONTROL!$C$15, $D$11, 100%, $F$11)</f>
        <v>7.0530999999999997</v>
      </c>
      <c r="I140" s="8">
        <f>CHOOSE( CONTROL!$C$32, 6.0987, 6.0985) * CHOOSE(CONTROL!$C$15, $D$11, 100%, $F$11)</f>
        <v>6.0987</v>
      </c>
      <c r="J140" s="4">
        <f>CHOOSE( CONTROL!$C$32, 5.991, 5.9908) * CHOOSE(CONTROL!$C$15, $D$11, 100%, $F$11)</f>
        <v>5.9909999999999997</v>
      </c>
      <c r="K140" s="4"/>
      <c r="L140" s="9">
        <v>30.092199999999998</v>
      </c>
      <c r="M140" s="9">
        <v>11.6745</v>
      </c>
      <c r="N140" s="9">
        <v>4.7850000000000001</v>
      </c>
      <c r="O140" s="9">
        <v>0.36199999999999999</v>
      </c>
      <c r="P140" s="9">
        <v>1.2509999999999999</v>
      </c>
      <c r="Q140" s="9">
        <v>31.393799999999999</v>
      </c>
      <c r="R140" s="9"/>
      <c r="S140" s="11"/>
    </row>
    <row r="141" spans="1:19" ht="15.75">
      <c r="A141" s="13">
        <v>45413</v>
      </c>
      <c r="B141" s="8">
        <f>CHOOSE( CONTROL!$C$32, 6.349, 6.3485) * CHOOSE(CONTROL!$C$15, $D$11, 100%, $F$11)</f>
        <v>6.3490000000000002</v>
      </c>
      <c r="C141" s="8">
        <f>CHOOSE( CONTROL!$C$32, 6.3569, 6.3565) * CHOOSE(CONTROL!$C$15, $D$11, 100%, $F$11)</f>
        <v>6.3569000000000004</v>
      </c>
      <c r="D141" s="8">
        <f>CHOOSE( CONTROL!$C$32, 6.3557, 6.3553) * CHOOSE( CONTROL!$C$15, $D$11, 100%, $F$11)</f>
        <v>6.3556999999999997</v>
      </c>
      <c r="E141" s="12">
        <f>CHOOSE( CONTROL!$C$32, 6.3549, 6.3545) * CHOOSE( CONTROL!$C$15, $D$11, 100%, $F$11)</f>
        <v>6.3548999999999998</v>
      </c>
      <c r="F141" s="4">
        <f>CHOOSE( CONTROL!$C$32, 7.0518, 7.0513) * CHOOSE(CONTROL!$C$15, $D$11, 100%, $F$11)</f>
        <v>7.0518000000000001</v>
      </c>
      <c r="G141" s="8">
        <f>CHOOSE( CONTROL!$C$32, 6.2845, 6.2841) * CHOOSE( CONTROL!$C$15, $D$11, 100%, $F$11)</f>
        <v>6.2845000000000004</v>
      </c>
      <c r="H141" s="4">
        <f>CHOOSE( CONTROL!$C$32, 7.2158, 7.2154) * CHOOSE(CONTROL!$C$15, $D$11, 100%, $F$11)</f>
        <v>7.2157999999999998</v>
      </c>
      <c r="I141" s="8">
        <f>CHOOSE( CONTROL!$C$32, 6.2578, 6.2573) * CHOOSE(CONTROL!$C$15, $D$11, 100%, $F$11)</f>
        <v>6.2577999999999996</v>
      </c>
      <c r="J141" s="4">
        <f>CHOOSE( CONTROL!$C$32, 6.1508, 6.1504) * CHOOSE(CONTROL!$C$15, $D$11, 100%, $F$11)</f>
        <v>6.1508000000000003</v>
      </c>
      <c r="K141" s="4"/>
      <c r="L141" s="9">
        <v>30.7165</v>
      </c>
      <c r="M141" s="9">
        <v>12.063700000000001</v>
      </c>
      <c r="N141" s="9">
        <v>4.9444999999999997</v>
      </c>
      <c r="O141" s="9">
        <v>0.37409999999999999</v>
      </c>
      <c r="P141" s="9">
        <v>1.2927</v>
      </c>
      <c r="Q141" s="9">
        <v>32.440300000000001</v>
      </c>
      <c r="R141" s="9"/>
      <c r="S141" s="11"/>
    </row>
    <row r="142" spans="1:19" ht="15.75">
      <c r="A142" s="13">
        <v>45444</v>
      </c>
      <c r="B142" s="8">
        <f>CHOOSE( CONTROL!$C$32, 6.2471, 6.2466) * CHOOSE(CONTROL!$C$15, $D$11, 100%, $F$11)</f>
        <v>6.2470999999999997</v>
      </c>
      <c r="C142" s="8">
        <f>CHOOSE( CONTROL!$C$32, 6.255, 6.2546) * CHOOSE(CONTROL!$C$15, $D$11, 100%, $F$11)</f>
        <v>6.2549999999999999</v>
      </c>
      <c r="D142" s="8">
        <f>CHOOSE( CONTROL!$C$32, 6.254, 6.2536) * CHOOSE( CONTROL!$C$15, $D$11, 100%, $F$11)</f>
        <v>6.2539999999999996</v>
      </c>
      <c r="E142" s="12">
        <f>CHOOSE( CONTROL!$C$32, 6.2532, 6.2527) * CHOOSE( CONTROL!$C$15, $D$11, 100%, $F$11)</f>
        <v>6.2531999999999996</v>
      </c>
      <c r="F142" s="4">
        <f>CHOOSE( CONTROL!$C$32, 6.9499, 6.9494) * CHOOSE(CONTROL!$C$15, $D$11, 100%, $F$11)</f>
        <v>6.9499000000000004</v>
      </c>
      <c r="G142" s="8">
        <f>CHOOSE( CONTROL!$C$32, 6.184, 6.1835) * CHOOSE( CONTROL!$C$15, $D$11, 100%, $F$11)</f>
        <v>6.1840000000000002</v>
      </c>
      <c r="H142" s="4">
        <f>CHOOSE( CONTROL!$C$32, 7.1151, 7.1147) * CHOOSE(CONTROL!$C$15, $D$11, 100%, $F$11)</f>
        <v>7.1151</v>
      </c>
      <c r="I142" s="8">
        <f>CHOOSE( CONTROL!$C$32, 6.1595, 6.1591) * CHOOSE(CONTROL!$C$15, $D$11, 100%, $F$11)</f>
        <v>6.1595000000000004</v>
      </c>
      <c r="J142" s="4">
        <f>CHOOSE( CONTROL!$C$32, 6.052, 6.0515) * CHOOSE(CONTROL!$C$15, $D$11, 100%, $F$11)</f>
        <v>6.0519999999999996</v>
      </c>
      <c r="K142" s="4"/>
      <c r="L142" s="9">
        <v>29.7257</v>
      </c>
      <c r="M142" s="9">
        <v>11.6745</v>
      </c>
      <c r="N142" s="9">
        <v>4.7850000000000001</v>
      </c>
      <c r="O142" s="9">
        <v>0.36199999999999999</v>
      </c>
      <c r="P142" s="9">
        <v>1.2509999999999999</v>
      </c>
      <c r="Q142" s="9">
        <v>31.393799999999999</v>
      </c>
      <c r="R142" s="9"/>
      <c r="S142" s="11"/>
    </row>
    <row r="143" spans="1:19" ht="15.75">
      <c r="A143" s="13">
        <v>45474</v>
      </c>
      <c r="B143" s="8">
        <f>CHOOSE( CONTROL!$C$32, 6.5154, 6.5149) * CHOOSE(CONTROL!$C$15, $D$11, 100%, $F$11)</f>
        <v>6.5153999999999996</v>
      </c>
      <c r="C143" s="8">
        <f>CHOOSE( CONTROL!$C$32, 6.5234, 6.5229) * CHOOSE(CONTROL!$C$15, $D$11, 100%, $F$11)</f>
        <v>6.5233999999999996</v>
      </c>
      <c r="D143" s="8">
        <f>CHOOSE( CONTROL!$C$32, 6.5225, 6.5221) * CHOOSE( CONTROL!$C$15, $D$11, 100%, $F$11)</f>
        <v>6.5225</v>
      </c>
      <c r="E143" s="12">
        <f>CHOOSE( CONTROL!$C$32, 6.5216, 6.5212) * CHOOSE( CONTROL!$C$15, $D$11, 100%, $F$11)</f>
        <v>6.5216000000000003</v>
      </c>
      <c r="F143" s="4">
        <f>CHOOSE( CONTROL!$C$32, 7.2182, 7.2177) * CHOOSE(CONTROL!$C$15, $D$11, 100%, $F$11)</f>
        <v>7.2182000000000004</v>
      </c>
      <c r="G143" s="8">
        <f>CHOOSE( CONTROL!$C$32, 6.4493, 6.4489) * CHOOSE( CONTROL!$C$15, $D$11, 100%, $F$11)</f>
        <v>6.4493</v>
      </c>
      <c r="H143" s="4">
        <f>CHOOSE( CONTROL!$C$32, 7.3803, 7.3799) * CHOOSE(CONTROL!$C$15, $D$11, 100%, $F$11)</f>
        <v>7.3803000000000001</v>
      </c>
      <c r="I143" s="8">
        <f>CHOOSE( CONTROL!$C$32, 6.4208, 6.4204) * CHOOSE(CONTROL!$C$15, $D$11, 100%, $F$11)</f>
        <v>6.4207999999999998</v>
      </c>
      <c r="J143" s="4">
        <f>CHOOSE( CONTROL!$C$32, 6.3124, 6.3119) * CHOOSE(CONTROL!$C$15, $D$11, 100%, $F$11)</f>
        <v>6.3124000000000002</v>
      </c>
      <c r="K143" s="4"/>
      <c r="L143" s="9">
        <v>30.7165</v>
      </c>
      <c r="M143" s="9">
        <v>12.063700000000001</v>
      </c>
      <c r="N143" s="9">
        <v>4.9444999999999997</v>
      </c>
      <c r="O143" s="9">
        <v>0.37409999999999999</v>
      </c>
      <c r="P143" s="9">
        <v>1.2927</v>
      </c>
      <c r="Q143" s="9">
        <v>32.440300000000001</v>
      </c>
      <c r="R143" s="9"/>
      <c r="S143" s="11"/>
    </row>
    <row r="144" spans="1:19" ht="15.75">
      <c r="A144" s="13">
        <v>45505</v>
      </c>
      <c r="B144" s="8">
        <f>CHOOSE( CONTROL!$C$32, 6.0133, 6.0129) * CHOOSE(CONTROL!$C$15, $D$11, 100%, $F$11)</f>
        <v>6.0133000000000001</v>
      </c>
      <c r="C144" s="8">
        <f>CHOOSE( CONTROL!$C$32, 6.0213, 6.0209) * CHOOSE(CONTROL!$C$15, $D$11, 100%, $F$11)</f>
        <v>6.0213000000000001</v>
      </c>
      <c r="D144" s="8">
        <f>CHOOSE( CONTROL!$C$32, 6.0206, 6.0201) * CHOOSE( CONTROL!$C$15, $D$11, 100%, $F$11)</f>
        <v>6.0206</v>
      </c>
      <c r="E144" s="12">
        <f>CHOOSE( CONTROL!$C$32, 6.0196, 6.0192) * CHOOSE( CONTROL!$C$15, $D$11, 100%, $F$11)</f>
        <v>6.0195999999999996</v>
      </c>
      <c r="F144" s="4">
        <f>CHOOSE( CONTROL!$C$32, 6.7162, 6.7157) * CHOOSE(CONTROL!$C$15, $D$11, 100%, $F$11)</f>
        <v>6.7161999999999997</v>
      </c>
      <c r="G144" s="8">
        <f>CHOOSE( CONTROL!$C$32, 5.9532, 5.9528) * CHOOSE( CONTROL!$C$15, $D$11, 100%, $F$11)</f>
        <v>5.9531999999999998</v>
      </c>
      <c r="H144" s="4">
        <f>CHOOSE( CONTROL!$C$32, 6.8841, 6.8837) * CHOOSE(CONTROL!$C$15, $D$11, 100%, $F$11)</f>
        <v>6.8841000000000001</v>
      </c>
      <c r="I144" s="8">
        <f>CHOOSE( CONTROL!$C$32, 5.9335, 5.9331) * CHOOSE(CONTROL!$C$15, $D$11, 100%, $F$11)</f>
        <v>5.9335000000000004</v>
      </c>
      <c r="J144" s="4">
        <f>CHOOSE( CONTROL!$C$32, 5.8251, 5.8247) * CHOOSE(CONTROL!$C$15, $D$11, 100%, $F$11)</f>
        <v>5.8250999999999999</v>
      </c>
      <c r="K144" s="4"/>
      <c r="L144" s="9">
        <v>30.7165</v>
      </c>
      <c r="M144" s="9">
        <v>12.063700000000001</v>
      </c>
      <c r="N144" s="9">
        <v>4.9444999999999997</v>
      </c>
      <c r="O144" s="9">
        <v>0.37409999999999999</v>
      </c>
      <c r="P144" s="9">
        <v>1.2927</v>
      </c>
      <c r="Q144" s="9">
        <v>32.440300000000001</v>
      </c>
      <c r="R144" s="9"/>
      <c r="S144" s="11"/>
    </row>
    <row r="145" spans="1:19" ht="15.75">
      <c r="A145" s="13">
        <v>45536</v>
      </c>
      <c r="B145" s="8">
        <f>CHOOSE( CONTROL!$C$32, 5.8876, 5.8872) * CHOOSE(CONTROL!$C$15, $D$11, 100%, $F$11)</f>
        <v>5.8875999999999999</v>
      </c>
      <c r="C145" s="8">
        <f>CHOOSE( CONTROL!$C$32, 5.8956, 5.8951) * CHOOSE(CONTROL!$C$15, $D$11, 100%, $F$11)</f>
        <v>5.8956</v>
      </c>
      <c r="D145" s="8">
        <f>CHOOSE( CONTROL!$C$32, 5.8947, 5.8942) * CHOOSE( CONTROL!$C$15, $D$11, 100%, $F$11)</f>
        <v>5.8947000000000003</v>
      </c>
      <c r="E145" s="12">
        <f>CHOOSE( CONTROL!$C$32, 5.8938, 5.8933) * CHOOSE( CONTROL!$C$15, $D$11, 100%, $F$11)</f>
        <v>5.8937999999999997</v>
      </c>
      <c r="F145" s="4">
        <f>CHOOSE( CONTROL!$C$32, 6.5904, 6.59) * CHOOSE(CONTROL!$C$15, $D$11, 100%, $F$11)</f>
        <v>6.5903999999999998</v>
      </c>
      <c r="G145" s="8">
        <f>CHOOSE( CONTROL!$C$32, 5.8288, 5.8284) * CHOOSE( CONTROL!$C$15, $D$11, 100%, $F$11)</f>
        <v>5.8288000000000002</v>
      </c>
      <c r="H145" s="4">
        <f>CHOOSE( CONTROL!$C$32, 6.7599, 6.7594) * CHOOSE(CONTROL!$C$15, $D$11, 100%, $F$11)</f>
        <v>6.7599</v>
      </c>
      <c r="I145" s="8">
        <f>CHOOSE( CONTROL!$C$32, 5.811, 5.8105) * CHOOSE(CONTROL!$C$15, $D$11, 100%, $F$11)</f>
        <v>5.8109999999999999</v>
      </c>
      <c r="J145" s="4">
        <f>CHOOSE( CONTROL!$C$32, 5.7031, 5.7027) * CHOOSE(CONTROL!$C$15, $D$11, 100%, $F$11)</f>
        <v>5.7031000000000001</v>
      </c>
      <c r="K145" s="4"/>
      <c r="L145" s="9">
        <v>29.7257</v>
      </c>
      <c r="M145" s="9">
        <v>11.6745</v>
      </c>
      <c r="N145" s="9">
        <v>4.7850000000000001</v>
      </c>
      <c r="O145" s="9">
        <v>0.36199999999999999</v>
      </c>
      <c r="P145" s="9">
        <v>1.2509999999999999</v>
      </c>
      <c r="Q145" s="9">
        <v>31.393799999999999</v>
      </c>
      <c r="R145" s="9"/>
      <c r="S145" s="11"/>
    </row>
    <row r="146" spans="1:19" ht="15.75">
      <c r="A146" s="13">
        <v>45566</v>
      </c>
      <c r="B146" s="8">
        <f>CHOOSE( CONTROL!$C$32, 6.1467, 6.1465) * CHOOSE(CONTROL!$C$15, $D$11, 100%, $F$11)</f>
        <v>6.1467000000000001</v>
      </c>
      <c r="C146" s="8">
        <f>CHOOSE( CONTROL!$C$32, 6.1521, 6.1518) * CHOOSE(CONTROL!$C$15, $D$11, 100%, $F$11)</f>
        <v>6.1520999999999999</v>
      </c>
      <c r="D146" s="8">
        <f>CHOOSE( CONTROL!$C$32, 6.1568, 6.1565) * CHOOSE( CONTROL!$C$15, $D$11, 100%, $F$11)</f>
        <v>6.1567999999999996</v>
      </c>
      <c r="E146" s="12">
        <f>CHOOSE( CONTROL!$C$32, 6.1547, 6.1544) * CHOOSE( CONTROL!$C$15, $D$11, 100%, $F$11)</f>
        <v>6.1547000000000001</v>
      </c>
      <c r="F146" s="4">
        <f>CHOOSE( CONTROL!$C$32, 6.8513, 6.851) * CHOOSE(CONTROL!$C$15, $D$11, 100%, $F$11)</f>
        <v>6.8513000000000002</v>
      </c>
      <c r="G146" s="8">
        <f>CHOOSE( CONTROL!$C$32, 6.0868, 6.0865) * CHOOSE( CONTROL!$C$15, $D$11, 100%, $F$11)</f>
        <v>6.0868000000000002</v>
      </c>
      <c r="H146" s="4">
        <f>CHOOSE( CONTROL!$C$32, 7.0177, 7.0174) * CHOOSE(CONTROL!$C$15, $D$11, 100%, $F$11)</f>
        <v>7.0176999999999996</v>
      </c>
      <c r="I146" s="8">
        <f>CHOOSE( CONTROL!$C$32, 6.065, 6.0648) * CHOOSE(CONTROL!$C$15, $D$11, 100%, $F$11)</f>
        <v>6.0650000000000004</v>
      </c>
      <c r="J146" s="4">
        <f>CHOOSE( CONTROL!$C$32, 5.9563, 5.956) * CHOOSE(CONTROL!$C$15, $D$11, 100%, $F$11)</f>
        <v>5.9562999999999997</v>
      </c>
      <c r="K146" s="4"/>
      <c r="L146" s="9">
        <v>31.095300000000002</v>
      </c>
      <c r="M146" s="9">
        <v>12.063700000000001</v>
      </c>
      <c r="N146" s="9">
        <v>4.9444999999999997</v>
      </c>
      <c r="O146" s="9">
        <v>0.37409999999999999</v>
      </c>
      <c r="P146" s="9">
        <v>1.2927</v>
      </c>
      <c r="Q146" s="9">
        <v>32.440300000000001</v>
      </c>
      <c r="R146" s="9"/>
      <c r="S146" s="11"/>
    </row>
    <row r="147" spans="1:19" ht="15.75">
      <c r="A147" s="13">
        <v>45597</v>
      </c>
      <c r="B147" s="8">
        <f>CHOOSE( CONTROL!$C$32, 6.6281, 6.6279) * CHOOSE(CONTROL!$C$15, $D$11, 100%, $F$11)</f>
        <v>6.6280999999999999</v>
      </c>
      <c r="C147" s="8">
        <f>CHOOSE( CONTROL!$C$32, 6.6332, 6.633) * CHOOSE(CONTROL!$C$15, $D$11, 100%, $F$11)</f>
        <v>6.6332000000000004</v>
      </c>
      <c r="D147" s="8">
        <f>CHOOSE( CONTROL!$C$32, 6.6159, 6.6157) * CHOOSE( CONTROL!$C$15, $D$11, 100%, $F$11)</f>
        <v>6.6158999999999999</v>
      </c>
      <c r="E147" s="12">
        <f>CHOOSE( CONTROL!$C$32, 6.6217, 6.6215) * CHOOSE( CONTROL!$C$15, $D$11, 100%, $F$11)</f>
        <v>6.6216999999999997</v>
      </c>
      <c r="F147" s="4">
        <f>CHOOSE( CONTROL!$C$32, 7.2934, 7.2932) * CHOOSE(CONTROL!$C$15, $D$11, 100%, $F$11)</f>
        <v>7.2934000000000001</v>
      </c>
      <c r="G147" s="8">
        <f>CHOOSE( CONTROL!$C$32, 6.5599, 6.5596) * CHOOSE( CONTROL!$C$15, $D$11, 100%, $F$11)</f>
        <v>6.5598999999999998</v>
      </c>
      <c r="H147" s="4">
        <f>CHOOSE( CONTROL!$C$32, 7.4547, 7.4544) * CHOOSE(CONTROL!$C$15, $D$11, 100%, $F$11)</f>
        <v>7.4546999999999999</v>
      </c>
      <c r="I147" s="8">
        <f>CHOOSE( CONTROL!$C$32, 6.5885, 6.5882) * CHOOSE(CONTROL!$C$15, $D$11, 100%, $F$11)</f>
        <v>6.5884999999999998</v>
      </c>
      <c r="J147" s="4">
        <f>CHOOSE( CONTROL!$C$32, 6.4239, 6.4236) * CHOOSE(CONTROL!$C$15, $D$11, 100%, $F$11)</f>
        <v>6.4238999999999997</v>
      </c>
      <c r="K147" s="4"/>
      <c r="L147" s="9">
        <v>28.360600000000002</v>
      </c>
      <c r="M147" s="9">
        <v>11.6745</v>
      </c>
      <c r="N147" s="9">
        <v>4.7850000000000001</v>
      </c>
      <c r="O147" s="9">
        <v>0.36199999999999999</v>
      </c>
      <c r="P147" s="9">
        <v>1.2509999999999999</v>
      </c>
      <c r="Q147" s="9">
        <v>31.393799999999999</v>
      </c>
      <c r="R147" s="9"/>
      <c r="S147" s="11"/>
    </row>
    <row r="148" spans="1:19" ht="15.75">
      <c r="A148" s="13">
        <v>45627</v>
      </c>
      <c r="B148" s="8">
        <f>CHOOSE( CONTROL!$C$32, 6.6161, 6.6158) * CHOOSE(CONTROL!$C$15, $D$11, 100%, $F$11)</f>
        <v>6.6161000000000003</v>
      </c>
      <c r="C148" s="8">
        <f>CHOOSE( CONTROL!$C$32, 6.6212, 6.6209) * CHOOSE(CONTROL!$C$15, $D$11, 100%, $F$11)</f>
        <v>6.6212</v>
      </c>
      <c r="D148" s="8">
        <f>CHOOSE( CONTROL!$C$32, 6.6057, 6.6054) * CHOOSE( CONTROL!$C$15, $D$11, 100%, $F$11)</f>
        <v>6.6056999999999997</v>
      </c>
      <c r="E148" s="12">
        <f>CHOOSE( CONTROL!$C$32, 6.6108, 6.6105) * CHOOSE( CONTROL!$C$15, $D$11, 100%, $F$11)</f>
        <v>6.6108000000000002</v>
      </c>
      <c r="F148" s="4">
        <f>CHOOSE( CONTROL!$C$32, 7.2814, 7.2811) * CHOOSE(CONTROL!$C$15, $D$11, 100%, $F$11)</f>
        <v>7.2813999999999997</v>
      </c>
      <c r="G148" s="8">
        <f>CHOOSE( CONTROL!$C$32, 6.5493, 6.549) * CHOOSE( CONTROL!$C$15, $D$11, 100%, $F$11)</f>
        <v>6.5492999999999997</v>
      </c>
      <c r="H148" s="4">
        <f>CHOOSE( CONTROL!$C$32, 7.4428, 7.4425) * CHOOSE(CONTROL!$C$15, $D$11, 100%, $F$11)</f>
        <v>7.4428000000000001</v>
      </c>
      <c r="I148" s="8">
        <f>CHOOSE( CONTROL!$C$32, 6.5824, 6.5821) * CHOOSE(CONTROL!$C$15, $D$11, 100%, $F$11)</f>
        <v>6.5823999999999998</v>
      </c>
      <c r="J148" s="4">
        <f>CHOOSE( CONTROL!$C$32, 6.4122, 6.4119) * CHOOSE(CONTROL!$C$15, $D$11, 100%, $F$11)</f>
        <v>6.4122000000000003</v>
      </c>
      <c r="K148" s="4"/>
      <c r="L148" s="9">
        <v>29.306000000000001</v>
      </c>
      <c r="M148" s="9">
        <v>12.063700000000001</v>
      </c>
      <c r="N148" s="9">
        <v>4.9444999999999997</v>
      </c>
      <c r="O148" s="9">
        <v>0.37409999999999999</v>
      </c>
      <c r="P148" s="9">
        <v>1.2927</v>
      </c>
      <c r="Q148" s="9">
        <v>32.440300000000001</v>
      </c>
      <c r="R148" s="9"/>
      <c r="S148" s="11"/>
    </row>
    <row r="149" spans="1:19" ht="15.75">
      <c r="A149" s="13">
        <v>45658</v>
      </c>
      <c r="B149" s="8">
        <f>CHOOSE( CONTROL!$C$32, 6.8583, 6.858) * CHOOSE(CONTROL!$C$15, $D$11, 100%, $F$11)</f>
        <v>6.8582999999999998</v>
      </c>
      <c r="C149" s="8">
        <f>CHOOSE( CONTROL!$C$32, 6.8634, 6.8631) * CHOOSE(CONTROL!$C$15, $D$11, 100%, $F$11)</f>
        <v>6.8634000000000004</v>
      </c>
      <c r="D149" s="8">
        <f>CHOOSE( CONTROL!$C$32, 6.8538, 6.8535) * CHOOSE( CONTROL!$C$15, $D$11, 100%, $F$11)</f>
        <v>6.8537999999999997</v>
      </c>
      <c r="E149" s="12">
        <f>CHOOSE( CONTROL!$C$32, 6.8568, 6.8565) * CHOOSE( CONTROL!$C$15, $D$11, 100%, $F$11)</f>
        <v>6.8567999999999998</v>
      </c>
      <c r="F149" s="4">
        <f>CHOOSE( CONTROL!$C$32, 7.5236, 7.5233) * CHOOSE(CONTROL!$C$15, $D$11, 100%, $F$11)</f>
        <v>7.5236000000000001</v>
      </c>
      <c r="G149" s="8">
        <f>CHOOSE( CONTROL!$C$32, 6.7893, 6.7891) * CHOOSE( CONTROL!$C$15, $D$11, 100%, $F$11)</f>
        <v>6.7892999999999999</v>
      </c>
      <c r="H149" s="4">
        <f>CHOOSE( CONTROL!$C$32, 7.6821, 7.6818) * CHOOSE(CONTROL!$C$15, $D$11, 100%, $F$11)</f>
        <v>7.6821000000000002</v>
      </c>
      <c r="I149" s="8">
        <f>CHOOSE( CONTROL!$C$32, 6.798, 6.7977) * CHOOSE(CONTROL!$C$15, $D$11, 100%, $F$11)</f>
        <v>6.798</v>
      </c>
      <c r="J149" s="4">
        <f>CHOOSE( CONTROL!$C$32, 6.6472, 6.6469) * CHOOSE(CONTROL!$C$15, $D$11, 100%, $F$11)</f>
        <v>6.6471999999999998</v>
      </c>
      <c r="K149" s="4"/>
      <c r="L149" s="9">
        <v>29.306000000000001</v>
      </c>
      <c r="M149" s="9">
        <v>12.063700000000001</v>
      </c>
      <c r="N149" s="9">
        <v>4.9444999999999997</v>
      </c>
      <c r="O149" s="9">
        <v>0.37409999999999999</v>
      </c>
      <c r="P149" s="9">
        <v>1.2927</v>
      </c>
      <c r="Q149" s="9">
        <v>32.254300000000001</v>
      </c>
      <c r="R149" s="9"/>
      <c r="S149" s="11"/>
    </row>
    <row r="150" spans="1:19" ht="15.75">
      <c r="A150" s="13">
        <v>45689</v>
      </c>
      <c r="B150" s="8">
        <f>CHOOSE( CONTROL!$C$32, 6.4155, 6.4152) * CHOOSE(CONTROL!$C$15, $D$11, 100%, $F$11)</f>
        <v>6.4154999999999998</v>
      </c>
      <c r="C150" s="8">
        <f>CHOOSE( CONTROL!$C$32, 6.4206, 6.4203) * CHOOSE(CONTROL!$C$15, $D$11, 100%, $F$11)</f>
        <v>6.4206000000000003</v>
      </c>
      <c r="D150" s="8">
        <f>CHOOSE( CONTROL!$C$32, 6.4127, 6.4124) * CHOOSE( CONTROL!$C$15, $D$11, 100%, $F$11)</f>
        <v>6.4127000000000001</v>
      </c>
      <c r="E150" s="12">
        <f>CHOOSE( CONTROL!$C$32, 6.415, 6.4147) * CHOOSE( CONTROL!$C$15, $D$11, 100%, $F$11)</f>
        <v>6.415</v>
      </c>
      <c r="F150" s="4">
        <f>CHOOSE( CONTROL!$C$32, 7.0808, 7.0805) * CHOOSE(CONTROL!$C$15, $D$11, 100%, $F$11)</f>
        <v>7.0808</v>
      </c>
      <c r="G150" s="8">
        <f>CHOOSE( CONTROL!$C$32, 6.3503, 6.35) * CHOOSE( CONTROL!$C$15, $D$11, 100%, $F$11)</f>
        <v>6.3502999999999998</v>
      </c>
      <c r="H150" s="4">
        <f>CHOOSE( CONTROL!$C$32, 7.2445, 7.2442) * CHOOSE(CONTROL!$C$15, $D$11, 100%, $F$11)</f>
        <v>7.2445000000000004</v>
      </c>
      <c r="I150" s="8">
        <f>CHOOSE( CONTROL!$C$32, 6.3527, 6.3524) * CHOOSE(CONTROL!$C$15, $D$11, 100%, $F$11)</f>
        <v>6.3526999999999996</v>
      </c>
      <c r="J150" s="4">
        <f>CHOOSE( CONTROL!$C$32, 6.2175, 6.2172) * CHOOSE(CONTROL!$C$15, $D$11, 100%, $F$11)</f>
        <v>6.2175000000000002</v>
      </c>
      <c r="K150" s="4"/>
      <c r="L150" s="9">
        <v>26.469899999999999</v>
      </c>
      <c r="M150" s="9">
        <v>10.8962</v>
      </c>
      <c r="N150" s="9">
        <v>4.4660000000000002</v>
      </c>
      <c r="O150" s="9">
        <v>0.33789999999999998</v>
      </c>
      <c r="P150" s="9">
        <v>1.1676</v>
      </c>
      <c r="Q150" s="9">
        <v>29.132899999999999</v>
      </c>
      <c r="R150" s="9"/>
      <c r="S150" s="11"/>
    </row>
    <row r="151" spans="1:19" ht="15.75">
      <c r="A151" s="13">
        <v>45717</v>
      </c>
      <c r="B151" s="8">
        <f>CHOOSE( CONTROL!$C$32, 6.2791, 6.2789) * CHOOSE(CONTROL!$C$15, $D$11, 100%, $F$11)</f>
        <v>6.2790999999999997</v>
      </c>
      <c r="C151" s="8">
        <f>CHOOSE( CONTROL!$C$32, 6.2842, 6.2839) * CHOOSE(CONTROL!$C$15, $D$11, 100%, $F$11)</f>
        <v>6.2842000000000002</v>
      </c>
      <c r="D151" s="8">
        <f>CHOOSE( CONTROL!$C$32, 6.2715, 6.2712) * CHOOSE( CONTROL!$C$15, $D$11, 100%, $F$11)</f>
        <v>6.2714999999999996</v>
      </c>
      <c r="E151" s="12">
        <f>CHOOSE( CONTROL!$C$32, 6.2756, 6.2753) * CHOOSE( CONTROL!$C$15, $D$11, 100%, $F$11)</f>
        <v>6.2755999999999998</v>
      </c>
      <c r="F151" s="4">
        <f>CHOOSE( CONTROL!$C$32, 6.9444, 6.9441) * CHOOSE(CONTROL!$C$15, $D$11, 100%, $F$11)</f>
        <v>6.9443999999999999</v>
      </c>
      <c r="G151" s="8">
        <f>CHOOSE( CONTROL!$C$32, 6.212, 6.2118) * CHOOSE( CONTROL!$C$15, $D$11, 100%, $F$11)</f>
        <v>6.2119999999999997</v>
      </c>
      <c r="H151" s="4">
        <f>CHOOSE( CONTROL!$C$32, 7.1097, 7.1095) * CHOOSE(CONTROL!$C$15, $D$11, 100%, $F$11)</f>
        <v>7.1097000000000001</v>
      </c>
      <c r="I151" s="8">
        <f>CHOOSE( CONTROL!$C$32, 6.2187, 6.2184) * CHOOSE(CONTROL!$C$15, $D$11, 100%, $F$11)</f>
        <v>6.2187000000000001</v>
      </c>
      <c r="J151" s="4">
        <f>CHOOSE( CONTROL!$C$32, 6.0851, 6.0849) * CHOOSE(CONTROL!$C$15, $D$11, 100%, $F$11)</f>
        <v>6.0850999999999997</v>
      </c>
      <c r="K151" s="4"/>
      <c r="L151" s="9">
        <v>29.306000000000001</v>
      </c>
      <c r="M151" s="9">
        <v>12.063700000000001</v>
      </c>
      <c r="N151" s="9">
        <v>4.9444999999999997</v>
      </c>
      <c r="O151" s="9">
        <v>0.37409999999999999</v>
      </c>
      <c r="P151" s="9">
        <v>1.2927</v>
      </c>
      <c r="Q151" s="9">
        <v>32.254300000000001</v>
      </c>
      <c r="R151" s="9"/>
      <c r="S151" s="11"/>
    </row>
    <row r="152" spans="1:19" ht="15.75">
      <c r="A152" s="13">
        <v>45748</v>
      </c>
      <c r="B152" s="8">
        <f>CHOOSE( CONTROL!$C$32, 6.3752, 6.3749) * CHOOSE(CONTROL!$C$15, $D$11, 100%, $F$11)</f>
        <v>6.3752000000000004</v>
      </c>
      <c r="C152" s="8">
        <f>CHOOSE( CONTROL!$C$32, 6.3797, 6.3794) * CHOOSE(CONTROL!$C$15, $D$11, 100%, $F$11)</f>
        <v>6.3796999999999997</v>
      </c>
      <c r="D152" s="8">
        <f>CHOOSE( CONTROL!$C$32, 6.3846, 6.3843) * CHOOSE( CONTROL!$C$15, $D$11, 100%, $F$11)</f>
        <v>6.3845999999999998</v>
      </c>
      <c r="E152" s="12">
        <f>CHOOSE( CONTROL!$C$32, 6.3825, 6.3822) * CHOOSE( CONTROL!$C$15, $D$11, 100%, $F$11)</f>
        <v>6.3825000000000003</v>
      </c>
      <c r="F152" s="4">
        <f>CHOOSE( CONTROL!$C$32, 7.0794, 7.0791) * CHOOSE(CONTROL!$C$15, $D$11, 100%, $F$11)</f>
        <v>7.0793999999999997</v>
      </c>
      <c r="G152" s="8">
        <f>CHOOSE( CONTROL!$C$32, 6.312, 6.3117) * CHOOSE( CONTROL!$C$15, $D$11, 100%, $F$11)</f>
        <v>6.3120000000000003</v>
      </c>
      <c r="H152" s="4">
        <f>CHOOSE( CONTROL!$C$32, 7.2431, 7.2428) * CHOOSE(CONTROL!$C$15, $D$11, 100%, $F$11)</f>
        <v>7.2431000000000001</v>
      </c>
      <c r="I152" s="8">
        <f>CHOOSE( CONTROL!$C$32, 6.2854, 6.2852) * CHOOSE(CONTROL!$C$15, $D$11, 100%, $F$11)</f>
        <v>6.2854000000000001</v>
      </c>
      <c r="J152" s="4">
        <f>CHOOSE( CONTROL!$C$32, 6.1776, 6.1774) * CHOOSE(CONTROL!$C$15, $D$11, 100%, $F$11)</f>
        <v>6.1776</v>
      </c>
      <c r="K152" s="4"/>
      <c r="L152" s="9">
        <v>30.092199999999998</v>
      </c>
      <c r="M152" s="9">
        <v>11.6745</v>
      </c>
      <c r="N152" s="9">
        <v>4.7850000000000001</v>
      </c>
      <c r="O152" s="9">
        <v>0.36199999999999999</v>
      </c>
      <c r="P152" s="9">
        <v>1.2509999999999999</v>
      </c>
      <c r="Q152" s="9">
        <v>31.213799999999999</v>
      </c>
      <c r="R152" s="9"/>
      <c r="S152" s="11"/>
    </row>
    <row r="153" spans="1:19" ht="15.75">
      <c r="A153" s="13">
        <v>45778</v>
      </c>
      <c r="B153" s="8">
        <f>CHOOSE( CONTROL!$C$32, 6.5463, 6.5459) * CHOOSE(CONTROL!$C$15, $D$11, 100%, $F$11)</f>
        <v>6.5462999999999996</v>
      </c>
      <c r="C153" s="8">
        <f>CHOOSE( CONTROL!$C$32, 6.5543, 6.5539) * CHOOSE(CONTROL!$C$15, $D$11, 100%, $F$11)</f>
        <v>6.5542999999999996</v>
      </c>
      <c r="D153" s="8">
        <f>CHOOSE( CONTROL!$C$32, 6.5531, 6.5526) * CHOOSE( CONTROL!$C$15, $D$11, 100%, $F$11)</f>
        <v>6.5530999999999997</v>
      </c>
      <c r="E153" s="12">
        <f>CHOOSE( CONTROL!$C$32, 6.5523, 6.5519) * CHOOSE( CONTROL!$C$15, $D$11, 100%, $F$11)</f>
        <v>6.5522999999999998</v>
      </c>
      <c r="F153" s="4">
        <f>CHOOSE( CONTROL!$C$32, 7.2492, 7.2487) * CHOOSE(CONTROL!$C$15, $D$11, 100%, $F$11)</f>
        <v>7.2492000000000001</v>
      </c>
      <c r="G153" s="8">
        <f>CHOOSE( CONTROL!$C$32, 6.4796, 6.4791) * CHOOSE( CONTROL!$C$15, $D$11, 100%, $F$11)</f>
        <v>6.4795999999999996</v>
      </c>
      <c r="H153" s="4">
        <f>CHOOSE( CONTROL!$C$32, 7.4109, 7.4105) * CHOOSE(CONTROL!$C$15, $D$11, 100%, $F$11)</f>
        <v>7.4108999999999998</v>
      </c>
      <c r="I153" s="8">
        <f>CHOOSE( CONTROL!$C$32, 6.4494, 6.449) * CHOOSE(CONTROL!$C$15, $D$11, 100%, $F$11)</f>
        <v>6.4493999999999998</v>
      </c>
      <c r="J153" s="4">
        <f>CHOOSE( CONTROL!$C$32, 6.3424, 6.342) * CHOOSE(CONTROL!$C$15, $D$11, 100%, $F$11)</f>
        <v>6.3423999999999996</v>
      </c>
      <c r="K153" s="4"/>
      <c r="L153" s="9">
        <v>30.7165</v>
      </c>
      <c r="M153" s="9">
        <v>12.063700000000001</v>
      </c>
      <c r="N153" s="9">
        <v>4.9444999999999997</v>
      </c>
      <c r="O153" s="9">
        <v>0.37409999999999999</v>
      </c>
      <c r="P153" s="9">
        <v>1.2927</v>
      </c>
      <c r="Q153" s="9">
        <v>32.254300000000001</v>
      </c>
      <c r="R153" s="9"/>
      <c r="S153" s="11"/>
    </row>
    <row r="154" spans="1:19" ht="15.75">
      <c r="A154" s="13">
        <v>45809</v>
      </c>
      <c r="B154" s="8">
        <f>CHOOSE( CONTROL!$C$32, 6.4413, 6.4408) * CHOOSE(CONTROL!$C$15, $D$11, 100%, $F$11)</f>
        <v>6.4413</v>
      </c>
      <c r="C154" s="8">
        <f>CHOOSE( CONTROL!$C$32, 6.4493, 6.4488) * CHOOSE(CONTROL!$C$15, $D$11, 100%, $F$11)</f>
        <v>6.4493</v>
      </c>
      <c r="D154" s="8">
        <f>CHOOSE( CONTROL!$C$32, 6.4482, 6.4478) * CHOOSE( CONTROL!$C$15, $D$11, 100%, $F$11)</f>
        <v>6.4481999999999999</v>
      </c>
      <c r="E154" s="12">
        <f>CHOOSE( CONTROL!$C$32, 6.4474, 6.4469) * CHOOSE( CONTROL!$C$15, $D$11, 100%, $F$11)</f>
        <v>6.4474</v>
      </c>
      <c r="F154" s="4">
        <f>CHOOSE( CONTROL!$C$32, 7.1441, 7.1436) * CHOOSE(CONTROL!$C$15, $D$11, 100%, $F$11)</f>
        <v>7.1440999999999999</v>
      </c>
      <c r="G154" s="8">
        <f>CHOOSE( CONTROL!$C$32, 6.3759, 6.3755) * CHOOSE( CONTROL!$C$15, $D$11, 100%, $F$11)</f>
        <v>6.3758999999999997</v>
      </c>
      <c r="H154" s="4">
        <f>CHOOSE( CONTROL!$C$32, 7.3071, 7.3066) * CHOOSE(CONTROL!$C$15, $D$11, 100%, $F$11)</f>
        <v>7.3071000000000002</v>
      </c>
      <c r="I154" s="8">
        <f>CHOOSE( CONTROL!$C$32, 6.3481, 6.3477) * CHOOSE(CONTROL!$C$15, $D$11, 100%, $F$11)</f>
        <v>6.3480999999999996</v>
      </c>
      <c r="J154" s="4">
        <f>CHOOSE( CONTROL!$C$32, 6.2404, 6.24) * CHOOSE(CONTROL!$C$15, $D$11, 100%, $F$11)</f>
        <v>6.2404000000000002</v>
      </c>
      <c r="K154" s="4"/>
      <c r="L154" s="9">
        <v>29.7257</v>
      </c>
      <c r="M154" s="9">
        <v>11.6745</v>
      </c>
      <c r="N154" s="9">
        <v>4.7850000000000001</v>
      </c>
      <c r="O154" s="9">
        <v>0.36199999999999999</v>
      </c>
      <c r="P154" s="9">
        <v>1.2509999999999999</v>
      </c>
      <c r="Q154" s="9">
        <v>31.213799999999999</v>
      </c>
      <c r="R154" s="9"/>
      <c r="S154" s="11"/>
    </row>
    <row r="155" spans="1:19" ht="15.75">
      <c r="A155" s="13">
        <v>45839</v>
      </c>
      <c r="B155" s="8">
        <f>CHOOSE( CONTROL!$C$32, 6.718, 6.7175) * CHOOSE(CONTROL!$C$15, $D$11, 100%, $F$11)</f>
        <v>6.718</v>
      </c>
      <c r="C155" s="8">
        <f>CHOOSE( CONTROL!$C$32, 6.7259, 6.7255) * CHOOSE(CONTROL!$C$15, $D$11, 100%, $F$11)</f>
        <v>6.7259000000000002</v>
      </c>
      <c r="D155" s="8">
        <f>CHOOSE( CONTROL!$C$32, 6.7251, 6.7247) * CHOOSE( CONTROL!$C$15, $D$11, 100%, $F$11)</f>
        <v>6.7251000000000003</v>
      </c>
      <c r="E155" s="12">
        <f>CHOOSE( CONTROL!$C$32, 6.7242, 6.7238) * CHOOSE( CONTROL!$C$15, $D$11, 100%, $F$11)</f>
        <v>6.7241999999999997</v>
      </c>
      <c r="F155" s="4">
        <f>CHOOSE( CONTROL!$C$32, 7.4208, 7.4203) * CHOOSE(CONTROL!$C$15, $D$11, 100%, $F$11)</f>
        <v>7.4207999999999998</v>
      </c>
      <c r="G155" s="8">
        <f>CHOOSE( CONTROL!$C$32, 6.6495, 6.6491) * CHOOSE( CONTROL!$C$15, $D$11, 100%, $F$11)</f>
        <v>6.6494999999999997</v>
      </c>
      <c r="H155" s="4">
        <f>CHOOSE( CONTROL!$C$32, 7.5805, 7.5801) * CHOOSE(CONTROL!$C$15, $D$11, 100%, $F$11)</f>
        <v>7.5804999999999998</v>
      </c>
      <c r="I155" s="8">
        <f>CHOOSE( CONTROL!$C$32, 6.6175, 6.6171) * CHOOSE(CONTROL!$C$15, $D$11, 100%, $F$11)</f>
        <v>6.6174999999999997</v>
      </c>
      <c r="J155" s="4">
        <f>CHOOSE( CONTROL!$C$32, 6.509, 6.5085) * CHOOSE(CONTROL!$C$15, $D$11, 100%, $F$11)</f>
        <v>6.5090000000000003</v>
      </c>
      <c r="K155" s="4"/>
      <c r="L155" s="9">
        <v>30.7165</v>
      </c>
      <c r="M155" s="9">
        <v>12.063700000000001</v>
      </c>
      <c r="N155" s="9">
        <v>4.9444999999999997</v>
      </c>
      <c r="O155" s="9">
        <v>0.37409999999999999</v>
      </c>
      <c r="P155" s="9">
        <v>1.2927</v>
      </c>
      <c r="Q155" s="9">
        <v>32.254300000000001</v>
      </c>
      <c r="R155" s="9"/>
      <c r="S155" s="11"/>
    </row>
    <row r="156" spans="1:19" ht="15.75">
      <c r="A156" s="13">
        <v>45870</v>
      </c>
      <c r="B156" s="8">
        <f>CHOOSE( CONTROL!$C$32, 6.2003, 6.1998) * CHOOSE(CONTROL!$C$15, $D$11, 100%, $F$11)</f>
        <v>6.2003000000000004</v>
      </c>
      <c r="C156" s="8">
        <f>CHOOSE( CONTROL!$C$32, 6.2082, 6.2078) * CHOOSE(CONTROL!$C$15, $D$11, 100%, $F$11)</f>
        <v>6.2081999999999997</v>
      </c>
      <c r="D156" s="8">
        <f>CHOOSE( CONTROL!$C$32, 6.2075, 6.207) * CHOOSE( CONTROL!$C$15, $D$11, 100%, $F$11)</f>
        <v>6.2074999999999996</v>
      </c>
      <c r="E156" s="12">
        <f>CHOOSE( CONTROL!$C$32, 6.2065, 6.2061) * CHOOSE( CONTROL!$C$15, $D$11, 100%, $F$11)</f>
        <v>6.2065000000000001</v>
      </c>
      <c r="F156" s="4">
        <f>CHOOSE( CONTROL!$C$32, 6.9031, 6.9026) * CHOOSE(CONTROL!$C$15, $D$11, 100%, $F$11)</f>
        <v>6.9031000000000002</v>
      </c>
      <c r="G156" s="8">
        <f>CHOOSE( CONTROL!$C$32, 6.138, 6.1375) * CHOOSE( CONTROL!$C$15, $D$11, 100%, $F$11)</f>
        <v>6.1379999999999999</v>
      </c>
      <c r="H156" s="4">
        <f>CHOOSE( CONTROL!$C$32, 7.0689, 7.0684) * CHOOSE(CONTROL!$C$15, $D$11, 100%, $F$11)</f>
        <v>7.0689000000000002</v>
      </c>
      <c r="I156" s="8">
        <f>CHOOSE( CONTROL!$C$32, 6.1151, 6.1146) * CHOOSE(CONTROL!$C$15, $D$11, 100%, $F$11)</f>
        <v>6.1151</v>
      </c>
      <c r="J156" s="4">
        <f>CHOOSE( CONTROL!$C$32, 6.0065, 6.0061) * CHOOSE(CONTROL!$C$15, $D$11, 100%, $F$11)</f>
        <v>6.0065</v>
      </c>
      <c r="K156" s="4"/>
      <c r="L156" s="9">
        <v>30.7165</v>
      </c>
      <c r="M156" s="9">
        <v>12.063700000000001</v>
      </c>
      <c r="N156" s="9">
        <v>4.9444999999999997</v>
      </c>
      <c r="O156" s="9">
        <v>0.37409999999999999</v>
      </c>
      <c r="P156" s="9">
        <v>1.2927</v>
      </c>
      <c r="Q156" s="9">
        <v>32.254300000000001</v>
      </c>
      <c r="R156" s="9"/>
      <c r="S156" s="11"/>
    </row>
    <row r="157" spans="1:19" ht="15.75">
      <c r="A157" s="13">
        <v>45901</v>
      </c>
      <c r="B157" s="8">
        <f>CHOOSE( CONTROL!$C$32, 6.0706, 6.0702) * CHOOSE(CONTROL!$C$15, $D$11, 100%, $F$11)</f>
        <v>6.0705999999999998</v>
      </c>
      <c r="C157" s="8">
        <f>CHOOSE( CONTROL!$C$32, 6.0786, 6.0782) * CHOOSE(CONTROL!$C$15, $D$11, 100%, $F$11)</f>
        <v>6.0785999999999998</v>
      </c>
      <c r="D157" s="8">
        <f>CHOOSE( CONTROL!$C$32, 6.0777, 6.0773) * CHOOSE( CONTROL!$C$15, $D$11, 100%, $F$11)</f>
        <v>6.0777000000000001</v>
      </c>
      <c r="E157" s="12">
        <f>CHOOSE( CONTROL!$C$32, 6.0768, 6.0764) * CHOOSE( CONTROL!$C$15, $D$11, 100%, $F$11)</f>
        <v>6.0768000000000004</v>
      </c>
      <c r="F157" s="4">
        <f>CHOOSE( CONTROL!$C$32, 6.7735, 6.773) * CHOOSE(CONTROL!$C$15, $D$11, 100%, $F$11)</f>
        <v>6.7735000000000003</v>
      </c>
      <c r="G157" s="8">
        <f>CHOOSE( CONTROL!$C$32, 6.0097, 6.0093) * CHOOSE( CONTROL!$C$15, $D$11, 100%, $F$11)</f>
        <v>6.0096999999999996</v>
      </c>
      <c r="H157" s="4">
        <f>CHOOSE( CONTROL!$C$32, 6.9408, 6.9403) * CHOOSE(CONTROL!$C$15, $D$11, 100%, $F$11)</f>
        <v>6.9408000000000003</v>
      </c>
      <c r="I157" s="8">
        <f>CHOOSE( CONTROL!$C$32, 5.9887, 5.9882) * CHOOSE(CONTROL!$C$15, $D$11, 100%, $F$11)</f>
        <v>5.9886999999999997</v>
      </c>
      <c r="J157" s="4">
        <f>CHOOSE( CONTROL!$C$32, 5.8807, 5.8803) * CHOOSE(CONTROL!$C$15, $D$11, 100%, $F$11)</f>
        <v>5.8807</v>
      </c>
      <c r="K157" s="4"/>
      <c r="L157" s="9">
        <v>29.7257</v>
      </c>
      <c r="M157" s="9">
        <v>11.6745</v>
      </c>
      <c r="N157" s="9">
        <v>4.7850000000000001</v>
      </c>
      <c r="O157" s="9">
        <v>0.36199999999999999</v>
      </c>
      <c r="P157" s="9">
        <v>1.2509999999999999</v>
      </c>
      <c r="Q157" s="9">
        <v>31.213799999999999</v>
      </c>
      <c r="R157" s="9"/>
      <c r="S157" s="11"/>
    </row>
    <row r="158" spans="1:19" ht="15.75">
      <c r="A158" s="13">
        <v>45931</v>
      </c>
      <c r="B158" s="8">
        <f>CHOOSE( CONTROL!$C$32, 6.3379, 6.3376) * CHOOSE(CONTROL!$C$15, $D$11, 100%, $F$11)</f>
        <v>6.3379000000000003</v>
      </c>
      <c r="C158" s="8">
        <f>CHOOSE( CONTROL!$C$32, 6.3432, 6.343) * CHOOSE(CONTROL!$C$15, $D$11, 100%, $F$11)</f>
        <v>6.3432000000000004</v>
      </c>
      <c r="D158" s="8">
        <f>CHOOSE( CONTROL!$C$32, 6.3479, 6.3477) * CHOOSE( CONTROL!$C$15, $D$11, 100%, $F$11)</f>
        <v>6.3479000000000001</v>
      </c>
      <c r="E158" s="12">
        <f>CHOOSE( CONTROL!$C$32, 6.3458, 6.3456) * CHOOSE( CONTROL!$C$15, $D$11, 100%, $F$11)</f>
        <v>6.3457999999999997</v>
      </c>
      <c r="F158" s="4">
        <f>CHOOSE( CONTROL!$C$32, 7.0424, 7.0422) * CHOOSE(CONTROL!$C$15, $D$11, 100%, $F$11)</f>
        <v>7.0423999999999998</v>
      </c>
      <c r="G158" s="8">
        <f>CHOOSE( CONTROL!$C$32, 6.2757, 6.2755) * CHOOSE( CONTROL!$C$15, $D$11, 100%, $F$11)</f>
        <v>6.2756999999999996</v>
      </c>
      <c r="H158" s="4">
        <f>CHOOSE( CONTROL!$C$32, 7.2066, 7.2063) * CHOOSE(CONTROL!$C$15, $D$11, 100%, $F$11)</f>
        <v>7.2065999999999999</v>
      </c>
      <c r="I158" s="8">
        <f>CHOOSE( CONTROL!$C$32, 6.2507, 6.2504) * CHOOSE(CONTROL!$C$15, $D$11, 100%, $F$11)</f>
        <v>6.2507000000000001</v>
      </c>
      <c r="J158" s="4">
        <f>CHOOSE( CONTROL!$C$32, 6.1418, 6.1415) * CHOOSE(CONTROL!$C$15, $D$11, 100%, $F$11)</f>
        <v>6.1417999999999999</v>
      </c>
      <c r="K158" s="4"/>
      <c r="L158" s="9">
        <v>31.095300000000002</v>
      </c>
      <c r="M158" s="9">
        <v>12.063700000000001</v>
      </c>
      <c r="N158" s="9">
        <v>4.9444999999999997</v>
      </c>
      <c r="O158" s="9">
        <v>0.37409999999999999</v>
      </c>
      <c r="P158" s="9">
        <v>1.2927</v>
      </c>
      <c r="Q158" s="9">
        <v>32.254300000000001</v>
      </c>
      <c r="R158" s="9"/>
      <c r="S158" s="11"/>
    </row>
    <row r="159" spans="1:19" ht="15.75">
      <c r="A159" s="13">
        <v>45962</v>
      </c>
      <c r="B159" s="8">
        <f>CHOOSE( CONTROL!$C$32, 6.8343, 6.834) * CHOOSE(CONTROL!$C$15, $D$11, 100%, $F$11)</f>
        <v>6.8342999999999998</v>
      </c>
      <c r="C159" s="8">
        <f>CHOOSE( CONTROL!$C$32, 6.8394, 6.8391) * CHOOSE(CONTROL!$C$15, $D$11, 100%, $F$11)</f>
        <v>6.8394000000000004</v>
      </c>
      <c r="D159" s="8">
        <f>CHOOSE( CONTROL!$C$32, 6.8221, 6.8218) * CHOOSE( CONTROL!$C$15, $D$11, 100%, $F$11)</f>
        <v>6.8220999999999998</v>
      </c>
      <c r="E159" s="12">
        <f>CHOOSE( CONTROL!$C$32, 6.8279, 6.8276) * CHOOSE( CONTROL!$C$15, $D$11, 100%, $F$11)</f>
        <v>6.8278999999999996</v>
      </c>
      <c r="F159" s="4">
        <f>CHOOSE( CONTROL!$C$32, 7.4996, 7.4993) * CHOOSE(CONTROL!$C$15, $D$11, 100%, $F$11)</f>
        <v>7.4996</v>
      </c>
      <c r="G159" s="8">
        <f>CHOOSE( CONTROL!$C$32, 6.7636, 6.7634) * CHOOSE( CONTROL!$C$15, $D$11, 100%, $F$11)</f>
        <v>6.7636000000000003</v>
      </c>
      <c r="H159" s="4">
        <f>CHOOSE( CONTROL!$C$32, 7.6584, 7.6581) * CHOOSE(CONTROL!$C$15, $D$11, 100%, $F$11)</f>
        <v>7.6584000000000003</v>
      </c>
      <c r="I159" s="8">
        <f>CHOOSE( CONTROL!$C$32, 6.7887, 6.7884) * CHOOSE(CONTROL!$C$15, $D$11, 100%, $F$11)</f>
        <v>6.7887000000000004</v>
      </c>
      <c r="J159" s="4">
        <f>CHOOSE( CONTROL!$C$32, 6.6239, 6.6237) * CHOOSE(CONTROL!$C$15, $D$11, 100%, $F$11)</f>
        <v>6.6238999999999999</v>
      </c>
      <c r="K159" s="4"/>
      <c r="L159" s="9">
        <v>28.360600000000002</v>
      </c>
      <c r="M159" s="9">
        <v>11.6745</v>
      </c>
      <c r="N159" s="9">
        <v>4.7850000000000001</v>
      </c>
      <c r="O159" s="9">
        <v>0.36199999999999999</v>
      </c>
      <c r="P159" s="9">
        <v>1.2509999999999999</v>
      </c>
      <c r="Q159" s="9">
        <v>31.213799999999999</v>
      </c>
      <c r="R159" s="9"/>
      <c r="S159" s="11"/>
    </row>
    <row r="160" spans="1:19" ht="15.75">
      <c r="A160" s="13">
        <v>45992</v>
      </c>
      <c r="B160" s="8">
        <f>CHOOSE( CONTROL!$C$32, 6.8219, 6.8216) * CHOOSE(CONTROL!$C$15, $D$11, 100%, $F$11)</f>
        <v>6.8219000000000003</v>
      </c>
      <c r="C160" s="8">
        <f>CHOOSE( CONTROL!$C$32, 6.827, 6.8267) * CHOOSE(CONTROL!$C$15, $D$11, 100%, $F$11)</f>
        <v>6.827</v>
      </c>
      <c r="D160" s="8">
        <f>CHOOSE( CONTROL!$C$32, 6.8115, 6.8112) * CHOOSE( CONTROL!$C$15, $D$11, 100%, $F$11)</f>
        <v>6.8114999999999997</v>
      </c>
      <c r="E160" s="12">
        <f>CHOOSE( CONTROL!$C$32, 6.8166, 6.8163) * CHOOSE( CONTROL!$C$15, $D$11, 100%, $F$11)</f>
        <v>6.8166000000000002</v>
      </c>
      <c r="F160" s="4">
        <f>CHOOSE( CONTROL!$C$32, 7.4872, 7.4869) * CHOOSE(CONTROL!$C$15, $D$11, 100%, $F$11)</f>
        <v>7.4871999999999996</v>
      </c>
      <c r="G160" s="8">
        <f>CHOOSE( CONTROL!$C$32, 6.7527, 6.7524) * CHOOSE( CONTROL!$C$15, $D$11, 100%, $F$11)</f>
        <v>6.7526999999999999</v>
      </c>
      <c r="H160" s="4">
        <f>CHOOSE( CONTROL!$C$32, 7.6461, 7.6459) * CHOOSE(CONTROL!$C$15, $D$11, 100%, $F$11)</f>
        <v>7.6460999999999997</v>
      </c>
      <c r="I160" s="8">
        <f>CHOOSE( CONTROL!$C$32, 6.7822, 6.782) * CHOOSE(CONTROL!$C$15, $D$11, 100%, $F$11)</f>
        <v>6.7821999999999996</v>
      </c>
      <c r="J160" s="4">
        <f>CHOOSE( CONTROL!$C$32, 6.6119, 6.6116) * CHOOSE(CONTROL!$C$15, $D$11, 100%, $F$11)</f>
        <v>6.6119000000000003</v>
      </c>
      <c r="K160" s="4"/>
      <c r="L160" s="9">
        <v>29.306000000000001</v>
      </c>
      <c r="M160" s="9">
        <v>12.063700000000001</v>
      </c>
      <c r="N160" s="9">
        <v>4.9444999999999997</v>
      </c>
      <c r="O160" s="9">
        <v>0.37409999999999999</v>
      </c>
      <c r="P160" s="9">
        <v>1.2927</v>
      </c>
      <c r="Q160" s="9">
        <v>32.254300000000001</v>
      </c>
      <c r="R160" s="9"/>
      <c r="S160" s="11"/>
    </row>
    <row r="161" spans="1:19" ht="15.75">
      <c r="A161" s="13">
        <v>46023</v>
      </c>
      <c r="B161" s="8">
        <f>CHOOSE( CONTROL!$C$32, 7.0652, 7.0649) * CHOOSE(CONTROL!$C$15, $D$11, 100%, $F$11)</f>
        <v>7.0651999999999999</v>
      </c>
      <c r="C161" s="8">
        <f>CHOOSE( CONTROL!$C$32, 7.0702, 7.07) * CHOOSE(CONTROL!$C$15, $D$11, 100%, $F$11)</f>
        <v>7.0701999999999998</v>
      </c>
      <c r="D161" s="8">
        <f>CHOOSE( CONTROL!$C$32, 7.0607, 7.0604) * CHOOSE( CONTROL!$C$15, $D$11, 100%, $F$11)</f>
        <v>7.0606999999999998</v>
      </c>
      <c r="E161" s="12">
        <f>CHOOSE( CONTROL!$C$32, 7.0636, 7.0634) * CHOOSE( CONTROL!$C$15, $D$11, 100%, $F$11)</f>
        <v>7.0636000000000001</v>
      </c>
      <c r="F161" s="4">
        <f>CHOOSE( CONTROL!$C$32, 7.7304, 7.7302) * CHOOSE(CONTROL!$C$15, $D$11, 100%, $F$11)</f>
        <v>7.7304000000000004</v>
      </c>
      <c r="G161" s="8">
        <f>CHOOSE( CONTROL!$C$32, 6.9938, 6.9935) * CHOOSE( CONTROL!$C$15, $D$11, 100%, $F$11)</f>
        <v>6.9938000000000002</v>
      </c>
      <c r="H161" s="4">
        <f>CHOOSE( CONTROL!$C$32, 7.8866, 7.8863) * CHOOSE(CONTROL!$C$15, $D$11, 100%, $F$11)</f>
        <v>7.8865999999999996</v>
      </c>
      <c r="I161" s="8">
        <f>CHOOSE( CONTROL!$C$32, 6.9989, 6.9986) * CHOOSE(CONTROL!$C$15, $D$11, 100%, $F$11)</f>
        <v>6.9988999999999999</v>
      </c>
      <c r="J161" s="4">
        <f>CHOOSE( CONTROL!$C$32, 6.848, 6.8477) * CHOOSE(CONTROL!$C$15, $D$11, 100%, $F$11)</f>
        <v>6.8479999999999999</v>
      </c>
      <c r="K161" s="4"/>
      <c r="L161" s="9">
        <v>29.306000000000001</v>
      </c>
      <c r="M161" s="9">
        <v>12.063700000000001</v>
      </c>
      <c r="N161" s="9">
        <v>4.9444999999999997</v>
      </c>
      <c r="O161" s="9">
        <v>0.37409999999999999</v>
      </c>
      <c r="P161" s="9">
        <v>1.2927</v>
      </c>
      <c r="Q161" s="9">
        <v>32.070099999999996</v>
      </c>
      <c r="R161" s="9"/>
      <c r="S161" s="11"/>
    </row>
    <row r="162" spans="1:19" ht="15.75">
      <c r="A162" s="13">
        <v>46054</v>
      </c>
      <c r="B162" s="8">
        <f>CHOOSE( CONTROL!$C$32, 6.609, 6.6087) * CHOOSE(CONTROL!$C$15, $D$11, 100%, $F$11)</f>
        <v>6.609</v>
      </c>
      <c r="C162" s="8">
        <f>CHOOSE( CONTROL!$C$32, 6.6141, 6.6138) * CHOOSE(CONTROL!$C$15, $D$11, 100%, $F$11)</f>
        <v>6.6140999999999996</v>
      </c>
      <c r="D162" s="8">
        <f>CHOOSE( CONTROL!$C$32, 6.6062, 6.6059) * CHOOSE( CONTROL!$C$15, $D$11, 100%, $F$11)</f>
        <v>6.6062000000000003</v>
      </c>
      <c r="E162" s="12">
        <f>CHOOSE( CONTROL!$C$32, 6.6085, 6.6082) * CHOOSE( CONTROL!$C$15, $D$11, 100%, $F$11)</f>
        <v>6.6085000000000003</v>
      </c>
      <c r="F162" s="4">
        <f>CHOOSE( CONTROL!$C$32, 7.2743, 7.274) * CHOOSE(CONTROL!$C$15, $D$11, 100%, $F$11)</f>
        <v>7.2743000000000002</v>
      </c>
      <c r="G162" s="8">
        <f>CHOOSE( CONTROL!$C$32, 6.5415, 6.5413) * CHOOSE( CONTROL!$C$15, $D$11, 100%, $F$11)</f>
        <v>6.5415000000000001</v>
      </c>
      <c r="H162" s="4">
        <f>CHOOSE( CONTROL!$C$32, 7.4358, 7.4355) * CHOOSE(CONTROL!$C$15, $D$11, 100%, $F$11)</f>
        <v>7.4358000000000004</v>
      </c>
      <c r="I162" s="8">
        <f>CHOOSE( CONTROL!$C$32, 6.5406, 6.5403) * CHOOSE(CONTROL!$C$15, $D$11, 100%, $F$11)</f>
        <v>6.5406000000000004</v>
      </c>
      <c r="J162" s="4">
        <f>CHOOSE( CONTROL!$C$32, 6.4053, 6.405) * CHOOSE(CONTROL!$C$15, $D$11, 100%, $F$11)</f>
        <v>6.4053000000000004</v>
      </c>
      <c r="K162" s="4"/>
      <c r="L162" s="9">
        <v>26.469899999999999</v>
      </c>
      <c r="M162" s="9">
        <v>10.8962</v>
      </c>
      <c r="N162" s="9">
        <v>4.4660000000000002</v>
      </c>
      <c r="O162" s="9">
        <v>0.33789999999999998</v>
      </c>
      <c r="P162" s="9">
        <v>1.1676</v>
      </c>
      <c r="Q162" s="9">
        <v>28.9666</v>
      </c>
      <c r="R162" s="9"/>
      <c r="S162" s="11"/>
    </row>
    <row r="163" spans="1:19" ht="15.75">
      <c r="A163" s="13">
        <v>46082</v>
      </c>
      <c r="B163" s="8">
        <f>CHOOSE( CONTROL!$C$32, 6.4685, 6.4683) * CHOOSE(CONTROL!$C$15, $D$11, 100%, $F$11)</f>
        <v>6.4684999999999997</v>
      </c>
      <c r="C163" s="8">
        <f>CHOOSE( CONTROL!$C$32, 6.4736, 6.4733) * CHOOSE(CONTROL!$C$15, $D$11, 100%, $F$11)</f>
        <v>6.4736000000000002</v>
      </c>
      <c r="D163" s="8">
        <f>CHOOSE( CONTROL!$C$32, 6.4609, 6.4606) * CHOOSE( CONTROL!$C$15, $D$11, 100%, $F$11)</f>
        <v>6.4608999999999996</v>
      </c>
      <c r="E163" s="12">
        <f>CHOOSE( CONTROL!$C$32, 6.465, 6.4647) * CHOOSE( CONTROL!$C$15, $D$11, 100%, $F$11)</f>
        <v>6.4649999999999999</v>
      </c>
      <c r="F163" s="4">
        <f>CHOOSE( CONTROL!$C$32, 7.1338, 7.1335) * CHOOSE(CONTROL!$C$15, $D$11, 100%, $F$11)</f>
        <v>7.1337999999999999</v>
      </c>
      <c r="G163" s="8">
        <f>CHOOSE( CONTROL!$C$32, 6.3992, 6.3989) * CHOOSE( CONTROL!$C$15, $D$11, 100%, $F$11)</f>
        <v>6.3992000000000004</v>
      </c>
      <c r="H163" s="4">
        <f>CHOOSE( CONTROL!$C$32, 7.2969, 7.2966) * CHOOSE(CONTROL!$C$15, $D$11, 100%, $F$11)</f>
        <v>7.2968999999999999</v>
      </c>
      <c r="I163" s="8">
        <f>CHOOSE( CONTROL!$C$32, 6.4026, 6.4023) * CHOOSE(CONTROL!$C$15, $D$11, 100%, $F$11)</f>
        <v>6.4025999999999996</v>
      </c>
      <c r="J163" s="4">
        <f>CHOOSE( CONTROL!$C$32, 6.269, 6.2687) * CHOOSE(CONTROL!$C$15, $D$11, 100%, $F$11)</f>
        <v>6.2690000000000001</v>
      </c>
      <c r="K163" s="4"/>
      <c r="L163" s="9">
        <v>29.306000000000001</v>
      </c>
      <c r="M163" s="9">
        <v>12.063700000000001</v>
      </c>
      <c r="N163" s="9">
        <v>4.9444999999999997</v>
      </c>
      <c r="O163" s="9">
        <v>0.37409999999999999</v>
      </c>
      <c r="P163" s="9">
        <v>1.2927</v>
      </c>
      <c r="Q163" s="9">
        <v>32.070099999999996</v>
      </c>
      <c r="R163" s="9"/>
      <c r="S163" s="11"/>
    </row>
    <row r="164" spans="1:19" ht="15.75">
      <c r="A164" s="13">
        <v>46113</v>
      </c>
      <c r="B164" s="8">
        <f>CHOOSE( CONTROL!$C$32, 6.5675, 6.5672) * CHOOSE(CONTROL!$C$15, $D$11, 100%, $F$11)</f>
        <v>6.5674999999999999</v>
      </c>
      <c r="C164" s="8">
        <f>CHOOSE( CONTROL!$C$32, 6.572, 6.5717) * CHOOSE(CONTROL!$C$15, $D$11, 100%, $F$11)</f>
        <v>6.5720000000000001</v>
      </c>
      <c r="D164" s="8">
        <f>CHOOSE( CONTROL!$C$32, 6.5768, 6.5766) * CHOOSE( CONTROL!$C$15, $D$11, 100%, $F$11)</f>
        <v>6.5768000000000004</v>
      </c>
      <c r="E164" s="12">
        <f>CHOOSE( CONTROL!$C$32, 6.5747, 6.5745) * CHOOSE( CONTROL!$C$15, $D$11, 100%, $F$11)</f>
        <v>6.5747</v>
      </c>
      <c r="F164" s="4">
        <f>CHOOSE( CONTROL!$C$32, 7.2717, 7.2714) * CHOOSE(CONTROL!$C$15, $D$11, 100%, $F$11)</f>
        <v>7.2717000000000001</v>
      </c>
      <c r="G164" s="8">
        <f>CHOOSE( CONTROL!$C$32, 6.502, 6.5017) * CHOOSE( CONTROL!$C$15, $D$11, 100%, $F$11)</f>
        <v>6.5019999999999998</v>
      </c>
      <c r="H164" s="4">
        <f>CHOOSE( CONTROL!$C$32, 7.4331, 7.4329) * CHOOSE(CONTROL!$C$15, $D$11, 100%, $F$11)</f>
        <v>7.4330999999999996</v>
      </c>
      <c r="I164" s="8">
        <f>CHOOSE( CONTROL!$C$32, 6.4721, 6.4718) * CHOOSE(CONTROL!$C$15, $D$11, 100%, $F$11)</f>
        <v>6.4721000000000002</v>
      </c>
      <c r="J164" s="4">
        <f>CHOOSE( CONTROL!$C$32, 6.3642, 6.364) * CHOOSE(CONTROL!$C$15, $D$11, 100%, $F$11)</f>
        <v>6.3642000000000003</v>
      </c>
      <c r="K164" s="4"/>
      <c r="L164" s="9">
        <v>30.092199999999998</v>
      </c>
      <c r="M164" s="9">
        <v>11.6745</v>
      </c>
      <c r="N164" s="9">
        <v>4.7850000000000001</v>
      </c>
      <c r="O164" s="9">
        <v>0.36199999999999999</v>
      </c>
      <c r="P164" s="9">
        <v>1.2509999999999999</v>
      </c>
      <c r="Q164" s="9">
        <v>31.035599999999999</v>
      </c>
      <c r="R164" s="9"/>
      <c r="S164" s="11"/>
    </row>
    <row r="165" spans="1:19" ht="15.75">
      <c r="A165" s="13">
        <v>46143</v>
      </c>
      <c r="B165" s="8">
        <f>CHOOSE( CONTROL!$C$32, 6.7437, 6.7433) * CHOOSE(CONTROL!$C$15, $D$11, 100%, $F$11)</f>
        <v>6.7436999999999996</v>
      </c>
      <c r="C165" s="8">
        <f>CHOOSE( CONTROL!$C$32, 6.7517, 6.7513) * CHOOSE(CONTROL!$C$15, $D$11, 100%, $F$11)</f>
        <v>6.7516999999999996</v>
      </c>
      <c r="D165" s="8">
        <f>CHOOSE( CONTROL!$C$32, 6.7505, 6.75) * CHOOSE( CONTROL!$C$15, $D$11, 100%, $F$11)</f>
        <v>6.7504999999999997</v>
      </c>
      <c r="E165" s="12">
        <f>CHOOSE( CONTROL!$C$32, 6.7497, 6.7493) * CHOOSE( CONTROL!$C$15, $D$11, 100%, $F$11)</f>
        <v>6.7496999999999998</v>
      </c>
      <c r="F165" s="4">
        <f>CHOOSE( CONTROL!$C$32, 7.4466, 7.4461) * CHOOSE(CONTROL!$C$15, $D$11, 100%, $F$11)</f>
        <v>7.4466000000000001</v>
      </c>
      <c r="G165" s="8">
        <f>CHOOSE( CONTROL!$C$32, 6.6747, 6.6742) * CHOOSE( CONTROL!$C$15, $D$11, 100%, $F$11)</f>
        <v>6.6746999999999996</v>
      </c>
      <c r="H165" s="4">
        <f>CHOOSE( CONTROL!$C$32, 7.606, 7.6055) * CHOOSE(CONTROL!$C$15, $D$11, 100%, $F$11)</f>
        <v>7.6059999999999999</v>
      </c>
      <c r="I165" s="8">
        <f>CHOOSE( CONTROL!$C$32, 6.6411, 6.6407) * CHOOSE(CONTROL!$C$15, $D$11, 100%, $F$11)</f>
        <v>6.6410999999999998</v>
      </c>
      <c r="J165" s="4">
        <f>CHOOSE( CONTROL!$C$32, 6.534, 6.5335) * CHOOSE(CONTROL!$C$15, $D$11, 100%, $F$11)</f>
        <v>6.5339999999999998</v>
      </c>
      <c r="K165" s="4"/>
      <c r="L165" s="9">
        <v>30.7165</v>
      </c>
      <c r="M165" s="9">
        <v>12.063700000000001</v>
      </c>
      <c r="N165" s="9">
        <v>4.9444999999999997</v>
      </c>
      <c r="O165" s="9">
        <v>0.37409999999999999</v>
      </c>
      <c r="P165" s="9">
        <v>1.2927</v>
      </c>
      <c r="Q165" s="9">
        <v>32.070099999999996</v>
      </c>
      <c r="R165" s="9"/>
      <c r="S165" s="11"/>
    </row>
    <row r="166" spans="1:19" ht="15.75">
      <c r="A166" s="13">
        <v>46174</v>
      </c>
      <c r="B166" s="8">
        <f>CHOOSE( CONTROL!$C$32, 6.6355, 6.635) * CHOOSE(CONTROL!$C$15, $D$11, 100%, $F$11)</f>
        <v>6.6355000000000004</v>
      </c>
      <c r="C166" s="8">
        <f>CHOOSE( CONTROL!$C$32, 6.6435, 6.643) * CHOOSE(CONTROL!$C$15, $D$11, 100%, $F$11)</f>
        <v>6.6435000000000004</v>
      </c>
      <c r="D166" s="8">
        <f>CHOOSE( CONTROL!$C$32, 6.6424, 6.642) * CHOOSE( CONTROL!$C$15, $D$11, 100%, $F$11)</f>
        <v>6.6424000000000003</v>
      </c>
      <c r="E166" s="12">
        <f>CHOOSE( CONTROL!$C$32, 6.6416, 6.6411) * CHOOSE( CONTROL!$C$15, $D$11, 100%, $F$11)</f>
        <v>6.6416000000000004</v>
      </c>
      <c r="F166" s="4">
        <f>CHOOSE( CONTROL!$C$32, 7.3383, 7.3379) * CHOOSE(CONTROL!$C$15, $D$11, 100%, $F$11)</f>
        <v>7.3383000000000003</v>
      </c>
      <c r="G166" s="8">
        <f>CHOOSE( CONTROL!$C$32, 6.5679, 6.5674) * CHOOSE( CONTROL!$C$15, $D$11, 100%, $F$11)</f>
        <v>6.5678999999999998</v>
      </c>
      <c r="H166" s="4">
        <f>CHOOSE( CONTROL!$C$32, 7.499, 7.4986) * CHOOSE(CONTROL!$C$15, $D$11, 100%, $F$11)</f>
        <v>7.4989999999999997</v>
      </c>
      <c r="I166" s="8">
        <f>CHOOSE( CONTROL!$C$32, 6.5367, 6.5362) * CHOOSE(CONTROL!$C$15, $D$11, 100%, $F$11)</f>
        <v>6.5366999999999997</v>
      </c>
      <c r="J166" s="4">
        <f>CHOOSE( CONTROL!$C$32, 6.4289, 6.4285) * CHOOSE(CONTROL!$C$15, $D$11, 100%, $F$11)</f>
        <v>6.4288999999999996</v>
      </c>
      <c r="K166" s="4"/>
      <c r="L166" s="9">
        <v>29.7257</v>
      </c>
      <c r="M166" s="9">
        <v>11.6745</v>
      </c>
      <c r="N166" s="9">
        <v>4.7850000000000001</v>
      </c>
      <c r="O166" s="9">
        <v>0.36199999999999999</v>
      </c>
      <c r="P166" s="9">
        <v>1.2509999999999999</v>
      </c>
      <c r="Q166" s="9">
        <v>31.035599999999999</v>
      </c>
      <c r="R166" s="9"/>
      <c r="S166" s="11"/>
    </row>
    <row r="167" spans="1:19" ht="15.75">
      <c r="A167" s="13">
        <v>46204</v>
      </c>
      <c r="B167" s="8">
        <f>CHOOSE( CONTROL!$C$32, 6.9205, 6.9201) * CHOOSE(CONTROL!$C$15, $D$11, 100%, $F$11)</f>
        <v>6.9204999999999997</v>
      </c>
      <c r="C167" s="8">
        <f>CHOOSE( CONTROL!$C$32, 6.9285, 6.928) * CHOOSE(CONTROL!$C$15, $D$11, 100%, $F$11)</f>
        <v>6.9284999999999997</v>
      </c>
      <c r="D167" s="8">
        <f>CHOOSE( CONTROL!$C$32, 6.9277, 6.9272) * CHOOSE( CONTROL!$C$15, $D$11, 100%, $F$11)</f>
        <v>6.9276999999999997</v>
      </c>
      <c r="E167" s="12">
        <f>CHOOSE( CONTROL!$C$32, 6.9268, 6.9263) * CHOOSE( CONTROL!$C$15, $D$11, 100%, $F$11)</f>
        <v>6.9268000000000001</v>
      </c>
      <c r="F167" s="4">
        <f>CHOOSE( CONTROL!$C$32, 7.6233, 7.6229) * CHOOSE(CONTROL!$C$15, $D$11, 100%, $F$11)</f>
        <v>7.6233000000000004</v>
      </c>
      <c r="G167" s="8">
        <f>CHOOSE( CONTROL!$C$32, 6.8497, 6.8493) * CHOOSE( CONTROL!$C$15, $D$11, 100%, $F$11)</f>
        <v>6.8497000000000003</v>
      </c>
      <c r="H167" s="4">
        <f>CHOOSE( CONTROL!$C$32, 7.7807, 7.7803) * CHOOSE(CONTROL!$C$15, $D$11, 100%, $F$11)</f>
        <v>7.7807000000000004</v>
      </c>
      <c r="I167" s="8">
        <f>CHOOSE( CONTROL!$C$32, 6.8142, 6.8138) * CHOOSE(CONTROL!$C$15, $D$11, 100%, $F$11)</f>
        <v>6.8141999999999996</v>
      </c>
      <c r="J167" s="4">
        <f>CHOOSE( CONTROL!$C$32, 6.7056, 6.7051) * CHOOSE(CONTROL!$C$15, $D$11, 100%, $F$11)</f>
        <v>6.7055999999999996</v>
      </c>
      <c r="K167" s="4"/>
      <c r="L167" s="9">
        <v>30.7165</v>
      </c>
      <c r="M167" s="9">
        <v>12.063700000000001</v>
      </c>
      <c r="N167" s="9">
        <v>4.9444999999999997</v>
      </c>
      <c r="O167" s="9">
        <v>0.37409999999999999</v>
      </c>
      <c r="P167" s="9">
        <v>1.2927</v>
      </c>
      <c r="Q167" s="9">
        <v>32.070099999999996</v>
      </c>
      <c r="R167" s="9"/>
      <c r="S167" s="11"/>
    </row>
    <row r="168" spans="1:19" ht="15.75">
      <c r="A168" s="13">
        <v>46235</v>
      </c>
      <c r="B168" s="8">
        <f>CHOOSE( CONTROL!$C$32, 6.3872, 6.3868) * CHOOSE(CONTROL!$C$15, $D$11, 100%, $F$11)</f>
        <v>6.3872</v>
      </c>
      <c r="C168" s="8">
        <f>CHOOSE( CONTROL!$C$32, 6.3952, 6.3947) * CHOOSE(CONTROL!$C$15, $D$11, 100%, $F$11)</f>
        <v>6.3952</v>
      </c>
      <c r="D168" s="8">
        <f>CHOOSE( CONTROL!$C$32, 6.3944, 6.394) * CHOOSE( CONTROL!$C$15, $D$11, 100%, $F$11)</f>
        <v>6.3944000000000001</v>
      </c>
      <c r="E168" s="12">
        <f>CHOOSE( CONTROL!$C$32, 6.3935, 6.393) * CHOOSE( CONTROL!$C$15, $D$11, 100%, $F$11)</f>
        <v>6.3935000000000004</v>
      </c>
      <c r="F168" s="4">
        <f>CHOOSE( CONTROL!$C$32, 7.09, 7.0896) * CHOOSE(CONTROL!$C$15, $D$11, 100%, $F$11)</f>
        <v>7.09</v>
      </c>
      <c r="G168" s="8">
        <f>CHOOSE( CONTROL!$C$32, 6.3227, 6.3223) * CHOOSE( CONTROL!$C$15, $D$11, 100%, $F$11)</f>
        <v>6.3227000000000002</v>
      </c>
      <c r="H168" s="4">
        <f>CHOOSE( CONTROL!$C$32, 7.2536, 7.2532) * CHOOSE(CONTROL!$C$15, $D$11, 100%, $F$11)</f>
        <v>7.2535999999999996</v>
      </c>
      <c r="I168" s="8">
        <f>CHOOSE( CONTROL!$C$32, 6.2966, 6.2961) * CHOOSE(CONTROL!$C$15, $D$11, 100%, $F$11)</f>
        <v>6.2965999999999998</v>
      </c>
      <c r="J168" s="4">
        <f>CHOOSE( CONTROL!$C$32, 6.188, 6.1875) * CHOOSE(CONTROL!$C$15, $D$11, 100%, $F$11)</f>
        <v>6.1879999999999997</v>
      </c>
      <c r="K168" s="4"/>
      <c r="L168" s="9">
        <v>30.7165</v>
      </c>
      <c r="M168" s="9">
        <v>12.063700000000001</v>
      </c>
      <c r="N168" s="9">
        <v>4.9444999999999997</v>
      </c>
      <c r="O168" s="9">
        <v>0.37409999999999999</v>
      </c>
      <c r="P168" s="9">
        <v>1.2927</v>
      </c>
      <c r="Q168" s="9">
        <v>32.070099999999996</v>
      </c>
      <c r="R168" s="9"/>
      <c r="S168" s="11"/>
    </row>
    <row r="169" spans="1:19" ht="15.75">
      <c r="A169" s="13">
        <v>46266</v>
      </c>
      <c r="B169" s="8">
        <f>CHOOSE( CONTROL!$C$32, 6.2537, 6.2532) * CHOOSE(CONTROL!$C$15, $D$11, 100%, $F$11)</f>
        <v>6.2537000000000003</v>
      </c>
      <c r="C169" s="8">
        <f>CHOOSE( CONTROL!$C$32, 6.2616, 6.2612) * CHOOSE(CONTROL!$C$15, $D$11, 100%, $F$11)</f>
        <v>6.2615999999999996</v>
      </c>
      <c r="D169" s="8">
        <f>CHOOSE( CONTROL!$C$32, 6.2607, 6.2603) * CHOOSE( CONTROL!$C$15, $D$11, 100%, $F$11)</f>
        <v>6.2606999999999999</v>
      </c>
      <c r="E169" s="12">
        <f>CHOOSE( CONTROL!$C$32, 6.2598, 6.2594) * CHOOSE( CONTROL!$C$15, $D$11, 100%, $F$11)</f>
        <v>6.2598000000000003</v>
      </c>
      <c r="F169" s="4">
        <f>CHOOSE( CONTROL!$C$32, 6.9565, 6.956) * CHOOSE(CONTROL!$C$15, $D$11, 100%, $F$11)</f>
        <v>6.9565000000000001</v>
      </c>
      <c r="G169" s="8">
        <f>CHOOSE( CONTROL!$C$32, 6.1906, 6.1901) * CHOOSE( CONTROL!$C$15, $D$11, 100%, $F$11)</f>
        <v>6.1905999999999999</v>
      </c>
      <c r="H169" s="4">
        <f>CHOOSE( CONTROL!$C$32, 7.1217, 7.1212) * CHOOSE(CONTROL!$C$15, $D$11, 100%, $F$11)</f>
        <v>7.1216999999999997</v>
      </c>
      <c r="I169" s="8">
        <f>CHOOSE( CONTROL!$C$32, 6.1664, 6.1659) * CHOOSE(CONTROL!$C$15, $D$11, 100%, $F$11)</f>
        <v>6.1664000000000003</v>
      </c>
      <c r="J169" s="4">
        <f>CHOOSE( CONTROL!$C$32, 6.0584, 6.0579) * CHOOSE(CONTROL!$C$15, $D$11, 100%, $F$11)</f>
        <v>6.0583999999999998</v>
      </c>
      <c r="K169" s="4"/>
      <c r="L169" s="9">
        <v>29.7257</v>
      </c>
      <c r="M169" s="9">
        <v>11.6745</v>
      </c>
      <c r="N169" s="9">
        <v>4.7850000000000001</v>
      </c>
      <c r="O169" s="9">
        <v>0.36199999999999999</v>
      </c>
      <c r="P169" s="9">
        <v>1.2509999999999999</v>
      </c>
      <c r="Q169" s="9">
        <v>31.035599999999999</v>
      </c>
      <c r="R169" s="9"/>
      <c r="S169" s="11"/>
    </row>
    <row r="170" spans="1:19" ht="15.75">
      <c r="A170" s="13">
        <v>46296</v>
      </c>
      <c r="B170" s="8">
        <f>CHOOSE( CONTROL!$C$32, 6.529, 6.5288) * CHOOSE(CONTROL!$C$15, $D$11, 100%, $F$11)</f>
        <v>6.5289999999999999</v>
      </c>
      <c r="C170" s="8">
        <f>CHOOSE( CONTROL!$C$32, 6.5344, 6.5341) * CHOOSE(CONTROL!$C$15, $D$11, 100%, $F$11)</f>
        <v>6.5343999999999998</v>
      </c>
      <c r="D170" s="8">
        <f>CHOOSE( CONTROL!$C$32, 6.5391, 6.5388) * CHOOSE( CONTROL!$C$15, $D$11, 100%, $F$11)</f>
        <v>6.5391000000000004</v>
      </c>
      <c r="E170" s="12">
        <f>CHOOSE( CONTROL!$C$32, 6.537, 6.5367) * CHOOSE( CONTROL!$C$15, $D$11, 100%, $F$11)</f>
        <v>6.5369999999999999</v>
      </c>
      <c r="F170" s="4">
        <f>CHOOSE( CONTROL!$C$32, 7.2336, 7.2333) * CHOOSE(CONTROL!$C$15, $D$11, 100%, $F$11)</f>
        <v>7.2336</v>
      </c>
      <c r="G170" s="8">
        <f>CHOOSE( CONTROL!$C$32, 6.4646, 6.4644) * CHOOSE( CONTROL!$C$15, $D$11, 100%, $F$11)</f>
        <v>6.4645999999999999</v>
      </c>
      <c r="H170" s="4">
        <f>CHOOSE( CONTROL!$C$32, 7.3955, 7.3953) * CHOOSE(CONTROL!$C$15, $D$11, 100%, $F$11)</f>
        <v>7.3955000000000002</v>
      </c>
      <c r="I170" s="8">
        <f>CHOOSE( CONTROL!$C$32, 6.4363, 6.436) * CHOOSE(CONTROL!$C$15, $D$11, 100%, $F$11)</f>
        <v>6.4363000000000001</v>
      </c>
      <c r="J170" s="4">
        <f>CHOOSE( CONTROL!$C$32, 6.3273, 6.327) * CHOOSE(CONTROL!$C$15, $D$11, 100%, $F$11)</f>
        <v>6.3273000000000001</v>
      </c>
      <c r="K170" s="4"/>
      <c r="L170" s="9">
        <v>31.095300000000002</v>
      </c>
      <c r="M170" s="9">
        <v>12.063700000000001</v>
      </c>
      <c r="N170" s="9">
        <v>4.9444999999999997</v>
      </c>
      <c r="O170" s="9">
        <v>0.37409999999999999</v>
      </c>
      <c r="P170" s="9">
        <v>1.2927</v>
      </c>
      <c r="Q170" s="9">
        <v>32.070099999999996</v>
      </c>
      <c r="R170" s="9"/>
      <c r="S170" s="11"/>
    </row>
    <row r="171" spans="1:19" ht="15.75">
      <c r="A171" s="13">
        <v>46327</v>
      </c>
      <c r="B171" s="8">
        <f>CHOOSE( CONTROL!$C$32, 7.0405, 7.0402) * CHOOSE(CONTROL!$C$15, $D$11, 100%, $F$11)</f>
        <v>7.0404999999999998</v>
      </c>
      <c r="C171" s="8">
        <f>CHOOSE( CONTROL!$C$32, 7.0455, 7.0453) * CHOOSE(CONTROL!$C$15, $D$11, 100%, $F$11)</f>
        <v>7.0454999999999997</v>
      </c>
      <c r="D171" s="8">
        <f>CHOOSE( CONTROL!$C$32, 7.0283, 7.028) * CHOOSE( CONTROL!$C$15, $D$11, 100%, $F$11)</f>
        <v>7.0282999999999998</v>
      </c>
      <c r="E171" s="12">
        <f>CHOOSE( CONTROL!$C$32, 7.0341, 7.0338) * CHOOSE( CONTROL!$C$15, $D$11, 100%, $F$11)</f>
        <v>7.0340999999999996</v>
      </c>
      <c r="F171" s="4">
        <f>CHOOSE( CONTROL!$C$32, 7.7058, 7.7055) * CHOOSE(CONTROL!$C$15, $D$11, 100%, $F$11)</f>
        <v>7.7058</v>
      </c>
      <c r="G171" s="8">
        <f>CHOOSE( CONTROL!$C$32, 6.9674, 6.9671) * CHOOSE( CONTROL!$C$15, $D$11, 100%, $F$11)</f>
        <v>6.9673999999999996</v>
      </c>
      <c r="H171" s="4">
        <f>CHOOSE( CONTROL!$C$32, 7.8622, 7.8619) * CHOOSE(CONTROL!$C$15, $D$11, 100%, $F$11)</f>
        <v>7.8621999999999996</v>
      </c>
      <c r="I171" s="8">
        <f>CHOOSE( CONTROL!$C$32, 6.9889, 6.9886) * CHOOSE(CONTROL!$C$15, $D$11, 100%, $F$11)</f>
        <v>6.9889000000000001</v>
      </c>
      <c r="J171" s="4">
        <f>CHOOSE( CONTROL!$C$32, 6.824, 6.8238) * CHOOSE(CONTROL!$C$15, $D$11, 100%, $F$11)</f>
        <v>6.8239999999999998</v>
      </c>
      <c r="K171" s="4"/>
      <c r="L171" s="9">
        <v>28.360600000000002</v>
      </c>
      <c r="M171" s="9">
        <v>11.6745</v>
      </c>
      <c r="N171" s="9">
        <v>4.7850000000000001</v>
      </c>
      <c r="O171" s="9">
        <v>0.36199999999999999</v>
      </c>
      <c r="P171" s="9">
        <v>1.2509999999999999</v>
      </c>
      <c r="Q171" s="9">
        <v>31.035599999999999</v>
      </c>
      <c r="R171" s="9"/>
      <c r="S171" s="11"/>
    </row>
    <row r="172" spans="1:19" ht="15.75">
      <c r="A172" s="13">
        <v>46357</v>
      </c>
      <c r="B172" s="8">
        <f>CHOOSE( CONTROL!$C$32, 7.0277, 7.0274) * CHOOSE(CONTROL!$C$15, $D$11, 100%, $F$11)</f>
        <v>7.0277000000000003</v>
      </c>
      <c r="C172" s="8">
        <f>CHOOSE( CONTROL!$C$32, 7.0328, 7.0325) * CHOOSE(CONTROL!$C$15, $D$11, 100%, $F$11)</f>
        <v>7.0327999999999999</v>
      </c>
      <c r="D172" s="8">
        <f>CHOOSE( CONTROL!$C$32, 7.0173, 7.017) * CHOOSE( CONTROL!$C$15, $D$11, 100%, $F$11)</f>
        <v>7.0172999999999996</v>
      </c>
      <c r="E172" s="12">
        <f>CHOOSE( CONTROL!$C$32, 7.0224, 7.0221) * CHOOSE( CONTROL!$C$15, $D$11, 100%, $F$11)</f>
        <v>7.0224000000000002</v>
      </c>
      <c r="F172" s="4">
        <f>CHOOSE( CONTROL!$C$32, 7.693, 7.6927) * CHOOSE(CONTROL!$C$15, $D$11, 100%, $F$11)</f>
        <v>7.6929999999999996</v>
      </c>
      <c r="G172" s="8">
        <f>CHOOSE( CONTROL!$C$32, 6.956, 6.9558) * CHOOSE( CONTROL!$C$15, $D$11, 100%, $F$11)</f>
        <v>6.9560000000000004</v>
      </c>
      <c r="H172" s="4">
        <f>CHOOSE( CONTROL!$C$32, 7.8495, 7.8492) * CHOOSE(CONTROL!$C$15, $D$11, 100%, $F$11)</f>
        <v>7.8494999999999999</v>
      </c>
      <c r="I172" s="8">
        <f>CHOOSE( CONTROL!$C$32, 6.982, 6.9818) * CHOOSE(CONTROL!$C$15, $D$11, 100%, $F$11)</f>
        <v>6.9820000000000002</v>
      </c>
      <c r="J172" s="4">
        <f>CHOOSE( CONTROL!$C$32, 6.8116, 6.8113) * CHOOSE(CONTROL!$C$15, $D$11, 100%, $F$11)</f>
        <v>6.8116000000000003</v>
      </c>
      <c r="K172" s="4"/>
      <c r="L172" s="9">
        <v>29.306000000000001</v>
      </c>
      <c r="M172" s="9">
        <v>12.063700000000001</v>
      </c>
      <c r="N172" s="9">
        <v>4.9444999999999997</v>
      </c>
      <c r="O172" s="9">
        <v>0.37409999999999999</v>
      </c>
      <c r="P172" s="9">
        <v>1.2927</v>
      </c>
      <c r="Q172" s="9">
        <v>32.070099999999996</v>
      </c>
      <c r="R172" s="9"/>
      <c r="S172" s="11"/>
    </row>
    <row r="173" spans="1:19" ht="15.75">
      <c r="A173" s="13">
        <v>46388</v>
      </c>
      <c r="B173" s="8">
        <f>CHOOSE( CONTROL!$C$32, 7.2829, 7.2827) * CHOOSE(CONTROL!$C$15, $D$11, 100%, $F$11)</f>
        <v>7.2828999999999997</v>
      </c>
      <c r="C173" s="8">
        <f>CHOOSE( CONTROL!$C$32, 7.288, 7.2877) * CHOOSE(CONTROL!$C$15, $D$11, 100%, $F$11)</f>
        <v>7.2880000000000003</v>
      </c>
      <c r="D173" s="8">
        <f>CHOOSE( CONTROL!$C$32, 7.2785, 7.2782) * CHOOSE( CONTROL!$C$15, $D$11, 100%, $F$11)</f>
        <v>7.2785000000000002</v>
      </c>
      <c r="E173" s="12">
        <f>CHOOSE( CONTROL!$C$32, 7.2814, 7.2811) * CHOOSE( CONTROL!$C$15, $D$11, 100%, $F$11)</f>
        <v>7.2813999999999997</v>
      </c>
      <c r="F173" s="4">
        <f>CHOOSE( CONTROL!$C$32, 7.9482, 7.948) * CHOOSE(CONTROL!$C$15, $D$11, 100%, $F$11)</f>
        <v>7.9481999999999999</v>
      </c>
      <c r="G173" s="8">
        <f>CHOOSE( CONTROL!$C$32, 7.209, 7.2088) * CHOOSE( CONTROL!$C$15, $D$11, 100%, $F$11)</f>
        <v>7.2089999999999996</v>
      </c>
      <c r="H173" s="4">
        <f>CHOOSE( CONTROL!$C$32, 8.1018, 8.1015) * CHOOSE(CONTROL!$C$15, $D$11, 100%, $F$11)</f>
        <v>8.1018000000000008</v>
      </c>
      <c r="I173" s="8">
        <f>CHOOSE( CONTROL!$C$32, 7.2103, 7.2101) * CHOOSE(CONTROL!$C$15, $D$11, 100%, $F$11)</f>
        <v>7.2103000000000002</v>
      </c>
      <c r="J173" s="4">
        <f>CHOOSE( CONTROL!$C$32, 7.0593, 7.0591) * CHOOSE(CONTROL!$C$15, $D$11, 100%, $F$11)</f>
        <v>7.0593000000000004</v>
      </c>
      <c r="K173" s="4"/>
      <c r="L173" s="9">
        <v>29.306000000000001</v>
      </c>
      <c r="M173" s="9">
        <v>12.063700000000001</v>
      </c>
      <c r="N173" s="9">
        <v>4.9444999999999997</v>
      </c>
      <c r="O173" s="9">
        <v>0.37409999999999999</v>
      </c>
      <c r="P173" s="9">
        <v>1.2927</v>
      </c>
      <c r="Q173" s="9">
        <v>31.885999999999999</v>
      </c>
      <c r="R173" s="9"/>
      <c r="S173" s="11"/>
    </row>
    <row r="174" spans="1:19" ht="15.75">
      <c r="A174" s="13">
        <v>46419</v>
      </c>
      <c r="B174" s="8">
        <f>CHOOSE( CONTROL!$C$32, 6.8127, 6.8124) * CHOOSE(CONTROL!$C$15, $D$11, 100%, $F$11)</f>
        <v>6.8127000000000004</v>
      </c>
      <c r="C174" s="8">
        <f>CHOOSE( CONTROL!$C$32, 6.8178, 6.8175) * CHOOSE(CONTROL!$C$15, $D$11, 100%, $F$11)</f>
        <v>6.8178000000000001</v>
      </c>
      <c r="D174" s="8">
        <f>CHOOSE( CONTROL!$C$32, 6.8099, 6.8096) * CHOOSE( CONTROL!$C$15, $D$11, 100%, $F$11)</f>
        <v>6.8098999999999998</v>
      </c>
      <c r="E174" s="12">
        <f>CHOOSE( CONTROL!$C$32, 6.8122, 6.8119) * CHOOSE( CONTROL!$C$15, $D$11, 100%, $F$11)</f>
        <v>6.8121999999999998</v>
      </c>
      <c r="F174" s="4">
        <f>CHOOSE( CONTROL!$C$32, 7.478, 7.4777) * CHOOSE(CONTROL!$C$15, $D$11, 100%, $F$11)</f>
        <v>7.4779999999999998</v>
      </c>
      <c r="G174" s="8">
        <f>CHOOSE( CONTROL!$C$32, 6.7428, 6.7426) * CHOOSE( CONTROL!$C$15, $D$11, 100%, $F$11)</f>
        <v>6.7427999999999999</v>
      </c>
      <c r="H174" s="4">
        <f>CHOOSE( CONTROL!$C$32, 7.6371, 7.6368) * CHOOSE(CONTROL!$C$15, $D$11, 100%, $F$11)</f>
        <v>7.6371000000000002</v>
      </c>
      <c r="I174" s="8">
        <f>CHOOSE( CONTROL!$C$32, 6.7384, 6.7381) * CHOOSE(CONTROL!$C$15, $D$11, 100%, $F$11)</f>
        <v>6.7384000000000004</v>
      </c>
      <c r="J174" s="4">
        <f>CHOOSE( CONTROL!$C$32, 6.603, 6.6027) * CHOOSE(CONTROL!$C$15, $D$11, 100%, $F$11)</f>
        <v>6.6029999999999998</v>
      </c>
      <c r="K174" s="4"/>
      <c r="L174" s="9">
        <v>26.469899999999999</v>
      </c>
      <c r="M174" s="9">
        <v>10.8962</v>
      </c>
      <c r="N174" s="9">
        <v>4.4660000000000002</v>
      </c>
      <c r="O174" s="9">
        <v>0.33789999999999998</v>
      </c>
      <c r="P174" s="9">
        <v>1.1676</v>
      </c>
      <c r="Q174" s="9">
        <v>28.8002</v>
      </c>
      <c r="R174" s="9"/>
      <c r="S174" s="11"/>
    </row>
    <row r="175" spans="1:19" ht="15.75">
      <c r="A175" s="13">
        <v>46447</v>
      </c>
      <c r="B175" s="8">
        <f>CHOOSE( CONTROL!$C$32, 6.6679, 6.6676) * CHOOSE(CONTROL!$C$15, $D$11, 100%, $F$11)</f>
        <v>6.6679000000000004</v>
      </c>
      <c r="C175" s="8">
        <f>CHOOSE( CONTROL!$C$32, 6.673, 6.6727) * CHOOSE(CONTROL!$C$15, $D$11, 100%, $F$11)</f>
        <v>6.673</v>
      </c>
      <c r="D175" s="8">
        <f>CHOOSE( CONTROL!$C$32, 6.6603, 6.66) * CHOOSE( CONTROL!$C$15, $D$11, 100%, $F$11)</f>
        <v>6.6603000000000003</v>
      </c>
      <c r="E175" s="12">
        <f>CHOOSE( CONTROL!$C$32, 6.6644, 6.6641) * CHOOSE( CONTROL!$C$15, $D$11, 100%, $F$11)</f>
        <v>6.6643999999999997</v>
      </c>
      <c r="F175" s="4">
        <f>CHOOSE( CONTROL!$C$32, 7.3332, 7.3329) * CHOOSE(CONTROL!$C$15, $D$11, 100%, $F$11)</f>
        <v>7.3331999999999997</v>
      </c>
      <c r="G175" s="8">
        <f>CHOOSE( CONTROL!$C$32, 6.5962, 6.596) * CHOOSE( CONTROL!$C$15, $D$11, 100%, $F$11)</f>
        <v>6.5961999999999996</v>
      </c>
      <c r="H175" s="4">
        <f>CHOOSE( CONTROL!$C$32, 7.4939, 7.4937) * CHOOSE(CONTROL!$C$15, $D$11, 100%, $F$11)</f>
        <v>7.4939</v>
      </c>
      <c r="I175" s="8">
        <f>CHOOSE( CONTROL!$C$32, 6.5961, 6.5959) * CHOOSE(CONTROL!$C$15, $D$11, 100%, $F$11)</f>
        <v>6.5960999999999999</v>
      </c>
      <c r="J175" s="4">
        <f>CHOOSE( CONTROL!$C$32, 6.4624, 6.4622) * CHOOSE(CONTROL!$C$15, $D$11, 100%, $F$11)</f>
        <v>6.4623999999999997</v>
      </c>
      <c r="K175" s="4"/>
      <c r="L175" s="9">
        <v>29.306000000000001</v>
      </c>
      <c r="M175" s="9">
        <v>12.063700000000001</v>
      </c>
      <c r="N175" s="9">
        <v>4.9444999999999997</v>
      </c>
      <c r="O175" s="9">
        <v>0.37409999999999999</v>
      </c>
      <c r="P175" s="9">
        <v>1.2927</v>
      </c>
      <c r="Q175" s="9">
        <v>31.885999999999999</v>
      </c>
      <c r="R175" s="9"/>
      <c r="S175" s="11"/>
    </row>
    <row r="176" spans="1:19" ht="15.75">
      <c r="A176" s="13">
        <v>46478</v>
      </c>
      <c r="B176" s="8">
        <f>CHOOSE( CONTROL!$C$32, 6.7699, 6.7696) * CHOOSE(CONTROL!$C$15, $D$11, 100%, $F$11)</f>
        <v>6.7698999999999998</v>
      </c>
      <c r="C176" s="8">
        <f>CHOOSE( CONTROL!$C$32, 6.7744, 6.7741) * CHOOSE(CONTROL!$C$15, $D$11, 100%, $F$11)</f>
        <v>6.7744</v>
      </c>
      <c r="D176" s="8">
        <f>CHOOSE( CONTROL!$C$32, 6.7792, 6.779) * CHOOSE( CONTROL!$C$15, $D$11, 100%, $F$11)</f>
        <v>6.7792000000000003</v>
      </c>
      <c r="E176" s="12">
        <f>CHOOSE( CONTROL!$C$32, 6.7771, 6.7769) * CHOOSE( CONTROL!$C$15, $D$11, 100%, $F$11)</f>
        <v>6.7770999999999999</v>
      </c>
      <c r="F176" s="4">
        <f>CHOOSE( CONTROL!$C$32, 7.474, 7.4738) * CHOOSE(CONTROL!$C$15, $D$11, 100%, $F$11)</f>
        <v>7.4740000000000002</v>
      </c>
      <c r="G176" s="8">
        <f>CHOOSE( CONTROL!$C$32, 6.702, 6.7017) * CHOOSE( CONTROL!$C$15, $D$11, 100%, $F$11)</f>
        <v>6.702</v>
      </c>
      <c r="H176" s="4">
        <f>CHOOSE( CONTROL!$C$32, 7.6332, 7.6329) * CHOOSE(CONTROL!$C$15, $D$11, 100%, $F$11)</f>
        <v>7.6332000000000004</v>
      </c>
      <c r="I176" s="8">
        <f>CHOOSE( CONTROL!$C$32, 6.6686, 6.6684) * CHOOSE(CONTROL!$C$15, $D$11, 100%, $F$11)</f>
        <v>6.6685999999999996</v>
      </c>
      <c r="J176" s="4">
        <f>CHOOSE( CONTROL!$C$32, 6.5606, 6.5604) * CHOOSE(CONTROL!$C$15, $D$11, 100%, $F$11)</f>
        <v>6.5606</v>
      </c>
      <c r="K176" s="4"/>
      <c r="L176" s="9">
        <v>30.092199999999998</v>
      </c>
      <c r="M176" s="9">
        <v>11.6745</v>
      </c>
      <c r="N176" s="9">
        <v>4.7850000000000001</v>
      </c>
      <c r="O176" s="9">
        <v>0.36199999999999999</v>
      </c>
      <c r="P176" s="9">
        <v>1.2509999999999999</v>
      </c>
      <c r="Q176" s="9">
        <v>30.857399999999998</v>
      </c>
      <c r="R176" s="9"/>
      <c r="S176" s="11"/>
    </row>
    <row r="177" spans="1:19" ht="15.75">
      <c r="A177" s="13">
        <v>46508</v>
      </c>
      <c r="B177" s="8">
        <f>CHOOSE( CONTROL!$C$32, 6.9515, 6.9511) * CHOOSE(CONTROL!$C$15, $D$11, 100%, $F$11)</f>
        <v>6.9515000000000002</v>
      </c>
      <c r="C177" s="8">
        <f>CHOOSE( CONTROL!$C$32, 6.9595, 6.959) * CHOOSE(CONTROL!$C$15, $D$11, 100%, $F$11)</f>
        <v>6.9595000000000002</v>
      </c>
      <c r="D177" s="8">
        <f>CHOOSE( CONTROL!$C$32, 6.9583, 6.9578) * CHOOSE( CONTROL!$C$15, $D$11, 100%, $F$11)</f>
        <v>6.9583000000000004</v>
      </c>
      <c r="E177" s="12">
        <f>CHOOSE( CONTROL!$C$32, 6.9575, 6.957) * CHOOSE( CONTROL!$C$15, $D$11, 100%, $F$11)</f>
        <v>6.9574999999999996</v>
      </c>
      <c r="F177" s="4">
        <f>CHOOSE( CONTROL!$C$32, 7.6543, 7.6539) * CHOOSE(CONTROL!$C$15, $D$11, 100%, $F$11)</f>
        <v>7.6543000000000001</v>
      </c>
      <c r="G177" s="8">
        <f>CHOOSE( CONTROL!$C$32, 6.88, 6.8796) * CHOOSE( CONTROL!$C$15, $D$11, 100%, $F$11)</f>
        <v>6.88</v>
      </c>
      <c r="H177" s="4">
        <f>CHOOSE( CONTROL!$C$32, 7.8113, 7.8109) * CHOOSE(CONTROL!$C$15, $D$11, 100%, $F$11)</f>
        <v>7.8113000000000001</v>
      </c>
      <c r="I177" s="8">
        <f>CHOOSE( CONTROL!$C$32, 6.8429, 6.8424) * CHOOSE(CONTROL!$C$15, $D$11, 100%, $F$11)</f>
        <v>6.8429000000000002</v>
      </c>
      <c r="J177" s="4">
        <f>CHOOSE( CONTROL!$C$32, 6.7356, 6.7352) * CHOOSE(CONTROL!$C$15, $D$11, 100%, $F$11)</f>
        <v>6.7355999999999998</v>
      </c>
      <c r="K177" s="4"/>
      <c r="L177" s="9">
        <v>30.7165</v>
      </c>
      <c r="M177" s="9">
        <v>12.063700000000001</v>
      </c>
      <c r="N177" s="9">
        <v>4.9444999999999997</v>
      </c>
      <c r="O177" s="9">
        <v>0.37409999999999999</v>
      </c>
      <c r="P177" s="9">
        <v>1.2927</v>
      </c>
      <c r="Q177" s="9">
        <v>31.885999999999999</v>
      </c>
      <c r="R177" s="9"/>
      <c r="S177" s="11"/>
    </row>
    <row r="178" spans="1:19" ht="15.75">
      <c r="A178" s="13">
        <v>46539</v>
      </c>
      <c r="B178" s="8">
        <f>CHOOSE( CONTROL!$C$32, 6.8399, 6.8395) * CHOOSE(CONTROL!$C$15, $D$11, 100%, $F$11)</f>
        <v>6.8399000000000001</v>
      </c>
      <c r="C178" s="8">
        <f>CHOOSE( CONTROL!$C$32, 6.8479, 6.8475) * CHOOSE(CONTROL!$C$15, $D$11, 100%, $F$11)</f>
        <v>6.8479000000000001</v>
      </c>
      <c r="D178" s="8">
        <f>CHOOSE( CONTROL!$C$32, 6.8469, 6.8464) * CHOOSE( CONTROL!$C$15, $D$11, 100%, $F$11)</f>
        <v>6.8468999999999998</v>
      </c>
      <c r="E178" s="12">
        <f>CHOOSE( CONTROL!$C$32, 6.846, 6.8456) * CHOOSE( CONTROL!$C$15, $D$11, 100%, $F$11)</f>
        <v>6.8460000000000001</v>
      </c>
      <c r="F178" s="4">
        <f>CHOOSE( CONTROL!$C$32, 7.5428, 7.5423) * CHOOSE(CONTROL!$C$15, $D$11, 100%, $F$11)</f>
        <v>7.5427999999999997</v>
      </c>
      <c r="G178" s="8">
        <f>CHOOSE( CONTROL!$C$32, 6.7699, 6.7695) * CHOOSE( CONTROL!$C$15, $D$11, 100%, $F$11)</f>
        <v>6.7698999999999998</v>
      </c>
      <c r="H178" s="4">
        <f>CHOOSE( CONTROL!$C$32, 7.7011, 7.7006) * CHOOSE(CONTROL!$C$15, $D$11, 100%, $F$11)</f>
        <v>7.7011000000000003</v>
      </c>
      <c r="I178" s="8">
        <f>CHOOSE( CONTROL!$C$32, 6.7352, 6.7347) * CHOOSE(CONTROL!$C$15, $D$11, 100%, $F$11)</f>
        <v>6.7351999999999999</v>
      </c>
      <c r="J178" s="4">
        <f>CHOOSE( CONTROL!$C$32, 6.6273, 6.6269) * CHOOSE(CONTROL!$C$15, $D$11, 100%, $F$11)</f>
        <v>6.6273</v>
      </c>
      <c r="K178" s="4"/>
      <c r="L178" s="9">
        <v>29.7257</v>
      </c>
      <c r="M178" s="9">
        <v>11.6745</v>
      </c>
      <c r="N178" s="9">
        <v>4.7850000000000001</v>
      </c>
      <c r="O178" s="9">
        <v>0.36199999999999999</v>
      </c>
      <c r="P178" s="9">
        <v>1.2509999999999999</v>
      </c>
      <c r="Q178" s="9">
        <v>30.857399999999998</v>
      </c>
      <c r="R178" s="9"/>
      <c r="S178" s="11"/>
    </row>
    <row r="179" spans="1:19" ht="15.75">
      <c r="A179" s="13">
        <v>46569</v>
      </c>
      <c r="B179" s="8">
        <f>CHOOSE( CONTROL!$C$32, 7.1338, 7.1333) * CHOOSE(CONTROL!$C$15, $D$11, 100%, $F$11)</f>
        <v>7.1337999999999999</v>
      </c>
      <c r="C179" s="8">
        <f>CHOOSE( CONTROL!$C$32, 7.1417, 7.1413) * CHOOSE(CONTROL!$C$15, $D$11, 100%, $F$11)</f>
        <v>7.1417000000000002</v>
      </c>
      <c r="D179" s="8">
        <f>CHOOSE( CONTROL!$C$32, 7.1409, 7.1405) * CHOOSE( CONTROL!$C$15, $D$11, 100%, $F$11)</f>
        <v>7.1409000000000002</v>
      </c>
      <c r="E179" s="12">
        <f>CHOOSE( CONTROL!$C$32, 7.14, 7.1396) * CHOOSE( CONTROL!$C$15, $D$11, 100%, $F$11)</f>
        <v>7.14</v>
      </c>
      <c r="F179" s="4">
        <f>CHOOSE( CONTROL!$C$32, 7.8366, 7.8361) * CHOOSE(CONTROL!$C$15, $D$11, 100%, $F$11)</f>
        <v>7.8365999999999998</v>
      </c>
      <c r="G179" s="8">
        <f>CHOOSE( CONTROL!$C$32, 7.0605, 7.06) * CHOOSE( CONTROL!$C$15, $D$11, 100%, $F$11)</f>
        <v>7.0605000000000002</v>
      </c>
      <c r="H179" s="4">
        <f>CHOOSE( CONTROL!$C$32, 7.9915, 7.991) * CHOOSE(CONTROL!$C$15, $D$11, 100%, $F$11)</f>
        <v>7.9915000000000003</v>
      </c>
      <c r="I179" s="8">
        <f>CHOOSE( CONTROL!$C$32, 7.0213, 7.0208) * CHOOSE(CONTROL!$C$15, $D$11, 100%, $F$11)</f>
        <v>7.0213000000000001</v>
      </c>
      <c r="J179" s="4">
        <f>CHOOSE( CONTROL!$C$32, 6.9125, 6.9121) * CHOOSE(CONTROL!$C$15, $D$11, 100%, $F$11)</f>
        <v>6.9124999999999996</v>
      </c>
      <c r="K179" s="4"/>
      <c r="L179" s="9">
        <v>30.7165</v>
      </c>
      <c r="M179" s="9">
        <v>12.063700000000001</v>
      </c>
      <c r="N179" s="9">
        <v>4.9444999999999997</v>
      </c>
      <c r="O179" s="9">
        <v>0.37409999999999999</v>
      </c>
      <c r="P179" s="9">
        <v>1.2927</v>
      </c>
      <c r="Q179" s="9">
        <v>31.885999999999999</v>
      </c>
      <c r="R179" s="9"/>
      <c r="S179" s="11"/>
    </row>
    <row r="180" spans="1:19" ht="15.75">
      <c r="A180" s="13">
        <v>46600</v>
      </c>
      <c r="B180" s="8">
        <f>CHOOSE( CONTROL!$C$32, 6.584, 6.5835) * CHOOSE(CONTROL!$C$15, $D$11, 100%, $F$11)</f>
        <v>6.5839999999999996</v>
      </c>
      <c r="C180" s="8">
        <f>CHOOSE( CONTROL!$C$32, 6.592, 6.5915) * CHOOSE(CONTROL!$C$15, $D$11, 100%, $F$11)</f>
        <v>6.5919999999999996</v>
      </c>
      <c r="D180" s="8">
        <f>CHOOSE( CONTROL!$C$32, 6.5912, 6.5908) * CHOOSE( CONTROL!$C$15, $D$11, 100%, $F$11)</f>
        <v>6.5911999999999997</v>
      </c>
      <c r="E180" s="12">
        <f>CHOOSE( CONTROL!$C$32, 6.5903, 6.5898) * CHOOSE( CONTROL!$C$15, $D$11, 100%, $F$11)</f>
        <v>6.5903</v>
      </c>
      <c r="F180" s="4">
        <f>CHOOSE( CONTROL!$C$32, 7.2868, 7.2864) * CHOOSE(CONTROL!$C$15, $D$11, 100%, $F$11)</f>
        <v>7.2868000000000004</v>
      </c>
      <c r="G180" s="8">
        <f>CHOOSE( CONTROL!$C$32, 6.5172, 6.5167) * CHOOSE( CONTROL!$C$15, $D$11, 100%, $F$11)</f>
        <v>6.5171999999999999</v>
      </c>
      <c r="H180" s="4">
        <f>CHOOSE( CONTROL!$C$32, 7.4481, 7.4477) * CHOOSE(CONTROL!$C$15, $D$11, 100%, $F$11)</f>
        <v>7.4481000000000002</v>
      </c>
      <c r="I180" s="8">
        <f>CHOOSE( CONTROL!$C$32, 6.4876, 6.4872) * CHOOSE(CONTROL!$C$15, $D$11, 100%, $F$11)</f>
        <v>6.4875999999999996</v>
      </c>
      <c r="J180" s="4">
        <f>CHOOSE( CONTROL!$C$32, 6.3789, 6.3785) * CHOOSE(CONTROL!$C$15, $D$11, 100%, $F$11)</f>
        <v>6.3788999999999998</v>
      </c>
      <c r="K180" s="4"/>
      <c r="L180" s="9">
        <v>30.7165</v>
      </c>
      <c r="M180" s="9">
        <v>12.063700000000001</v>
      </c>
      <c r="N180" s="9">
        <v>4.9444999999999997</v>
      </c>
      <c r="O180" s="9">
        <v>0.37409999999999999</v>
      </c>
      <c r="P180" s="9">
        <v>1.2927</v>
      </c>
      <c r="Q180" s="9">
        <v>31.885999999999999</v>
      </c>
      <c r="R180" s="9"/>
      <c r="S180" s="11"/>
    </row>
    <row r="181" spans="1:19" ht="15.75">
      <c r="A181" s="13">
        <v>46631</v>
      </c>
      <c r="B181" s="8">
        <f>CHOOSE( CONTROL!$C$32, 6.4463, 6.4459) * CHOOSE(CONTROL!$C$15, $D$11, 100%, $F$11)</f>
        <v>6.4462999999999999</v>
      </c>
      <c r="C181" s="8">
        <f>CHOOSE( CONTROL!$C$32, 6.4543, 6.4538) * CHOOSE(CONTROL!$C$15, $D$11, 100%, $F$11)</f>
        <v>6.4542999999999999</v>
      </c>
      <c r="D181" s="8">
        <f>CHOOSE( CONTROL!$C$32, 6.4534, 6.4529) * CHOOSE( CONTROL!$C$15, $D$11, 100%, $F$11)</f>
        <v>6.4534000000000002</v>
      </c>
      <c r="E181" s="12">
        <f>CHOOSE( CONTROL!$C$32, 6.4525, 6.452) * CHOOSE( CONTROL!$C$15, $D$11, 100%, $F$11)</f>
        <v>6.4524999999999997</v>
      </c>
      <c r="F181" s="4">
        <f>CHOOSE( CONTROL!$C$32, 7.1491, 7.1487) * CHOOSE(CONTROL!$C$15, $D$11, 100%, $F$11)</f>
        <v>7.1490999999999998</v>
      </c>
      <c r="G181" s="8">
        <f>CHOOSE( CONTROL!$C$32, 6.381, 6.3805) * CHOOSE( CONTROL!$C$15, $D$11, 100%, $F$11)</f>
        <v>6.3810000000000002</v>
      </c>
      <c r="H181" s="4">
        <f>CHOOSE( CONTROL!$C$32, 7.3121, 7.3116) * CHOOSE(CONTROL!$C$15, $D$11, 100%, $F$11)</f>
        <v>7.3121</v>
      </c>
      <c r="I181" s="8">
        <f>CHOOSE( CONTROL!$C$32, 6.3534, 6.353) * CHOOSE(CONTROL!$C$15, $D$11, 100%, $F$11)</f>
        <v>6.3533999999999997</v>
      </c>
      <c r="J181" s="4">
        <f>CHOOSE( CONTROL!$C$32, 6.2453, 6.2449) * CHOOSE(CONTROL!$C$15, $D$11, 100%, $F$11)</f>
        <v>6.2453000000000003</v>
      </c>
      <c r="K181" s="4"/>
      <c r="L181" s="9">
        <v>29.7257</v>
      </c>
      <c r="M181" s="9">
        <v>11.6745</v>
      </c>
      <c r="N181" s="9">
        <v>4.7850000000000001</v>
      </c>
      <c r="O181" s="9">
        <v>0.36199999999999999</v>
      </c>
      <c r="P181" s="9">
        <v>1.2509999999999999</v>
      </c>
      <c r="Q181" s="9">
        <v>30.857399999999998</v>
      </c>
      <c r="R181" s="9"/>
      <c r="S181" s="11"/>
    </row>
    <row r="182" spans="1:19" ht="15.75">
      <c r="A182" s="13">
        <v>46661</v>
      </c>
      <c r="B182" s="8">
        <f>CHOOSE( CONTROL!$C$32, 6.7303, 6.73) * CHOOSE(CONTROL!$C$15, $D$11, 100%, $F$11)</f>
        <v>6.7302999999999997</v>
      </c>
      <c r="C182" s="8">
        <f>CHOOSE( CONTROL!$C$32, 6.7356, 6.7353) * CHOOSE(CONTROL!$C$15, $D$11, 100%, $F$11)</f>
        <v>6.7355999999999998</v>
      </c>
      <c r="D182" s="8">
        <f>CHOOSE( CONTROL!$C$32, 6.7403, 6.74) * CHOOSE( CONTROL!$C$15, $D$11, 100%, $F$11)</f>
        <v>6.7403000000000004</v>
      </c>
      <c r="E182" s="12">
        <f>CHOOSE( CONTROL!$C$32, 6.7382, 6.7379) * CHOOSE( CONTROL!$C$15, $D$11, 100%, $F$11)</f>
        <v>6.7382</v>
      </c>
      <c r="F182" s="4">
        <f>CHOOSE( CONTROL!$C$32, 7.4348, 7.4345) * CHOOSE(CONTROL!$C$15, $D$11, 100%, $F$11)</f>
        <v>7.4348000000000001</v>
      </c>
      <c r="G182" s="8">
        <f>CHOOSE( CONTROL!$C$32, 6.6635, 6.6632) * CHOOSE( CONTROL!$C$15, $D$11, 100%, $F$11)</f>
        <v>6.6635</v>
      </c>
      <c r="H182" s="4">
        <f>CHOOSE( CONTROL!$C$32, 7.5944, 7.5941) * CHOOSE(CONTROL!$C$15, $D$11, 100%, $F$11)</f>
        <v>7.5944000000000003</v>
      </c>
      <c r="I182" s="8">
        <f>CHOOSE( CONTROL!$C$32, 6.6316, 6.6314) * CHOOSE(CONTROL!$C$15, $D$11, 100%, $F$11)</f>
        <v>6.6315999999999997</v>
      </c>
      <c r="J182" s="4">
        <f>CHOOSE( CONTROL!$C$32, 6.5226, 6.5223) * CHOOSE(CONTROL!$C$15, $D$11, 100%, $F$11)</f>
        <v>6.5225999999999997</v>
      </c>
      <c r="K182" s="4"/>
      <c r="L182" s="9">
        <v>31.095300000000002</v>
      </c>
      <c r="M182" s="9">
        <v>12.063700000000001</v>
      </c>
      <c r="N182" s="9">
        <v>4.9444999999999997</v>
      </c>
      <c r="O182" s="9">
        <v>0.37409999999999999</v>
      </c>
      <c r="P182" s="9">
        <v>1.2927</v>
      </c>
      <c r="Q182" s="9">
        <v>31.885999999999999</v>
      </c>
      <c r="R182" s="9"/>
      <c r="S182" s="11"/>
    </row>
    <row r="183" spans="1:19" ht="15.75">
      <c r="A183" s="13">
        <v>46692</v>
      </c>
      <c r="B183" s="8">
        <f>CHOOSE( CONTROL!$C$32, 7.2575, 7.2572) * CHOOSE(CONTROL!$C$15, $D$11, 100%, $F$11)</f>
        <v>7.2575000000000003</v>
      </c>
      <c r="C183" s="8">
        <f>CHOOSE( CONTROL!$C$32, 7.2626, 7.2623) * CHOOSE(CONTROL!$C$15, $D$11, 100%, $F$11)</f>
        <v>7.2625999999999999</v>
      </c>
      <c r="D183" s="8">
        <f>CHOOSE( CONTROL!$C$32, 7.2453, 7.245) * CHOOSE( CONTROL!$C$15, $D$11, 100%, $F$11)</f>
        <v>7.2453000000000003</v>
      </c>
      <c r="E183" s="12">
        <f>CHOOSE( CONTROL!$C$32, 7.2511, 7.2508) * CHOOSE( CONTROL!$C$15, $D$11, 100%, $F$11)</f>
        <v>7.2511000000000001</v>
      </c>
      <c r="F183" s="4">
        <f>CHOOSE( CONTROL!$C$32, 7.9228, 7.9225) * CHOOSE(CONTROL!$C$15, $D$11, 100%, $F$11)</f>
        <v>7.9227999999999996</v>
      </c>
      <c r="G183" s="8">
        <f>CHOOSE( CONTROL!$C$32, 7.1819, 7.1816) * CHOOSE( CONTROL!$C$15, $D$11, 100%, $F$11)</f>
        <v>7.1818999999999997</v>
      </c>
      <c r="H183" s="4">
        <f>CHOOSE( CONTROL!$C$32, 8.0766, 8.0764) * CHOOSE(CONTROL!$C$15, $D$11, 100%, $F$11)</f>
        <v>8.0765999999999991</v>
      </c>
      <c r="I183" s="8">
        <f>CHOOSE( CONTROL!$C$32, 7.1996, 7.1993) * CHOOSE(CONTROL!$C$15, $D$11, 100%, $F$11)</f>
        <v>7.1996000000000002</v>
      </c>
      <c r="J183" s="4">
        <f>CHOOSE( CONTROL!$C$32, 7.0346, 7.0344) * CHOOSE(CONTROL!$C$15, $D$11, 100%, $F$11)</f>
        <v>7.0346000000000002</v>
      </c>
      <c r="K183" s="4"/>
      <c r="L183" s="9">
        <v>28.360600000000002</v>
      </c>
      <c r="M183" s="9">
        <v>11.6745</v>
      </c>
      <c r="N183" s="9">
        <v>4.7850000000000001</v>
      </c>
      <c r="O183" s="9">
        <v>0.36199999999999999</v>
      </c>
      <c r="P183" s="9">
        <v>1.2509999999999999</v>
      </c>
      <c r="Q183" s="9">
        <v>30.857399999999998</v>
      </c>
      <c r="R183" s="9"/>
      <c r="S183" s="11"/>
    </row>
    <row r="184" spans="1:19" ht="15.75">
      <c r="A184" s="13">
        <v>46722</v>
      </c>
      <c r="B184" s="8">
        <f>CHOOSE( CONTROL!$C$32, 7.2443, 7.244) * CHOOSE(CONTROL!$C$15, $D$11, 100%, $F$11)</f>
        <v>7.2443</v>
      </c>
      <c r="C184" s="8">
        <f>CHOOSE( CONTROL!$C$32, 7.2494, 7.2491) * CHOOSE(CONTROL!$C$15, $D$11, 100%, $F$11)</f>
        <v>7.2493999999999996</v>
      </c>
      <c r="D184" s="8">
        <f>CHOOSE( CONTROL!$C$32, 7.2339, 7.2336) * CHOOSE( CONTROL!$C$15, $D$11, 100%, $F$11)</f>
        <v>7.2339000000000002</v>
      </c>
      <c r="E184" s="12">
        <f>CHOOSE( CONTROL!$C$32, 7.239, 7.2387) * CHOOSE( CONTROL!$C$15, $D$11, 100%, $F$11)</f>
        <v>7.2389999999999999</v>
      </c>
      <c r="F184" s="4">
        <f>CHOOSE( CONTROL!$C$32, 7.9096, 7.9093) * CHOOSE(CONTROL!$C$15, $D$11, 100%, $F$11)</f>
        <v>7.9096000000000002</v>
      </c>
      <c r="G184" s="8">
        <f>CHOOSE( CONTROL!$C$32, 7.1701, 7.1699) * CHOOSE( CONTROL!$C$15, $D$11, 100%, $F$11)</f>
        <v>7.1700999999999997</v>
      </c>
      <c r="H184" s="4">
        <f>CHOOSE( CONTROL!$C$32, 8.0636, 8.0633) * CHOOSE(CONTROL!$C$15, $D$11, 100%, $F$11)</f>
        <v>8.0635999999999992</v>
      </c>
      <c r="I184" s="8">
        <f>CHOOSE( CONTROL!$C$32, 7.1924, 7.1921) * CHOOSE(CONTROL!$C$15, $D$11, 100%, $F$11)</f>
        <v>7.1924000000000001</v>
      </c>
      <c r="J184" s="4">
        <f>CHOOSE( CONTROL!$C$32, 7.0218, 7.0216) * CHOOSE(CONTROL!$C$15, $D$11, 100%, $F$11)</f>
        <v>7.0217999999999998</v>
      </c>
      <c r="K184" s="4"/>
      <c r="L184" s="9">
        <v>29.306000000000001</v>
      </c>
      <c r="M184" s="9">
        <v>12.063700000000001</v>
      </c>
      <c r="N184" s="9">
        <v>4.9444999999999997</v>
      </c>
      <c r="O184" s="9">
        <v>0.37409999999999999</v>
      </c>
      <c r="P184" s="9">
        <v>1.2927</v>
      </c>
      <c r="Q184" s="9">
        <v>31.885999999999999</v>
      </c>
      <c r="R184" s="9"/>
      <c r="S184" s="11"/>
    </row>
    <row r="185" spans="1:19" ht="15.75">
      <c r="A185" s="13">
        <v>46753</v>
      </c>
      <c r="B185" s="8">
        <f>CHOOSE( CONTROL!$C$32, 7.5007, 7.5004) * CHOOSE(CONTROL!$C$15, $D$11, 100%, $F$11)</f>
        <v>7.5007000000000001</v>
      </c>
      <c r="C185" s="8">
        <f>CHOOSE( CONTROL!$C$32, 7.5058, 7.5055) * CHOOSE(CONTROL!$C$15, $D$11, 100%, $F$11)</f>
        <v>7.5057999999999998</v>
      </c>
      <c r="D185" s="8">
        <f>CHOOSE( CONTROL!$C$32, 7.4962, 7.496) * CHOOSE( CONTROL!$C$15, $D$11, 100%, $F$11)</f>
        <v>7.4962</v>
      </c>
      <c r="E185" s="12">
        <f>CHOOSE( CONTROL!$C$32, 7.4992, 7.4989) * CHOOSE( CONTROL!$C$15, $D$11, 100%, $F$11)</f>
        <v>7.4992000000000001</v>
      </c>
      <c r="F185" s="4">
        <f>CHOOSE( CONTROL!$C$32, 8.166, 8.1657) * CHOOSE(CONTROL!$C$15, $D$11, 100%, $F$11)</f>
        <v>8.1660000000000004</v>
      </c>
      <c r="G185" s="8">
        <f>CHOOSE( CONTROL!$C$32, 7.4243, 7.424) * CHOOSE( CONTROL!$C$15, $D$11, 100%, $F$11)</f>
        <v>7.4242999999999997</v>
      </c>
      <c r="H185" s="4">
        <f>CHOOSE( CONTROL!$C$32, 8.317, 8.3167) * CHOOSE(CONTROL!$C$15, $D$11, 100%, $F$11)</f>
        <v>8.3170000000000002</v>
      </c>
      <c r="I185" s="8">
        <f>CHOOSE( CONTROL!$C$32, 7.4218, 7.4215) * CHOOSE(CONTROL!$C$15, $D$11, 100%, $F$11)</f>
        <v>7.4218000000000002</v>
      </c>
      <c r="J185" s="4">
        <f>CHOOSE( CONTROL!$C$32, 7.2707, 7.2704) * CHOOSE(CONTROL!$C$15, $D$11, 100%, $F$11)</f>
        <v>7.2706999999999997</v>
      </c>
      <c r="K185" s="4"/>
      <c r="L185" s="9">
        <v>29.306000000000001</v>
      </c>
      <c r="M185" s="9">
        <v>12.063700000000001</v>
      </c>
      <c r="N185" s="9">
        <v>4.9444999999999997</v>
      </c>
      <c r="O185" s="9">
        <v>0.37409999999999999</v>
      </c>
      <c r="P185" s="9">
        <v>1.2927</v>
      </c>
      <c r="Q185" s="9">
        <v>31.701799999999999</v>
      </c>
      <c r="R185" s="9"/>
      <c r="S185" s="11"/>
    </row>
    <row r="186" spans="1:19" ht="15.75">
      <c r="A186" s="13">
        <v>46784</v>
      </c>
      <c r="B186" s="8">
        <f>CHOOSE( CONTROL!$C$32, 7.0164, 7.0161) * CHOOSE(CONTROL!$C$15, $D$11, 100%, $F$11)</f>
        <v>7.0164</v>
      </c>
      <c r="C186" s="8">
        <f>CHOOSE( CONTROL!$C$32, 7.0215, 7.0212) * CHOOSE(CONTROL!$C$15, $D$11, 100%, $F$11)</f>
        <v>7.0214999999999996</v>
      </c>
      <c r="D186" s="8">
        <f>CHOOSE( CONTROL!$C$32, 7.0136, 7.0133) * CHOOSE( CONTROL!$C$15, $D$11, 100%, $F$11)</f>
        <v>7.0136000000000003</v>
      </c>
      <c r="E186" s="12">
        <f>CHOOSE( CONTROL!$C$32, 7.0159, 7.0156) * CHOOSE( CONTROL!$C$15, $D$11, 100%, $F$11)</f>
        <v>7.0159000000000002</v>
      </c>
      <c r="F186" s="4">
        <f>CHOOSE( CONTROL!$C$32, 7.6817, 7.6814) * CHOOSE(CONTROL!$C$15, $D$11, 100%, $F$11)</f>
        <v>7.6817000000000002</v>
      </c>
      <c r="G186" s="8">
        <f>CHOOSE( CONTROL!$C$32, 6.9441, 6.9439) * CHOOSE( CONTROL!$C$15, $D$11, 100%, $F$11)</f>
        <v>6.9440999999999997</v>
      </c>
      <c r="H186" s="4">
        <f>CHOOSE( CONTROL!$C$32, 7.8384, 7.8381) * CHOOSE(CONTROL!$C$15, $D$11, 100%, $F$11)</f>
        <v>7.8384</v>
      </c>
      <c r="I186" s="8">
        <f>CHOOSE( CONTROL!$C$32, 6.9362, 6.9359) * CHOOSE(CONTROL!$C$15, $D$11, 100%, $F$11)</f>
        <v>6.9362000000000004</v>
      </c>
      <c r="J186" s="4">
        <f>CHOOSE( CONTROL!$C$32, 6.8007, 6.8004) * CHOOSE(CONTROL!$C$15, $D$11, 100%, $F$11)</f>
        <v>6.8007</v>
      </c>
      <c r="K186" s="4"/>
      <c r="L186" s="9">
        <v>27.415299999999998</v>
      </c>
      <c r="M186" s="9">
        <v>11.285299999999999</v>
      </c>
      <c r="N186" s="9">
        <v>4.6254999999999997</v>
      </c>
      <c r="O186" s="9">
        <v>0.34989999999999999</v>
      </c>
      <c r="P186" s="9">
        <v>1.2093</v>
      </c>
      <c r="Q186" s="9">
        <v>29.656600000000001</v>
      </c>
      <c r="R186" s="9"/>
      <c r="S186" s="11"/>
    </row>
    <row r="187" spans="1:19" ht="15.75">
      <c r="A187" s="13">
        <v>46813</v>
      </c>
      <c r="B187" s="8">
        <f>CHOOSE( CONTROL!$C$32, 6.8672, 6.867) * CHOOSE(CONTROL!$C$15, $D$11, 100%, $F$11)</f>
        <v>6.8672000000000004</v>
      </c>
      <c r="C187" s="8">
        <f>CHOOSE( CONTROL!$C$32, 6.8723, 6.872) * CHOOSE(CONTROL!$C$15, $D$11, 100%, $F$11)</f>
        <v>6.8723000000000001</v>
      </c>
      <c r="D187" s="8">
        <f>CHOOSE( CONTROL!$C$32, 6.8596, 6.8593) * CHOOSE( CONTROL!$C$15, $D$11, 100%, $F$11)</f>
        <v>6.8596000000000004</v>
      </c>
      <c r="E187" s="12">
        <f>CHOOSE( CONTROL!$C$32, 6.8637, 6.8634) * CHOOSE( CONTROL!$C$15, $D$11, 100%, $F$11)</f>
        <v>6.8636999999999997</v>
      </c>
      <c r="F187" s="4">
        <f>CHOOSE( CONTROL!$C$32, 7.5325, 7.5323) * CHOOSE(CONTROL!$C$15, $D$11, 100%, $F$11)</f>
        <v>7.5324999999999998</v>
      </c>
      <c r="G187" s="8">
        <f>CHOOSE( CONTROL!$C$32, 6.7933, 6.793) * CHOOSE( CONTROL!$C$15, $D$11, 100%, $F$11)</f>
        <v>6.7933000000000003</v>
      </c>
      <c r="H187" s="4">
        <f>CHOOSE( CONTROL!$C$32, 7.691, 7.6907) * CHOOSE(CONTROL!$C$15, $D$11, 100%, $F$11)</f>
        <v>7.6909999999999998</v>
      </c>
      <c r="I187" s="8">
        <f>CHOOSE( CONTROL!$C$32, 6.7897, 6.7894) * CHOOSE(CONTROL!$C$15, $D$11, 100%, $F$11)</f>
        <v>6.7896999999999998</v>
      </c>
      <c r="J187" s="4">
        <f>CHOOSE( CONTROL!$C$32, 6.6559, 6.6556) * CHOOSE(CONTROL!$C$15, $D$11, 100%, $F$11)</f>
        <v>6.6558999999999999</v>
      </c>
      <c r="K187" s="4"/>
      <c r="L187" s="9">
        <v>29.306000000000001</v>
      </c>
      <c r="M187" s="9">
        <v>12.063700000000001</v>
      </c>
      <c r="N187" s="9">
        <v>4.9444999999999997</v>
      </c>
      <c r="O187" s="9">
        <v>0.37409999999999999</v>
      </c>
      <c r="P187" s="9">
        <v>1.2927</v>
      </c>
      <c r="Q187" s="9">
        <v>31.701799999999999</v>
      </c>
      <c r="R187" s="9"/>
      <c r="S187" s="11"/>
    </row>
    <row r="188" spans="1:19" ht="15.75">
      <c r="A188" s="13">
        <v>46844</v>
      </c>
      <c r="B188" s="8">
        <f>CHOOSE( CONTROL!$C$32, 6.9722, 6.972) * CHOOSE(CONTROL!$C$15, $D$11, 100%, $F$11)</f>
        <v>6.9722</v>
      </c>
      <c r="C188" s="8">
        <f>CHOOSE( CONTROL!$C$32, 6.9767, 6.9765) * CHOOSE(CONTROL!$C$15, $D$11, 100%, $F$11)</f>
        <v>6.9767000000000001</v>
      </c>
      <c r="D188" s="8">
        <f>CHOOSE( CONTROL!$C$32, 6.9816, 6.9813) * CHOOSE( CONTROL!$C$15, $D$11, 100%, $F$11)</f>
        <v>6.9816000000000003</v>
      </c>
      <c r="E188" s="12">
        <f>CHOOSE( CONTROL!$C$32, 6.9795, 6.9792) * CHOOSE( CONTROL!$C$15, $D$11, 100%, $F$11)</f>
        <v>6.9794999999999998</v>
      </c>
      <c r="F188" s="4">
        <f>CHOOSE( CONTROL!$C$32, 7.6764, 7.6762) * CHOOSE(CONTROL!$C$15, $D$11, 100%, $F$11)</f>
        <v>7.6764000000000001</v>
      </c>
      <c r="G188" s="8">
        <f>CHOOSE( CONTROL!$C$32, 6.902, 6.9018) * CHOOSE( CONTROL!$C$15, $D$11, 100%, $F$11)</f>
        <v>6.9020000000000001</v>
      </c>
      <c r="H188" s="4">
        <f>CHOOSE( CONTROL!$C$32, 7.8332, 7.8329) * CHOOSE(CONTROL!$C$15, $D$11, 100%, $F$11)</f>
        <v>7.8331999999999997</v>
      </c>
      <c r="I188" s="8">
        <f>CHOOSE( CONTROL!$C$32, 6.8651, 6.8649) * CHOOSE(CONTROL!$C$15, $D$11, 100%, $F$11)</f>
        <v>6.8651</v>
      </c>
      <c r="J188" s="4">
        <f>CHOOSE( CONTROL!$C$32, 6.7571, 6.7568) * CHOOSE(CONTROL!$C$15, $D$11, 100%, $F$11)</f>
        <v>6.7571000000000003</v>
      </c>
      <c r="K188" s="4"/>
      <c r="L188" s="9">
        <v>30.092199999999998</v>
      </c>
      <c r="M188" s="9">
        <v>11.6745</v>
      </c>
      <c r="N188" s="9">
        <v>4.7850000000000001</v>
      </c>
      <c r="O188" s="9">
        <v>0.36199999999999999</v>
      </c>
      <c r="P188" s="9">
        <v>1.2509999999999999</v>
      </c>
      <c r="Q188" s="9">
        <v>30.679200000000002</v>
      </c>
      <c r="R188" s="9"/>
      <c r="S188" s="11"/>
    </row>
    <row r="189" spans="1:19" ht="15.75">
      <c r="A189" s="13">
        <v>46874</v>
      </c>
      <c r="B189" s="8">
        <f>CHOOSE( CONTROL!$C$32, 7.1593, 7.1588) * CHOOSE(CONTROL!$C$15, $D$11, 100%, $F$11)</f>
        <v>7.1593</v>
      </c>
      <c r="C189" s="8">
        <f>CHOOSE( CONTROL!$C$32, 7.1673, 7.1668) * CHOOSE(CONTROL!$C$15, $D$11, 100%, $F$11)</f>
        <v>7.1673</v>
      </c>
      <c r="D189" s="8">
        <f>CHOOSE( CONTROL!$C$32, 7.1661, 7.1656) * CHOOSE( CONTROL!$C$15, $D$11, 100%, $F$11)</f>
        <v>7.1661000000000001</v>
      </c>
      <c r="E189" s="12">
        <f>CHOOSE( CONTROL!$C$32, 7.1653, 7.1648) * CHOOSE( CONTROL!$C$15, $D$11, 100%, $F$11)</f>
        <v>7.1653000000000002</v>
      </c>
      <c r="F189" s="4">
        <f>CHOOSE( CONTROL!$C$32, 7.8621, 7.8617) * CHOOSE(CONTROL!$C$15, $D$11, 100%, $F$11)</f>
        <v>7.8620999999999999</v>
      </c>
      <c r="G189" s="8">
        <f>CHOOSE( CONTROL!$C$32, 7.0854, 7.0849) * CHOOSE( CONTROL!$C$15, $D$11, 100%, $F$11)</f>
        <v>7.0853999999999999</v>
      </c>
      <c r="H189" s="4">
        <f>CHOOSE( CONTROL!$C$32, 8.0167, 8.0162) * CHOOSE(CONTROL!$C$15, $D$11, 100%, $F$11)</f>
        <v>8.0167000000000002</v>
      </c>
      <c r="I189" s="8">
        <f>CHOOSE( CONTROL!$C$32, 7.0446, 7.0442) * CHOOSE(CONTROL!$C$15, $D$11, 100%, $F$11)</f>
        <v>7.0446</v>
      </c>
      <c r="J189" s="4">
        <f>CHOOSE( CONTROL!$C$32, 6.9373, 6.9368) * CHOOSE(CONTROL!$C$15, $D$11, 100%, $F$11)</f>
        <v>6.9372999999999996</v>
      </c>
      <c r="K189" s="4"/>
      <c r="L189" s="9">
        <v>30.7165</v>
      </c>
      <c r="M189" s="9">
        <v>12.063700000000001</v>
      </c>
      <c r="N189" s="9">
        <v>4.9444999999999997</v>
      </c>
      <c r="O189" s="9">
        <v>0.37409999999999999</v>
      </c>
      <c r="P189" s="9">
        <v>1.2927</v>
      </c>
      <c r="Q189" s="9">
        <v>31.701799999999999</v>
      </c>
      <c r="R189" s="9"/>
      <c r="S189" s="11"/>
    </row>
    <row r="190" spans="1:19" ht="15.75">
      <c r="A190" s="13">
        <v>46905</v>
      </c>
      <c r="B190" s="8">
        <f>CHOOSE( CONTROL!$C$32, 7.0444, 7.0439) * CHOOSE(CONTROL!$C$15, $D$11, 100%, $F$11)</f>
        <v>7.0444000000000004</v>
      </c>
      <c r="C190" s="8">
        <f>CHOOSE( CONTROL!$C$32, 7.0524, 7.0519) * CHOOSE(CONTROL!$C$15, $D$11, 100%, $F$11)</f>
        <v>7.0523999999999996</v>
      </c>
      <c r="D190" s="8">
        <f>CHOOSE( CONTROL!$C$32, 7.0513, 7.0509) * CHOOSE( CONTROL!$C$15, $D$11, 100%, $F$11)</f>
        <v>7.0513000000000003</v>
      </c>
      <c r="E190" s="12">
        <f>CHOOSE( CONTROL!$C$32, 7.0505, 7.05) * CHOOSE( CONTROL!$C$15, $D$11, 100%, $F$11)</f>
        <v>7.0505000000000004</v>
      </c>
      <c r="F190" s="4">
        <f>CHOOSE( CONTROL!$C$32, 7.7472, 7.7467) * CHOOSE(CONTROL!$C$15, $D$11, 100%, $F$11)</f>
        <v>7.7472000000000003</v>
      </c>
      <c r="G190" s="8">
        <f>CHOOSE( CONTROL!$C$32, 6.972, 6.9715) * CHOOSE( CONTROL!$C$15, $D$11, 100%, $F$11)</f>
        <v>6.9720000000000004</v>
      </c>
      <c r="H190" s="4">
        <f>CHOOSE( CONTROL!$C$32, 7.9031, 7.9027) * CHOOSE(CONTROL!$C$15, $D$11, 100%, $F$11)</f>
        <v>7.9031000000000002</v>
      </c>
      <c r="I190" s="8">
        <f>CHOOSE( CONTROL!$C$32, 6.9337, 6.9333) * CHOOSE(CONTROL!$C$15, $D$11, 100%, $F$11)</f>
        <v>6.9337</v>
      </c>
      <c r="J190" s="4">
        <f>CHOOSE( CONTROL!$C$32, 6.8258, 6.8253) * CHOOSE(CONTROL!$C$15, $D$11, 100%, $F$11)</f>
        <v>6.8258000000000001</v>
      </c>
      <c r="K190" s="4"/>
      <c r="L190" s="9">
        <v>29.7257</v>
      </c>
      <c r="M190" s="9">
        <v>11.6745</v>
      </c>
      <c r="N190" s="9">
        <v>4.7850000000000001</v>
      </c>
      <c r="O190" s="9">
        <v>0.36199999999999999</v>
      </c>
      <c r="P190" s="9">
        <v>1.2509999999999999</v>
      </c>
      <c r="Q190" s="9">
        <v>30.679200000000002</v>
      </c>
      <c r="R190" s="9"/>
      <c r="S190" s="11"/>
    </row>
    <row r="191" spans="1:19" ht="15.75">
      <c r="A191" s="13">
        <v>46935</v>
      </c>
      <c r="B191" s="8">
        <f>CHOOSE( CONTROL!$C$32, 7.347, 7.3466) * CHOOSE(CONTROL!$C$15, $D$11, 100%, $F$11)</f>
        <v>7.3470000000000004</v>
      </c>
      <c r="C191" s="8">
        <f>CHOOSE( CONTROL!$C$32, 7.355, 7.3545) * CHOOSE(CONTROL!$C$15, $D$11, 100%, $F$11)</f>
        <v>7.3550000000000004</v>
      </c>
      <c r="D191" s="8">
        <f>CHOOSE( CONTROL!$C$32, 7.3542, 7.3537) * CHOOSE( CONTROL!$C$15, $D$11, 100%, $F$11)</f>
        <v>7.3541999999999996</v>
      </c>
      <c r="E191" s="12">
        <f>CHOOSE( CONTROL!$C$32, 7.3533, 7.3528) * CHOOSE( CONTROL!$C$15, $D$11, 100%, $F$11)</f>
        <v>7.3532999999999999</v>
      </c>
      <c r="F191" s="4">
        <f>CHOOSE( CONTROL!$C$32, 8.0498, 8.0494) * CHOOSE(CONTROL!$C$15, $D$11, 100%, $F$11)</f>
        <v>8.0497999999999994</v>
      </c>
      <c r="G191" s="8">
        <f>CHOOSE( CONTROL!$C$32, 7.2712, 7.2708) * CHOOSE( CONTROL!$C$15, $D$11, 100%, $F$11)</f>
        <v>7.2712000000000003</v>
      </c>
      <c r="H191" s="4">
        <f>CHOOSE( CONTROL!$C$32, 8.2022, 8.2017) * CHOOSE(CONTROL!$C$15, $D$11, 100%, $F$11)</f>
        <v>8.2021999999999995</v>
      </c>
      <c r="I191" s="8">
        <f>CHOOSE( CONTROL!$C$32, 7.2283, 7.2279) * CHOOSE(CONTROL!$C$15, $D$11, 100%, $F$11)</f>
        <v>7.2282999999999999</v>
      </c>
      <c r="J191" s="4">
        <f>CHOOSE( CONTROL!$C$32, 7.1194, 7.119) * CHOOSE(CONTROL!$C$15, $D$11, 100%, $F$11)</f>
        <v>7.1193999999999997</v>
      </c>
      <c r="K191" s="4"/>
      <c r="L191" s="9">
        <v>30.7165</v>
      </c>
      <c r="M191" s="9">
        <v>12.063700000000001</v>
      </c>
      <c r="N191" s="9">
        <v>4.9444999999999997</v>
      </c>
      <c r="O191" s="9">
        <v>0.37409999999999999</v>
      </c>
      <c r="P191" s="9">
        <v>1.2927</v>
      </c>
      <c r="Q191" s="9">
        <v>31.701799999999999</v>
      </c>
      <c r="R191" s="9"/>
      <c r="S191" s="11"/>
    </row>
    <row r="192" spans="1:19" ht="15.75">
      <c r="A192" s="13">
        <v>46966</v>
      </c>
      <c r="B192" s="8">
        <f>CHOOSE( CONTROL!$C$32, 6.7808, 6.7803) * CHOOSE(CONTROL!$C$15, $D$11, 100%, $F$11)</f>
        <v>6.7808000000000002</v>
      </c>
      <c r="C192" s="8">
        <f>CHOOSE( CONTROL!$C$32, 6.7887, 6.7883) * CHOOSE(CONTROL!$C$15, $D$11, 100%, $F$11)</f>
        <v>6.7887000000000004</v>
      </c>
      <c r="D192" s="8">
        <f>CHOOSE( CONTROL!$C$32, 6.788, 6.7875) * CHOOSE( CONTROL!$C$15, $D$11, 100%, $F$11)</f>
        <v>6.7880000000000003</v>
      </c>
      <c r="E192" s="12">
        <f>CHOOSE( CONTROL!$C$32, 6.787, 6.7866) * CHOOSE( CONTROL!$C$15, $D$11, 100%, $F$11)</f>
        <v>6.7869999999999999</v>
      </c>
      <c r="F192" s="4">
        <f>CHOOSE( CONTROL!$C$32, 7.4836, 7.4831) * CHOOSE(CONTROL!$C$15, $D$11, 100%, $F$11)</f>
        <v>7.4836</v>
      </c>
      <c r="G192" s="8">
        <f>CHOOSE( CONTROL!$C$32, 6.7116, 6.7112) * CHOOSE( CONTROL!$C$15, $D$11, 100%, $F$11)</f>
        <v>6.7115999999999998</v>
      </c>
      <c r="H192" s="4">
        <f>CHOOSE( CONTROL!$C$32, 7.6426, 7.6421) * CHOOSE(CONTROL!$C$15, $D$11, 100%, $F$11)</f>
        <v>7.6425999999999998</v>
      </c>
      <c r="I192" s="8">
        <f>CHOOSE( CONTROL!$C$32, 6.6787, 6.6783) * CHOOSE(CONTROL!$C$15, $D$11, 100%, $F$11)</f>
        <v>6.6787000000000001</v>
      </c>
      <c r="J192" s="4">
        <f>CHOOSE( CONTROL!$C$32, 6.5699, 6.5695) * CHOOSE(CONTROL!$C$15, $D$11, 100%, $F$11)</f>
        <v>6.5698999999999996</v>
      </c>
      <c r="K192" s="4"/>
      <c r="L192" s="9">
        <v>30.7165</v>
      </c>
      <c r="M192" s="9">
        <v>12.063700000000001</v>
      </c>
      <c r="N192" s="9">
        <v>4.9444999999999997</v>
      </c>
      <c r="O192" s="9">
        <v>0.37409999999999999</v>
      </c>
      <c r="P192" s="9">
        <v>1.2927</v>
      </c>
      <c r="Q192" s="9">
        <v>31.701799999999999</v>
      </c>
      <c r="R192" s="9"/>
      <c r="S192" s="11"/>
    </row>
    <row r="193" spans="1:19" ht="15.75">
      <c r="A193" s="13">
        <v>46997</v>
      </c>
      <c r="B193" s="8">
        <f>CHOOSE( CONTROL!$C$32, 6.639, 6.6385) * CHOOSE(CONTROL!$C$15, $D$11, 100%, $F$11)</f>
        <v>6.6390000000000002</v>
      </c>
      <c r="C193" s="8">
        <f>CHOOSE( CONTROL!$C$32, 6.6469, 6.6465) * CHOOSE(CONTROL!$C$15, $D$11, 100%, $F$11)</f>
        <v>6.6468999999999996</v>
      </c>
      <c r="D193" s="8">
        <f>CHOOSE( CONTROL!$C$32, 6.6461, 6.6456) * CHOOSE( CONTROL!$C$15, $D$11, 100%, $F$11)</f>
        <v>6.6460999999999997</v>
      </c>
      <c r="E193" s="12">
        <f>CHOOSE( CONTROL!$C$32, 6.6452, 6.6447) * CHOOSE( CONTROL!$C$15, $D$11, 100%, $F$11)</f>
        <v>6.6452</v>
      </c>
      <c r="F193" s="4">
        <f>CHOOSE( CONTROL!$C$32, 7.3418, 7.3413) * CHOOSE(CONTROL!$C$15, $D$11, 100%, $F$11)</f>
        <v>7.3418000000000001</v>
      </c>
      <c r="G193" s="8">
        <f>CHOOSE( CONTROL!$C$32, 6.5714, 6.5709) * CHOOSE( CONTROL!$C$15, $D$11, 100%, $F$11)</f>
        <v>6.5713999999999997</v>
      </c>
      <c r="H193" s="4">
        <f>CHOOSE( CONTROL!$C$32, 7.5025, 7.502) * CHOOSE(CONTROL!$C$15, $D$11, 100%, $F$11)</f>
        <v>7.5025000000000004</v>
      </c>
      <c r="I193" s="8">
        <f>CHOOSE( CONTROL!$C$32, 6.5405, 6.5401) * CHOOSE(CONTROL!$C$15, $D$11, 100%, $F$11)</f>
        <v>6.5404999999999998</v>
      </c>
      <c r="J193" s="4">
        <f>CHOOSE( CONTROL!$C$32, 6.4323, 6.4319) * CHOOSE(CONTROL!$C$15, $D$11, 100%, $F$11)</f>
        <v>6.4322999999999997</v>
      </c>
      <c r="K193" s="4"/>
      <c r="L193" s="9">
        <v>29.7257</v>
      </c>
      <c r="M193" s="9">
        <v>11.6745</v>
      </c>
      <c r="N193" s="9">
        <v>4.7850000000000001</v>
      </c>
      <c r="O193" s="9">
        <v>0.36199999999999999</v>
      </c>
      <c r="P193" s="9">
        <v>1.2509999999999999</v>
      </c>
      <c r="Q193" s="9">
        <v>30.679200000000002</v>
      </c>
      <c r="R193" s="9"/>
      <c r="S193" s="11"/>
    </row>
    <row r="194" spans="1:19" ht="15.75">
      <c r="A194" s="13">
        <v>47027</v>
      </c>
      <c r="B194" s="8">
        <f>CHOOSE( CONTROL!$C$32, 6.9315, 6.9312) * CHOOSE(CONTROL!$C$15, $D$11, 100%, $F$11)</f>
        <v>6.9314999999999998</v>
      </c>
      <c r="C194" s="8">
        <f>CHOOSE( CONTROL!$C$32, 6.9368, 6.9365) * CHOOSE(CONTROL!$C$15, $D$11, 100%, $F$11)</f>
        <v>6.9367999999999999</v>
      </c>
      <c r="D194" s="8">
        <f>CHOOSE( CONTROL!$C$32, 6.9415, 6.9412) * CHOOSE( CONTROL!$C$15, $D$11, 100%, $F$11)</f>
        <v>6.9414999999999996</v>
      </c>
      <c r="E194" s="12">
        <f>CHOOSE( CONTROL!$C$32, 6.9394, 6.9391) * CHOOSE( CONTROL!$C$15, $D$11, 100%, $F$11)</f>
        <v>6.9394</v>
      </c>
      <c r="F194" s="4">
        <f>CHOOSE( CONTROL!$C$32, 7.636, 7.6357) * CHOOSE(CONTROL!$C$15, $D$11, 100%, $F$11)</f>
        <v>7.6360000000000001</v>
      </c>
      <c r="G194" s="8">
        <f>CHOOSE( CONTROL!$C$32, 6.8624, 6.8621) * CHOOSE( CONTROL!$C$15, $D$11, 100%, $F$11)</f>
        <v>6.8624000000000001</v>
      </c>
      <c r="H194" s="4">
        <f>CHOOSE( CONTROL!$C$32, 7.7932, 7.793) * CHOOSE(CONTROL!$C$15, $D$11, 100%, $F$11)</f>
        <v>7.7931999999999997</v>
      </c>
      <c r="I194" s="8">
        <f>CHOOSE( CONTROL!$C$32, 6.827, 6.8267) * CHOOSE(CONTROL!$C$15, $D$11, 100%, $F$11)</f>
        <v>6.827</v>
      </c>
      <c r="J194" s="4">
        <f>CHOOSE( CONTROL!$C$32, 6.7179, 6.7176) * CHOOSE(CONTROL!$C$15, $D$11, 100%, $F$11)</f>
        <v>6.7179000000000002</v>
      </c>
      <c r="K194" s="4"/>
      <c r="L194" s="9">
        <v>31.095300000000002</v>
      </c>
      <c r="M194" s="9">
        <v>12.063700000000001</v>
      </c>
      <c r="N194" s="9">
        <v>4.9444999999999997</v>
      </c>
      <c r="O194" s="9">
        <v>0.37409999999999999</v>
      </c>
      <c r="P194" s="9">
        <v>1.2927</v>
      </c>
      <c r="Q194" s="9">
        <v>31.701799999999999</v>
      </c>
      <c r="R194" s="9"/>
      <c r="S194" s="11"/>
    </row>
    <row r="195" spans="1:19" ht="15.75">
      <c r="A195" s="13">
        <v>47058</v>
      </c>
      <c r="B195" s="8">
        <f>CHOOSE( CONTROL!$C$32, 7.4745, 7.4742) * CHOOSE(CONTROL!$C$15, $D$11, 100%, $F$11)</f>
        <v>7.4744999999999999</v>
      </c>
      <c r="C195" s="8">
        <f>CHOOSE( CONTROL!$C$32, 7.4796, 7.4793) * CHOOSE(CONTROL!$C$15, $D$11, 100%, $F$11)</f>
        <v>7.4795999999999996</v>
      </c>
      <c r="D195" s="8">
        <f>CHOOSE( CONTROL!$C$32, 7.4623, 7.462) * CHOOSE( CONTROL!$C$15, $D$11, 100%, $F$11)</f>
        <v>7.4622999999999999</v>
      </c>
      <c r="E195" s="12">
        <f>CHOOSE( CONTROL!$C$32, 7.4681, 7.4678) * CHOOSE( CONTROL!$C$15, $D$11, 100%, $F$11)</f>
        <v>7.4680999999999997</v>
      </c>
      <c r="F195" s="4">
        <f>CHOOSE( CONTROL!$C$32, 8.1398, 8.1395) * CHOOSE(CONTROL!$C$15, $D$11, 100%, $F$11)</f>
        <v>8.1397999999999993</v>
      </c>
      <c r="G195" s="8">
        <f>CHOOSE( CONTROL!$C$32, 7.3963, 7.3961) * CHOOSE( CONTROL!$C$15, $D$11, 100%, $F$11)</f>
        <v>7.3963000000000001</v>
      </c>
      <c r="H195" s="4">
        <f>CHOOSE( CONTROL!$C$32, 8.2911, 8.2908) * CHOOSE(CONTROL!$C$15, $D$11, 100%, $F$11)</f>
        <v>8.2911000000000001</v>
      </c>
      <c r="I195" s="8">
        <f>CHOOSE( CONTROL!$C$32, 7.4103, 7.41) * CHOOSE(CONTROL!$C$15, $D$11, 100%, $F$11)</f>
        <v>7.4103000000000003</v>
      </c>
      <c r="J195" s="4">
        <f>CHOOSE( CONTROL!$C$32, 7.2452, 7.245) * CHOOSE(CONTROL!$C$15, $D$11, 100%, $F$11)</f>
        <v>7.2451999999999996</v>
      </c>
      <c r="K195" s="4"/>
      <c r="L195" s="9">
        <v>28.360600000000002</v>
      </c>
      <c r="M195" s="9">
        <v>11.6745</v>
      </c>
      <c r="N195" s="9">
        <v>4.7850000000000001</v>
      </c>
      <c r="O195" s="9">
        <v>0.36199999999999999</v>
      </c>
      <c r="P195" s="9">
        <v>1.2509999999999999</v>
      </c>
      <c r="Q195" s="9">
        <v>30.679200000000002</v>
      </c>
      <c r="R195" s="9"/>
      <c r="S195" s="11"/>
    </row>
    <row r="196" spans="1:19" ht="15.75">
      <c r="A196" s="13">
        <v>47088</v>
      </c>
      <c r="B196" s="8">
        <f>CHOOSE( CONTROL!$C$32, 7.4609, 7.4606) * CHOOSE(CONTROL!$C$15, $D$11, 100%, $F$11)</f>
        <v>7.4608999999999996</v>
      </c>
      <c r="C196" s="8">
        <f>CHOOSE( CONTROL!$C$32, 7.466, 7.4657) * CHOOSE(CONTROL!$C$15, $D$11, 100%, $F$11)</f>
        <v>7.4660000000000002</v>
      </c>
      <c r="D196" s="8">
        <f>CHOOSE( CONTROL!$C$32, 7.4505, 7.4502) * CHOOSE( CONTROL!$C$15, $D$11, 100%, $F$11)</f>
        <v>7.4504999999999999</v>
      </c>
      <c r="E196" s="12">
        <f>CHOOSE( CONTROL!$C$32, 7.4556, 7.4553) * CHOOSE( CONTROL!$C$15, $D$11, 100%, $F$11)</f>
        <v>7.4555999999999996</v>
      </c>
      <c r="F196" s="4">
        <f>CHOOSE( CONTROL!$C$32, 8.1262, 8.1259) * CHOOSE(CONTROL!$C$15, $D$11, 100%, $F$11)</f>
        <v>8.1262000000000008</v>
      </c>
      <c r="G196" s="8">
        <f>CHOOSE( CONTROL!$C$32, 7.3842, 7.3839) * CHOOSE( CONTROL!$C$15, $D$11, 100%, $F$11)</f>
        <v>7.3841999999999999</v>
      </c>
      <c r="H196" s="4">
        <f>CHOOSE( CONTROL!$C$32, 8.2777, 8.2774) * CHOOSE(CONTROL!$C$15, $D$11, 100%, $F$11)</f>
        <v>8.2776999999999994</v>
      </c>
      <c r="I196" s="8">
        <f>CHOOSE( CONTROL!$C$32, 7.4027, 7.4024) * CHOOSE(CONTROL!$C$15, $D$11, 100%, $F$11)</f>
        <v>7.4027000000000003</v>
      </c>
      <c r="J196" s="4">
        <f>CHOOSE( CONTROL!$C$32, 7.2321, 7.2318) * CHOOSE(CONTROL!$C$15, $D$11, 100%, $F$11)</f>
        <v>7.2321</v>
      </c>
      <c r="K196" s="4"/>
      <c r="L196" s="9">
        <v>29.306000000000001</v>
      </c>
      <c r="M196" s="9">
        <v>12.063700000000001</v>
      </c>
      <c r="N196" s="9">
        <v>4.9444999999999997</v>
      </c>
      <c r="O196" s="9">
        <v>0.37409999999999999</v>
      </c>
      <c r="P196" s="9">
        <v>1.2927</v>
      </c>
      <c r="Q196" s="9">
        <v>31.701799999999999</v>
      </c>
      <c r="R196" s="9"/>
      <c r="S196" s="11"/>
    </row>
    <row r="197" spans="1:19" ht="15.75">
      <c r="A197" s="13">
        <v>47119</v>
      </c>
      <c r="B197" s="8">
        <f>CHOOSE( CONTROL!$C$32, 7.7294, 7.7291) * CHOOSE(CONTROL!$C$15, $D$11, 100%, $F$11)</f>
        <v>7.7294</v>
      </c>
      <c r="C197" s="8">
        <f>CHOOSE( CONTROL!$C$32, 7.7345, 7.7342) * CHOOSE(CONTROL!$C$15, $D$11, 100%, $F$11)</f>
        <v>7.7344999999999997</v>
      </c>
      <c r="D197" s="8">
        <f>CHOOSE( CONTROL!$C$32, 7.7249, 7.7246) * CHOOSE( CONTROL!$C$15, $D$11, 100%, $F$11)</f>
        <v>7.7248999999999999</v>
      </c>
      <c r="E197" s="12">
        <f>CHOOSE( CONTROL!$C$32, 7.7279, 7.7276) * CHOOSE( CONTROL!$C$15, $D$11, 100%, $F$11)</f>
        <v>7.7279</v>
      </c>
      <c r="F197" s="4">
        <f>CHOOSE( CONTROL!$C$32, 8.3947, 8.3944) * CHOOSE(CONTROL!$C$15, $D$11, 100%, $F$11)</f>
        <v>8.3947000000000003</v>
      </c>
      <c r="G197" s="8">
        <f>CHOOSE( CONTROL!$C$32, 7.6502, 7.65) * CHOOSE( CONTROL!$C$15, $D$11, 100%, $F$11)</f>
        <v>7.6501999999999999</v>
      </c>
      <c r="H197" s="4">
        <f>CHOOSE( CONTROL!$C$32, 8.543, 8.5427) * CHOOSE(CONTROL!$C$15, $D$11, 100%, $F$11)</f>
        <v>8.5429999999999993</v>
      </c>
      <c r="I197" s="8">
        <f>CHOOSE( CONTROL!$C$32, 7.6438, 7.6436) * CHOOSE(CONTROL!$C$15, $D$11, 100%, $F$11)</f>
        <v>7.6437999999999997</v>
      </c>
      <c r="J197" s="4">
        <f>CHOOSE( CONTROL!$C$32, 7.4926, 7.4923) * CHOOSE(CONTROL!$C$15, $D$11, 100%, $F$11)</f>
        <v>7.4926000000000004</v>
      </c>
      <c r="K197" s="4"/>
      <c r="L197" s="9">
        <v>29.306000000000001</v>
      </c>
      <c r="M197" s="9">
        <v>12.063700000000001</v>
      </c>
      <c r="N197" s="9">
        <v>4.9444999999999997</v>
      </c>
      <c r="O197" s="9">
        <v>0.37409999999999999</v>
      </c>
      <c r="P197" s="9">
        <v>1.2927</v>
      </c>
      <c r="Q197" s="9">
        <v>31.517700000000001</v>
      </c>
      <c r="R197" s="9"/>
      <c r="S197" s="11"/>
    </row>
    <row r="198" spans="1:19" ht="15.75">
      <c r="A198" s="13">
        <v>47150</v>
      </c>
      <c r="B198" s="8">
        <f>CHOOSE( CONTROL!$C$32, 7.2303, 7.23) * CHOOSE(CONTROL!$C$15, $D$11, 100%, $F$11)</f>
        <v>7.2302999999999997</v>
      </c>
      <c r="C198" s="8">
        <f>CHOOSE( CONTROL!$C$32, 7.2354, 7.2351) * CHOOSE(CONTROL!$C$15, $D$11, 100%, $F$11)</f>
        <v>7.2354000000000003</v>
      </c>
      <c r="D198" s="8">
        <f>CHOOSE( CONTROL!$C$32, 7.2275, 7.2272) * CHOOSE( CONTROL!$C$15, $D$11, 100%, $F$11)</f>
        <v>7.2275</v>
      </c>
      <c r="E198" s="12">
        <f>CHOOSE( CONTROL!$C$32, 7.2298, 7.2295) * CHOOSE( CONTROL!$C$15, $D$11, 100%, $F$11)</f>
        <v>7.2298</v>
      </c>
      <c r="F198" s="4">
        <f>CHOOSE( CONTROL!$C$32, 7.8956, 7.8953) * CHOOSE(CONTROL!$C$15, $D$11, 100%, $F$11)</f>
        <v>7.8956</v>
      </c>
      <c r="G198" s="8">
        <f>CHOOSE( CONTROL!$C$32, 7.1555, 7.1552) * CHOOSE( CONTROL!$C$15, $D$11, 100%, $F$11)</f>
        <v>7.1555</v>
      </c>
      <c r="H198" s="4">
        <f>CHOOSE( CONTROL!$C$32, 8.0497, 8.0495) * CHOOSE(CONTROL!$C$15, $D$11, 100%, $F$11)</f>
        <v>8.0496999999999996</v>
      </c>
      <c r="I198" s="8">
        <f>CHOOSE( CONTROL!$C$32, 7.1438, 7.1436) * CHOOSE(CONTROL!$C$15, $D$11, 100%, $F$11)</f>
        <v>7.1437999999999997</v>
      </c>
      <c r="J198" s="4">
        <f>CHOOSE( CONTROL!$C$32, 7.0082, 7.008) * CHOOSE(CONTROL!$C$15, $D$11, 100%, $F$11)</f>
        <v>7.0082000000000004</v>
      </c>
      <c r="K198" s="4"/>
      <c r="L198" s="9">
        <v>26.469899999999999</v>
      </c>
      <c r="M198" s="9">
        <v>10.8962</v>
      </c>
      <c r="N198" s="9">
        <v>4.4660000000000002</v>
      </c>
      <c r="O198" s="9">
        <v>0.33789999999999998</v>
      </c>
      <c r="P198" s="9">
        <v>1.1676</v>
      </c>
      <c r="Q198" s="9">
        <v>28.467600000000001</v>
      </c>
      <c r="R198" s="9"/>
      <c r="S198" s="11"/>
    </row>
    <row r="199" spans="1:19" ht="15.75">
      <c r="A199" s="13">
        <v>47178</v>
      </c>
      <c r="B199" s="8">
        <f>CHOOSE( CONTROL!$C$32, 7.0766, 7.0763) * CHOOSE(CONTROL!$C$15, $D$11, 100%, $F$11)</f>
        <v>7.0766</v>
      </c>
      <c r="C199" s="8">
        <f>CHOOSE( CONTROL!$C$32, 7.0816, 7.0814) * CHOOSE(CONTROL!$C$15, $D$11, 100%, $F$11)</f>
        <v>7.0815999999999999</v>
      </c>
      <c r="D199" s="8">
        <f>CHOOSE( CONTROL!$C$32, 7.0689, 7.0687) * CHOOSE( CONTROL!$C$15, $D$11, 100%, $F$11)</f>
        <v>7.0689000000000002</v>
      </c>
      <c r="E199" s="12">
        <f>CHOOSE( CONTROL!$C$32, 7.073, 7.0728) * CHOOSE( CONTROL!$C$15, $D$11, 100%, $F$11)</f>
        <v>7.0730000000000004</v>
      </c>
      <c r="F199" s="4">
        <f>CHOOSE( CONTROL!$C$32, 7.7419, 7.7416) * CHOOSE(CONTROL!$C$15, $D$11, 100%, $F$11)</f>
        <v>7.7419000000000002</v>
      </c>
      <c r="G199" s="8">
        <f>CHOOSE( CONTROL!$C$32, 7.0001, 6.9999) * CHOOSE( CONTROL!$C$15, $D$11, 100%, $F$11)</f>
        <v>7.0000999999999998</v>
      </c>
      <c r="H199" s="4">
        <f>CHOOSE( CONTROL!$C$32, 7.8978, 7.8976) * CHOOSE(CONTROL!$C$15, $D$11, 100%, $F$11)</f>
        <v>7.8978000000000002</v>
      </c>
      <c r="I199" s="8">
        <f>CHOOSE( CONTROL!$C$32, 6.993, 6.9927) * CHOOSE(CONTROL!$C$15, $D$11, 100%, $F$11)</f>
        <v>6.9930000000000003</v>
      </c>
      <c r="J199" s="4">
        <f>CHOOSE( CONTROL!$C$32, 6.8591, 6.8588) * CHOOSE(CONTROL!$C$15, $D$11, 100%, $F$11)</f>
        <v>6.8590999999999998</v>
      </c>
      <c r="K199" s="4"/>
      <c r="L199" s="9">
        <v>29.306000000000001</v>
      </c>
      <c r="M199" s="9">
        <v>12.063700000000001</v>
      </c>
      <c r="N199" s="9">
        <v>4.9444999999999997</v>
      </c>
      <c r="O199" s="9">
        <v>0.37409999999999999</v>
      </c>
      <c r="P199" s="9">
        <v>1.2927</v>
      </c>
      <c r="Q199" s="9">
        <v>31.517700000000001</v>
      </c>
      <c r="R199" s="9"/>
      <c r="S199" s="11"/>
    </row>
    <row r="200" spans="1:19" ht="15.75">
      <c r="A200" s="13">
        <v>47209</v>
      </c>
      <c r="B200" s="8">
        <f>CHOOSE( CONTROL!$C$32, 7.1848, 7.1845) * CHOOSE(CONTROL!$C$15, $D$11, 100%, $F$11)</f>
        <v>7.1848000000000001</v>
      </c>
      <c r="C200" s="8">
        <f>CHOOSE( CONTROL!$C$32, 7.1893, 7.189) * CHOOSE(CONTROL!$C$15, $D$11, 100%, $F$11)</f>
        <v>7.1893000000000002</v>
      </c>
      <c r="D200" s="8">
        <f>CHOOSE( CONTROL!$C$32, 7.1941, 7.1939) * CHOOSE( CONTROL!$C$15, $D$11, 100%, $F$11)</f>
        <v>7.1940999999999997</v>
      </c>
      <c r="E200" s="12">
        <f>CHOOSE( CONTROL!$C$32, 7.192, 7.1918) * CHOOSE( CONTROL!$C$15, $D$11, 100%, $F$11)</f>
        <v>7.1920000000000002</v>
      </c>
      <c r="F200" s="4">
        <f>CHOOSE( CONTROL!$C$32, 7.8889, 7.8887) * CHOOSE(CONTROL!$C$15, $D$11, 100%, $F$11)</f>
        <v>7.8888999999999996</v>
      </c>
      <c r="G200" s="8">
        <f>CHOOSE( CONTROL!$C$32, 7.1121, 7.1118) * CHOOSE( CONTROL!$C$15, $D$11, 100%, $F$11)</f>
        <v>7.1120999999999999</v>
      </c>
      <c r="H200" s="4">
        <f>CHOOSE( CONTROL!$C$32, 8.0432, 8.0429) * CHOOSE(CONTROL!$C$15, $D$11, 100%, $F$11)</f>
        <v>8.0432000000000006</v>
      </c>
      <c r="I200" s="8">
        <f>CHOOSE( CONTROL!$C$32, 7.0715, 7.0712) * CHOOSE(CONTROL!$C$15, $D$11, 100%, $F$11)</f>
        <v>7.0715000000000003</v>
      </c>
      <c r="J200" s="4">
        <f>CHOOSE( CONTROL!$C$32, 6.9633, 6.963) * CHOOSE(CONTROL!$C$15, $D$11, 100%, $F$11)</f>
        <v>6.9633000000000003</v>
      </c>
      <c r="K200" s="4"/>
      <c r="L200" s="9">
        <v>30.092199999999998</v>
      </c>
      <c r="M200" s="9">
        <v>11.6745</v>
      </c>
      <c r="N200" s="9">
        <v>4.7850000000000001</v>
      </c>
      <c r="O200" s="9">
        <v>0.36199999999999999</v>
      </c>
      <c r="P200" s="9">
        <v>1.2509999999999999</v>
      </c>
      <c r="Q200" s="9">
        <v>30.501000000000001</v>
      </c>
      <c r="R200" s="9"/>
      <c r="S200" s="11"/>
    </row>
    <row r="201" spans="1:19" ht="15.75">
      <c r="A201" s="13">
        <v>47239</v>
      </c>
      <c r="B201" s="8">
        <f>CHOOSE( CONTROL!$C$32, 7.3775, 7.377) * CHOOSE(CONTROL!$C$15, $D$11, 100%, $F$11)</f>
        <v>7.3775000000000004</v>
      </c>
      <c r="C201" s="8">
        <f>CHOOSE( CONTROL!$C$32, 7.3854, 7.385) * CHOOSE(CONTROL!$C$15, $D$11, 100%, $F$11)</f>
        <v>7.3853999999999997</v>
      </c>
      <c r="D201" s="8">
        <f>CHOOSE( CONTROL!$C$32, 7.3842, 7.3838) * CHOOSE( CONTROL!$C$15, $D$11, 100%, $F$11)</f>
        <v>7.3841999999999999</v>
      </c>
      <c r="E201" s="12">
        <f>CHOOSE( CONTROL!$C$32, 7.3834, 7.383) * CHOOSE( CONTROL!$C$15, $D$11, 100%, $F$11)</f>
        <v>7.3834</v>
      </c>
      <c r="F201" s="4">
        <f>CHOOSE( CONTROL!$C$32, 8.0803, 8.0798) * CHOOSE(CONTROL!$C$15, $D$11, 100%, $F$11)</f>
        <v>8.0802999999999994</v>
      </c>
      <c r="G201" s="8">
        <f>CHOOSE( CONTROL!$C$32, 7.301, 7.3005) * CHOOSE( CONTROL!$C$15, $D$11, 100%, $F$11)</f>
        <v>7.3010000000000002</v>
      </c>
      <c r="H201" s="4">
        <f>CHOOSE( CONTROL!$C$32, 8.2323, 8.2319) * CHOOSE(CONTROL!$C$15, $D$11, 100%, $F$11)</f>
        <v>8.2323000000000004</v>
      </c>
      <c r="I201" s="8">
        <f>CHOOSE( CONTROL!$C$32, 7.2565, 7.256) * CHOOSE(CONTROL!$C$15, $D$11, 100%, $F$11)</f>
        <v>7.2565</v>
      </c>
      <c r="J201" s="4">
        <f>CHOOSE( CONTROL!$C$32, 7.149, 7.1486) * CHOOSE(CONTROL!$C$15, $D$11, 100%, $F$11)</f>
        <v>7.149</v>
      </c>
      <c r="K201" s="4"/>
      <c r="L201" s="9">
        <v>30.7165</v>
      </c>
      <c r="M201" s="9">
        <v>12.063700000000001</v>
      </c>
      <c r="N201" s="9">
        <v>4.9444999999999997</v>
      </c>
      <c r="O201" s="9">
        <v>0.37409999999999999</v>
      </c>
      <c r="P201" s="9">
        <v>1.2927</v>
      </c>
      <c r="Q201" s="9">
        <v>31.517700000000001</v>
      </c>
      <c r="R201" s="9"/>
      <c r="S201" s="11"/>
    </row>
    <row r="202" spans="1:19" ht="15.75">
      <c r="A202" s="13">
        <v>47270</v>
      </c>
      <c r="B202" s="8">
        <f>CHOOSE( CONTROL!$C$32, 7.259, 7.2586) * CHOOSE(CONTROL!$C$15, $D$11, 100%, $F$11)</f>
        <v>7.2590000000000003</v>
      </c>
      <c r="C202" s="8">
        <f>CHOOSE( CONTROL!$C$32, 7.267, 7.2666) * CHOOSE(CONTROL!$C$15, $D$11, 100%, $F$11)</f>
        <v>7.2670000000000003</v>
      </c>
      <c r="D202" s="8">
        <f>CHOOSE( CONTROL!$C$32, 7.266, 7.2655) * CHOOSE( CONTROL!$C$15, $D$11, 100%, $F$11)</f>
        <v>7.266</v>
      </c>
      <c r="E202" s="12">
        <f>CHOOSE( CONTROL!$C$32, 7.2651, 7.2647) * CHOOSE( CONTROL!$C$15, $D$11, 100%, $F$11)</f>
        <v>7.2651000000000003</v>
      </c>
      <c r="F202" s="4">
        <f>CHOOSE( CONTROL!$C$32, 7.9619, 7.9614) * CHOOSE(CONTROL!$C$15, $D$11, 100%, $F$11)</f>
        <v>7.9619</v>
      </c>
      <c r="G202" s="8">
        <f>CHOOSE( CONTROL!$C$32, 7.1841, 7.1837) * CHOOSE( CONTROL!$C$15, $D$11, 100%, $F$11)</f>
        <v>7.1840999999999999</v>
      </c>
      <c r="H202" s="4">
        <f>CHOOSE( CONTROL!$C$32, 8.1153, 8.1148) * CHOOSE(CONTROL!$C$15, $D$11, 100%, $F$11)</f>
        <v>8.1152999999999995</v>
      </c>
      <c r="I202" s="8">
        <f>CHOOSE( CONTROL!$C$32, 7.1421, 7.1417) * CHOOSE(CONTROL!$C$15, $D$11, 100%, $F$11)</f>
        <v>7.1421000000000001</v>
      </c>
      <c r="J202" s="4">
        <f>CHOOSE( CONTROL!$C$32, 7.0341, 7.0336) * CHOOSE(CONTROL!$C$15, $D$11, 100%, $F$11)</f>
        <v>7.0340999999999996</v>
      </c>
      <c r="K202" s="4"/>
      <c r="L202" s="9">
        <v>29.7257</v>
      </c>
      <c r="M202" s="9">
        <v>11.6745</v>
      </c>
      <c r="N202" s="9">
        <v>4.7850000000000001</v>
      </c>
      <c r="O202" s="9">
        <v>0.36199999999999999</v>
      </c>
      <c r="P202" s="9">
        <v>1.2509999999999999</v>
      </c>
      <c r="Q202" s="9">
        <v>30.501000000000001</v>
      </c>
      <c r="R202" s="9"/>
      <c r="S202" s="11"/>
    </row>
    <row r="203" spans="1:19" ht="15.75">
      <c r="A203" s="13">
        <v>47300</v>
      </c>
      <c r="B203" s="8">
        <f>CHOOSE( CONTROL!$C$32, 7.5709, 7.5705) * CHOOSE(CONTROL!$C$15, $D$11, 100%, $F$11)</f>
        <v>7.5709</v>
      </c>
      <c r="C203" s="8">
        <f>CHOOSE( CONTROL!$C$32, 7.5789, 7.5784) * CHOOSE(CONTROL!$C$15, $D$11, 100%, $F$11)</f>
        <v>7.5789</v>
      </c>
      <c r="D203" s="8">
        <f>CHOOSE( CONTROL!$C$32, 7.5781, 7.5776) * CHOOSE( CONTROL!$C$15, $D$11, 100%, $F$11)</f>
        <v>7.5781000000000001</v>
      </c>
      <c r="E203" s="12">
        <f>CHOOSE( CONTROL!$C$32, 7.5772, 7.5767) * CHOOSE( CONTROL!$C$15, $D$11, 100%, $F$11)</f>
        <v>7.5772000000000004</v>
      </c>
      <c r="F203" s="4">
        <f>CHOOSE( CONTROL!$C$32, 8.2737, 8.2733) * CHOOSE(CONTROL!$C$15, $D$11, 100%, $F$11)</f>
        <v>8.2736999999999998</v>
      </c>
      <c r="G203" s="8">
        <f>CHOOSE( CONTROL!$C$32, 7.4925, 7.492) * CHOOSE( CONTROL!$C$15, $D$11, 100%, $F$11)</f>
        <v>7.4924999999999997</v>
      </c>
      <c r="H203" s="4">
        <f>CHOOSE( CONTROL!$C$32, 8.4235, 8.423) * CHOOSE(CONTROL!$C$15, $D$11, 100%, $F$11)</f>
        <v>8.4235000000000007</v>
      </c>
      <c r="I203" s="8">
        <f>CHOOSE( CONTROL!$C$32, 7.4457, 7.4453) * CHOOSE(CONTROL!$C$15, $D$11, 100%, $F$11)</f>
        <v>7.4457000000000004</v>
      </c>
      <c r="J203" s="4">
        <f>CHOOSE( CONTROL!$C$32, 7.3367, 7.3363) * CHOOSE(CONTROL!$C$15, $D$11, 100%, $F$11)</f>
        <v>7.3367000000000004</v>
      </c>
      <c r="K203" s="4"/>
      <c r="L203" s="9">
        <v>30.7165</v>
      </c>
      <c r="M203" s="9">
        <v>12.063700000000001</v>
      </c>
      <c r="N203" s="9">
        <v>4.9444999999999997</v>
      </c>
      <c r="O203" s="9">
        <v>0.37409999999999999</v>
      </c>
      <c r="P203" s="9">
        <v>1.2927</v>
      </c>
      <c r="Q203" s="9">
        <v>31.517700000000001</v>
      </c>
      <c r="R203" s="9"/>
      <c r="S203" s="11"/>
    </row>
    <row r="204" spans="1:19" ht="15.75">
      <c r="A204" s="13">
        <v>47331</v>
      </c>
      <c r="B204" s="8">
        <f>CHOOSE( CONTROL!$C$32, 6.9874, 6.9869) * CHOOSE(CONTROL!$C$15, $D$11, 100%, $F$11)</f>
        <v>6.9874000000000001</v>
      </c>
      <c r="C204" s="8">
        <f>CHOOSE( CONTROL!$C$32, 6.9954, 6.9949) * CHOOSE(CONTROL!$C$15, $D$11, 100%, $F$11)</f>
        <v>6.9954000000000001</v>
      </c>
      <c r="D204" s="8">
        <f>CHOOSE( CONTROL!$C$32, 6.9946, 6.9942) * CHOOSE( CONTROL!$C$15, $D$11, 100%, $F$11)</f>
        <v>6.9946000000000002</v>
      </c>
      <c r="E204" s="12">
        <f>CHOOSE( CONTROL!$C$32, 6.9937, 6.9932) * CHOOSE( CONTROL!$C$15, $D$11, 100%, $F$11)</f>
        <v>6.9936999999999996</v>
      </c>
      <c r="F204" s="4">
        <f>CHOOSE( CONTROL!$C$32, 7.6902, 7.6897) * CHOOSE(CONTROL!$C$15, $D$11, 100%, $F$11)</f>
        <v>7.6901999999999999</v>
      </c>
      <c r="G204" s="8">
        <f>CHOOSE( CONTROL!$C$32, 6.9158, 6.9154) * CHOOSE( CONTROL!$C$15, $D$11, 100%, $F$11)</f>
        <v>6.9157999999999999</v>
      </c>
      <c r="H204" s="4">
        <f>CHOOSE( CONTROL!$C$32, 7.8468, 7.8463) * CHOOSE(CONTROL!$C$15, $D$11, 100%, $F$11)</f>
        <v>7.8468</v>
      </c>
      <c r="I204" s="8">
        <f>CHOOSE( CONTROL!$C$32, 6.8793, 6.8789) * CHOOSE(CONTROL!$C$15, $D$11, 100%, $F$11)</f>
        <v>6.8792999999999997</v>
      </c>
      <c r="J204" s="4">
        <f>CHOOSE( CONTROL!$C$32, 6.7704, 6.77) * CHOOSE(CONTROL!$C$15, $D$11, 100%, $F$11)</f>
        <v>6.7704000000000004</v>
      </c>
      <c r="K204" s="4"/>
      <c r="L204" s="9">
        <v>30.7165</v>
      </c>
      <c r="M204" s="9">
        <v>12.063700000000001</v>
      </c>
      <c r="N204" s="9">
        <v>4.9444999999999997</v>
      </c>
      <c r="O204" s="9">
        <v>0.37409999999999999</v>
      </c>
      <c r="P204" s="9">
        <v>1.2927</v>
      </c>
      <c r="Q204" s="9">
        <v>31.517700000000001</v>
      </c>
      <c r="R204" s="9"/>
      <c r="S204" s="11"/>
    </row>
    <row r="205" spans="1:19" ht="15.75">
      <c r="A205" s="13">
        <v>47362</v>
      </c>
      <c r="B205" s="8">
        <f>CHOOSE( CONTROL!$C$32, 6.8413, 6.8408) * CHOOSE(CONTROL!$C$15, $D$11, 100%, $F$11)</f>
        <v>6.8413000000000004</v>
      </c>
      <c r="C205" s="8">
        <f>CHOOSE( CONTROL!$C$32, 6.8492, 6.8488) * CHOOSE(CONTROL!$C$15, $D$11, 100%, $F$11)</f>
        <v>6.8491999999999997</v>
      </c>
      <c r="D205" s="8">
        <f>CHOOSE( CONTROL!$C$32, 6.8483, 6.8479) * CHOOSE( CONTROL!$C$15, $D$11, 100%, $F$11)</f>
        <v>6.8483000000000001</v>
      </c>
      <c r="E205" s="12">
        <f>CHOOSE( CONTROL!$C$32, 6.8474, 6.847) * CHOOSE( CONTROL!$C$15, $D$11, 100%, $F$11)</f>
        <v>6.8474000000000004</v>
      </c>
      <c r="F205" s="4">
        <f>CHOOSE( CONTROL!$C$32, 7.5441, 7.5436) * CHOOSE(CONTROL!$C$15, $D$11, 100%, $F$11)</f>
        <v>7.5441000000000003</v>
      </c>
      <c r="G205" s="8">
        <f>CHOOSE( CONTROL!$C$32, 6.7713, 6.7709) * CHOOSE( CONTROL!$C$15, $D$11, 100%, $F$11)</f>
        <v>6.7713000000000001</v>
      </c>
      <c r="H205" s="4">
        <f>CHOOSE( CONTROL!$C$32, 7.7024, 7.7019) * CHOOSE(CONTROL!$C$15, $D$11, 100%, $F$11)</f>
        <v>7.7023999999999999</v>
      </c>
      <c r="I205" s="8">
        <f>CHOOSE( CONTROL!$C$32, 6.7369, 6.7365) * CHOOSE(CONTROL!$C$15, $D$11, 100%, $F$11)</f>
        <v>6.7369000000000003</v>
      </c>
      <c r="J205" s="4">
        <f>CHOOSE( CONTROL!$C$32, 6.6286, 6.6282) * CHOOSE(CONTROL!$C$15, $D$11, 100%, $F$11)</f>
        <v>6.6285999999999996</v>
      </c>
      <c r="K205" s="4"/>
      <c r="L205" s="9">
        <v>29.7257</v>
      </c>
      <c r="M205" s="9">
        <v>11.6745</v>
      </c>
      <c r="N205" s="9">
        <v>4.7850000000000001</v>
      </c>
      <c r="O205" s="9">
        <v>0.36199999999999999</v>
      </c>
      <c r="P205" s="9">
        <v>1.2509999999999999</v>
      </c>
      <c r="Q205" s="9">
        <v>30.501000000000001</v>
      </c>
      <c r="R205" s="9"/>
      <c r="S205" s="11"/>
    </row>
    <row r="206" spans="1:19" ht="15.75">
      <c r="A206" s="13">
        <v>47392</v>
      </c>
      <c r="B206" s="8">
        <f>CHOOSE( CONTROL!$C$32, 7.1428, 7.1425) * CHOOSE(CONTROL!$C$15, $D$11, 100%, $F$11)</f>
        <v>7.1428000000000003</v>
      </c>
      <c r="C206" s="8">
        <f>CHOOSE( CONTROL!$C$32, 7.1481, 7.1478) * CHOOSE(CONTROL!$C$15, $D$11, 100%, $F$11)</f>
        <v>7.1481000000000003</v>
      </c>
      <c r="D206" s="8">
        <f>CHOOSE( CONTROL!$C$32, 7.1528, 7.1525) * CHOOSE( CONTROL!$C$15, $D$11, 100%, $F$11)</f>
        <v>7.1528</v>
      </c>
      <c r="E206" s="12">
        <f>CHOOSE( CONTROL!$C$32, 7.1507, 7.1504) * CHOOSE( CONTROL!$C$15, $D$11, 100%, $F$11)</f>
        <v>7.1506999999999996</v>
      </c>
      <c r="F206" s="4">
        <f>CHOOSE( CONTROL!$C$32, 7.8473, 7.847) * CHOOSE(CONTROL!$C$15, $D$11, 100%, $F$11)</f>
        <v>7.8472999999999997</v>
      </c>
      <c r="G206" s="8">
        <f>CHOOSE( CONTROL!$C$32, 7.0712, 7.0709) * CHOOSE( CONTROL!$C$15, $D$11, 100%, $F$11)</f>
        <v>7.0712000000000002</v>
      </c>
      <c r="H206" s="4">
        <f>CHOOSE( CONTROL!$C$32, 8.002, 8.0018) * CHOOSE(CONTROL!$C$15, $D$11, 100%, $F$11)</f>
        <v>8.0020000000000007</v>
      </c>
      <c r="I206" s="8">
        <f>CHOOSE( CONTROL!$C$32, 7.0322, 7.0319) * CHOOSE(CONTROL!$C$15, $D$11, 100%, $F$11)</f>
        <v>7.0321999999999996</v>
      </c>
      <c r="J206" s="4">
        <f>CHOOSE( CONTROL!$C$32, 6.9229, 6.9226) * CHOOSE(CONTROL!$C$15, $D$11, 100%, $F$11)</f>
        <v>6.9229000000000003</v>
      </c>
      <c r="K206" s="4"/>
      <c r="L206" s="9">
        <v>31.095300000000002</v>
      </c>
      <c r="M206" s="9">
        <v>12.063700000000001</v>
      </c>
      <c r="N206" s="9">
        <v>4.9444999999999997</v>
      </c>
      <c r="O206" s="9">
        <v>0.37409999999999999</v>
      </c>
      <c r="P206" s="9">
        <v>1.2927</v>
      </c>
      <c r="Q206" s="9">
        <v>31.517700000000001</v>
      </c>
      <c r="R206" s="9"/>
      <c r="S206" s="11"/>
    </row>
    <row r="207" spans="1:19" ht="15.75">
      <c r="A207" s="13">
        <v>47423</v>
      </c>
      <c r="B207" s="8">
        <f>CHOOSE( CONTROL!$C$32, 7.7024, 7.7021) * CHOOSE(CONTROL!$C$15, $D$11, 100%, $F$11)</f>
        <v>7.7023999999999999</v>
      </c>
      <c r="C207" s="8">
        <f>CHOOSE( CONTROL!$C$32, 7.7074, 7.7072) * CHOOSE(CONTROL!$C$15, $D$11, 100%, $F$11)</f>
        <v>7.7073999999999998</v>
      </c>
      <c r="D207" s="8">
        <f>CHOOSE( CONTROL!$C$32, 7.6901, 7.6899) * CHOOSE( CONTROL!$C$15, $D$11, 100%, $F$11)</f>
        <v>7.6901000000000002</v>
      </c>
      <c r="E207" s="12">
        <f>CHOOSE( CONTROL!$C$32, 7.6959, 7.6957) * CHOOSE( CONTROL!$C$15, $D$11, 100%, $F$11)</f>
        <v>7.6959</v>
      </c>
      <c r="F207" s="4">
        <f>CHOOSE( CONTROL!$C$32, 8.3676, 8.3674) * CHOOSE(CONTROL!$C$15, $D$11, 100%, $F$11)</f>
        <v>8.3675999999999995</v>
      </c>
      <c r="G207" s="8">
        <f>CHOOSE( CONTROL!$C$32, 7.6215, 7.6213) * CHOOSE( CONTROL!$C$15, $D$11, 100%, $F$11)</f>
        <v>7.6215000000000002</v>
      </c>
      <c r="H207" s="4">
        <f>CHOOSE( CONTROL!$C$32, 8.5163, 8.516) * CHOOSE(CONTROL!$C$15, $D$11, 100%, $F$11)</f>
        <v>8.5162999999999993</v>
      </c>
      <c r="I207" s="8">
        <f>CHOOSE( CONTROL!$C$32, 7.6316, 7.6313) * CHOOSE(CONTROL!$C$15, $D$11, 100%, $F$11)</f>
        <v>7.6315999999999997</v>
      </c>
      <c r="J207" s="4">
        <f>CHOOSE( CONTROL!$C$32, 7.4664, 7.4661) * CHOOSE(CONTROL!$C$15, $D$11, 100%, $F$11)</f>
        <v>7.4664000000000001</v>
      </c>
      <c r="K207" s="4"/>
      <c r="L207" s="9">
        <v>28.360600000000002</v>
      </c>
      <c r="M207" s="9">
        <v>11.6745</v>
      </c>
      <c r="N207" s="9">
        <v>4.7850000000000001</v>
      </c>
      <c r="O207" s="9">
        <v>0.36199999999999999</v>
      </c>
      <c r="P207" s="9">
        <v>1.2509999999999999</v>
      </c>
      <c r="Q207" s="9">
        <v>30.501000000000001</v>
      </c>
      <c r="R207" s="9"/>
      <c r="S207" s="11"/>
    </row>
    <row r="208" spans="1:19" ht="15.75">
      <c r="A208" s="13">
        <v>47453</v>
      </c>
      <c r="B208" s="8">
        <f>CHOOSE( CONTROL!$C$32, 7.6884, 7.6881) * CHOOSE(CONTROL!$C$15, $D$11, 100%, $F$11)</f>
        <v>7.6883999999999997</v>
      </c>
      <c r="C208" s="8">
        <f>CHOOSE( CONTROL!$C$32, 7.6934, 7.6932) * CHOOSE(CONTROL!$C$15, $D$11, 100%, $F$11)</f>
        <v>7.6933999999999996</v>
      </c>
      <c r="D208" s="8">
        <f>CHOOSE( CONTROL!$C$32, 7.6779, 7.6777) * CHOOSE( CONTROL!$C$15, $D$11, 100%, $F$11)</f>
        <v>7.6779000000000002</v>
      </c>
      <c r="E208" s="12">
        <f>CHOOSE( CONTROL!$C$32, 7.683, 7.6828) * CHOOSE( CONTROL!$C$15, $D$11, 100%, $F$11)</f>
        <v>7.6829999999999998</v>
      </c>
      <c r="F208" s="4">
        <f>CHOOSE( CONTROL!$C$32, 8.3536, 8.3534) * CHOOSE(CONTROL!$C$15, $D$11, 100%, $F$11)</f>
        <v>8.3536000000000001</v>
      </c>
      <c r="G208" s="8">
        <f>CHOOSE( CONTROL!$C$32, 7.609, 7.6087) * CHOOSE( CONTROL!$C$15, $D$11, 100%, $F$11)</f>
        <v>7.609</v>
      </c>
      <c r="H208" s="4">
        <f>CHOOSE( CONTROL!$C$32, 8.5025, 8.5022) * CHOOSE(CONTROL!$C$15, $D$11, 100%, $F$11)</f>
        <v>8.5024999999999995</v>
      </c>
      <c r="I208" s="8">
        <f>CHOOSE( CONTROL!$C$32, 7.6236, 7.6233) * CHOOSE(CONTROL!$C$15, $D$11, 100%, $F$11)</f>
        <v>7.6235999999999997</v>
      </c>
      <c r="J208" s="4">
        <f>CHOOSE( CONTROL!$C$32, 7.4528, 7.4525) * CHOOSE(CONTROL!$C$15, $D$11, 100%, $F$11)</f>
        <v>7.4527999999999999</v>
      </c>
      <c r="K208" s="4"/>
      <c r="L208" s="9">
        <v>29.306000000000001</v>
      </c>
      <c r="M208" s="9">
        <v>12.063700000000001</v>
      </c>
      <c r="N208" s="9">
        <v>4.9444999999999997</v>
      </c>
      <c r="O208" s="9">
        <v>0.37409999999999999</v>
      </c>
      <c r="P208" s="9">
        <v>1.2927</v>
      </c>
      <c r="Q208" s="9">
        <v>31.517700000000001</v>
      </c>
      <c r="R208" s="9"/>
      <c r="S208" s="11"/>
    </row>
    <row r="209" spans="1:19" ht="15.75">
      <c r="A209" s="13">
        <v>47484</v>
      </c>
      <c r="B209" s="8">
        <f>CHOOSE( CONTROL!$C$32, 7.958, 7.9578) * CHOOSE(CONTROL!$C$15, $D$11, 100%, $F$11)</f>
        <v>7.9580000000000002</v>
      </c>
      <c r="C209" s="8">
        <f>CHOOSE( CONTROL!$C$32, 7.9631, 7.9628) * CHOOSE(CONTROL!$C$15, $D$11, 100%, $F$11)</f>
        <v>7.9630999999999998</v>
      </c>
      <c r="D209" s="8">
        <f>CHOOSE( CONTROL!$C$32, 7.9536, 7.9533) * CHOOSE( CONTROL!$C$15, $D$11, 100%, $F$11)</f>
        <v>7.9535999999999998</v>
      </c>
      <c r="E209" s="12">
        <f>CHOOSE( CONTROL!$C$32, 7.9565, 7.9562) * CHOOSE( CONTROL!$C$15, $D$11, 100%, $F$11)</f>
        <v>7.9565000000000001</v>
      </c>
      <c r="F209" s="4">
        <f>CHOOSE( CONTROL!$C$32, 8.6233, 8.623) * CHOOSE(CONTROL!$C$15, $D$11, 100%, $F$11)</f>
        <v>8.6233000000000004</v>
      </c>
      <c r="G209" s="8">
        <f>CHOOSE( CONTROL!$C$32, 7.8762, 7.8759) * CHOOSE( CONTROL!$C$15, $D$11, 100%, $F$11)</f>
        <v>7.8761999999999999</v>
      </c>
      <c r="H209" s="4">
        <f>CHOOSE( CONTROL!$C$32, 8.769, 8.7687) * CHOOSE(CONTROL!$C$15, $D$11, 100%, $F$11)</f>
        <v>8.7690000000000001</v>
      </c>
      <c r="I209" s="8">
        <f>CHOOSE( CONTROL!$C$32, 7.8659, 7.8656) * CHOOSE(CONTROL!$C$15, $D$11, 100%, $F$11)</f>
        <v>7.8658999999999999</v>
      </c>
      <c r="J209" s="4">
        <f>CHOOSE( CONTROL!$C$32, 7.7145, 7.7143) * CHOOSE(CONTROL!$C$15, $D$11, 100%, $F$11)</f>
        <v>7.7145000000000001</v>
      </c>
      <c r="K209" s="4"/>
      <c r="L209" s="9">
        <v>29.306000000000001</v>
      </c>
      <c r="M209" s="9">
        <v>12.063700000000001</v>
      </c>
      <c r="N209" s="9">
        <v>4.9444999999999997</v>
      </c>
      <c r="O209" s="9">
        <v>0.37409999999999999</v>
      </c>
      <c r="P209" s="9">
        <v>1.2927</v>
      </c>
      <c r="Q209" s="9">
        <v>31.333600000000001</v>
      </c>
      <c r="R209" s="9"/>
      <c r="S209" s="11"/>
    </row>
    <row r="210" spans="1:19" ht="15.75">
      <c r="A210" s="13">
        <v>47515</v>
      </c>
      <c r="B210" s="8">
        <f>CHOOSE( CONTROL!$C$32, 7.4442, 7.4439) * CHOOSE(CONTROL!$C$15, $D$11, 100%, $F$11)</f>
        <v>7.4442000000000004</v>
      </c>
      <c r="C210" s="8">
        <f>CHOOSE( CONTROL!$C$32, 7.4492, 7.449) * CHOOSE(CONTROL!$C$15, $D$11, 100%, $F$11)</f>
        <v>7.4492000000000003</v>
      </c>
      <c r="D210" s="8">
        <f>CHOOSE( CONTROL!$C$32, 7.4413, 7.4411) * CHOOSE( CONTROL!$C$15, $D$11, 100%, $F$11)</f>
        <v>7.4413</v>
      </c>
      <c r="E210" s="12">
        <f>CHOOSE( CONTROL!$C$32, 7.4437, 7.4434) * CHOOSE( CONTROL!$C$15, $D$11, 100%, $F$11)</f>
        <v>7.4436999999999998</v>
      </c>
      <c r="F210" s="4">
        <f>CHOOSE( CONTROL!$C$32, 8.1094, 8.1092) * CHOOSE(CONTROL!$C$15, $D$11, 100%, $F$11)</f>
        <v>8.1094000000000008</v>
      </c>
      <c r="G210" s="8">
        <f>CHOOSE( CONTROL!$C$32, 7.3669, 7.3666) * CHOOSE( CONTROL!$C$15, $D$11, 100%, $F$11)</f>
        <v>7.3669000000000002</v>
      </c>
      <c r="H210" s="4">
        <f>CHOOSE( CONTROL!$C$32, 8.2611, 8.2609) * CHOOSE(CONTROL!$C$15, $D$11, 100%, $F$11)</f>
        <v>8.2611000000000008</v>
      </c>
      <c r="I210" s="8">
        <f>CHOOSE( CONTROL!$C$32, 7.3515, 7.3512) * CHOOSE(CONTROL!$C$15, $D$11, 100%, $F$11)</f>
        <v>7.3514999999999997</v>
      </c>
      <c r="J210" s="4">
        <f>CHOOSE( CONTROL!$C$32, 7.2158, 7.2155) * CHOOSE(CONTROL!$C$15, $D$11, 100%, $F$11)</f>
        <v>7.2157999999999998</v>
      </c>
      <c r="K210" s="4"/>
      <c r="L210" s="9">
        <v>26.469899999999999</v>
      </c>
      <c r="M210" s="9">
        <v>10.8962</v>
      </c>
      <c r="N210" s="9">
        <v>4.4660000000000002</v>
      </c>
      <c r="O210" s="9">
        <v>0.33789999999999998</v>
      </c>
      <c r="P210" s="9">
        <v>1.1676</v>
      </c>
      <c r="Q210" s="9">
        <v>28.301300000000001</v>
      </c>
      <c r="R210" s="9"/>
      <c r="S210" s="11"/>
    </row>
    <row r="211" spans="1:19" ht="15.75">
      <c r="A211" s="13">
        <v>47543</v>
      </c>
      <c r="B211" s="8">
        <f>CHOOSE( CONTROL!$C$32, 7.2859, 7.2856) * CHOOSE(CONTROL!$C$15, $D$11, 100%, $F$11)</f>
        <v>7.2858999999999998</v>
      </c>
      <c r="C211" s="8">
        <f>CHOOSE( CONTROL!$C$32, 7.291, 7.2907) * CHOOSE(CONTROL!$C$15, $D$11, 100%, $F$11)</f>
        <v>7.2910000000000004</v>
      </c>
      <c r="D211" s="8">
        <f>CHOOSE( CONTROL!$C$32, 7.2783, 7.278) * CHOOSE( CONTROL!$C$15, $D$11, 100%, $F$11)</f>
        <v>7.2782999999999998</v>
      </c>
      <c r="E211" s="12">
        <f>CHOOSE( CONTROL!$C$32, 7.2824, 7.2821) * CHOOSE( CONTROL!$C$15, $D$11, 100%, $F$11)</f>
        <v>7.2824</v>
      </c>
      <c r="F211" s="4">
        <f>CHOOSE( CONTROL!$C$32, 7.9512, 7.9509) * CHOOSE(CONTROL!$C$15, $D$11, 100%, $F$11)</f>
        <v>7.9512</v>
      </c>
      <c r="G211" s="8">
        <f>CHOOSE( CONTROL!$C$32, 7.207, 7.2067) * CHOOSE( CONTROL!$C$15, $D$11, 100%, $F$11)</f>
        <v>7.2069999999999999</v>
      </c>
      <c r="H211" s="4">
        <f>CHOOSE( CONTROL!$C$32, 8.1047, 8.1044) * CHOOSE(CONTROL!$C$15, $D$11, 100%, $F$11)</f>
        <v>8.1046999999999993</v>
      </c>
      <c r="I211" s="8">
        <f>CHOOSE( CONTROL!$C$32, 7.1962, 7.196) * CHOOSE(CONTROL!$C$15, $D$11, 100%, $F$11)</f>
        <v>7.1962000000000002</v>
      </c>
      <c r="J211" s="4">
        <f>CHOOSE( CONTROL!$C$32, 7.0622, 7.0619) * CHOOSE(CONTROL!$C$15, $D$11, 100%, $F$11)</f>
        <v>7.0621999999999998</v>
      </c>
      <c r="K211" s="4"/>
      <c r="L211" s="9">
        <v>29.306000000000001</v>
      </c>
      <c r="M211" s="9">
        <v>12.063700000000001</v>
      </c>
      <c r="N211" s="9">
        <v>4.9444999999999997</v>
      </c>
      <c r="O211" s="9">
        <v>0.37409999999999999</v>
      </c>
      <c r="P211" s="9">
        <v>1.2927</v>
      </c>
      <c r="Q211" s="9">
        <v>31.333600000000001</v>
      </c>
      <c r="R211" s="9"/>
      <c r="S211" s="11"/>
    </row>
    <row r="212" spans="1:19" ht="15.75">
      <c r="A212" s="13">
        <v>47574</v>
      </c>
      <c r="B212" s="8">
        <f>CHOOSE( CONTROL!$C$32, 7.3973, 7.397) * CHOOSE(CONTROL!$C$15, $D$11, 100%, $F$11)</f>
        <v>7.3973000000000004</v>
      </c>
      <c r="C212" s="8">
        <f>CHOOSE( CONTROL!$C$32, 7.4018, 7.4015) * CHOOSE(CONTROL!$C$15, $D$11, 100%, $F$11)</f>
        <v>7.4017999999999997</v>
      </c>
      <c r="D212" s="8">
        <f>CHOOSE( CONTROL!$C$32, 7.4066, 7.4064) * CHOOSE( CONTROL!$C$15, $D$11, 100%, $F$11)</f>
        <v>7.4066000000000001</v>
      </c>
      <c r="E212" s="12">
        <f>CHOOSE( CONTROL!$C$32, 7.4045, 7.4043) * CHOOSE( CONTROL!$C$15, $D$11, 100%, $F$11)</f>
        <v>7.4044999999999996</v>
      </c>
      <c r="F212" s="4">
        <f>CHOOSE( CONTROL!$C$32, 8.1014, 8.1012) * CHOOSE(CONTROL!$C$15, $D$11, 100%, $F$11)</f>
        <v>8.1013999999999999</v>
      </c>
      <c r="G212" s="8">
        <f>CHOOSE( CONTROL!$C$32, 7.3221, 7.3218) * CHOOSE( CONTROL!$C$15, $D$11, 100%, $F$11)</f>
        <v>7.3220999999999998</v>
      </c>
      <c r="H212" s="4">
        <f>CHOOSE( CONTROL!$C$32, 8.2532, 8.2529) * CHOOSE(CONTROL!$C$15, $D$11, 100%, $F$11)</f>
        <v>8.2531999999999996</v>
      </c>
      <c r="I212" s="8">
        <f>CHOOSE( CONTROL!$C$32, 7.2778, 7.2776) * CHOOSE(CONTROL!$C$15, $D$11, 100%, $F$11)</f>
        <v>7.2778</v>
      </c>
      <c r="J212" s="4">
        <f>CHOOSE( CONTROL!$C$32, 7.1695, 7.1693) * CHOOSE(CONTROL!$C$15, $D$11, 100%, $F$11)</f>
        <v>7.1695000000000002</v>
      </c>
      <c r="K212" s="4"/>
      <c r="L212" s="9">
        <v>30.092199999999998</v>
      </c>
      <c r="M212" s="9">
        <v>11.6745</v>
      </c>
      <c r="N212" s="9">
        <v>4.7850000000000001</v>
      </c>
      <c r="O212" s="9">
        <v>0.36199999999999999</v>
      </c>
      <c r="P212" s="9">
        <v>1.2509999999999999</v>
      </c>
      <c r="Q212" s="9">
        <v>30.322800000000001</v>
      </c>
      <c r="R212" s="9"/>
      <c r="S212" s="11"/>
    </row>
    <row r="213" spans="1:19" ht="15.75">
      <c r="A213" s="13">
        <v>47604</v>
      </c>
      <c r="B213" s="8">
        <f>CHOOSE( CONTROL!$C$32, 7.5956, 7.5952) * CHOOSE(CONTROL!$C$15, $D$11, 100%, $F$11)</f>
        <v>7.5956000000000001</v>
      </c>
      <c r="C213" s="8">
        <f>CHOOSE( CONTROL!$C$32, 7.6036, 7.6032) * CHOOSE(CONTROL!$C$15, $D$11, 100%, $F$11)</f>
        <v>7.6036000000000001</v>
      </c>
      <c r="D213" s="8">
        <f>CHOOSE( CONTROL!$C$32, 7.6024, 7.6019) * CHOOSE( CONTROL!$C$15, $D$11, 100%, $F$11)</f>
        <v>7.6024000000000003</v>
      </c>
      <c r="E213" s="12">
        <f>CHOOSE( CONTROL!$C$32, 7.6016, 7.6012) * CHOOSE( CONTROL!$C$15, $D$11, 100%, $F$11)</f>
        <v>7.6016000000000004</v>
      </c>
      <c r="F213" s="4">
        <f>CHOOSE( CONTROL!$C$32, 8.2985, 8.298) * CHOOSE(CONTROL!$C$15, $D$11, 100%, $F$11)</f>
        <v>8.2985000000000007</v>
      </c>
      <c r="G213" s="8">
        <f>CHOOSE( CONTROL!$C$32, 7.5166, 7.5162) * CHOOSE( CONTROL!$C$15, $D$11, 100%, $F$11)</f>
        <v>7.5166000000000004</v>
      </c>
      <c r="H213" s="4">
        <f>CHOOSE( CONTROL!$C$32, 8.4479, 8.4475) * CHOOSE(CONTROL!$C$15, $D$11, 100%, $F$11)</f>
        <v>8.4479000000000006</v>
      </c>
      <c r="I213" s="8">
        <f>CHOOSE( CONTROL!$C$32, 7.4683, 7.4679) * CHOOSE(CONTROL!$C$15, $D$11, 100%, $F$11)</f>
        <v>7.4683000000000002</v>
      </c>
      <c r="J213" s="4">
        <f>CHOOSE( CONTROL!$C$32, 7.3608, 7.3603) * CHOOSE(CONTROL!$C$15, $D$11, 100%, $F$11)</f>
        <v>7.3608000000000002</v>
      </c>
      <c r="K213" s="4"/>
      <c r="L213" s="9">
        <v>30.7165</v>
      </c>
      <c r="M213" s="9">
        <v>12.063700000000001</v>
      </c>
      <c r="N213" s="9">
        <v>4.9444999999999997</v>
      </c>
      <c r="O213" s="9">
        <v>0.37409999999999999</v>
      </c>
      <c r="P213" s="9">
        <v>1.2927</v>
      </c>
      <c r="Q213" s="9">
        <v>31.333600000000001</v>
      </c>
      <c r="R213" s="9"/>
      <c r="S213" s="11"/>
    </row>
    <row r="214" spans="1:19" ht="15.75">
      <c r="A214" s="13">
        <v>47635</v>
      </c>
      <c r="B214" s="8">
        <f>CHOOSE( CONTROL!$C$32, 7.4737, 7.4733) * CHOOSE(CONTROL!$C$15, $D$11, 100%, $F$11)</f>
        <v>7.4737</v>
      </c>
      <c r="C214" s="8">
        <f>CHOOSE( CONTROL!$C$32, 7.4817, 7.4812) * CHOOSE(CONTROL!$C$15, $D$11, 100%, $F$11)</f>
        <v>7.4817</v>
      </c>
      <c r="D214" s="8">
        <f>CHOOSE( CONTROL!$C$32, 7.4807, 7.4802) * CHOOSE( CONTROL!$C$15, $D$11, 100%, $F$11)</f>
        <v>7.4806999999999997</v>
      </c>
      <c r="E214" s="12">
        <f>CHOOSE( CONTROL!$C$32, 7.4798, 7.4794) * CHOOSE( CONTROL!$C$15, $D$11, 100%, $F$11)</f>
        <v>7.4798</v>
      </c>
      <c r="F214" s="4">
        <f>CHOOSE( CONTROL!$C$32, 8.1765, 8.1761) * CHOOSE(CONTROL!$C$15, $D$11, 100%, $F$11)</f>
        <v>8.1765000000000008</v>
      </c>
      <c r="G214" s="8">
        <f>CHOOSE( CONTROL!$C$32, 7.3963, 7.3958) * CHOOSE( CONTROL!$C$15, $D$11, 100%, $F$11)</f>
        <v>7.3963000000000001</v>
      </c>
      <c r="H214" s="4">
        <f>CHOOSE( CONTROL!$C$32, 8.3274, 8.327) * CHOOSE(CONTROL!$C$15, $D$11, 100%, $F$11)</f>
        <v>8.3274000000000008</v>
      </c>
      <c r="I214" s="8">
        <f>CHOOSE( CONTROL!$C$32, 7.3506, 7.3501) * CHOOSE(CONTROL!$C$15, $D$11, 100%, $F$11)</f>
        <v>7.3506</v>
      </c>
      <c r="J214" s="4">
        <f>CHOOSE( CONTROL!$C$32, 7.2424, 7.242) * CHOOSE(CONTROL!$C$15, $D$11, 100%, $F$11)</f>
        <v>7.2423999999999999</v>
      </c>
      <c r="K214" s="4"/>
      <c r="L214" s="9">
        <v>29.7257</v>
      </c>
      <c r="M214" s="9">
        <v>11.6745</v>
      </c>
      <c r="N214" s="9">
        <v>4.7850000000000001</v>
      </c>
      <c r="O214" s="9">
        <v>0.36199999999999999</v>
      </c>
      <c r="P214" s="9">
        <v>1.2509999999999999</v>
      </c>
      <c r="Q214" s="9">
        <v>30.322800000000001</v>
      </c>
      <c r="R214" s="9"/>
      <c r="S214" s="11"/>
    </row>
    <row r="215" spans="1:19" ht="15.75">
      <c r="A215" s="13">
        <v>47665</v>
      </c>
      <c r="B215" s="8">
        <f>CHOOSE( CONTROL!$C$32, 7.7948, 7.7944) * CHOOSE(CONTROL!$C$15, $D$11, 100%, $F$11)</f>
        <v>7.7948000000000004</v>
      </c>
      <c r="C215" s="8">
        <f>CHOOSE( CONTROL!$C$32, 7.8028, 7.8023) * CHOOSE(CONTROL!$C$15, $D$11, 100%, $F$11)</f>
        <v>7.8028000000000004</v>
      </c>
      <c r="D215" s="8">
        <f>CHOOSE( CONTROL!$C$32, 7.802, 7.8015) * CHOOSE( CONTROL!$C$15, $D$11, 100%, $F$11)</f>
        <v>7.8019999999999996</v>
      </c>
      <c r="E215" s="12">
        <f>CHOOSE( CONTROL!$C$32, 7.8011, 7.8006) * CHOOSE( CONTROL!$C$15, $D$11, 100%, $F$11)</f>
        <v>7.8010999999999999</v>
      </c>
      <c r="F215" s="4">
        <f>CHOOSE( CONTROL!$C$32, 8.4976, 8.4972) * CHOOSE(CONTROL!$C$15, $D$11, 100%, $F$11)</f>
        <v>8.4976000000000003</v>
      </c>
      <c r="G215" s="8">
        <f>CHOOSE( CONTROL!$C$32, 7.7138, 7.7133) * CHOOSE( CONTROL!$C$15, $D$11, 100%, $F$11)</f>
        <v>7.7138</v>
      </c>
      <c r="H215" s="4">
        <f>CHOOSE( CONTROL!$C$32, 8.6448, 8.6443) * CHOOSE(CONTROL!$C$15, $D$11, 100%, $F$11)</f>
        <v>8.6448</v>
      </c>
      <c r="I215" s="8">
        <f>CHOOSE( CONTROL!$C$32, 7.6631, 7.6627) * CHOOSE(CONTROL!$C$15, $D$11, 100%, $F$11)</f>
        <v>7.6631</v>
      </c>
      <c r="J215" s="4">
        <f>CHOOSE( CONTROL!$C$32, 7.554, 7.5536) * CHOOSE(CONTROL!$C$15, $D$11, 100%, $F$11)</f>
        <v>7.5540000000000003</v>
      </c>
      <c r="K215" s="4"/>
      <c r="L215" s="9">
        <v>30.7165</v>
      </c>
      <c r="M215" s="9">
        <v>12.063700000000001</v>
      </c>
      <c r="N215" s="9">
        <v>4.9444999999999997</v>
      </c>
      <c r="O215" s="9">
        <v>0.37409999999999999</v>
      </c>
      <c r="P215" s="9">
        <v>1.2927</v>
      </c>
      <c r="Q215" s="9">
        <v>31.333600000000001</v>
      </c>
      <c r="R215" s="9"/>
      <c r="S215" s="11"/>
    </row>
    <row r="216" spans="1:19" ht="15.75">
      <c r="A216" s="13">
        <v>47696</v>
      </c>
      <c r="B216" s="8">
        <f>CHOOSE( CONTROL!$C$32, 7.194, 7.1935) * CHOOSE(CONTROL!$C$15, $D$11, 100%, $F$11)</f>
        <v>7.194</v>
      </c>
      <c r="C216" s="8">
        <f>CHOOSE( CONTROL!$C$32, 7.202, 7.2015) * CHOOSE(CONTROL!$C$15, $D$11, 100%, $F$11)</f>
        <v>7.202</v>
      </c>
      <c r="D216" s="8">
        <f>CHOOSE( CONTROL!$C$32, 7.2012, 7.2008) * CHOOSE( CONTROL!$C$15, $D$11, 100%, $F$11)</f>
        <v>7.2012</v>
      </c>
      <c r="E216" s="12">
        <f>CHOOSE( CONTROL!$C$32, 7.2003, 7.1998) * CHOOSE( CONTROL!$C$15, $D$11, 100%, $F$11)</f>
        <v>7.2003000000000004</v>
      </c>
      <c r="F216" s="4">
        <f>CHOOSE( CONTROL!$C$32, 7.8968, 7.8964) * CHOOSE(CONTROL!$C$15, $D$11, 100%, $F$11)</f>
        <v>7.8967999999999998</v>
      </c>
      <c r="G216" s="8">
        <f>CHOOSE( CONTROL!$C$32, 7.12, 7.1196) * CHOOSE( CONTROL!$C$15, $D$11, 100%, $F$11)</f>
        <v>7.12</v>
      </c>
      <c r="H216" s="4">
        <f>CHOOSE( CONTROL!$C$32, 8.051, 8.0505) * CHOOSE(CONTROL!$C$15, $D$11, 100%, $F$11)</f>
        <v>8.0510000000000002</v>
      </c>
      <c r="I216" s="8">
        <f>CHOOSE( CONTROL!$C$32, 7.08, 7.0795) * CHOOSE(CONTROL!$C$15, $D$11, 100%, $F$11)</f>
        <v>7.08</v>
      </c>
      <c r="J216" s="4">
        <f>CHOOSE( CONTROL!$C$32, 6.971, 6.9705) * CHOOSE(CONTROL!$C$15, $D$11, 100%, $F$11)</f>
        <v>6.9710000000000001</v>
      </c>
      <c r="K216" s="4"/>
      <c r="L216" s="9">
        <v>30.7165</v>
      </c>
      <c r="M216" s="9">
        <v>12.063700000000001</v>
      </c>
      <c r="N216" s="9">
        <v>4.9444999999999997</v>
      </c>
      <c r="O216" s="9">
        <v>0.37409999999999999</v>
      </c>
      <c r="P216" s="9">
        <v>1.2927</v>
      </c>
      <c r="Q216" s="9">
        <v>31.333600000000001</v>
      </c>
      <c r="R216" s="9"/>
      <c r="S216" s="11"/>
    </row>
    <row r="217" spans="1:19" ht="15.75">
      <c r="A217" s="13">
        <v>47727</v>
      </c>
      <c r="B217" s="8">
        <f>CHOOSE( CONTROL!$C$32, 7.0436, 7.0431) * CHOOSE(CONTROL!$C$15, $D$11, 100%, $F$11)</f>
        <v>7.0435999999999996</v>
      </c>
      <c r="C217" s="8">
        <f>CHOOSE( CONTROL!$C$32, 7.0515, 7.0511) * CHOOSE(CONTROL!$C$15, $D$11, 100%, $F$11)</f>
        <v>7.0514999999999999</v>
      </c>
      <c r="D217" s="8">
        <f>CHOOSE( CONTROL!$C$32, 7.0506, 7.0502) * CHOOSE( CONTROL!$C$15, $D$11, 100%, $F$11)</f>
        <v>7.0506000000000002</v>
      </c>
      <c r="E217" s="12">
        <f>CHOOSE( CONTROL!$C$32, 7.0497, 7.0493) * CHOOSE( CONTROL!$C$15, $D$11, 100%, $F$11)</f>
        <v>7.0496999999999996</v>
      </c>
      <c r="F217" s="4">
        <f>CHOOSE( CONTROL!$C$32, 7.7464, 7.7459) * CHOOSE(CONTROL!$C$15, $D$11, 100%, $F$11)</f>
        <v>7.7464000000000004</v>
      </c>
      <c r="G217" s="8">
        <f>CHOOSE( CONTROL!$C$32, 6.9712, 6.9708) * CHOOSE( CONTROL!$C$15, $D$11, 100%, $F$11)</f>
        <v>6.9711999999999996</v>
      </c>
      <c r="H217" s="4">
        <f>CHOOSE( CONTROL!$C$32, 7.9023, 7.9018) * CHOOSE(CONTROL!$C$15, $D$11, 100%, $F$11)</f>
        <v>7.9023000000000003</v>
      </c>
      <c r="I217" s="8">
        <f>CHOOSE( CONTROL!$C$32, 6.9334, 6.9329) * CHOOSE(CONTROL!$C$15, $D$11, 100%, $F$11)</f>
        <v>6.9333999999999998</v>
      </c>
      <c r="J217" s="4">
        <f>CHOOSE( CONTROL!$C$32, 6.8249, 6.8245) * CHOOSE(CONTROL!$C$15, $D$11, 100%, $F$11)</f>
        <v>6.8249000000000004</v>
      </c>
      <c r="K217" s="4"/>
      <c r="L217" s="9">
        <v>29.7257</v>
      </c>
      <c r="M217" s="9">
        <v>11.6745</v>
      </c>
      <c r="N217" s="9">
        <v>4.7850000000000001</v>
      </c>
      <c r="O217" s="9">
        <v>0.36199999999999999</v>
      </c>
      <c r="P217" s="9">
        <v>1.2509999999999999</v>
      </c>
      <c r="Q217" s="9">
        <v>30.322800000000001</v>
      </c>
      <c r="R217" s="9"/>
      <c r="S217" s="11"/>
    </row>
    <row r="218" spans="1:19" ht="15.75">
      <c r="A218" s="13">
        <v>47757</v>
      </c>
      <c r="B218" s="8">
        <f>CHOOSE( CONTROL!$C$32, 7.354, 7.3538) * CHOOSE(CONTROL!$C$15, $D$11, 100%, $F$11)</f>
        <v>7.3540000000000001</v>
      </c>
      <c r="C218" s="8">
        <f>CHOOSE( CONTROL!$C$32, 7.3594, 7.3591) * CHOOSE(CONTROL!$C$15, $D$11, 100%, $F$11)</f>
        <v>7.3593999999999999</v>
      </c>
      <c r="D218" s="8">
        <f>CHOOSE( CONTROL!$C$32, 7.3641, 7.3638) * CHOOSE( CONTROL!$C$15, $D$11, 100%, $F$11)</f>
        <v>7.3640999999999996</v>
      </c>
      <c r="E218" s="12">
        <f>CHOOSE( CONTROL!$C$32, 7.362, 7.3617) * CHOOSE( CONTROL!$C$15, $D$11, 100%, $F$11)</f>
        <v>7.3620000000000001</v>
      </c>
      <c r="F218" s="4">
        <f>CHOOSE( CONTROL!$C$32, 8.0586, 8.0583) * CHOOSE(CONTROL!$C$15, $D$11, 100%, $F$11)</f>
        <v>8.0586000000000002</v>
      </c>
      <c r="G218" s="8">
        <f>CHOOSE( CONTROL!$C$32, 7.28, 7.2797) * CHOOSE( CONTROL!$C$15, $D$11, 100%, $F$11)</f>
        <v>7.28</v>
      </c>
      <c r="H218" s="4">
        <f>CHOOSE( CONTROL!$C$32, 8.2108, 8.2106) * CHOOSE(CONTROL!$C$15, $D$11, 100%, $F$11)</f>
        <v>8.2108000000000008</v>
      </c>
      <c r="I218" s="8">
        <f>CHOOSE( CONTROL!$C$32, 7.2373, 7.237) * CHOOSE(CONTROL!$C$15, $D$11, 100%, $F$11)</f>
        <v>7.2373000000000003</v>
      </c>
      <c r="J218" s="4">
        <f>CHOOSE( CONTROL!$C$32, 7.1279, 7.1277) * CHOOSE(CONTROL!$C$15, $D$11, 100%, $F$11)</f>
        <v>7.1279000000000003</v>
      </c>
      <c r="K218" s="4"/>
      <c r="L218" s="9">
        <v>31.095300000000002</v>
      </c>
      <c r="M218" s="9">
        <v>12.063700000000001</v>
      </c>
      <c r="N218" s="9">
        <v>4.9444999999999997</v>
      </c>
      <c r="O218" s="9">
        <v>0.37409999999999999</v>
      </c>
      <c r="P218" s="9">
        <v>1.2927</v>
      </c>
      <c r="Q218" s="9">
        <v>31.333600000000001</v>
      </c>
      <c r="R218" s="9"/>
      <c r="S218" s="11"/>
    </row>
    <row r="219" spans="1:19" ht="15.75">
      <c r="A219" s="13">
        <v>47788</v>
      </c>
      <c r="B219" s="8">
        <f>CHOOSE( CONTROL!$C$32, 7.9302, 7.9299) * CHOOSE(CONTROL!$C$15, $D$11, 100%, $F$11)</f>
        <v>7.9302000000000001</v>
      </c>
      <c r="C219" s="8">
        <f>CHOOSE( CONTROL!$C$32, 7.9353, 7.935) * CHOOSE(CONTROL!$C$15, $D$11, 100%, $F$11)</f>
        <v>7.9352999999999998</v>
      </c>
      <c r="D219" s="8">
        <f>CHOOSE( CONTROL!$C$32, 7.918, 7.9177) * CHOOSE( CONTROL!$C$15, $D$11, 100%, $F$11)</f>
        <v>7.9180000000000001</v>
      </c>
      <c r="E219" s="12">
        <f>CHOOSE( CONTROL!$C$32, 7.9238, 7.9235) * CHOOSE( CONTROL!$C$15, $D$11, 100%, $F$11)</f>
        <v>7.9238</v>
      </c>
      <c r="F219" s="4">
        <f>CHOOSE( CONTROL!$C$32, 8.5955, 8.5952) * CHOOSE(CONTROL!$C$15, $D$11, 100%, $F$11)</f>
        <v>8.5954999999999995</v>
      </c>
      <c r="G219" s="8">
        <f>CHOOSE( CONTROL!$C$32, 7.8467, 7.8464) * CHOOSE( CONTROL!$C$15, $D$11, 100%, $F$11)</f>
        <v>7.8467000000000002</v>
      </c>
      <c r="H219" s="4">
        <f>CHOOSE( CONTROL!$C$32, 8.7415, 8.7412) * CHOOSE(CONTROL!$C$15, $D$11, 100%, $F$11)</f>
        <v>8.7415000000000003</v>
      </c>
      <c r="I219" s="8">
        <f>CHOOSE( CONTROL!$C$32, 7.8528, 7.8525) * CHOOSE(CONTROL!$C$15, $D$11, 100%, $F$11)</f>
        <v>7.8528000000000002</v>
      </c>
      <c r="J219" s="4">
        <f>CHOOSE( CONTROL!$C$32, 7.6875, 7.6873) * CHOOSE(CONTROL!$C$15, $D$11, 100%, $F$11)</f>
        <v>7.6875</v>
      </c>
      <c r="K219" s="4"/>
      <c r="L219" s="9">
        <v>28.360600000000002</v>
      </c>
      <c r="M219" s="9">
        <v>11.6745</v>
      </c>
      <c r="N219" s="9">
        <v>4.7850000000000001</v>
      </c>
      <c r="O219" s="9">
        <v>0.36199999999999999</v>
      </c>
      <c r="P219" s="9">
        <v>1.2509999999999999</v>
      </c>
      <c r="Q219" s="9">
        <v>30.322800000000001</v>
      </c>
      <c r="R219" s="9"/>
      <c r="S219" s="11"/>
    </row>
    <row r="220" spans="1:19" ht="15.75">
      <c r="A220" s="13">
        <v>47818</v>
      </c>
      <c r="B220" s="8">
        <f>CHOOSE( CONTROL!$C$32, 7.9158, 7.9155) * CHOOSE(CONTROL!$C$15, $D$11, 100%, $F$11)</f>
        <v>7.9157999999999999</v>
      </c>
      <c r="C220" s="8">
        <f>CHOOSE( CONTROL!$C$32, 7.9209, 7.9206) * CHOOSE(CONTROL!$C$15, $D$11, 100%, $F$11)</f>
        <v>7.9208999999999996</v>
      </c>
      <c r="D220" s="8">
        <f>CHOOSE( CONTROL!$C$32, 7.9054, 7.9051) * CHOOSE( CONTROL!$C$15, $D$11, 100%, $F$11)</f>
        <v>7.9054000000000002</v>
      </c>
      <c r="E220" s="12">
        <f>CHOOSE( CONTROL!$C$32, 7.9105, 7.9102) * CHOOSE( CONTROL!$C$15, $D$11, 100%, $F$11)</f>
        <v>7.9104999999999999</v>
      </c>
      <c r="F220" s="4">
        <f>CHOOSE( CONTROL!$C$32, 8.5811, 8.5808) * CHOOSE(CONTROL!$C$15, $D$11, 100%, $F$11)</f>
        <v>8.5810999999999993</v>
      </c>
      <c r="G220" s="8">
        <f>CHOOSE( CONTROL!$C$32, 7.8338, 7.8335) * CHOOSE( CONTROL!$C$15, $D$11, 100%, $F$11)</f>
        <v>7.8338000000000001</v>
      </c>
      <c r="H220" s="4">
        <f>CHOOSE( CONTROL!$C$32, 8.7272, 8.727) * CHOOSE(CONTROL!$C$15, $D$11, 100%, $F$11)</f>
        <v>8.7271999999999998</v>
      </c>
      <c r="I220" s="8">
        <f>CHOOSE( CONTROL!$C$32, 7.8444, 7.8441) * CHOOSE(CONTROL!$C$15, $D$11, 100%, $F$11)</f>
        <v>7.8444000000000003</v>
      </c>
      <c r="J220" s="4">
        <f>CHOOSE( CONTROL!$C$32, 7.6735, 7.6733) * CHOOSE(CONTROL!$C$15, $D$11, 100%, $F$11)</f>
        <v>7.6734999999999998</v>
      </c>
      <c r="K220" s="4"/>
      <c r="L220" s="9">
        <v>29.306000000000001</v>
      </c>
      <c r="M220" s="9">
        <v>12.063700000000001</v>
      </c>
      <c r="N220" s="9">
        <v>4.9444999999999997</v>
      </c>
      <c r="O220" s="9">
        <v>0.37409999999999999</v>
      </c>
      <c r="P220" s="9">
        <v>1.2927</v>
      </c>
      <c r="Q220" s="9">
        <v>31.333600000000001</v>
      </c>
      <c r="R220" s="9"/>
      <c r="S220" s="11"/>
    </row>
    <row r="221" spans="1:19" ht="15.75">
      <c r="A221" s="13">
        <v>47849</v>
      </c>
      <c r="B221" s="8">
        <f>CHOOSE( CONTROL!$C$32, 8.1976, 8.1973) * CHOOSE(CONTROL!$C$15, $D$11, 100%, $F$11)</f>
        <v>8.1975999999999996</v>
      </c>
      <c r="C221" s="8">
        <f>CHOOSE( CONTROL!$C$32, 8.2027, 8.2024) * CHOOSE(CONTROL!$C$15, $D$11, 100%, $F$11)</f>
        <v>8.2027000000000001</v>
      </c>
      <c r="D221" s="8">
        <f>CHOOSE( CONTROL!$C$32, 8.1931, 8.1928) * CHOOSE( CONTROL!$C$15, $D$11, 100%, $F$11)</f>
        <v>8.1930999999999994</v>
      </c>
      <c r="E221" s="12">
        <f>CHOOSE( CONTROL!$C$32, 8.1961, 8.1958) * CHOOSE( CONTROL!$C$15, $D$11, 100%, $F$11)</f>
        <v>8.1960999999999995</v>
      </c>
      <c r="F221" s="4">
        <f>CHOOSE( CONTROL!$C$32, 8.8629, 8.8626) * CHOOSE(CONTROL!$C$15, $D$11, 100%, $F$11)</f>
        <v>8.8628999999999998</v>
      </c>
      <c r="G221" s="8">
        <f>CHOOSE( CONTROL!$C$32, 8.113, 8.1127) * CHOOSE( CONTROL!$C$15, $D$11, 100%, $F$11)</f>
        <v>8.1129999999999995</v>
      </c>
      <c r="H221" s="4">
        <f>CHOOSE( CONTROL!$C$32, 9.0057, 9.0055) * CHOOSE(CONTROL!$C$15, $D$11, 100%, $F$11)</f>
        <v>9.0056999999999992</v>
      </c>
      <c r="I221" s="8">
        <f>CHOOSE( CONTROL!$C$32, 8.0985, 8.0982) * CHOOSE(CONTROL!$C$15, $D$11, 100%, $F$11)</f>
        <v>8.0984999999999996</v>
      </c>
      <c r="J221" s="4">
        <f>CHOOSE( CONTROL!$C$32, 7.947, 7.9467) * CHOOSE(CONTROL!$C$15, $D$11, 100%, $F$11)</f>
        <v>7.9470000000000001</v>
      </c>
      <c r="K221" s="4"/>
      <c r="L221" s="9">
        <v>29.306000000000001</v>
      </c>
      <c r="M221" s="9">
        <v>12.063700000000001</v>
      </c>
      <c r="N221" s="9">
        <v>4.9444999999999997</v>
      </c>
      <c r="O221" s="9">
        <v>0.37409999999999999</v>
      </c>
      <c r="P221" s="9">
        <v>1.2927</v>
      </c>
      <c r="Q221" s="9">
        <v>31.026700000000002</v>
      </c>
      <c r="R221" s="9"/>
      <c r="S221" s="11"/>
    </row>
    <row r="222" spans="1:19" ht="15.75">
      <c r="A222" s="13">
        <v>47880</v>
      </c>
      <c r="B222" s="8">
        <f>CHOOSE( CONTROL!$C$32, 7.6682, 7.668) * CHOOSE(CONTROL!$C$15, $D$11, 100%, $F$11)</f>
        <v>7.6681999999999997</v>
      </c>
      <c r="C222" s="8">
        <f>CHOOSE( CONTROL!$C$32, 7.6733, 7.673) * CHOOSE(CONTROL!$C$15, $D$11, 100%, $F$11)</f>
        <v>7.6733000000000002</v>
      </c>
      <c r="D222" s="8">
        <f>CHOOSE( CONTROL!$C$32, 7.6654, 7.6651) * CHOOSE( CONTROL!$C$15, $D$11, 100%, $F$11)</f>
        <v>7.6654</v>
      </c>
      <c r="E222" s="12">
        <f>CHOOSE( CONTROL!$C$32, 7.6677, 7.6675) * CHOOSE( CONTROL!$C$15, $D$11, 100%, $F$11)</f>
        <v>7.6677</v>
      </c>
      <c r="F222" s="4">
        <f>CHOOSE( CONTROL!$C$32, 8.3335, 8.3332) * CHOOSE(CONTROL!$C$15, $D$11, 100%, $F$11)</f>
        <v>8.3335000000000008</v>
      </c>
      <c r="G222" s="8">
        <f>CHOOSE( CONTROL!$C$32, 7.5883, 7.5881) * CHOOSE( CONTROL!$C$15, $D$11, 100%, $F$11)</f>
        <v>7.5883000000000003</v>
      </c>
      <c r="H222" s="4">
        <f>CHOOSE( CONTROL!$C$32, 8.4826, 8.4823) * CHOOSE(CONTROL!$C$15, $D$11, 100%, $F$11)</f>
        <v>8.4825999999999997</v>
      </c>
      <c r="I222" s="8">
        <f>CHOOSE( CONTROL!$C$32, 7.5691, 7.5688) * CHOOSE(CONTROL!$C$15, $D$11, 100%, $F$11)</f>
        <v>7.5690999999999997</v>
      </c>
      <c r="J222" s="4">
        <f>CHOOSE( CONTROL!$C$32, 7.4333, 7.433) * CHOOSE(CONTROL!$C$15, $D$11, 100%, $F$11)</f>
        <v>7.4333</v>
      </c>
      <c r="K222" s="4"/>
      <c r="L222" s="9">
        <v>26.469899999999999</v>
      </c>
      <c r="M222" s="9">
        <v>10.8962</v>
      </c>
      <c r="N222" s="9">
        <v>4.4660000000000002</v>
      </c>
      <c r="O222" s="9">
        <v>0.33789999999999998</v>
      </c>
      <c r="P222" s="9">
        <v>1.1676</v>
      </c>
      <c r="Q222" s="9">
        <v>28.024100000000001</v>
      </c>
      <c r="R222" s="9"/>
      <c r="S222" s="11"/>
    </row>
    <row r="223" spans="1:19" ht="15.75">
      <c r="A223" s="13">
        <v>47908</v>
      </c>
      <c r="B223" s="8">
        <f>CHOOSE( CONTROL!$C$32, 7.5052, 7.5049) * CHOOSE(CONTROL!$C$15, $D$11, 100%, $F$11)</f>
        <v>7.5052000000000003</v>
      </c>
      <c r="C223" s="8">
        <f>CHOOSE( CONTROL!$C$32, 7.5103, 7.51) * CHOOSE(CONTROL!$C$15, $D$11, 100%, $F$11)</f>
        <v>7.5103</v>
      </c>
      <c r="D223" s="8">
        <f>CHOOSE( CONTROL!$C$32, 7.4976, 7.4973) * CHOOSE( CONTROL!$C$15, $D$11, 100%, $F$11)</f>
        <v>7.4976000000000003</v>
      </c>
      <c r="E223" s="12">
        <f>CHOOSE( CONTROL!$C$32, 7.5017, 7.5014) * CHOOSE( CONTROL!$C$15, $D$11, 100%, $F$11)</f>
        <v>7.5016999999999996</v>
      </c>
      <c r="F223" s="4">
        <f>CHOOSE( CONTROL!$C$32, 8.1705, 8.1702) * CHOOSE(CONTROL!$C$15, $D$11, 100%, $F$11)</f>
        <v>8.1705000000000005</v>
      </c>
      <c r="G223" s="8">
        <f>CHOOSE( CONTROL!$C$32, 7.4237, 7.4235) * CHOOSE( CONTROL!$C$15, $D$11, 100%, $F$11)</f>
        <v>7.4237000000000002</v>
      </c>
      <c r="H223" s="4">
        <f>CHOOSE( CONTROL!$C$32, 8.3214, 8.3212) * CHOOSE(CONTROL!$C$15, $D$11, 100%, $F$11)</f>
        <v>8.3214000000000006</v>
      </c>
      <c r="I223" s="8">
        <f>CHOOSE( CONTROL!$C$32, 7.4092, 7.4089) * CHOOSE(CONTROL!$C$15, $D$11, 100%, $F$11)</f>
        <v>7.4092000000000002</v>
      </c>
      <c r="J223" s="4">
        <f>CHOOSE( CONTROL!$C$32, 7.275, 7.2748) * CHOOSE(CONTROL!$C$15, $D$11, 100%, $F$11)</f>
        <v>7.2750000000000004</v>
      </c>
      <c r="K223" s="4"/>
      <c r="L223" s="9">
        <v>29.306000000000001</v>
      </c>
      <c r="M223" s="9">
        <v>12.063700000000001</v>
      </c>
      <c r="N223" s="9">
        <v>4.9444999999999997</v>
      </c>
      <c r="O223" s="9">
        <v>0.37409999999999999</v>
      </c>
      <c r="P223" s="9">
        <v>1.2927</v>
      </c>
      <c r="Q223" s="9">
        <v>31.026700000000002</v>
      </c>
      <c r="R223" s="9"/>
      <c r="S223" s="11"/>
    </row>
    <row r="224" spans="1:19" ht="15.75">
      <c r="A224" s="13">
        <v>47939</v>
      </c>
      <c r="B224" s="8">
        <f>CHOOSE( CONTROL!$C$32, 7.6199, 7.6196) * CHOOSE(CONTROL!$C$15, $D$11, 100%, $F$11)</f>
        <v>7.6199000000000003</v>
      </c>
      <c r="C224" s="8">
        <f>CHOOSE( CONTROL!$C$32, 7.6244, 7.6241) * CHOOSE(CONTROL!$C$15, $D$11, 100%, $F$11)</f>
        <v>7.6243999999999996</v>
      </c>
      <c r="D224" s="8">
        <f>CHOOSE( CONTROL!$C$32, 7.6293, 7.629) * CHOOSE( CONTROL!$C$15, $D$11, 100%, $F$11)</f>
        <v>7.6292999999999997</v>
      </c>
      <c r="E224" s="12">
        <f>CHOOSE( CONTROL!$C$32, 7.6272, 7.6269) * CHOOSE( CONTROL!$C$15, $D$11, 100%, $F$11)</f>
        <v>7.6272000000000002</v>
      </c>
      <c r="F224" s="4">
        <f>CHOOSE( CONTROL!$C$32, 8.3241, 8.3238) * CHOOSE(CONTROL!$C$15, $D$11, 100%, $F$11)</f>
        <v>8.3240999999999996</v>
      </c>
      <c r="G224" s="8">
        <f>CHOOSE( CONTROL!$C$32, 7.5421, 7.5418) * CHOOSE( CONTROL!$C$15, $D$11, 100%, $F$11)</f>
        <v>7.5420999999999996</v>
      </c>
      <c r="H224" s="4">
        <f>CHOOSE( CONTROL!$C$32, 8.4732, 8.473) * CHOOSE(CONTROL!$C$15, $D$11, 100%, $F$11)</f>
        <v>8.4732000000000003</v>
      </c>
      <c r="I224" s="8">
        <f>CHOOSE( CONTROL!$C$32, 7.494, 7.4937) * CHOOSE(CONTROL!$C$15, $D$11, 100%, $F$11)</f>
        <v>7.4939999999999998</v>
      </c>
      <c r="J224" s="4">
        <f>CHOOSE( CONTROL!$C$32, 7.3856, 7.3853) * CHOOSE(CONTROL!$C$15, $D$11, 100%, $F$11)</f>
        <v>7.3856000000000002</v>
      </c>
      <c r="K224" s="4"/>
      <c r="L224" s="9">
        <v>30.092199999999998</v>
      </c>
      <c r="M224" s="9">
        <v>11.6745</v>
      </c>
      <c r="N224" s="9">
        <v>4.7850000000000001</v>
      </c>
      <c r="O224" s="9">
        <v>0.36199999999999999</v>
      </c>
      <c r="P224" s="9">
        <v>1.2509999999999999</v>
      </c>
      <c r="Q224" s="9">
        <v>30.0258</v>
      </c>
      <c r="R224" s="9"/>
      <c r="S224" s="11"/>
    </row>
    <row r="225" spans="1:19" ht="15.75">
      <c r="A225" s="13">
        <v>47969</v>
      </c>
      <c r="B225" s="8">
        <f>CHOOSE( CONTROL!$C$32, 7.8242, 7.8237) * CHOOSE(CONTROL!$C$15, $D$11, 100%, $F$11)</f>
        <v>7.8242000000000003</v>
      </c>
      <c r="C225" s="8">
        <f>CHOOSE( CONTROL!$C$32, 7.8322, 7.8317) * CHOOSE(CONTROL!$C$15, $D$11, 100%, $F$11)</f>
        <v>7.8322000000000003</v>
      </c>
      <c r="D225" s="8">
        <f>CHOOSE( CONTROL!$C$32, 7.831, 7.8305) * CHOOSE( CONTROL!$C$15, $D$11, 100%, $F$11)</f>
        <v>7.8310000000000004</v>
      </c>
      <c r="E225" s="12">
        <f>CHOOSE( CONTROL!$C$32, 7.8302, 7.8297) * CHOOSE( CONTROL!$C$15, $D$11, 100%, $F$11)</f>
        <v>7.8301999999999996</v>
      </c>
      <c r="F225" s="4">
        <f>CHOOSE( CONTROL!$C$32, 8.527, 8.5266) * CHOOSE(CONTROL!$C$15, $D$11, 100%, $F$11)</f>
        <v>8.5269999999999992</v>
      </c>
      <c r="G225" s="8">
        <f>CHOOSE( CONTROL!$C$32, 7.7425, 7.742) * CHOOSE( CONTROL!$C$15, $D$11, 100%, $F$11)</f>
        <v>7.7424999999999997</v>
      </c>
      <c r="H225" s="4">
        <f>CHOOSE( CONTROL!$C$32, 8.6738, 8.6734) * CHOOSE(CONTROL!$C$15, $D$11, 100%, $F$11)</f>
        <v>8.6738</v>
      </c>
      <c r="I225" s="8">
        <f>CHOOSE( CONTROL!$C$32, 7.6902, 7.6898) * CHOOSE(CONTROL!$C$15, $D$11, 100%, $F$11)</f>
        <v>7.6901999999999999</v>
      </c>
      <c r="J225" s="4">
        <f>CHOOSE( CONTROL!$C$32, 7.5826, 7.5821) * CHOOSE(CONTROL!$C$15, $D$11, 100%, $F$11)</f>
        <v>7.5826000000000002</v>
      </c>
      <c r="K225" s="4"/>
      <c r="L225" s="9">
        <v>30.7165</v>
      </c>
      <c r="M225" s="9">
        <v>12.063700000000001</v>
      </c>
      <c r="N225" s="9">
        <v>4.9444999999999997</v>
      </c>
      <c r="O225" s="9">
        <v>0.37409999999999999</v>
      </c>
      <c r="P225" s="9">
        <v>1.2927</v>
      </c>
      <c r="Q225" s="9">
        <v>31.026700000000002</v>
      </c>
      <c r="R225" s="9"/>
      <c r="S225" s="11"/>
    </row>
    <row r="226" spans="1:19" ht="15.75">
      <c r="A226" s="13">
        <v>48000</v>
      </c>
      <c r="B226" s="8">
        <f>CHOOSE( CONTROL!$C$32, 7.6986, 7.6981) * CHOOSE(CONTROL!$C$15, $D$11, 100%, $F$11)</f>
        <v>7.6985999999999999</v>
      </c>
      <c r="C226" s="8">
        <f>CHOOSE( CONTROL!$C$32, 7.7066, 7.7061) * CHOOSE(CONTROL!$C$15, $D$11, 100%, $F$11)</f>
        <v>7.7065999999999999</v>
      </c>
      <c r="D226" s="8">
        <f>CHOOSE( CONTROL!$C$32, 7.7055, 7.7051) * CHOOSE( CONTROL!$C$15, $D$11, 100%, $F$11)</f>
        <v>7.7054999999999998</v>
      </c>
      <c r="E226" s="12">
        <f>CHOOSE( CONTROL!$C$32, 7.7047, 7.7042) * CHOOSE( CONTROL!$C$15, $D$11, 100%, $F$11)</f>
        <v>7.7046999999999999</v>
      </c>
      <c r="F226" s="4">
        <f>CHOOSE( CONTROL!$C$32, 8.4014, 8.401) * CHOOSE(CONTROL!$C$15, $D$11, 100%, $F$11)</f>
        <v>8.4014000000000006</v>
      </c>
      <c r="G226" s="8">
        <f>CHOOSE( CONTROL!$C$32, 7.6185, 7.6181) * CHOOSE( CONTROL!$C$15, $D$11, 100%, $F$11)</f>
        <v>7.6185</v>
      </c>
      <c r="H226" s="4">
        <f>CHOOSE( CONTROL!$C$32, 8.5497, 8.5492) * CHOOSE(CONTROL!$C$15, $D$11, 100%, $F$11)</f>
        <v>8.5496999999999996</v>
      </c>
      <c r="I226" s="8">
        <f>CHOOSE( CONTROL!$C$32, 7.5689, 7.5685) * CHOOSE(CONTROL!$C$15, $D$11, 100%, $F$11)</f>
        <v>7.5689000000000002</v>
      </c>
      <c r="J226" s="4">
        <f>CHOOSE( CONTROL!$C$32, 7.4607, 7.4602) * CHOOSE(CONTROL!$C$15, $D$11, 100%, $F$11)</f>
        <v>7.4607000000000001</v>
      </c>
      <c r="K226" s="4"/>
      <c r="L226" s="9">
        <v>29.7257</v>
      </c>
      <c r="M226" s="9">
        <v>11.6745</v>
      </c>
      <c r="N226" s="9">
        <v>4.7850000000000001</v>
      </c>
      <c r="O226" s="9">
        <v>0.36199999999999999</v>
      </c>
      <c r="P226" s="9">
        <v>1.2509999999999999</v>
      </c>
      <c r="Q226" s="9">
        <v>30.0258</v>
      </c>
      <c r="R226" s="9"/>
      <c r="S226" s="11"/>
    </row>
    <row r="227" spans="1:19" ht="15.75">
      <c r="A227" s="13">
        <v>48030</v>
      </c>
      <c r="B227" s="8">
        <f>CHOOSE( CONTROL!$C$32, 8.0294, 8.0289) * CHOOSE(CONTROL!$C$15, $D$11, 100%, $F$11)</f>
        <v>8.0294000000000008</v>
      </c>
      <c r="C227" s="8">
        <f>CHOOSE( CONTROL!$C$32, 8.0373, 8.0369) * CHOOSE(CONTROL!$C$15, $D$11, 100%, $F$11)</f>
        <v>8.0373000000000001</v>
      </c>
      <c r="D227" s="8">
        <f>CHOOSE( CONTROL!$C$32, 8.0365, 8.0361) * CHOOSE( CONTROL!$C$15, $D$11, 100%, $F$11)</f>
        <v>8.0365000000000002</v>
      </c>
      <c r="E227" s="12">
        <f>CHOOSE( CONTROL!$C$32, 8.0356, 8.0352) * CHOOSE( CONTROL!$C$15, $D$11, 100%, $F$11)</f>
        <v>8.0356000000000005</v>
      </c>
      <c r="F227" s="4">
        <f>CHOOSE( CONTROL!$C$32, 8.7322, 8.7317) * CHOOSE(CONTROL!$C$15, $D$11, 100%, $F$11)</f>
        <v>8.7322000000000006</v>
      </c>
      <c r="G227" s="8">
        <f>CHOOSE( CONTROL!$C$32, 7.9456, 7.9451) * CHOOSE( CONTROL!$C$15, $D$11, 100%, $F$11)</f>
        <v>7.9455999999999998</v>
      </c>
      <c r="H227" s="4">
        <f>CHOOSE( CONTROL!$C$32, 8.8766, 8.8761) * CHOOSE(CONTROL!$C$15, $D$11, 100%, $F$11)</f>
        <v>8.8765999999999998</v>
      </c>
      <c r="I227" s="8">
        <f>CHOOSE( CONTROL!$C$32, 7.8909, 7.8904) * CHOOSE(CONTROL!$C$15, $D$11, 100%, $F$11)</f>
        <v>7.8909000000000002</v>
      </c>
      <c r="J227" s="4">
        <f>CHOOSE( CONTROL!$C$32, 7.7817, 7.7812) * CHOOSE(CONTROL!$C$15, $D$11, 100%, $F$11)</f>
        <v>7.7816999999999998</v>
      </c>
      <c r="K227" s="4"/>
      <c r="L227" s="9">
        <v>30.7165</v>
      </c>
      <c r="M227" s="9">
        <v>12.063700000000001</v>
      </c>
      <c r="N227" s="9">
        <v>4.9444999999999997</v>
      </c>
      <c r="O227" s="9">
        <v>0.37409999999999999</v>
      </c>
      <c r="P227" s="9">
        <v>1.2927</v>
      </c>
      <c r="Q227" s="9">
        <v>31.026700000000002</v>
      </c>
      <c r="R227" s="9"/>
      <c r="S227" s="11"/>
    </row>
    <row r="228" spans="1:19" ht="15.75">
      <c r="A228" s="13">
        <v>48061</v>
      </c>
      <c r="B228" s="8">
        <f>CHOOSE( CONTROL!$C$32, 7.4105, 7.41) * CHOOSE(CONTROL!$C$15, $D$11, 100%, $F$11)</f>
        <v>7.4104999999999999</v>
      </c>
      <c r="C228" s="8">
        <f>CHOOSE( CONTROL!$C$32, 7.4184, 7.418) * CHOOSE(CONTROL!$C$15, $D$11, 100%, $F$11)</f>
        <v>7.4184000000000001</v>
      </c>
      <c r="D228" s="8">
        <f>CHOOSE( CONTROL!$C$32, 7.4177, 7.4172) * CHOOSE( CONTROL!$C$15, $D$11, 100%, $F$11)</f>
        <v>7.4177</v>
      </c>
      <c r="E228" s="12">
        <f>CHOOSE( CONTROL!$C$32, 7.4167, 7.4163) * CHOOSE( CONTROL!$C$15, $D$11, 100%, $F$11)</f>
        <v>7.4166999999999996</v>
      </c>
      <c r="F228" s="4">
        <f>CHOOSE( CONTROL!$C$32, 8.1133, 8.1128) * CHOOSE(CONTROL!$C$15, $D$11, 100%, $F$11)</f>
        <v>8.1133000000000006</v>
      </c>
      <c r="G228" s="8">
        <f>CHOOSE( CONTROL!$C$32, 7.334, 7.3335) * CHOOSE( CONTROL!$C$15, $D$11, 100%, $F$11)</f>
        <v>7.3339999999999996</v>
      </c>
      <c r="H228" s="4">
        <f>CHOOSE( CONTROL!$C$32, 8.2649, 8.2645) * CHOOSE(CONTROL!$C$15, $D$11, 100%, $F$11)</f>
        <v>8.2649000000000008</v>
      </c>
      <c r="I228" s="8">
        <f>CHOOSE( CONTROL!$C$32, 7.2901, 7.2897) * CHOOSE(CONTROL!$C$15, $D$11, 100%, $F$11)</f>
        <v>7.2900999999999998</v>
      </c>
      <c r="J228" s="4">
        <f>CHOOSE( CONTROL!$C$32, 7.181, 7.1806) * CHOOSE(CONTROL!$C$15, $D$11, 100%, $F$11)</f>
        <v>7.181</v>
      </c>
      <c r="K228" s="4"/>
      <c r="L228" s="9">
        <v>30.7165</v>
      </c>
      <c r="M228" s="9">
        <v>12.063700000000001</v>
      </c>
      <c r="N228" s="9">
        <v>4.9444999999999997</v>
      </c>
      <c r="O228" s="9">
        <v>0.37409999999999999</v>
      </c>
      <c r="P228" s="9">
        <v>1.2927</v>
      </c>
      <c r="Q228" s="9">
        <v>31.026700000000002</v>
      </c>
      <c r="R228" s="9"/>
      <c r="S228" s="11"/>
    </row>
    <row r="229" spans="1:19" ht="15.75">
      <c r="A229" s="13">
        <v>48092</v>
      </c>
      <c r="B229" s="8">
        <f>CHOOSE( CONTROL!$C$32, 7.2555, 7.255) * CHOOSE(CONTROL!$C$15, $D$11, 100%, $F$11)</f>
        <v>7.2554999999999996</v>
      </c>
      <c r="C229" s="8">
        <f>CHOOSE( CONTROL!$C$32, 7.2634, 7.263) * CHOOSE(CONTROL!$C$15, $D$11, 100%, $F$11)</f>
        <v>7.2633999999999999</v>
      </c>
      <c r="D229" s="8">
        <f>CHOOSE( CONTROL!$C$32, 7.2626, 7.2621) * CHOOSE( CONTROL!$C$15, $D$11, 100%, $F$11)</f>
        <v>7.2625999999999999</v>
      </c>
      <c r="E229" s="12">
        <f>CHOOSE( CONTROL!$C$32, 7.2617, 7.2612) * CHOOSE( CONTROL!$C$15, $D$11, 100%, $F$11)</f>
        <v>7.2617000000000003</v>
      </c>
      <c r="F229" s="4">
        <f>CHOOSE( CONTROL!$C$32, 7.9583, 7.9578) * CHOOSE(CONTROL!$C$15, $D$11, 100%, $F$11)</f>
        <v>7.9583000000000004</v>
      </c>
      <c r="G229" s="8">
        <f>CHOOSE( CONTROL!$C$32, 7.1807, 7.1802) * CHOOSE( CONTROL!$C$15, $D$11, 100%, $F$11)</f>
        <v>7.1806999999999999</v>
      </c>
      <c r="H229" s="4">
        <f>CHOOSE( CONTROL!$C$32, 8.1117, 8.1113) * CHOOSE(CONTROL!$C$15, $D$11, 100%, $F$11)</f>
        <v>8.1117000000000008</v>
      </c>
      <c r="I229" s="8">
        <f>CHOOSE( CONTROL!$C$32, 7.1391, 7.1387) * CHOOSE(CONTROL!$C$15, $D$11, 100%, $F$11)</f>
        <v>7.1391</v>
      </c>
      <c r="J229" s="4">
        <f>CHOOSE( CONTROL!$C$32, 7.0306, 7.0302) * CHOOSE(CONTROL!$C$15, $D$11, 100%, $F$11)</f>
        <v>7.0305999999999997</v>
      </c>
      <c r="K229" s="4"/>
      <c r="L229" s="9">
        <v>29.7257</v>
      </c>
      <c r="M229" s="9">
        <v>11.6745</v>
      </c>
      <c r="N229" s="9">
        <v>4.7850000000000001</v>
      </c>
      <c r="O229" s="9">
        <v>0.36199999999999999</v>
      </c>
      <c r="P229" s="9">
        <v>1.2509999999999999</v>
      </c>
      <c r="Q229" s="9">
        <v>30.0258</v>
      </c>
      <c r="R229" s="9"/>
      <c r="S229" s="11"/>
    </row>
    <row r="230" spans="1:19" ht="15.75">
      <c r="A230" s="13">
        <v>48122</v>
      </c>
      <c r="B230" s="8">
        <f>CHOOSE( CONTROL!$C$32, 7.5754, 7.5751) * CHOOSE(CONTROL!$C$15, $D$11, 100%, $F$11)</f>
        <v>7.5754000000000001</v>
      </c>
      <c r="C230" s="8">
        <f>CHOOSE( CONTROL!$C$32, 7.5807, 7.5804) * CHOOSE(CONTROL!$C$15, $D$11, 100%, $F$11)</f>
        <v>7.5807000000000002</v>
      </c>
      <c r="D230" s="8">
        <f>CHOOSE( CONTROL!$C$32, 7.5854, 7.5851) * CHOOSE( CONTROL!$C$15, $D$11, 100%, $F$11)</f>
        <v>7.5853999999999999</v>
      </c>
      <c r="E230" s="12">
        <f>CHOOSE( CONTROL!$C$32, 7.5833, 7.583) * CHOOSE( CONTROL!$C$15, $D$11, 100%, $F$11)</f>
        <v>7.5833000000000004</v>
      </c>
      <c r="F230" s="4">
        <f>CHOOSE( CONTROL!$C$32, 8.2799, 8.2796) * CHOOSE(CONTROL!$C$15, $D$11, 100%, $F$11)</f>
        <v>8.2798999999999996</v>
      </c>
      <c r="G230" s="8">
        <f>CHOOSE( CONTROL!$C$32, 7.4987, 7.4984) * CHOOSE( CONTROL!$C$15, $D$11, 100%, $F$11)</f>
        <v>7.4987000000000004</v>
      </c>
      <c r="H230" s="4">
        <f>CHOOSE( CONTROL!$C$32, 8.4296, 8.4293) * CHOOSE(CONTROL!$C$15, $D$11, 100%, $F$11)</f>
        <v>8.4296000000000006</v>
      </c>
      <c r="I230" s="8">
        <f>CHOOSE( CONTROL!$C$32, 7.4522, 7.4519) * CHOOSE(CONTROL!$C$15, $D$11, 100%, $F$11)</f>
        <v>7.4522000000000004</v>
      </c>
      <c r="J230" s="4">
        <f>CHOOSE( CONTROL!$C$32, 7.3427, 7.3425) * CHOOSE(CONTROL!$C$15, $D$11, 100%, $F$11)</f>
        <v>7.3426999999999998</v>
      </c>
      <c r="K230" s="4"/>
      <c r="L230" s="9">
        <v>31.095300000000002</v>
      </c>
      <c r="M230" s="9">
        <v>12.063700000000001</v>
      </c>
      <c r="N230" s="9">
        <v>4.9444999999999997</v>
      </c>
      <c r="O230" s="9">
        <v>0.37409999999999999</v>
      </c>
      <c r="P230" s="9">
        <v>1.2927</v>
      </c>
      <c r="Q230" s="9">
        <v>31.026700000000002</v>
      </c>
      <c r="R230" s="9"/>
      <c r="S230" s="11"/>
    </row>
    <row r="231" spans="1:19" ht="15.75">
      <c r="A231" s="13">
        <v>48153</v>
      </c>
      <c r="B231" s="8">
        <f>CHOOSE( CONTROL!$C$32, 8.1689, 8.1687) * CHOOSE(CONTROL!$C$15, $D$11, 100%, $F$11)</f>
        <v>8.1689000000000007</v>
      </c>
      <c r="C231" s="8">
        <f>CHOOSE( CONTROL!$C$32, 8.174, 8.1737) * CHOOSE(CONTROL!$C$15, $D$11, 100%, $F$11)</f>
        <v>8.1739999999999995</v>
      </c>
      <c r="D231" s="8">
        <f>CHOOSE( CONTROL!$C$32, 8.1567, 8.1564) * CHOOSE( CONTROL!$C$15, $D$11, 100%, $F$11)</f>
        <v>8.1567000000000007</v>
      </c>
      <c r="E231" s="12">
        <f>CHOOSE( CONTROL!$C$32, 8.1625, 8.1622) * CHOOSE( CONTROL!$C$15, $D$11, 100%, $F$11)</f>
        <v>8.1624999999999996</v>
      </c>
      <c r="F231" s="4">
        <f>CHOOSE( CONTROL!$C$32, 8.8342, 8.8339) * CHOOSE(CONTROL!$C$15, $D$11, 100%, $F$11)</f>
        <v>8.8341999999999992</v>
      </c>
      <c r="G231" s="8">
        <f>CHOOSE( CONTROL!$C$32, 8.0826, 8.0824) * CHOOSE( CONTROL!$C$15, $D$11, 100%, $F$11)</f>
        <v>8.0825999999999993</v>
      </c>
      <c r="H231" s="4">
        <f>CHOOSE( CONTROL!$C$32, 8.9774, 8.9771) * CHOOSE(CONTROL!$C$15, $D$11, 100%, $F$11)</f>
        <v>8.9773999999999994</v>
      </c>
      <c r="I231" s="8">
        <f>CHOOSE( CONTROL!$C$32, 8.0846, 8.0843) * CHOOSE(CONTROL!$C$15, $D$11, 100%, $F$11)</f>
        <v>8.0846</v>
      </c>
      <c r="J231" s="4">
        <f>CHOOSE( CONTROL!$C$32, 7.9192, 7.9189) * CHOOSE(CONTROL!$C$15, $D$11, 100%, $F$11)</f>
        <v>7.9192</v>
      </c>
      <c r="K231" s="4"/>
      <c r="L231" s="9">
        <v>28.360600000000002</v>
      </c>
      <c r="M231" s="9">
        <v>11.6745</v>
      </c>
      <c r="N231" s="9">
        <v>4.7850000000000001</v>
      </c>
      <c r="O231" s="9">
        <v>0.36199999999999999</v>
      </c>
      <c r="P231" s="9">
        <v>1.2509999999999999</v>
      </c>
      <c r="Q231" s="9">
        <v>30.0258</v>
      </c>
      <c r="R231" s="9"/>
      <c r="S231" s="11"/>
    </row>
    <row r="232" spans="1:19" ht="15.75">
      <c r="A232" s="13">
        <v>48183</v>
      </c>
      <c r="B232" s="8">
        <f>CHOOSE( CONTROL!$C$32, 8.1541, 8.1538) * CHOOSE(CONTROL!$C$15, $D$11, 100%, $F$11)</f>
        <v>8.1540999999999997</v>
      </c>
      <c r="C232" s="8">
        <f>CHOOSE( CONTROL!$C$32, 8.1592, 8.1589) * CHOOSE(CONTROL!$C$15, $D$11, 100%, $F$11)</f>
        <v>8.1592000000000002</v>
      </c>
      <c r="D232" s="8">
        <f>CHOOSE( CONTROL!$C$32, 8.1437, 8.1434) * CHOOSE( CONTROL!$C$15, $D$11, 100%, $F$11)</f>
        <v>8.1437000000000008</v>
      </c>
      <c r="E232" s="12">
        <f>CHOOSE( CONTROL!$C$32, 8.1488, 8.1485) * CHOOSE( CONTROL!$C$15, $D$11, 100%, $F$11)</f>
        <v>8.1487999999999996</v>
      </c>
      <c r="F232" s="4">
        <f>CHOOSE( CONTROL!$C$32, 8.8194, 8.8191) * CHOOSE(CONTROL!$C$15, $D$11, 100%, $F$11)</f>
        <v>8.8193999999999999</v>
      </c>
      <c r="G232" s="8">
        <f>CHOOSE( CONTROL!$C$32, 8.0693, 8.069) * CHOOSE( CONTROL!$C$15, $D$11, 100%, $F$11)</f>
        <v>8.0693000000000001</v>
      </c>
      <c r="H232" s="4">
        <f>CHOOSE( CONTROL!$C$32, 8.9627, 8.9625) * CHOOSE(CONTROL!$C$15, $D$11, 100%, $F$11)</f>
        <v>8.9626999999999999</v>
      </c>
      <c r="I232" s="8">
        <f>CHOOSE( CONTROL!$C$32, 8.0758, 8.0755) * CHOOSE(CONTROL!$C$15, $D$11, 100%, $F$11)</f>
        <v>8.0757999999999992</v>
      </c>
      <c r="J232" s="4">
        <f>CHOOSE( CONTROL!$C$32, 7.9048, 7.9045) * CHOOSE(CONTROL!$C$15, $D$11, 100%, $F$11)</f>
        <v>7.9047999999999998</v>
      </c>
      <c r="K232" s="4"/>
      <c r="L232" s="9">
        <v>29.306000000000001</v>
      </c>
      <c r="M232" s="9">
        <v>12.063700000000001</v>
      </c>
      <c r="N232" s="9">
        <v>4.9444999999999997</v>
      </c>
      <c r="O232" s="9">
        <v>0.37409999999999999</v>
      </c>
      <c r="P232" s="9">
        <v>1.2927</v>
      </c>
      <c r="Q232" s="9">
        <v>31.026700000000002</v>
      </c>
      <c r="R232" s="9"/>
      <c r="S232" s="11"/>
    </row>
    <row r="233" spans="1:19" ht="15.75">
      <c r="A233" s="13">
        <v>48214</v>
      </c>
      <c r="B233" s="8">
        <f>CHOOSE( CONTROL!$C$32, 8.4371, 8.4369) * CHOOSE(CONTROL!$C$15, $D$11, 100%, $F$11)</f>
        <v>8.4370999999999992</v>
      </c>
      <c r="C233" s="8">
        <f>CHOOSE( CONTROL!$C$32, 8.4422, 8.4419) * CHOOSE(CONTROL!$C$15, $D$11, 100%, $F$11)</f>
        <v>8.4421999999999997</v>
      </c>
      <c r="D233" s="8">
        <f>CHOOSE( CONTROL!$C$32, 8.4327, 8.4324) * CHOOSE( CONTROL!$C$15, $D$11, 100%, $F$11)</f>
        <v>8.4327000000000005</v>
      </c>
      <c r="E233" s="12">
        <f>CHOOSE( CONTROL!$C$32, 8.4356, 8.4353) * CHOOSE( CONTROL!$C$15, $D$11, 100%, $F$11)</f>
        <v>8.4356000000000009</v>
      </c>
      <c r="F233" s="4">
        <f>CHOOSE( CONTROL!$C$32, 9.1024, 9.1022) * CHOOSE(CONTROL!$C$15, $D$11, 100%, $F$11)</f>
        <v>9.1023999999999994</v>
      </c>
      <c r="G233" s="8">
        <f>CHOOSE( CONTROL!$C$32, 8.3497, 8.3494) * CHOOSE( CONTROL!$C$15, $D$11, 100%, $F$11)</f>
        <v>8.3497000000000003</v>
      </c>
      <c r="H233" s="4">
        <f>CHOOSE( CONTROL!$C$32, 9.2425, 9.2422) * CHOOSE(CONTROL!$C$15, $D$11, 100%, $F$11)</f>
        <v>9.2424999999999997</v>
      </c>
      <c r="I233" s="8">
        <f>CHOOSE( CONTROL!$C$32, 8.3311, 8.3308) * CHOOSE(CONTROL!$C$15, $D$11, 100%, $F$11)</f>
        <v>8.3310999999999993</v>
      </c>
      <c r="J233" s="4">
        <f>CHOOSE( CONTROL!$C$32, 8.1795, 8.1792) * CHOOSE(CONTROL!$C$15, $D$11, 100%, $F$11)</f>
        <v>8.1795000000000009</v>
      </c>
      <c r="K233" s="4"/>
      <c r="L233" s="9">
        <v>29.306000000000001</v>
      </c>
      <c r="M233" s="9">
        <v>12.063700000000001</v>
      </c>
      <c r="N233" s="9">
        <v>4.9444999999999997</v>
      </c>
      <c r="O233" s="9">
        <v>0.37409999999999999</v>
      </c>
      <c r="P233" s="9">
        <v>1.2927</v>
      </c>
      <c r="Q233" s="9">
        <v>30.8704</v>
      </c>
      <c r="R233" s="9"/>
      <c r="S233" s="11"/>
    </row>
    <row r="234" spans="1:19" ht="15.75">
      <c r="A234" s="13">
        <v>48245</v>
      </c>
      <c r="B234" s="8">
        <f>CHOOSE( CONTROL!$C$32, 7.8923, 7.892) * CHOOSE(CONTROL!$C$15, $D$11, 100%, $F$11)</f>
        <v>7.8922999999999996</v>
      </c>
      <c r="C234" s="8">
        <f>CHOOSE( CONTROL!$C$32, 7.8974, 7.8971) * CHOOSE(CONTROL!$C$15, $D$11, 100%, $F$11)</f>
        <v>7.8974000000000002</v>
      </c>
      <c r="D234" s="8">
        <f>CHOOSE( CONTROL!$C$32, 7.8895, 7.8892) * CHOOSE( CONTROL!$C$15, $D$11, 100%, $F$11)</f>
        <v>7.8895</v>
      </c>
      <c r="E234" s="12">
        <f>CHOOSE( CONTROL!$C$32, 7.8918, 7.8915) * CHOOSE( CONTROL!$C$15, $D$11, 100%, $F$11)</f>
        <v>7.8917999999999999</v>
      </c>
      <c r="F234" s="4">
        <f>CHOOSE( CONTROL!$C$32, 8.5576, 8.5573) * CHOOSE(CONTROL!$C$15, $D$11, 100%, $F$11)</f>
        <v>8.5576000000000008</v>
      </c>
      <c r="G234" s="8">
        <f>CHOOSE( CONTROL!$C$32, 7.8098, 7.8095) * CHOOSE( CONTROL!$C$15, $D$11, 100%, $F$11)</f>
        <v>7.8098000000000001</v>
      </c>
      <c r="H234" s="4">
        <f>CHOOSE( CONTROL!$C$32, 8.704, 8.7037) * CHOOSE(CONTROL!$C$15, $D$11, 100%, $F$11)</f>
        <v>8.7040000000000006</v>
      </c>
      <c r="I234" s="8">
        <f>CHOOSE( CONTROL!$C$32, 7.7866, 7.7864) * CHOOSE(CONTROL!$C$15, $D$11, 100%, $F$11)</f>
        <v>7.7866</v>
      </c>
      <c r="J234" s="4">
        <f>CHOOSE( CONTROL!$C$32, 7.6507, 7.6505) * CHOOSE(CONTROL!$C$15, $D$11, 100%, $F$11)</f>
        <v>7.6506999999999996</v>
      </c>
      <c r="K234" s="4"/>
      <c r="L234" s="9">
        <v>27.415299999999998</v>
      </c>
      <c r="M234" s="9">
        <v>11.285299999999999</v>
      </c>
      <c r="N234" s="9">
        <v>4.6254999999999997</v>
      </c>
      <c r="O234" s="9">
        <v>0.34989999999999999</v>
      </c>
      <c r="P234" s="9">
        <v>1.2093</v>
      </c>
      <c r="Q234" s="9">
        <v>28.878799999999998</v>
      </c>
      <c r="R234" s="9"/>
      <c r="S234" s="11"/>
    </row>
    <row r="235" spans="1:19" ht="15.75">
      <c r="A235" s="13">
        <v>48274</v>
      </c>
      <c r="B235" s="8">
        <f>CHOOSE( CONTROL!$C$32, 7.7245, 7.7242) * CHOOSE(CONTROL!$C$15, $D$11, 100%, $F$11)</f>
        <v>7.7244999999999999</v>
      </c>
      <c r="C235" s="8">
        <f>CHOOSE( CONTROL!$C$32, 7.7296, 7.7293) * CHOOSE(CONTROL!$C$15, $D$11, 100%, $F$11)</f>
        <v>7.7295999999999996</v>
      </c>
      <c r="D235" s="8">
        <f>CHOOSE( CONTROL!$C$32, 7.7169, 7.7166) * CHOOSE( CONTROL!$C$15, $D$11, 100%, $F$11)</f>
        <v>7.7168999999999999</v>
      </c>
      <c r="E235" s="12">
        <f>CHOOSE( CONTROL!$C$32, 7.721, 7.7207) * CHOOSE( CONTROL!$C$15, $D$11, 100%, $F$11)</f>
        <v>7.7210000000000001</v>
      </c>
      <c r="F235" s="4">
        <f>CHOOSE( CONTROL!$C$32, 8.3898, 8.3895) * CHOOSE(CONTROL!$C$15, $D$11, 100%, $F$11)</f>
        <v>8.3897999999999993</v>
      </c>
      <c r="G235" s="8">
        <f>CHOOSE( CONTROL!$C$32, 7.6405, 7.6402) * CHOOSE( CONTROL!$C$15, $D$11, 100%, $F$11)</f>
        <v>7.6405000000000003</v>
      </c>
      <c r="H235" s="4">
        <f>CHOOSE( CONTROL!$C$32, 8.5382, 8.5379) * CHOOSE(CONTROL!$C$15, $D$11, 100%, $F$11)</f>
        <v>8.5381999999999998</v>
      </c>
      <c r="I235" s="8">
        <f>CHOOSE( CONTROL!$C$32, 7.6221, 7.6218) * CHOOSE(CONTROL!$C$15, $D$11, 100%, $F$11)</f>
        <v>7.6220999999999997</v>
      </c>
      <c r="J235" s="4">
        <f>CHOOSE( CONTROL!$C$32, 7.4879, 7.4876) * CHOOSE(CONTROL!$C$15, $D$11, 100%, $F$11)</f>
        <v>7.4878999999999998</v>
      </c>
      <c r="K235" s="4"/>
      <c r="L235" s="9">
        <v>29.306000000000001</v>
      </c>
      <c r="M235" s="9">
        <v>12.063700000000001</v>
      </c>
      <c r="N235" s="9">
        <v>4.9444999999999997</v>
      </c>
      <c r="O235" s="9">
        <v>0.37409999999999999</v>
      </c>
      <c r="P235" s="9">
        <v>1.2927</v>
      </c>
      <c r="Q235" s="9">
        <v>30.8704</v>
      </c>
      <c r="R235" s="9"/>
      <c r="S235" s="11"/>
    </row>
    <row r="236" spans="1:19" ht="15.75">
      <c r="A236" s="13">
        <v>48305</v>
      </c>
      <c r="B236" s="8">
        <f>CHOOSE( CONTROL!$C$32, 7.8425, 7.8422) * CHOOSE(CONTROL!$C$15, $D$11, 100%, $F$11)</f>
        <v>7.8425000000000002</v>
      </c>
      <c r="C236" s="8">
        <f>CHOOSE( CONTROL!$C$32, 7.847, 7.8467) * CHOOSE(CONTROL!$C$15, $D$11, 100%, $F$11)</f>
        <v>7.8470000000000004</v>
      </c>
      <c r="D236" s="8">
        <f>CHOOSE( CONTROL!$C$32, 7.8519, 7.8516) * CHOOSE( CONTROL!$C$15, $D$11, 100%, $F$11)</f>
        <v>7.8518999999999997</v>
      </c>
      <c r="E236" s="12">
        <f>CHOOSE( CONTROL!$C$32, 7.8498, 7.8495) * CHOOSE( CONTROL!$C$15, $D$11, 100%, $F$11)</f>
        <v>7.8498000000000001</v>
      </c>
      <c r="F236" s="4">
        <f>CHOOSE( CONTROL!$C$32, 8.5467, 8.5464) * CHOOSE(CONTROL!$C$15, $D$11, 100%, $F$11)</f>
        <v>8.5466999999999995</v>
      </c>
      <c r="G236" s="8">
        <f>CHOOSE( CONTROL!$C$32, 7.7621, 7.7618) * CHOOSE( CONTROL!$C$15, $D$11, 100%, $F$11)</f>
        <v>7.7621000000000002</v>
      </c>
      <c r="H236" s="4">
        <f>CHOOSE( CONTROL!$C$32, 8.6933, 8.693) * CHOOSE(CONTROL!$C$15, $D$11, 100%, $F$11)</f>
        <v>8.6933000000000007</v>
      </c>
      <c r="I236" s="8">
        <f>CHOOSE( CONTROL!$C$32, 7.7102, 7.7099) * CHOOSE(CONTROL!$C$15, $D$11, 100%, $F$11)</f>
        <v>7.7102000000000004</v>
      </c>
      <c r="J236" s="4">
        <f>CHOOSE( CONTROL!$C$32, 7.6017, 7.6014) * CHOOSE(CONTROL!$C$15, $D$11, 100%, $F$11)</f>
        <v>7.6017000000000001</v>
      </c>
      <c r="K236" s="4"/>
      <c r="L236" s="9">
        <v>30.092199999999998</v>
      </c>
      <c r="M236" s="9">
        <v>11.6745</v>
      </c>
      <c r="N236" s="9">
        <v>4.7850000000000001</v>
      </c>
      <c r="O236" s="9">
        <v>0.36199999999999999</v>
      </c>
      <c r="P236" s="9">
        <v>1.2509999999999999</v>
      </c>
      <c r="Q236" s="9">
        <v>29.874600000000001</v>
      </c>
      <c r="R236" s="9"/>
      <c r="S236" s="11"/>
    </row>
    <row r="237" spans="1:19" ht="15.75">
      <c r="A237" s="13">
        <v>48335</v>
      </c>
      <c r="B237" s="8">
        <f>CHOOSE( CONTROL!$C$32, 8.0528, 8.0523) * CHOOSE(CONTROL!$C$15, $D$11, 100%, $F$11)</f>
        <v>8.0527999999999995</v>
      </c>
      <c r="C237" s="8">
        <f>CHOOSE( CONTROL!$C$32, 8.0607, 8.0603) * CHOOSE(CONTROL!$C$15, $D$11, 100%, $F$11)</f>
        <v>8.0607000000000006</v>
      </c>
      <c r="D237" s="8">
        <f>CHOOSE( CONTROL!$C$32, 8.0595, 8.0591) * CHOOSE( CONTROL!$C$15, $D$11, 100%, $F$11)</f>
        <v>8.0594999999999999</v>
      </c>
      <c r="E237" s="12">
        <f>CHOOSE( CONTROL!$C$32, 8.0587, 8.0583) * CHOOSE( CONTROL!$C$15, $D$11, 100%, $F$11)</f>
        <v>8.0587</v>
      </c>
      <c r="F237" s="4">
        <f>CHOOSE( CONTROL!$C$32, 8.7556, 8.7551) * CHOOSE(CONTROL!$C$15, $D$11, 100%, $F$11)</f>
        <v>8.7555999999999994</v>
      </c>
      <c r="G237" s="8">
        <f>CHOOSE( CONTROL!$C$32, 7.9684, 7.9679) * CHOOSE( CONTROL!$C$15, $D$11, 100%, $F$11)</f>
        <v>7.9683999999999999</v>
      </c>
      <c r="H237" s="4">
        <f>CHOOSE( CONTROL!$C$32, 8.8997, 8.8992) * CHOOSE(CONTROL!$C$15, $D$11, 100%, $F$11)</f>
        <v>8.8996999999999993</v>
      </c>
      <c r="I237" s="8">
        <f>CHOOSE( CONTROL!$C$32, 7.9122, 7.9117) * CHOOSE(CONTROL!$C$15, $D$11, 100%, $F$11)</f>
        <v>7.9122000000000003</v>
      </c>
      <c r="J237" s="4">
        <f>CHOOSE( CONTROL!$C$32, 7.8044, 7.8039) * CHOOSE(CONTROL!$C$15, $D$11, 100%, $F$11)</f>
        <v>7.8044000000000002</v>
      </c>
      <c r="K237" s="4"/>
      <c r="L237" s="9">
        <v>30.7165</v>
      </c>
      <c r="M237" s="9">
        <v>12.063700000000001</v>
      </c>
      <c r="N237" s="9">
        <v>4.9444999999999997</v>
      </c>
      <c r="O237" s="9">
        <v>0.37409999999999999</v>
      </c>
      <c r="P237" s="9">
        <v>1.2927</v>
      </c>
      <c r="Q237" s="9">
        <v>30.8704</v>
      </c>
      <c r="R237" s="9"/>
      <c r="S237" s="11"/>
    </row>
    <row r="238" spans="1:19" ht="15.75">
      <c r="A238" s="13">
        <v>48366</v>
      </c>
      <c r="B238" s="8">
        <f>CHOOSE( CONTROL!$C$32, 7.9235, 7.923) * CHOOSE(CONTROL!$C$15, $D$11, 100%, $F$11)</f>
        <v>7.9234999999999998</v>
      </c>
      <c r="C238" s="8">
        <f>CHOOSE( CONTROL!$C$32, 7.9315, 7.931) * CHOOSE(CONTROL!$C$15, $D$11, 100%, $F$11)</f>
        <v>7.9314999999999998</v>
      </c>
      <c r="D238" s="8">
        <f>CHOOSE( CONTROL!$C$32, 7.9304, 7.93) * CHOOSE( CONTROL!$C$15, $D$11, 100%, $F$11)</f>
        <v>7.9303999999999997</v>
      </c>
      <c r="E238" s="12">
        <f>CHOOSE( CONTROL!$C$32, 7.9296, 7.9291) * CHOOSE( CONTROL!$C$15, $D$11, 100%, $F$11)</f>
        <v>7.9295999999999998</v>
      </c>
      <c r="F238" s="4">
        <f>CHOOSE( CONTROL!$C$32, 8.6263, 8.6258) * CHOOSE(CONTROL!$C$15, $D$11, 100%, $F$11)</f>
        <v>8.6263000000000005</v>
      </c>
      <c r="G238" s="8">
        <f>CHOOSE( CONTROL!$C$32, 7.8408, 7.8403) * CHOOSE( CONTROL!$C$15, $D$11, 100%, $F$11)</f>
        <v>7.8407999999999998</v>
      </c>
      <c r="H238" s="4">
        <f>CHOOSE( CONTROL!$C$32, 8.7719, 8.7715) * CHOOSE(CONTROL!$C$15, $D$11, 100%, $F$11)</f>
        <v>8.7719000000000005</v>
      </c>
      <c r="I238" s="8">
        <f>CHOOSE( CONTROL!$C$32, 7.7873, 7.7868) * CHOOSE(CONTROL!$C$15, $D$11, 100%, $F$11)</f>
        <v>7.7873000000000001</v>
      </c>
      <c r="J238" s="4">
        <f>CHOOSE( CONTROL!$C$32, 7.6789, 7.6785) * CHOOSE(CONTROL!$C$15, $D$11, 100%, $F$11)</f>
        <v>7.6788999999999996</v>
      </c>
      <c r="K238" s="4"/>
      <c r="L238" s="9">
        <v>29.7257</v>
      </c>
      <c r="M238" s="9">
        <v>11.6745</v>
      </c>
      <c r="N238" s="9">
        <v>4.7850000000000001</v>
      </c>
      <c r="O238" s="9">
        <v>0.36199999999999999</v>
      </c>
      <c r="P238" s="9">
        <v>1.2509999999999999</v>
      </c>
      <c r="Q238" s="9">
        <v>29.874600000000001</v>
      </c>
      <c r="R238" s="9"/>
      <c r="S238" s="11"/>
    </row>
    <row r="239" spans="1:19" ht="15.75">
      <c r="A239" s="13">
        <v>48396</v>
      </c>
      <c r="B239" s="8">
        <f>CHOOSE( CONTROL!$C$32, 8.2639, 8.2635) * CHOOSE(CONTROL!$C$15, $D$11, 100%, $F$11)</f>
        <v>8.2638999999999996</v>
      </c>
      <c r="C239" s="8">
        <f>CHOOSE( CONTROL!$C$32, 8.2719, 8.2714) * CHOOSE(CONTROL!$C$15, $D$11, 100%, $F$11)</f>
        <v>8.2719000000000005</v>
      </c>
      <c r="D239" s="8">
        <f>CHOOSE( CONTROL!$C$32, 8.2711, 8.2706) * CHOOSE( CONTROL!$C$15, $D$11, 100%, $F$11)</f>
        <v>8.2711000000000006</v>
      </c>
      <c r="E239" s="12">
        <f>CHOOSE( CONTROL!$C$32, 8.2702, 8.2697) * CHOOSE( CONTROL!$C$15, $D$11, 100%, $F$11)</f>
        <v>8.2702000000000009</v>
      </c>
      <c r="F239" s="4">
        <f>CHOOSE( CONTROL!$C$32, 8.9668, 8.9663) * CHOOSE(CONTROL!$C$15, $D$11, 100%, $F$11)</f>
        <v>8.9667999999999992</v>
      </c>
      <c r="G239" s="8">
        <f>CHOOSE( CONTROL!$C$32, 8.1774, 8.1769) * CHOOSE( CONTROL!$C$15, $D$11, 100%, $F$11)</f>
        <v>8.1774000000000004</v>
      </c>
      <c r="H239" s="4">
        <f>CHOOSE( CONTROL!$C$32, 9.1084, 9.1079) * CHOOSE(CONTROL!$C$15, $D$11, 100%, $F$11)</f>
        <v>9.1083999999999996</v>
      </c>
      <c r="I239" s="8">
        <f>CHOOSE( CONTROL!$C$32, 8.1186, 8.1182) * CHOOSE(CONTROL!$C$15, $D$11, 100%, $F$11)</f>
        <v>8.1186000000000007</v>
      </c>
      <c r="J239" s="4">
        <f>CHOOSE( CONTROL!$C$32, 8.0093, 8.0089) * CHOOSE(CONTROL!$C$15, $D$11, 100%, $F$11)</f>
        <v>8.0092999999999996</v>
      </c>
      <c r="K239" s="4"/>
      <c r="L239" s="9">
        <v>30.7165</v>
      </c>
      <c r="M239" s="9">
        <v>12.063700000000001</v>
      </c>
      <c r="N239" s="9">
        <v>4.9444999999999997</v>
      </c>
      <c r="O239" s="9">
        <v>0.37409999999999999</v>
      </c>
      <c r="P239" s="9">
        <v>1.2927</v>
      </c>
      <c r="Q239" s="9">
        <v>30.8704</v>
      </c>
      <c r="R239" s="9"/>
      <c r="S239" s="11"/>
    </row>
    <row r="240" spans="1:19" ht="15.75">
      <c r="A240" s="13">
        <v>48427</v>
      </c>
      <c r="B240" s="8">
        <f>CHOOSE( CONTROL!$C$32, 7.6269, 7.6265) * CHOOSE(CONTROL!$C$15, $D$11, 100%, $F$11)</f>
        <v>7.6269</v>
      </c>
      <c r="C240" s="8">
        <f>CHOOSE( CONTROL!$C$32, 7.6349, 7.6344) * CHOOSE(CONTROL!$C$15, $D$11, 100%, $F$11)</f>
        <v>7.6349</v>
      </c>
      <c r="D240" s="8">
        <f>CHOOSE( CONTROL!$C$32, 7.6341, 7.6337) * CHOOSE( CONTROL!$C$15, $D$11, 100%, $F$11)</f>
        <v>7.6341000000000001</v>
      </c>
      <c r="E240" s="12">
        <f>CHOOSE( CONTROL!$C$32, 7.6332, 7.6327) * CHOOSE( CONTROL!$C$15, $D$11, 100%, $F$11)</f>
        <v>7.6332000000000004</v>
      </c>
      <c r="F240" s="4">
        <f>CHOOSE( CONTROL!$C$32, 8.3297, 8.3293) * CHOOSE(CONTROL!$C$15, $D$11, 100%, $F$11)</f>
        <v>8.3297000000000008</v>
      </c>
      <c r="G240" s="8">
        <f>CHOOSE( CONTROL!$C$32, 7.5479, 7.5474) * CHOOSE( CONTROL!$C$15, $D$11, 100%, $F$11)</f>
        <v>7.5479000000000003</v>
      </c>
      <c r="H240" s="4">
        <f>CHOOSE( CONTROL!$C$32, 8.4788, 8.4784) * CHOOSE(CONTROL!$C$15, $D$11, 100%, $F$11)</f>
        <v>8.4787999999999997</v>
      </c>
      <c r="I240" s="8">
        <f>CHOOSE( CONTROL!$C$32, 7.5003, 7.4999) * CHOOSE(CONTROL!$C$15, $D$11, 100%, $F$11)</f>
        <v>7.5003000000000002</v>
      </c>
      <c r="J240" s="4">
        <f>CHOOSE( CONTROL!$C$32, 7.3911, 7.3907) * CHOOSE(CONTROL!$C$15, $D$11, 100%, $F$11)</f>
        <v>7.3910999999999998</v>
      </c>
      <c r="K240" s="4"/>
      <c r="L240" s="9">
        <v>30.7165</v>
      </c>
      <c r="M240" s="9">
        <v>12.063700000000001</v>
      </c>
      <c r="N240" s="9">
        <v>4.9444999999999997</v>
      </c>
      <c r="O240" s="9">
        <v>0.37409999999999999</v>
      </c>
      <c r="P240" s="9">
        <v>1.2927</v>
      </c>
      <c r="Q240" s="9">
        <v>30.8704</v>
      </c>
      <c r="R240" s="9"/>
      <c r="S240" s="11"/>
    </row>
    <row r="241" spans="1:19" ht="15.75">
      <c r="A241" s="13">
        <v>48458</v>
      </c>
      <c r="B241" s="8">
        <f>CHOOSE( CONTROL!$C$32, 7.4674, 7.4669) * CHOOSE(CONTROL!$C$15, $D$11, 100%, $F$11)</f>
        <v>7.4673999999999996</v>
      </c>
      <c r="C241" s="8">
        <f>CHOOSE( CONTROL!$C$32, 7.4754, 7.4749) * CHOOSE(CONTROL!$C$15, $D$11, 100%, $F$11)</f>
        <v>7.4753999999999996</v>
      </c>
      <c r="D241" s="8">
        <f>CHOOSE( CONTROL!$C$32, 7.4745, 7.474) * CHOOSE( CONTROL!$C$15, $D$11, 100%, $F$11)</f>
        <v>7.4744999999999999</v>
      </c>
      <c r="E241" s="12">
        <f>CHOOSE( CONTROL!$C$32, 7.4736, 7.4731) * CHOOSE( CONTROL!$C$15, $D$11, 100%, $F$11)</f>
        <v>7.4736000000000002</v>
      </c>
      <c r="F241" s="4">
        <f>CHOOSE( CONTROL!$C$32, 8.1702, 8.1698) * CHOOSE(CONTROL!$C$15, $D$11, 100%, $F$11)</f>
        <v>8.1701999999999995</v>
      </c>
      <c r="G241" s="8">
        <f>CHOOSE( CONTROL!$C$32, 7.3901, 7.3897) * CHOOSE( CONTROL!$C$15, $D$11, 100%, $F$11)</f>
        <v>7.3901000000000003</v>
      </c>
      <c r="H241" s="4">
        <f>CHOOSE( CONTROL!$C$32, 8.3212, 8.3207) * CHOOSE(CONTROL!$C$15, $D$11, 100%, $F$11)</f>
        <v>8.3211999999999993</v>
      </c>
      <c r="I241" s="8">
        <f>CHOOSE( CONTROL!$C$32, 7.3449, 7.3445) * CHOOSE(CONTROL!$C$15, $D$11, 100%, $F$11)</f>
        <v>7.3449</v>
      </c>
      <c r="J241" s="4">
        <f>CHOOSE( CONTROL!$C$32, 7.2363, 7.2358) * CHOOSE(CONTROL!$C$15, $D$11, 100%, $F$11)</f>
        <v>7.2363</v>
      </c>
      <c r="K241" s="4"/>
      <c r="L241" s="9">
        <v>29.7257</v>
      </c>
      <c r="M241" s="9">
        <v>11.6745</v>
      </c>
      <c r="N241" s="9">
        <v>4.7850000000000001</v>
      </c>
      <c r="O241" s="9">
        <v>0.36199999999999999</v>
      </c>
      <c r="P241" s="9">
        <v>1.2509999999999999</v>
      </c>
      <c r="Q241" s="9">
        <v>29.874600000000001</v>
      </c>
      <c r="R241" s="9"/>
      <c r="S241" s="11"/>
    </row>
    <row r="242" spans="1:19" ht="15.75">
      <c r="A242" s="13">
        <v>48488</v>
      </c>
      <c r="B242" s="8">
        <f>CHOOSE( CONTROL!$C$32, 7.7967, 7.7964) * CHOOSE(CONTROL!$C$15, $D$11, 100%, $F$11)</f>
        <v>7.7967000000000004</v>
      </c>
      <c r="C242" s="8">
        <f>CHOOSE( CONTROL!$C$32, 7.802, 7.8018) * CHOOSE(CONTROL!$C$15, $D$11, 100%, $F$11)</f>
        <v>7.8019999999999996</v>
      </c>
      <c r="D242" s="8">
        <f>CHOOSE( CONTROL!$C$32, 7.8067, 7.8065) * CHOOSE( CONTROL!$C$15, $D$11, 100%, $F$11)</f>
        <v>7.8067000000000002</v>
      </c>
      <c r="E242" s="12">
        <f>CHOOSE( CONTROL!$C$32, 7.8046, 7.8044) * CHOOSE( CONTROL!$C$15, $D$11, 100%, $F$11)</f>
        <v>7.8045999999999998</v>
      </c>
      <c r="F242" s="4">
        <f>CHOOSE( CONTROL!$C$32, 8.5012, 8.501) * CHOOSE(CONTROL!$C$15, $D$11, 100%, $F$11)</f>
        <v>8.5012000000000008</v>
      </c>
      <c r="G242" s="8">
        <f>CHOOSE( CONTROL!$C$32, 7.7174, 7.7172) * CHOOSE( CONTROL!$C$15, $D$11, 100%, $F$11)</f>
        <v>7.7173999999999996</v>
      </c>
      <c r="H242" s="4">
        <f>CHOOSE( CONTROL!$C$32, 8.6483, 8.6481) * CHOOSE(CONTROL!$C$15, $D$11, 100%, $F$11)</f>
        <v>8.6483000000000008</v>
      </c>
      <c r="I242" s="8">
        <f>CHOOSE( CONTROL!$C$32, 7.6671, 7.6669) * CHOOSE(CONTROL!$C$15, $D$11, 100%, $F$11)</f>
        <v>7.6670999999999996</v>
      </c>
      <c r="J242" s="4">
        <f>CHOOSE( CONTROL!$C$32, 7.5576, 7.5573) * CHOOSE(CONTROL!$C$15, $D$11, 100%, $F$11)</f>
        <v>7.5575999999999999</v>
      </c>
      <c r="K242" s="4"/>
      <c r="L242" s="9">
        <v>31.095300000000002</v>
      </c>
      <c r="M242" s="9">
        <v>12.063700000000001</v>
      </c>
      <c r="N242" s="9">
        <v>4.9444999999999997</v>
      </c>
      <c r="O242" s="9">
        <v>0.37409999999999999</v>
      </c>
      <c r="P242" s="9">
        <v>1.2927</v>
      </c>
      <c r="Q242" s="9">
        <v>30.8704</v>
      </c>
      <c r="R242" s="9"/>
      <c r="S242" s="11"/>
    </row>
    <row r="243" spans="1:19" ht="15.75">
      <c r="A243" s="13">
        <v>48519</v>
      </c>
      <c r="B243" s="8">
        <f>CHOOSE( CONTROL!$C$32, 8.4076, 8.4074) * CHOOSE(CONTROL!$C$15, $D$11, 100%, $F$11)</f>
        <v>8.4076000000000004</v>
      </c>
      <c r="C243" s="8">
        <f>CHOOSE( CONTROL!$C$32, 8.4127, 8.4124) * CHOOSE(CONTROL!$C$15, $D$11, 100%, $F$11)</f>
        <v>8.4126999999999992</v>
      </c>
      <c r="D243" s="8">
        <f>CHOOSE( CONTROL!$C$32, 8.3954, 8.3952) * CHOOSE( CONTROL!$C$15, $D$11, 100%, $F$11)</f>
        <v>8.3954000000000004</v>
      </c>
      <c r="E243" s="12">
        <f>CHOOSE( CONTROL!$C$32, 8.4012, 8.401) * CHOOSE( CONTROL!$C$15, $D$11, 100%, $F$11)</f>
        <v>8.4011999999999993</v>
      </c>
      <c r="F243" s="4">
        <f>CHOOSE( CONTROL!$C$32, 9.0729, 9.0727) * CHOOSE(CONTROL!$C$15, $D$11, 100%, $F$11)</f>
        <v>9.0729000000000006</v>
      </c>
      <c r="G243" s="8">
        <f>CHOOSE( CONTROL!$C$32, 8.3186, 8.3183) * CHOOSE( CONTROL!$C$15, $D$11, 100%, $F$11)</f>
        <v>8.3186</v>
      </c>
      <c r="H243" s="4">
        <f>CHOOSE( CONTROL!$C$32, 9.2133, 9.213) * CHOOSE(CONTROL!$C$15, $D$11, 100%, $F$11)</f>
        <v>9.2133000000000003</v>
      </c>
      <c r="I243" s="8">
        <f>CHOOSE( CONTROL!$C$32, 8.3164, 8.3161) * CHOOSE(CONTROL!$C$15, $D$11, 100%, $F$11)</f>
        <v>8.3163999999999998</v>
      </c>
      <c r="J243" s="4">
        <f>CHOOSE( CONTROL!$C$32, 8.1509, 8.1506) * CHOOSE(CONTROL!$C$15, $D$11, 100%, $F$11)</f>
        <v>8.1509</v>
      </c>
      <c r="K243" s="4"/>
      <c r="L243" s="9">
        <v>28.360600000000002</v>
      </c>
      <c r="M243" s="9">
        <v>11.6745</v>
      </c>
      <c r="N243" s="9">
        <v>4.7850000000000001</v>
      </c>
      <c r="O243" s="9">
        <v>0.36199999999999999</v>
      </c>
      <c r="P243" s="9">
        <v>1.2509999999999999</v>
      </c>
      <c r="Q243" s="9">
        <v>29.874600000000001</v>
      </c>
      <c r="R243" s="9"/>
      <c r="S243" s="11"/>
    </row>
    <row r="244" spans="1:19" ht="15.75">
      <c r="A244" s="13">
        <v>48549</v>
      </c>
      <c r="B244" s="8">
        <f>CHOOSE( CONTROL!$C$32, 8.3924, 8.3921) * CHOOSE(CONTROL!$C$15, $D$11, 100%, $F$11)</f>
        <v>8.3924000000000003</v>
      </c>
      <c r="C244" s="8">
        <f>CHOOSE( CONTROL!$C$32, 8.3974, 8.3972) * CHOOSE(CONTROL!$C$15, $D$11, 100%, $F$11)</f>
        <v>8.3973999999999993</v>
      </c>
      <c r="D244" s="8">
        <f>CHOOSE( CONTROL!$C$32, 8.3819, 8.3817) * CHOOSE( CONTROL!$C$15, $D$11, 100%, $F$11)</f>
        <v>8.3818999999999999</v>
      </c>
      <c r="E244" s="12">
        <f>CHOOSE( CONTROL!$C$32, 8.387, 8.3868) * CHOOSE( CONTROL!$C$15, $D$11, 100%, $F$11)</f>
        <v>8.3870000000000005</v>
      </c>
      <c r="F244" s="4">
        <f>CHOOSE( CONTROL!$C$32, 9.0577, 9.0574) * CHOOSE(CONTROL!$C$15, $D$11, 100%, $F$11)</f>
        <v>9.0577000000000005</v>
      </c>
      <c r="G244" s="8">
        <f>CHOOSE( CONTROL!$C$32, 8.3047, 8.3045) * CHOOSE( CONTROL!$C$15, $D$11, 100%, $F$11)</f>
        <v>8.3047000000000004</v>
      </c>
      <c r="H244" s="4">
        <f>CHOOSE( CONTROL!$C$32, 9.1982, 9.198) * CHOOSE(CONTROL!$C$15, $D$11, 100%, $F$11)</f>
        <v>9.1981999999999999</v>
      </c>
      <c r="I244" s="8">
        <f>CHOOSE( CONTROL!$C$32, 8.3071, 8.3069) * CHOOSE(CONTROL!$C$15, $D$11, 100%, $F$11)</f>
        <v>8.3071000000000002</v>
      </c>
      <c r="J244" s="4">
        <f>CHOOSE( CONTROL!$C$32, 8.136, 8.1358) * CHOOSE(CONTROL!$C$15, $D$11, 100%, $F$11)</f>
        <v>8.1359999999999992</v>
      </c>
      <c r="K244" s="4"/>
      <c r="L244" s="9">
        <v>29.306000000000001</v>
      </c>
      <c r="M244" s="9">
        <v>12.063700000000001</v>
      </c>
      <c r="N244" s="9">
        <v>4.9444999999999997</v>
      </c>
      <c r="O244" s="9">
        <v>0.37409999999999999</v>
      </c>
      <c r="P244" s="9">
        <v>1.2927</v>
      </c>
      <c r="Q244" s="9">
        <v>30.8704</v>
      </c>
      <c r="R244" s="9"/>
      <c r="S244" s="11"/>
    </row>
    <row r="245" spans="1:19" ht="15.75">
      <c r="A245" s="13">
        <v>48580</v>
      </c>
      <c r="B245" s="8">
        <f>CHOOSE( CONTROL!$C$32, 8.6876, 8.6873) * CHOOSE(CONTROL!$C$15, $D$11, 100%, $F$11)</f>
        <v>8.6875999999999998</v>
      </c>
      <c r="C245" s="8">
        <f>CHOOSE( CONTROL!$C$32, 8.6927, 8.6924) * CHOOSE(CONTROL!$C$15, $D$11, 100%, $F$11)</f>
        <v>8.6927000000000003</v>
      </c>
      <c r="D245" s="8">
        <f>CHOOSE( CONTROL!$C$32, 8.6831, 8.6828) * CHOOSE( CONTROL!$C$15, $D$11, 100%, $F$11)</f>
        <v>8.6830999999999996</v>
      </c>
      <c r="E245" s="12">
        <f>CHOOSE( CONTROL!$C$32, 8.6861, 8.6858) * CHOOSE( CONTROL!$C$15, $D$11, 100%, $F$11)</f>
        <v>8.6860999999999997</v>
      </c>
      <c r="F245" s="4">
        <f>CHOOSE( CONTROL!$C$32, 9.3529, 9.3526) * CHOOSE(CONTROL!$C$15, $D$11, 100%, $F$11)</f>
        <v>9.3529</v>
      </c>
      <c r="G245" s="8">
        <f>CHOOSE( CONTROL!$C$32, 8.5972, 8.5969) * CHOOSE( CONTROL!$C$15, $D$11, 100%, $F$11)</f>
        <v>8.5972000000000008</v>
      </c>
      <c r="H245" s="4">
        <f>CHOOSE( CONTROL!$C$32, 9.49, 9.4897) * CHOOSE(CONTROL!$C$15, $D$11, 100%, $F$11)</f>
        <v>9.49</v>
      </c>
      <c r="I245" s="8">
        <f>CHOOSE( CONTROL!$C$32, 8.5742, 8.574) * CHOOSE(CONTROL!$C$15, $D$11, 100%, $F$11)</f>
        <v>8.5741999999999994</v>
      </c>
      <c r="J245" s="4">
        <f>CHOOSE( CONTROL!$C$32, 8.4225, 8.4223) * CHOOSE(CONTROL!$C$15, $D$11, 100%, $F$11)</f>
        <v>8.4224999999999994</v>
      </c>
      <c r="K245" s="4"/>
      <c r="L245" s="9">
        <v>29.306000000000001</v>
      </c>
      <c r="M245" s="9">
        <v>12.063700000000001</v>
      </c>
      <c r="N245" s="9">
        <v>4.9444999999999997</v>
      </c>
      <c r="O245" s="9">
        <v>0.37409999999999999</v>
      </c>
      <c r="P245" s="9">
        <v>1.2927</v>
      </c>
      <c r="Q245" s="9">
        <v>30.773700000000002</v>
      </c>
      <c r="R245" s="9"/>
      <c r="S245" s="11"/>
    </row>
    <row r="246" spans="1:19" ht="15.75">
      <c r="A246" s="13">
        <v>48611</v>
      </c>
      <c r="B246" s="8">
        <f>CHOOSE( CONTROL!$C$32, 8.1265, 8.1263) * CHOOSE(CONTROL!$C$15, $D$11, 100%, $F$11)</f>
        <v>8.1265000000000001</v>
      </c>
      <c r="C246" s="8">
        <f>CHOOSE( CONTROL!$C$32, 8.1316, 8.1314) * CHOOSE(CONTROL!$C$15, $D$11, 100%, $F$11)</f>
        <v>8.1316000000000006</v>
      </c>
      <c r="D246" s="8">
        <f>CHOOSE( CONTROL!$C$32, 8.1237, 8.1235) * CHOOSE( CONTROL!$C$15, $D$11, 100%, $F$11)</f>
        <v>8.1236999999999995</v>
      </c>
      <c r="E246" s="12">
        <f>CHOOSE( CONTROL!$C$32, 8.126, 8.1258) * CHOOSE( CONTROL!$C$15, $D$11, 100%, $F$11)</f>
        <v>8.1259999999999994</v>
      </c>
      <c r="F246" s="4">
        <f>CHOOSE( CONTROL!$C$32, 8.7918, 8.7916) * CHOOSE(CONTROL!$C$15, $D$11, 100%, $F$11)</f>
        <v>8.7918000000000003</v>
      </c>
      <c r="G246" s="8">
        <f>CHOOSE( CONTROL!$C$32, 8.0413, 8.041) * CHOOSE( CONTROL!$C$15, $D$11, 100%, $F$11)</f>
        <v>8.0412999999999997</v>
      </c>
      <c r="H246" s="4">
        <f>CHOOSE( CONTROL!$C$32, 8.9355, 8.9352) * CHOOSE(CONTROL!$C$15, $D$11, 100%, $F$11)</f>
        <v>8.9354999999999993</v>
      </c>
      <c r="I246" s="8">
        <f>CHOOSE( CONTROL!$C$32, 8.0141, 8.0138) * CHOOSE(CONTROL!$C$15, $D$11, 100%, $F$11)</f>
        <v>8.0140999999999991</v>
      </c>
      <c r="J246" s="4">
        <f>CHOOSE( CONTROL!$C$32, 7.8781, 7.8778) * CHOOSE(CONTROL!$C$15, $D$11, 100%, $F$11)</f>
        <v>7.8780999999999999</v>
      </c>
      <c r="K246" s="4"/>
      <c r="L246" s="9">
        <v>26.469899999999999</v>
      </c>
      <c r="M246" s="9">
        <v>10.8962</v>
      </c>
      <c r="N246" s="9">
        <v>4.4660000000000002</v>
      </c>
      <c r="O246" s="9">
        <v>0.33789999999999998</v>
      </c>
      <c r="P246" s="9">
        <v>1.1676</v>
      </c>
      <c r="Q246" s="9">
        <v>27.7956</v>
      </c>
      <c r="R246" s="9"/>
      <c r="S246" s="11"/>
    </row>
    <row r="247" spans="1:19" ht="15.75">
      <c r="A247" s="13">
        <v>48639</v>
      </c>
      <c r="B247" s="8">
        <f>CHOOSE( CONTROL!$C$32, 7.9538, 7.9535) * CHOOSE(CONTROL!$C$15, $D$11, 100%, $F$11)</f>
        <v>7.9538000000000002</v>
      </c>
      <c r="C247" s="8">
        <f>CHOOSE( CONTROL!$C$32, 7.9588, 7.9586) * CHOOSE(CONTROL!$C$15, $D$11, 100%, $F$11)</f>
        <v>7.9588000000000001</v>
      </c>
      <c r="D247" s="8">
        <f>CHOOSE( CONTROL!$C$32, 7.9461, 7.9459) * CHOOSE( CONTROL!$C$15, $D$11, 100%, $F$11)</f>
        <v>7.9461000000000004</v>
      </c>
      <c r="E247" s="12">
        <f>CHOOSE( CONTROL!$C$32, 7.9502, 7.95) * CHOOSE( CONTROL!$C$15, $D$11, 100%, $F$11)</f>
        <v>7.9501999999999997</v>
      </c>
      <c r="F247" s="4">
        <f>CHOOSE( CONTROL!$C$32, 8.619, 8.6188) * CHOOSE(CONTROL!$C$15, $D$11, 100%, $F$11)</f>
        <v>8.6189999999999998</v>
      </c>
      <c r="G247" s="8">
        <f>CHOOSE( CONTROL!$C$32, 7.867, 7.8668) * CHOOSE( CONTROL!$C$15, $D$11, 100%, $F$11)</f>
        <v>7.867</v>
      </c>
      <c r="H247" s="4">
        <f>CHOOSE( CONTROL!$C$32, 8.7647, 8.7645) * CHOOSE(CONTROL!$C$15, $D$11, 100%, $F$11)</f>
        <v>8.7646999999999995</v>
      </c>
      <c r="I247" s="8">
        <f>CHOOSE( CONTROL!$C$32, 7.8447, 7.8444) * CHOOSE(CONTROL!$C$15, $D$11, 100%, $F$11)</f>
        <v>7.8446999999999996</v>
      </c>
      <c r="J247" s="4">
        <f>CHOOSE( CONTROL!$C$32, 7.7104, 7.7101) * CHOOSE(CONTROL!$C$15, $D$11, 100%, $F$11)</f>
        <v>7.7103999999999999</v>
      </c>
      <c r="K247" s="4"/>
      <c r="L247" s="9">
        <v>29.306000000000001</v>
      </c>
      <c r="M247" s="9">
        <v>12.063700000000001</v>
      </c>
      <c r="N247" s="9">
        <v>4.9444999999999997</v>
      </c>
      <c r="O247" s="9">
        <v>0.37409999999999999</v>
      </c>
      <c r="P247" s="9">
        <v>1.2927</v>
      </c>
      <c r="Q247" s="9">
        <v>30.773700000000002</v>
      </c>
      <c r="R247" s="9"/>
      <c r="S247" s="11"/>
    </row>
    <row r="248" spans="1:19" ht="15.75">
      <c r="A248" s="13">
        <v>48670</v>
      </c>
      <c r="B248" s="8">
        <f>CHOOSE( CONTROL!$C$32, 8.0753, 8.075) * CHOOSE(CONTROL!$C$15, $D$11, 100%, $F$11)</f>
        <v>8.0753000000000004</v>
      </c>
      <c r="C248" s="8">
        <f>CHOOSE( CONTROL!$C$32, 8.0798, 8.0795) * CHOOSE(CONTROL!$C$15, $D$11, 100%, $F$11)</f>
        <v>8.0798000000000005</v>
      </c>
      <c r="D248" s="8">
        <f>CHOOSE( CONTROL!$C$32, 8.0846, 8.0844) * CHOOSE( CONTROL!$C$15, $D$11, 100%, $F$11)</f>
        <v>8.0846</v>
      </c>
      <c r="E248" s="12">
        <f>CHOOSE( CONTROL!$C$32, 8.0825, 8.0823) * CHOOSE( CONTROL!$C$15, $D$11, 100%, $F$11)</f>
        <v>8.0824999999999996</v>
      </c>
      <c r="F248" s="4">
        <f>CHOOSE( CONTROL!$C$32, 8.7794, 8.7792) * CHOOSE(CONTROL!$C$15, $D$11, 100%, $F$11)</f>
        <v>8.7794000000000008</v>
      </c>
      <c r="G248" s="8">
        <f>CHOOSE( CONTROL!$C$32, 7.9921, 7.9919) * CHOOSE( CONTROL!$C$15, $D$11, 100%, $F$11)</f>
        <v>7.9920999999999998</v>
      </c>
      <c r="H248" s="4">
        <f>CHOOSE( CONTROL!$C$32, 8.9233, 8.923) * CHOOSE(CONTROL!$C$15, $D$11, 100%, $F$11)</f>
        <v>8.9232999999999993</v>
      </c>
      <c r="I248" s="8">
        <f>CHOOSE( CONTROL!$C$32, 7.9362, 7.9359) * CHOOSE(CONTROL!$C$15, $D$11, 100%, $F$11)</f>
        <v>7.9362000000000004</v>
      </c>
      <c r="J248" s="4">
        <f>CHOOSE( CONTROL!$C$32, 7.8275, 7.8273) * CHOOSE(CONTROL!$C$15, $D$11, 100%, $F$11)</f>
        <v>7.8274999999999997</v>
      </c>
      <c r="K248" s="4"/>
      <c r="L248" s="9">
        <v>30.092199999999998</v>
      </c>
      <c r="M248" s="9">
        <v>11.6745</v>
      </c>
      <c r="N248" s="9">
        <v>4.7850000000000001</v>
      </c>
      <c r="O248" s="9">
        <v>0.36199999999999999</v>
      </c>
      <c r="P248" s="9">
        <v>1.2509999999999999</v>
      </c>
      <c r="Q248" s="9">
        <v>29.780999999999999</v>
      </c>
      <c r="R248" s="9"/>
      <c r="S248" s="11"/>
    </row>
    <row r="249" spans="1:19" ht="15.75">
      <c r="A249" s="13">
        <v>48700</v>
      </c>
      <c r="B249" s="8">
        <f>CHOOSE( CONTROL!$C$32, 8.2917, 8.2913) * CHOOSE(CONTROL!$C$15, $D$11, 100%, $F$11)</f>
        <v>8.2917000000000005</v>
      </c>
      <c r="C249" s="8">
        <f>CHOOSE( CONTROL!$C$32, 8.2997, 8.2992) * CHOOSE(CONTROL!$C$15, $D$11, 100%, $F$11)</f>
        <v>8.2996999999999996</v>
      </c>
      <c r="D249" s="8">
        <f>CHOOSE( CONTROL!$C$32, 8.2985, 8.298) * CHOOSE( CONTROL!$C$15, $D$11, 100%, $F$11)</f>
        <v>8.2985000000000007</v>
      </c>
      <c r="E249" s="12">
        <f>CHOOSE( CONTROL!$C$32, 8.2977, 8.2972) * CHOOSE( CONTROL!$C$15, $D$11, 100%, $F$11)</f>
        <v>8.2977000000000007</v>
      </c>
      <c r="F249" s="4">
        <f>CHOOSE( CONTROL!$C$32, 8.9945, 8.9941) * CHOOSE(CONTROL!$C$15, $D$11, 100%, $F$11)</f>
        <v>8.9945000000000004</v>
      </c>
      <c r="G249" s="8">
        <f>CHOOSE( CONTROL!$C$32, 8.2045, 8.2041) * CHOOSE( CONTROL!$C$15, $D$11, 100%, $F$11)</f>
        <v>8.2044999999999995</v>
      </c>
      <c r="H249" s="4">
        <f>CHOOSE( CONTROL!$C$32, 9.1358, 9.1354) * CHOOSE(CONTROL!$C$15, $D$11, 100%, $F$11)</f>
        <v>9.1357999999999997</v>
      </c>
      <c r="I249" s="8">
        <f>CHOOSE( CONTROL!$C$32, 8.1442, 8.1437) * CHOOSE(CONTROL!$C$15, $D$11, 100%, $F$11)</f>
        <v>8.1441999999999997</v>
      </c>
      <c r="J249" s="4">
        <f>CHOOSE( CONTROL!$C$32, 8.0363, 8.0358) * CHOOSE(CONTROL!$C$15, $D$11, 100%, $F$11)</f>
        <v>8.0363000000000007</v>
      </c>
      <c r="K249" s="4"/>
      <c r="L249" s="9">
        <v>30.7165</v>
      </c>
      <c r="M249" s="9">
        <v>12.063700000000001</v>
      </c>
      <c r="N249" s="9">
        <v>4.9444999999999997</v>
      </c>
      <c r="O249" s="9">
        <v>0.37409999999999999</v>
      </c>
      <c r="P249" s="9">
        <v>1.2927</v>
      </c>
      <c r="Q249" s="9">
        <v>30.773700000000002</v>
      </c>
      <c r="R249" s="9"/>
      <c r="S249" s="11"/>
    </row>
    <row r="250" spans="1:19" ht="15.75">
      <c r="A250" s="13">
        <v>48731</v>
      </c>
      <c r="B250" s="8">
        <f>CHOOSE( CONTROL!$C$32, 8.1586, 8.1581) * CHOOSE(CONTROL!$C$15, $D$11, 100%, $F$11)</f>
        <v>8.1585999999999999</v>
      </c>
      <c r="C250" s="8">
        <f>CHOOSE( CONTROL!$C$32, 8.1666, 8.1661) * CHOOSE(CONTROL!$C$15, $D$11, 100%, $F$11)</f>
        <v>8.1666000000000007</v>
      </c>
      <c r="D250" s="8">
        <f>CHOOSE( CONTROL!$C$32, 8.1655, 8.1651) * CHOOSE( CONTROL!$C$15, $D$11, 100%, $F$11)</f>
        <v>8.1654999999999998</v>
      </c>
      <c r="E250" s="12">
        <f>CHOOSE( CONTROL!$C$32, 8.1647, 8.1642) * CHOOSE( CONTROL!$C$15, $D$11, 100%, $F$11)</f>
        <v>8.1646999999999998</v>
      </c>
      <c r="F250" s="4">
        <f>CHOOSE( CONTROL!$C$32, 8.8614, 8.861) * CHOOSE(CONTROL!$C$15, $D$11, 100%, $F$11)</f>
        <v>8.8613999999999997</v>
      </c>
      <c r="G250" s="8">
        <f>CHOOSE( CONTROL!$C$32, 8.0731, 8.0727) * CHOOSE( CONTROL!$C$15, $D$11, 100%, $F$11)</f>
        <v>8.0731000000000002</v>
      </c>
      <c r="H250" s="4">
        <f>CHOOSE( CONTROL!$C$32, 9.0043, 9.0038) * CHOOSE(CONTROL!$C$15, $D$11, 100%, $F$11)</f>
        <v>9.0043000000000006</v>
      </c>
      <c r="I250" s="8">
        <f>CHOOSE( CONTROL!$C$32, 8.0156, 8.0151) * CHOOSE(CONTROL!$C$15, $D$11, 100%, $F$11)</f>
        <v>8.0155999999999992</v>
      </c>
      <c r="J250" s="4">
        <f>CHOOSE( CONTROL!$C$32, 7.9071, 7.9066) * CHOOSE(CONTROL!$C$15, $D$11, 100%, $F$11)</f>
        <v>7.9070999999999998</v>
      </c>
      <c r="K250" s="4"/>
      <c r="L250" s="9">
        <v>29.7257</v>
      </c>
      <c r="M250" s="9">
        <v>11.6745</v>
      </c>
      <c r="N250" s="9">
        <v>4.7850000000000001</v>
      </c>
      <c r="O250" s="9">
        <v>0.36199999999999999</v>
      </c>
      <c r="P250" s="9">
        <v>1.2509999999999999</v>
      </c>
      <c r="Q250" s="9">
        <v>29.780999999999999</v>
      </c>
      <c r="R250" s="9"/>
      <c r="S250" s="11"/>
    </row>
    <row r="251" spans="1:19" ht="15.75">
      <c r="A251" s="13">
        <v>48761</v>
      </c>
      <c r="B251" s="8">
        <f>CHOOSE( CONTROL!$C$32, 8.5092, 8.5087) * CHOOSE(CONTROL!$C$15, $D$11, 100%, $F$11)</f>
        <v>8.5091999999999999</v>
      </c>
      <c r="C251" s="8">
        <f>CHOOSE( CONTROL!$C$32, 8.5171, 8.5167) * CHOOSE(CONTROL!$C$15, $D$11, 100%, $F$11)</f>
        <v>8.5170999999999992</v>
      </c>
      <c r="D251" s="8">
        <f>CHOOSE( CONTROL!$C$32, 8.5163, 8.5159) * CHOOSE( CONTROL!$C$15, $D$11, 100%, $F$11)</f>
        <v>8.5162999999999993</v>
      </c>
      <c r="E251" s="12">
        <f>CHOOSE( CONTROL!$C$32, 8.5154, 8.515) * CHOOSE( CONTROL!$C$15, $D$11, 100%, $F$11)</f>
        <v>8.5153999999999996</v>
      </c>
      <c r="F251" s="4">
        <f>CHOOSE( CONTROL!$C$32, 9.212, 9.2115) * CHOOSE(CONTROL!$C$15, $D$11, 100%, $F$11)</f>
        <v>9.2119999999999997</v>
      </c>
      <c r="G251" s="8">
        <f>CHOOSE( CONTROL!$C$32, 8.4198, 8.4193) * CHOOSE( CONTROL!$C$15, $D$11, 100%, $F$11)</f>
        <v>8.4198000000000004</v>
      </c>
      <c r="H251" s="4">
        <f>CHOOSE( CONTROL!$C$32, 9.3507, 9.3503) * CHOOSE(CONTROL!$C$15, $D$11, 100%, $F$11)</f>
        <v>9.3506999999999998</v>
      </c>
      <c r="I251" s="8">
        <f>CHOOSE( CONTROL!$C$32, 8.3567, 8.3563) * CHOOSE(CONTROL!$C$15, $D$11, 100%, $F$11)</f>
        <v>8.3567</v>
      </c>
      <c r="J251" s="4">
        <f>CHOOSE( CONTROL!$C$32, 8.2473, 8.2469) * CHOOSE(CONTROL!$C$15, $D$11, 100%, $F$11)</f>
        <v>8.2472999999999992</v>
      </c>
      <c r="K251" s="4"/>
      <c r="L251" s="9">
        <v>30.7165</v>
      </c>
      <c r="M251" s="9">
        <v>12.063700000000001</v>
      </c>
      <c r="N251" s="9">
        <v>4.9444999999999997</v>
      </c>
      <c r="O251" s="9">
        <v>0.37409999999999999</v>
      </c>
      <c r="P251" s="9">
        <v>1.2927</v>
      </c>
      <c r="Q251" s="9">
        <v>30.773700000000002</v>
      </c>
      <c r="R251" s="9"/>
      <c r="S251" s="11"/>
    </row>
    <row r="252" spans="1:19" ht="15.75">
      <c r="A252" s="13">
        <v>48792</v>
      </c>
      <c r="B252" s="8">
        <f>CHOOSE( CONTROL!$C$32, 7.8532, 7.8528) * CHOOSE(CONTROL!$C$15, $D$11, 100%, $F$11)</f>
        <v>7.8532000000000002</v>
      </c>
      <c r="C252" s="8">
        <f>CHOOSE( CONTROL!$C$32, 7.8612, 7.8607) * CHOOSE(CONTROL!$C$15, $D$11, 100%, $F$11)</f>
        <v>7.8612000000000002</v>
      </c>
      <c r="D252" s="8">
        <f>CHOOSE( CONTROL!$C$32, 7.8604, 7.86) * CHOOSE( CONTROL!$C$15, $D$11, 100%, $F$11)</f>
        <v>7.8604000000000003</v>
      </c>
      <c r="E252" s="12">
        <f>CHOOSE( CONTROL!$C$32, 7.8595, 7.859) * CHOOSE( CONTROL!$C$15, $D$11, 100%, $F$11)</f>
        <v>7.8594999999999997</v>
      </c>
      <c r="F252" s="4">
        <f>CHOOSE( CONTROL!$C$32, 8.556, 8.5556) * CHOOSE(CONTROL!$C$15, $D$11, 100%, $F$11)</f>
        <v>8.5559999999999992</v>
      </c>
      <c r="G252" s="8">
        <f>CHOOSE( CONTROL!$C$32, 7.7715, 7.7711) * CHOOSE( CONTROL!$C$15, $D$11, 100%, $F$11)</f>
        <v>7.7714999999999996</v>
      </c>
      <c r="H252" s="4">
        <f>CHOOSE( CONTROL!$C$32, 8.7025, 8.702) * CHOOSE(CONTROL!$C$15, $D$11, 100%, $F$11)</f>
        <v>8.7025000000000006</v>
      </c>
      <c r="I252" s="8">
        <f>CHOOSE( CONTROL!$C$32, 7.72, 7.7196) * CHOOSE(CONTROL!$C$15, $D$11, 100%, $F$11)</f>
        <v>7.72</v>
      </c>
      <c r="J252" s="4">
        <f>CHOOSE( CONTROL!$C$32, 7.6107, 7.6103) * CHOOSE(CONTROL!$C$15, $D$11, 100%, $F$11)</f>
        <v>7.6106999999999996</v>
      </c>
      <c r="K252" s="4"/>
      <c r="L252" s="9">
        <v>30.7165</v>
      </c>
      <c r="M252" s="9">
        <v>12.063700000000001</v>
      </c>
      <c r="N252" s="9">
        <v>4.9444999999999997</v>
      </c>
      <c r="O252" s="9">
        <v>0.37409999999999999</v>
      </c>
      <c r="P252" s="9">
        <v>1.2927</v>
      </c>
      <c r="Q252" s="9">
        <v>30.773700000000002</v>
      </c>
      <c r="R252" s="9"/>
      <c r="S252" s="11"/>
    </row>
    <row r="253" spans="1:19" ht="15.75">
      <c r="A253" s="13">
        <v>48823</v>
      </c>
      <c r="B253" s="8">
        <f>CHOOSE( CONTROL!$C$32, 7.6889, 7.6885) * CHOOSE(CONTROL!$C$15, $D$11, 100%, $F$11)</f>
        <v>7.6889000000000003</v>
      </c>
      <c r="C253" s="8">
        <f>CHOOSE( CONTROL!$C$32, 7.6969, 7.6965) * CHOOSE(CONTROL!$C$15, $D$11, 100%, $F$11)</f>
        <v>7.6969000000000003</v>
      </c>
      <c r="D253" s="8">
        <f>CHOOSE( CONTROL!$C$32, 7.696, 7.6956) * CHOOSE( CONTROL!$C$15, $D$11, 100%, $F$11)</f>
        <v>7.6959999999999997</v>
      </c>
      <c r="E253" s="12">
        <f>CHOOSE( CONTROL!$C$32, 7.6951, 7.6947) * CHOOSE( CONTROL!$C$15, $D$11, 100%, $F$11)</f>
        <v>7.6951000000000001</v>
      </c>
      <c r="F253" s="4">
        <f>CHOOSE( CONTROL!$C$32, 8.3918, 8.3913) * CHOOSE(CONTROL!$C$15, $D$11, 100%, $F$11)</f>
        <v>8.3917999999999999</v>
      </c>
      <c r="G253" s="8">
        <f>CHOOSE( CONTROL!$C$32, 7.6091, 7.6086) * CHOOSE( CONTROL!$C$15, $D$11, 100%, $F$11)</f>
        <v>7.6090999999999998</v>
      </c>
      <c r="H253" s="4">
        <f>CHOOSE( CONTROL!$C$32, 8.5401, 8.5397) * CHOOSE(CONTROL!$C$15, $D$11, 100%, $F$11)</f>
        <v>8.5401000000000007</v>
      </c>
      <c r="I253" s="8">
        <f>CHOOSE( CONTROL!$C$32, 7.56, 7.5596) * CHOOSE(CONTROL!$C$15, $D$11, 100%, $F$11)</f>
        <v>7.56</v>
      </c>
      <c r="J253" s="4">
        <f>CHOOSE( CONTROL!$C$32, 7.4513, 7.4509) * CHOOSE(CONTROL!$C$15, $D$11, 100%, $F$11)</f>
        <v>7.4512999999999998</v>
      </c>
      <c r="K253" s="4"/>
      <c r="L253" s="9">
        <v>29.7257</v>
      </c>
      <c r="M253" s="9">
        <v>11.6745</v>
      </c>
      <c r="N253" s="9">
        <v>4.7850000000000001</v>
      </c>
      <c r="O253" s="9">
        <v>0.36199999999999999</v>
      </c>
      <c r="P253" s="9">
        <v>1.2509999999999999</v>
      </c>
      <c r="Q253" s="9">
        <v>29.780999999999999</v>
      </c>
      <c r="R253" s="9"/>
      <c r="S253" s="11"/>
    </row>
    <row r="254" spans="1:19" ht="15.75">
      <c r="A254" s="13">
        <v>48853</v>
      </c>
      <c r="B254" s="8">
        <f>CHOOSE( CONTROL!$C$32, 8.0281, 8.0278) * CHOOSE(CONTROL!$C$15, $D$11, 100%, $F$11)</f>
        <v>8.0281000000000002</v>
      </c>
      <c r="C254" s="8">
        <f>CHOOSE( CONTROL!$C$32, 8.0334, 8.0332) * CHOOSE(CONTROL!$C$15, $D$11, 100%, $F$11)</f>
        <v>8.0334000000000003</v>
      </c>
      <c r="D254" s="8">
        <f>CHOOSE( CONTROL!$C$32, 8.0381, 8.0379) * CHOOSE( CONTROL!$C$15, $D$11, 100%, $F$11)</f>
        <v>8.0381</v>
      </c>
      <c r="E254" s="12">
        <f>CHOOSE( CONTROL!$C$32, 8.036, 8.0358) * CHOOSE( CONTROL!$C$15, $D$11, 100%, $F$11)</f>
        <v>8.0359999999999996</v>
      </c>
      <c r="F254" s="4">
        <f>CHOOSE( CONTROL!$C$32, 8.7326, 8.7324) * CHOOSE(CONTROL!$C$15, $D$11, 100%, $F$11)</f>
        <v>8.7325999999999997</v>
      </c>
      <c r="G254" s="8">
        <f>CHOOSE( CONTROL!$C$32, 7.9461, 7.9459) * CHOOSE( CONTROL!$C$15, $D$11, 100%, $F$11)</f>
        <v>7.9461000000000004</v>
      </c>
      <c r="H254" s="4">
        <f>CHOOSE( CONTROL!$C$32, 8.877, 8.8767) * CHOOSE(CONTROL!$C$15, $D$11, 100%, $F$11)</f>
        <v>8.8770000000000007</v>
      </c>
      <c r="I254" s="8">
        <f>CHOOSE( CONTROL!$C$32, 7.8918, 7.8915) * CHOOSE(CONTROL!$C$15, $D$11, 100%, $F$11)</f>
        <v>7.8917999999999999</v>
      </c>
      <c r="J254" s="4">
        <f>CHOOSE( CONTROL!$C$32, 7.7821, 7.7819) * CHOOSE(CONTROL!$C$15, $D$11, 100%, $F$11)</f>
        <v>7.7820999999999998</v>
      </c>
      <c r="K254" s="4"/>
      <c r="L254" s="9">
        <v>31.095300000000002</v>
      </c>
      <c r="M254" s="9">
        <v>12.063700000000001</v>
      </c>
      <c r="N254" s="9">
        <v>4.9444999999999997</v>
      </c>
      <c r="O254" s="9">
        <v>0.37409999999999999</v>
      </c>
      <c r="P254" s="9">
        <v>1.2927</v>
      </c>
      <c r="Q254" s="9">
        <v>30.773700000000002</v>
      </c>
      <c r="R254" s="9"/>
      <c r="S254" s="11"/>
    </row>
    <row r="255" spans="1:19" ht="15.75">
      <c r="A255" s="13">
        <v>48884</v>
      </c>
      <c r="B255" s="8">
        <f>CHOOSE( CONTROL!$C$32, 8.6572, 8.6569) * CHOOSE(CONTROL!$C$15, $D$11, 100%, $F$11)</f>
        <v>8.6571999999999996</v>
      </c>
      <c r="C255" s="8">
        <f>CHOOSE( CONTROL!$C$32, 8.6623, 8.662) * CHOOSE(CONTROL!$C$15, $D$11, 100%, $F$11)</f>
        <v>8.6623000000000001</v>
      </c>
      <c r="D255" s="8">
        <f>CHOOSE( CONTROL!$C$32, 8.645, 8.6447) * CHOOSE( CONTROL!$C$15, $D$11, 100%, $F$11)</f>
        <v>8.6449999999999996</v>
      </c>
      <c r="E255" s="12">
        <f>CHOOSE( CONTROL!$C$32, 8.6508, 8.6505) * CHOOSE( CONTROL!$C$15, $D$11, 100%, $F$11)</f>
        <v>8.6508000000000003</v>
      </c>
      <c r="F255" s="4">
        <f>CHOOSE( CONTROL!$C$32, 9.3225, 9.3222) * CHOOSE(CONTROL!$C$15, $D$11, 100%, $F$11)</f>
        <v>9.3224999999999998</v>
      </c>
      <c r="G255" s="8">
        <f>CHOOSE( CONTROL!$C$32, 8.5652, 8.5649) * CHOOSE( CONTROL!$C$15, $D$11, 100%, $F$11)</f>
        <v>8.5652000000000008</v>
      </c>
      <c r="H255" s="4">
        <f>CHOOSE( CONTROL!$C$32, 9.46, 9.4597) * CHOOSE(CONTROL!$C$15, $D$11, 100%, $F$11)</f>
        <v>9.4600000000000009</v>
      </c>
      <c r="I255" s="8">
        <f>CHOOSE( CONTROL!$C$32, 8.5587, 8.5584) * CHOOSE(CONTROL!$C$15, $D$11, 100%, $F$11)</f>
        <v>8.5587</v>
      </c>
      <c r="J255" s="4">
        <f>CHOOSE( CONTROL!$C$32, 8.3931, 8.3928) * CHOOSE(CONTROL!$C$15, $D$11, 100%, $F$11)</f>
        <v>8.3931000000000004</v>
      </c>
      <c r="K255" s="4"/>
      <c r="L255" s="9">
        <v>28.360600000000002</v>
      </c>
      <c r="M255" s="9">
        <v>11.6745</v>
      </c>
      <c r="N255" s="9">
        <v>4.7850000000000001</v>
      </c>
      <c r="O255" s="9">
        <v>0.36199999999999999</v>
      </c>
      <c r="P255" s="9">
        <v>1.2509999999999999</v>
      </c>
      <c r="Q255" s="9">
        <v>29.780999999999999</v>
      </c>
      <c r="R255" s="9"/>
      <c r="S255" s="11"/>
    </row>
    <row r="256" spans="1:19" ht="15.75">
      <c r="A256" s="13">
        <v>48914</v>
      </c>
      <c r="B256" s="8">
        <f>CHOOSE( CONTROL!$C$32, 8.6415, 8.6412) * CHOOSE(CONTROL!$C$15, $D$11, 100%, $F$11)</f>
        <v>8.6415000000000006</v>
      </c>
      <c r="C256" s="8">
        <f>CHOOSE( CONTROL!$C$32, 8.6466, 8.6463) * CHOOSE(CONTROL!$C$15, $D$11, 100%, $F$11)</f>
        <v>8.6465999999999994</v>
      </c>
      <c r="D256" s="8">
        <f>CHOOSE( CONTROL!$C$32, 8.6311, 8.6308) * CHOOSE( CONTROL!$C$15, $D$11, 100%, $F$11)</f>
        <v>8.6311</v>
      </c>
      <c r="E256" s="12">
        <f>CHOOSE( CONTROL!$C$32, 8.6362, 8.6359) * CHOOSE( CONTROL!$C$15, $D$11, 100%, $F$11)</f>
        <v>8.6362000000000005</v>
      </c>
      <c r="F256" s="4">
        <f>CHOOSE( CONTROL!$C$32, 9.3068, 9.3065) * CHOOSE(CONTROL!$C$15, $D$11, 100%, $F$11)</f>
        <v>9.3068000000000008</v>
      </c>
      <c r="G256" s="8">
        <f>CHOOSE( CONTROL!$C$32, 8.5509, 8.5507) * CHOOSE( CONTROL!$C$15, $D$11, 100%, $F$11)</f>
        <v>8.5509000000000004</v>
      </c>
      <c r="H256" s="4">
        <f>CHOOSE( CONTROL!$C$32, 9.4444, 9.4441) * CHOOSE(CONTROL!$C$15, $D$11, 100%, $F$11)</f>
        <v>9.4443999999999999</v>
      </c>
      <c r="I256" s="8">
        <f>CHOOSE( CONTROL!$C$32, 8.549, 8.5488) * CHOOSE(CONTROL!$C$15, $D$11, 100%, $F$11)</f>
        <v>8.5489999999999995</v>
      </c>
      <c r="J256" s="4">
        <f>CHOOSE( CONTROL!$C$32, 8.3778, 8.3775) * CHOOSE(CONTROL!$C$15, $D$11, 100%, $F$11)</f>
        <v>8.3778000000000006</v>
      </c>
      <c r="K256" s="4"/>
      <c r="L256" s="9">
        <v>29.306000000000001</v>
      </c>
      <c r="M256" s="9">
        <v>12.063700000000001</v>
      </c>
      <c r="N256" s="9">
        <v>4.9444999999999997</v>
      </c>
      <c r="O256" s="9">
        <v>0.37409999999999999</v>
      </c>
      <c r="P256" s="9">
        <v>1.2927</v>
      </c>
      <c r="Q256" s="9">
        <v>30.773700000000002</v>
      </c>
      <c r="R256" s="9"/>
      <c r="S256" s="11"/>
    </row>
    <row r="257" spans="1:19" ht="15.75">
      <c r="A257" s="13">
        <v>48945</v>
      </c>
      <c r="B257" s="8">
        <f>CHOOSE( CONTROL!$C$32, 8.8618, 8.8615) * CHOOSE(CONTROL!$C$15, $D$11, 100%, $F$11)</f>
        <v>8.8618000000000006</v>
      </c>
      <c r="C257" s="8">
        <f>CHOOSE( CONTROL!$C$32, 8.8669, 8.8666) * CHOOSE(CONTROL!$C$15, $D$11, 100%, $F$11)</f>
        <v>8.8668999999999993</v>
      </c>
      <c r="D257" s="8">
        <f>CHOOSE( CONTROL!$C$32, 8.8573, 8.857) * CHOOSE( CONTROL!$C$15, $D$11, 100%, $F$11)</f>
        <v>8.8573000000000004</v>
      </c>
      <c r="E257" s="12">
        <f>CHOOSE( CONTROL!$C$32, 8.8603, 8.86) * CHOOSE( CONTROL!$C$15, $D$11, 100%, $F$11)</f>
        <v>8.8603000000000005</v>
      </c>
      <c r="F257" s="4">
        <f>CHOOSE( CONTROL!$C$32, 9.5271, 9.5268) * CHOOSE(CONTROL!$C$15, $D$11, 100%, $F$11)</f>
        <v>9.5271000000000008</v>
      </c>
      <c r="G257" s="8">
        <f>CHOOSE( CONTROL!$C$32, 8.7694, 8.7691) * CHOOSE( CONTROL!$C$15, $D$11, 100%, $F$11)</f>
        <v>8.7693999999999992</v>
      </c>
      <c r="H257" s="4">
        <f>CHOOSE( CONTROL!$C$32, 9.6622, 9.6619) * CHOOSE(CONTROL!$C$15, $D$11, 100%, $F$11)</f>
        <v>9.6622000000000003</v>
      </c>
      <c r="I257" s="8">
        <f>CHOOSE( CONTROL!$C$32, 8.7434, 8.7431) * CHOOSE(CONTROL!$C$15, $D$11, 100%, $F$11)</f>
        <v>8.7433999999999994</v>
      </c>
      <c r="J257" s="4">
        <f>CHOOSE( CONTROL!$C$32, 8.5916, 8.5914) * CHOOSE(CONTROL!$C$15, $D$11, 100%, $F$11)</f>
        <v>8.5915999999999997</v>
      </c>
      <c r="K257" s="4"/>
      <c r="L257" s="9">
        <v>29.306000000000001</v>
      </c>
      <c r="M257" s="9">
        <v>12.063700000000001</v>
      </c>
      <c r="N257" s="9">
        <v>4.9444999999999997</v>
      </c>
      <c r="O257" s="9">
        <v>0.37409999999999999</v>
      </c>
      <c r="P257" s="9">
        <v>1.2927</v>
      </c>
      <c r="Q257" s="9">
        <v>30.7105</v>
      </c>
      <c r="R257" s="9"/>
      <c r="S257" s="11"/>
    </row>
    <row r="258" spans="1:19" ht="15.75">
      <c r="A258" s="13">
        <v>48976</v>
      </c>
      <c r="B258" s="8">
        <f>CHOOSE( CONTROL!$C$32, 8.2895, 8.2892) * CHOOSE(CONTROL!$C$15, $D$11, 100%, $F$11)</f>
        <v>8.2895000000000003</v>
      </c>
      <c r="C258" s="8">
        <f>CHOOSE( CONTROL!$C$32, 8.2946, 8.2943) * CHOOSE(CONTROL!$C$15, $D$11, 100%, $F$11)</f>
        <v>8.2946000000000009</v>
      </c>
      <c r="D258" s="8">
        <f>CHOOSE( CONTROL!$C$32, 8.2867, 8.2864) * CHOOSE( CONTROL!$C$15, $D$11, 100%, $F$11)</f>
        <v>8.2866999999999997</v>
      </c>
      <c r="E258" s="12">
        <f>CHOOSE( CONTROL!$C$32, 8.289, 8.2887) * CHOOSE( CONTROL!$C$15, $D$11, 100%, $F$11)</f>
        <v>8.2889999999999997</v>
      </c>
      <c r="F258" s="4">
        <f>CHOOSE( CONTROL!$C$32, 8.9548, 8.9545) * CHOOSE(CONTROL!$C$15, $D$11, 100%, $F$11)</f>
        <v>8.9548000000000005</v>
      </c>
      <c r="G258" s="8">
        <f>CHOOSE( CONTROL!$C$32, 8.2023, 8.2021) * CHOOSE( CONTROL!$C$15, $D$11, 100%, $F$11)</f>
        <v>8.2022999999999993</v>
      </c>
      <c r="H258" s="4">
        <f>CHOOSE( CONTROL!$C$32, 9.0966, 9.0963) * CHOOSE(CONTROL!$C$15, $D$11, 100%, $F$11)</f>
        <v>9.0966000000000005</v>
      </c>
      <c r="I258" s="8">
        <f>CHOOSE( CONTROL!$C$32, 8.1723, 8.1721) * CHOOSE(CONTROL!$C$15, $D$11, 100%, $F$11)</f>
        <v>8.1722999999999999</v>
      </c>
      <c r="J258" s="4">
        <f>CHOOSE( CONTROL!$C$32, 8.0362, 8.0359) * CHOOSE(CONTROL!$C$15, $D$11, 100%, $F$11)</f>
        <v>8.0361999999999991</v>
      </c>
      <c r="K258" s="4"/>
      <c r="L258" s="9">
        <v>26.469899999999999</v>
      </c>
      <c r="M258" s="9">
        <v>10.8962</v>
      </c>
      <c r="N258" s="9">
        <v>4.4660000000000002</v>
      </c>
      <c r="O258" s="9">
        <v>0.33789999999999998</v>
      </c>
      <c r="P258" s="9">
        <v>1.1676</v>
      </c>
      <c r="Q258" s="9">
        <v>27.738499999999998</v>
      </c>
      <c r="R258" s="9"/>
      <c r="S258" s="11"/>
    </row>
    <row r="259" spans="1:19" ht="15.75">
      <c r="A259" s="13">
        <v>49004</v>
      </c>
      <c r="B259" s="8">
        <f>CHOOSE( CONTROL!$C$32, 8.1132, 8.113) * CHOOSE(CONTROL!$C$15, $D$11, 100%, $F$11)</f>
        <v>8.1132000000000009</v>
      </c>
      <c r="C259" s="8">
        <f>CHOOSE( CONTROL!$C$32, 8.1183, 8.118) * CHOOSE(CONTROL!$C$15, $D$11, 100%, $F$11)</f>
        <v>8.1182999999999996</v>
      </c>
      <c r="D259" s="8">
        <f>CHOOSE( CONTROL!$C$32, 8.1056, 8.1053) * CHOOSE( CONTROL!$C$15, $D$11, 100%, $F$11)</f>
        <v>8.1056000000000008</v>
      </c>
      <c r="E259" s="12">
        <f>CHOOSE( CONTROL!$C$32, 8.1097, 8.1094) * CHOOSE( CONTROL!$C$15, $D$11, 100%, $F$11)</f>
        <v>8.1097000000000001</v>
      </c>
      <c r="F259" s="4">
        <f>CHOOSE( CONTROL!$C$32, 8.7785, 8.7782) * CHOOSE(CONTROL!$C$15, $D$11, 100%, $F$11)</f>
        <v>8.7784999999999993</v>
      </c>
      <c r="G259" s="8">
        <f>CHOOSE( CONTROL!$C$32, 8.0247, 8.0244) * CHOOSE( CONTROL!$C$15, $D$11, 100%, $F$11)</f>
        <v>8.0246999999999993</v>
      </c>
      <c r="H259" s="4">
        <f>CHOOSE( CONTROL!$C$32, 8.9224, 8.9221) * CHOOSE(CONTROL!$C$15, $D$11, 100%, $F$11)</f>
        <v>8.9223999999999997</v>
      </c>
      <c r="I259" s="8">
        <f>CHOOSE( CONTROL!$C$32, 7.9996, 7.9993) * CHOOSE(CONTROL!$C$15, $D$11, 100%, $F$11)</f>
        <v>7.9996</v>
      </c>
      <c r="J259" s="4">
        <f>CHOOSE( CONTROL!$C$32, 7.8651, 7.8649) * CHOOSE(CONTROL!$C$15, $D$11, 100%, $F$11)</f>
        <v>7.8651</v>
      </c>
      <c r="K259" s="4"/>
      <c r="L259" s="9">
        <v>29.306000000000001</v>
      </c>
      <c r="M259" s="9">
        <v>12.063700000000001</v>
      </c>
      <c r="N259" s="9">
        <v>4.9444999999999997</v>
      </c>
      <c r="O259" s="9">
        <v>0.37409999999999999</v>
      </c>
      <c r="P259" s="9">
        <v>1.2927</v>
      </c>
      <c r="Q259" s="9">
        <v>30.7105</v>
      </c>
      <c r="R259" s="9"/>
      <c r="S259" s="11"/>
    </row>
    <row r="260" spans="1:19" ht="15.75">
      <c r="A260" s="13">
        <v>49035</v>
      </c>
      <c r="B260" s="8">
        <f>CHOOSE( CONTROL!$C$32, 8.2372, 8.2369) * CHOOSE(CONTROL!$C$15, $D$11, 100%, $F$11)</f>
        <v>8.2371999999999996</v>
      </c>
      <c r="C260" s="8">
        <f>CHOOSE( CONTROL!$C$32, 8.2417, 8.2414) * CHOOSE(CONTROL!$C$15, $D$11, 100%, $F$11)</f>
        <v>8.2416999999999998</v>
      </c>
      <c r="D260" s="8">
        <f>CHOOSE( CONTROL!$C$32, 8.2465, 8.2463) * CHOOSE( CONTROL!$C$15, $D$11, 100%, $F$11)</f>
        <v>8.2464999999999993</v>
      </c>
      <c r="E260" s="12">
        <f>CHOOSE( CONTROL!$C$32, 8.2444, 8.2442) * CHOOSE( CONTROL!$C$15, $D$11, 100%, $F$11)</f>
        <v>8.2444000000000006</v>
      </c>
      <c r="F260" s="4">
        <f>CHOOSE( CONTROL!$C$32, 8.9414, 8.9411) * CHOOSE(CONTROL!$C$15, $D$11, 100%, $F$11)</f>
        <v>8.9413999999999998</v>
      </c>
      <c r="G260" s="8">
        <f>CHOOSE( CONTROL!$C$32, 8.1522, 8.1519) * CHOOSE( CONTROL!$C$15, $D$11, 100%, $F$11)</f>
        <v>8.1522000000000006</v>
      </c>
      <c r="H260" s="4">
        <f>CHOOSE( CONTROL!$C$32, 9.0833, 9.083) * CHOOSE(CONTROL!$C$15, $D$11, 100%, $F$11)</f>
        <v>9.0832999999999995</v>
      </c>
      <c r="I260" s="8">
        <f>CHOOSE( CONTROL!$C$32, 8.0934, 8.0931) * CHOOSE(CONTROL!$C$15, $D$11, 100%, $F$11)</f>
        <v>8.0934000000000008</v>
      </c>
      <c r="J260" s="4">
        <f>CHOOSE( CONTROL!$C$32, 7.9847, 7.9844) * CHOOSE(CONTROL!$C$15, $D$11, 100%, $F$11)</f>
        <v>7.9847000000000001</v>
      </c>
      <c r="K260" s="4"/>
      <c r="L260" s="9">
        <v>30.092199999999998</v>
      </c>
      <c r="M260" s="9">
        <v>11.6745</v>
      </c>
      <c r="N260" s="9">
        <v>4.7850000000000001</v>
      </c>
      <c r="O260" s="9">
        <v>0.36199999999999999</v>
      </c>
      <c r="P260" s="9">
        <v>1.2509999999999999</v>
      </c>
      <c r="Q260" s="9">
        <v>29.719799999999999</v>
      </c>
      <c r="R260" s="9"/>
      <c r="S260" s="11"/>
    </row>
    <row r="261" spans="1:19" ht="15.75">
      <c r="A261" s="13">
        <v>49065</v>
      </c>
      <c r="B261" s="8">
        <f>CHOOSE( CONTROL!$C$32, 8.4579, 8.4575) * CHOOSE(CONTROL!$C$15, $D$11, 100%, $F$11)</f>
        <v>8.4579000000000004</v>
      </c>
      <c r="C261" s="8">
        <f>CHOOSE( CONTROL!$C$32, 8.4659, 8.4655) * CHOOSE(CONTROL!$C$15, $D$11, 100%, $F$11)</f>
        <v>8.4658999999999995</v>
      </c>
      <c r="D261" s="8">
        <f>CHOOSE( CONTROL!$C$32, 8.4647, 8.4642) * CHOOSE( CONTROL!$C$15, $D$11, 100%, $F$11)</f>
        <v>8.4647000000000006</v>
      </c>
      <c r="E261" s="12">
        <f>CHOOSE( CONTROL!$C$32, 8.4639, 8.4635) * CHOOSE( CONTROL!$C$15, $D$11, 100%, $F$11)</f>
        <v>8.4639000000000006</v>
      </c>
      <c r="F261" s="4">
        <f>CHOOSE( CONTROL!$C$32, 9.1608, 9.1603) * CHOOSE(CONTROL!$C$15, $D$11, 100%, $F$11)</f>
        <v>9.1608000000000001</v>
      </c>
      <c r="G261" s="8">
        <f>CHOOSE( CONTROL!$C$32, 8.3688, 8.3684) * CHOOSE( CONTROL!$C$15, $D$11, 100%, $F$11)</f>
        <v>8.3688000000000002</v>
      </c>
      <c r="H261" s="4">
        <f>CHOOSE( CONTROL!$C$32, 9.3001, 9.2997) * CHOOSE(CONTROL!$C$15, $D$11, 100%, $F$11)</f>
        <v>9.3001000000000005</v>
      </c>
      <c r="I261" s="8">
        <f>CHOOSE( CONTROL!$C$32, 8.3056, 8.3051) * CHOOSE(CONTROL!$C$15, $D$11, 100%, $F$11)</f>
        <v>8.3056000000000001</v>
      </c>
      <c r="J261" s="4">
        <f>CHOOSE( CONTROL!$C$32, 8.1976, 8.1972) * CHOOSE(CONTROL!$C$15, $D$11, 100%, $F$11)</f>
        <v>8.1975999999999996</v>
      </c>
      <c r="K261" s="4"/>
      <c r="L261" s="9">
        <v>30.7165</v>
      </c>
      <c r="M261" s="9">
        <v>12.063700000000001</v>
      </c>
      <c r="N261" s="9">
        <v>4.9444999999999997</v>
      </c>
      <c r="O261" s="9">
        <v>0.37409999999999999</v>
      </c>
      <c r="P261" s="9">
        <v>1.2927</v>
      </c>
      <c r="Q261" s="9">
        <v>30.7105</v>
      </c>
      <c r="R261" s="9"/>
      <c r="S261" s="11"/>
    </row>
    <row r="262" spans="1:19" ht="15.75">
      <c r="A262" s="13">
        <v>49096</v>
      </c>
      <c r="B262" s="8">
        <f>CHOOSE( CONTROL!$C$32, 8.3221, 8.3217) * CHOOSE(CONTROL!$C$15, $D$11, 100%, $F$11)</f>
        <v>8.3221000000000007</v>
      </c>
      <c r="C262" s="8">
        <f>CHOOSE( CONTROL!$C$32, 8.3301, 8.3297) * CHOOSE(CONTROL!$C$15, $D$11, 100%, $F$11)</f>
        <v>8.3300999999999998</v>
      </c>
      <c r="D262" s="8">
        <f>CHOOSE( CONTROL!$C$32, 8.3291, 8.3286) * CHOOSE( CONTROL!$C$15, $D$11, 100%, $F$11)</f>
        <v>8.3291000000000004</v>
      </c>
      <c r="E262" s="12">
        <f>CHOOSE( CONTROL!$C$32, 8.3282, 8.3278) * CHOOSE( CONTROL!$C$15, $D$11, 100%, $F$11)</f>
        <v>8.3282000000000007</v>
      </c>
      <c r="F262" s="4">
        <f>CHOOSE( CONTROL!$C$32, 9.025, 9.0245) * CHOOSE(CONTROL!$C$15, $D$11, 100%, $F$11)</f>
        <v>9.0250000000000004</v>
      </c>
      <c r="G262" s="8">
        <f>CHOOSE( CONTROL!$C$32, 8.2347, 8.2343) * CHOOSE( CONTROL!$C$15, $D$11, 100%, $F$11)</f>
        <v>8.2347000000000001</v>
      </c>
      <c r="H262" s="4">
        <f>CHOOSE( CONTROL!$C$32, 9.1659, 9.1655) * CHOOSE(CONTROL!$C$15, $D$11, 100%, $F$11)</f>
        <v>9.1659000000000006</v>
      </c>
      <c r="I262" s="8">
        <f>CHOOSE( CONTROL!$C$32, 8.1744, 8.1739) * CHOOSE(CONTROL!$C$15, $D$11, 100%, $F$11)</f>
        <v>8.1744000000000003</v>
      </c>
      <c r="J262" s="4">
        <f>CHOOSE( CONTROL!$C$32, 8.0658, 8.0654) * CHOOSE(CONTROL!$C$15, $D$11, 100%, $F$11)</f>
        <v>8.0657999999999994</v>
      </c>
      <c r="K262" s="4"/>
      <c r="L262" s="9">
        <v>29.7257</v>
      </c>
      <c r="M262" s="9">
        <v>11.6745</v>
      </c>
      <c r="N262" s="9">
        <v>4.7850000000000001</v>
      </c>
      <c r="O262" s="9">
        <v>0.36199999999999999</v>
      </c>
      <c r="P262" s="9">
        <v>1.2509999999999999</v>
      </c>
      <c r="Q262" s="9">
        <v>29.719799999999999</v>
      </c>
      <c r="R262" s="9"/>
      <c r="S262" s="11"/>
    </row>
    <row r="263" spans="1:19" ht="15.75">
      <c r="A263" s="13">
        <v>49126</v>
      </c>
      <c r="B263" s="8">
        <f>CHOOSE( CONTROL!$C$32, 8.6797, 8.6793) * CHOOSE(CONTROL!$C$15, $D$11, 100%, $F$11)</f>
        <v>8.6797000000000004</v>
      </c>
      <c r="C263" s="8">
        <f>CHOOSE( CONTROL!$C$32, 8.6877, 8.6873) * CHOOSE(CONTROL!$C$15, $D$11, 100%, $F$11)</f>
        <v>8.6876999999999995</v>
      </c>
      <c r="D263" s="8">
        <f>CHOOSE( CONTROL!$C$32, 8.6869, 8.6865) * CHOOSE( CONTROL!$C$15, $D$11, 100%, $F$11)</f>
        <v>8.6868999999999996</v>
      </c>
      <c r="E263" s="12">
        <f>CHOOSE( CONTROL!$C$32, 8.686, 8.6856) * CHOOSE( CONTROL!$C$15, $D$11, 100%, $F$11)</f>
        <v>8.6859999999999999</v>
      </c>
      <c r="F263" s="4">
        <f>CHOOSE( CONTROL!$C$32, 9.3826, 9.3821) * CHOOSE(CONTROL!$C$15, $D$11, 100%, $F$11)</f>
        <v>9.3826000000000001</v>
      </c>
      <c r="G263" s="8">
        <f>CHOOSE( CONTROL!$C$32, 8.5883, 8.5879) * CHOOSE( CONTROL!$C$15, $D$11, 100%, $F$11)</f>
        <v>8.5883000000000003</v>
      </c>
      <c r="H263" s="4">
        <f>CHOOSE( CONTROL!$C$32, 9.5193, 9.5189) * CHOOSE(CONTROL!$C$15, $D$11, 100%, $F$11)</f>
        <v>9.5192999999999994</v>
      </c>
      <c r="I263" s="8">
        <f>CHOOSE( CONTROL!$C$32, 8.5224, 8.5219) * CHOOSE(CONTROL!$C$15, $D$11, 100%, $F$11)</f>
        <v>8.5223999999999993</v>
      </c>
      <c r="J263" s="4">
        <f>CHOOSE( CONTROL!$C$32, 8.4129, 8.4124) * CHOOSE(CONTROL!$C$15, $D$11, 100%, $F$11)</f>
        <v>8.4129000000000005</v>
      </c>
      <c r="K263" s="4"/>
      <c r="L263" s="9">
        <v>30.7165</v>
      </c>
      <c r="M263" s="9">
        <v>12.063700000000001</v>
      </c>
      <c r="N263" s="9">
        <v>4.9444999999999997</v>
      </c>
      <c r="O263" s="9">
        <v>0.37409999999999999</v>
      </c>
      <c r="P263" s="9">
        <v>1.2927</v>
      </c>
      <c r="Q263" s="9">
        <v>30.7105</v>
      </c>
      <c r="R263" s="9"/>
      <c r="S263" s="11"/>
    </row>
    <row r="264" spans="1:19" ht="15.75">
      <c r="A264" s="13">
        <v>49157</v>
      </c>
      <c r="B264" s="8">
        <f>CHOOSE( CONTROL!$C$32, 8.0106, 8.0102) * CHOOSE(CONTROL!$C$15, $D$11, 100%, $F$11)</f>
        <v>8.0106000000000002</v>
      </c>
      <c r="C264" s="8">
        <f>CHOOSE( CONTROL!$C$32, 8.0186, 8.0181) * CHOOSE(CONTROL!$C$15, $D$11, 100%, $F$11)</f>
        <v>8.0185999999999993</v>
      </c>
      <c r="D264" s="8">
        <f>CHOOSE( CONTROL!$C$32, 8.0179, 8.0174) * CHOOSE( CONTROL!$C$15, $D$11, 100%, $F$11)</f>
        <v>8.0178999999999991</v>
      </c>
      <c r="E264" s="12">
        <f>CHOOSE( CONTROL!$C$32, 8.0169, 8.0164) * CHOOSE( CONTROL!$C$15, $D$11, 100%, $F$11)</f>
        <v>8.0168999999999997</v>
      </c>
      <c r="F264" s="4">
        <f>CHOOSE( CONTROL!$C$32, 8.7134, 8.713) * CHOOSE(CONTROL!$C$15, $D$11, 100%, $F$11)</f>
        <v>8.7134</v>
      </c>
      <c r="G264" s="8">
        <f>CHOOSE( CONTROL!$C$32, 7.9271, 7.9267) * CHOOSE( CONTROL!$C$15, $D$11, 100%, $F$11)</f>
        <v>7.9271000000000003</v>
      </c>
      <c r="H264" s="4">
        <f>CHOOSE( CONTROL!$C$32, 8.8581, 8.8576) * CHOOSE(CONTROL!$C$15, $D$11, 100%, $F$11)</f>
        <v>8.8581000000000003</v>
      </c>
      <c r="I264" s="8">
        <f>CHOOSE( CONTROL!$C$32, 7.8729, 7.8724) * CHOOSE(CONTROL!$C$15, $D$11, 100%, $F$11)</f>
        <v>7.8728999999999996</v>
      </c>
      <c r="J264" s="4">
        <f>CHOOSE( CONTROL!$C$32, 7.7635, 7.7631) * CHOOSE(CONTROL!$C$15, $D$11, 100%, $F$11)</f>
        <v>7.7634999999999996</v>
      </c>
      <c r="K264" s="4"/>
      <c r="L264" s="9">
        <v>30.7165</v>
      </c>
      <c r="M264" s="9">
        <v>12.063700000000001</v>
      </c>
      <c r="N264" s="9">
        <v>4.9444999999999997</v>
      </c>
      <c r="O264" s="9">
        <v>0.37409999999999999</v>
      </c>
      <c r="P264" s="9">
        <v>1.2927</v>
      </c>
      <c r="Q264" s="9">
        <v>30.7105</v>
      </c>
      <c r="R264" s="9"/>
      <c r="S264" s="11"/>
    </row>
    <row r="265" spans="1:19" ht="15.75">
      <c r="A265" s="13">
        <v>49188</v>
      </c>
      <c r="B265" s="8">
        <f>CHOOSE( CONTROL!$C$32, 7.8431, 7.8426) * CHOOSE(CONTROL!$C$15, $D$11, 100%, $F$11)</f>
        <v>7.8430999999999997</v>
      </c>
      <c r="C265" s="8">
        <f>CHOOSE( CONTROL!$C$32, 7.851, 7.8506) * CHOOSE(CONTROL!$C$15, $D$11, 100%, $F$11)</f>
        <v>7.851</v>
      </c>
      <c r="D265" s="8">
        <f>CHOOSE( CONTROL!$C$32, 7.8502, 7.8497) * CHOOSE( CONTROL!$C$15, $D$11, 100%, $F$11)</f>
        <v>7.8502000000000001</v>
      </c>
      <c r="E265" s="12">
        <f>CHOOSE( CONTROL!$C$32, 7.8493, 7.8488) * CHOOSE( CONTROL!$C$15, $D$11, 100%, $F$11)</f>
        <v>7.8493000000000004</v>
      </c>
      <c r="F265" s="4">
        <f>CHOOSE( CONTROL!$C$32, 8.5459, 8.5454) * CHOOSE(CONTROL!$C$15, $D$11, 100%, $F$11)</f>
        <v>8.5458999999999996</v>
      </c>
      <c r="G265" s="8">
        <f>CHOOSE( CONTROL!$C$32, 7.7614, 7.7609) * CHOOSE( CONTROL!$C$15, $D$11, 100%, $F$11)</f>
        <v>7.7614000000000001</v>
      </c>
      <c r="H265" s="4">
        <f>CHOOSE( CONTROL!$C$32, 8.6925, 8.692) * CHOOSE(CONTROL!$C$15, $D$11, 100%, $F$11)</f>
        <v>8.6925000000000008</v>
      </c>
      <c r="I265" s="8">
        <f>CHOOSE( CONTROL!$C$32, 7.7097, 7.7092) * CHOOSE(CONTROL!$C$15, $D$11, 100%, $F$11)</f>
        <v>7.7096999999999998</v>
      </c>
      <c r="J265" s="4">
        <f>CHOOSE( CONTROL!$C$32, 7.6009, 7.6004) * CHOOSE(CONTROL!$C$15, $D$11, 100%, $F$11)</f>
        <v>7.6009000000000002</v>
      </c>
      <c r="K265" s="4"/>
      <c r="L265" s="9">
        <v>29.7257</v>
      </c>
      <c r="M265" s="9">
        <v>11.6745</v>
      </c>
      <c r="N265" s="9">
        <v>4.7850000000000001</v>
      </c>
      <c r="O265" s="9">
        <v>0.36199999999999999</v>
      </c>
      <c r="P265" s="9">
        <v>1.2509999999999999</v>
      </c>
      <c r="Q265" s="9">
        <v>29.719799999999999</v>
      </c>
      <c r="R265" s="9"/>
      <c r="S265" s="11"/>
    </row>
    <row r="266" spans="1:19" ht="15.75">
      <c r="A266" s="13">
        <v>49218</v>
      </c>
      <c r="B266" s="8">
        <f>CHOOSE( CONTROL!$C$32, 8.1891, 8.1888) * CHOOSE(CONTROL!$C$15, $D$11, 100%, $F$11)</f>
        <v>8.1890999999999998</v>
      </c>
      <c r="C266" s="8">
        <f>CHOOSE( CONTROL!$C$32, 8.1944, 8.1941) * CHOOSE(CONTROL!$C$15, $D$11, 100%, $F$11)</f>
        <v>8.1943999999999999</v>
      </c>
      <c r="D266" s="8">
        <f>CHOOSE( CONTROL!$C$32, 8.1991, 8.1988) * CHOOSE( CONTROL!$C$15, $D$11, 100%, $F$11)</f>
        <v>8.1990999999999996</v>
      </c>
      <c r="E266" s="12">
        <f>CHOOSE( CONTROL!$C$32, 8.197, 8.1967) * CHOOSE( CONTROL!$C$15, $D$11, 100%, $F$11)</f>
        <v>8.1969999999999992</v>
      </c>
      <c r="F266" s="4">
        <f>CHOOSE( CONTROL!$C$32, 8.8936, 8.8933) * CHOOSE(CONTROL!$C$15, $D$11, 100%, $F$11)</f>
        <v>8.8935999999999993</v>
      </c>
      <c r="G266" s="8">
        <f>CHOOSE( CONTROL!$C$32, 8.1052, 8.1049) * CHOOSE( CONTROL!$C$15, $D$11, 100%, $F$11)</f>
        <v>8.1052</v>
      </c>
      <c r="H266" s="4">
        <f>CHOOSE( CONTROL!$C$32, 9.0361, 9.0358) * CHOOSE(CONTROL!$C$15, $D$11, 100%, $F$11)</f>
        <v>9.0360999999999994</v>
      </c>
      <c r="I266" s="8">
        <f>CHOOSE( CONTROL!$C$32, 8.0481, 8.0478) * CHOOSE(CONTROL!$C$15, $D$11, 100%, $F$11)</f>
        <v>8.0480999999999998</v>
      </c>
      <c r="J266" s="4">
        <f>CHOOSE( CONTROL!$C$32, 7.9383, 7.9381) * CHOOSE(CONTROL!$C$15, $D$11, 100%, $F$11)</f>
        <v>7.9382999999999999</v>
      </c>
      <c r="K266" s="4"/>
      <c r="L266" s="9">
        <v>31.095300000000002</v>
      </c>
      <c r="M266" s="9">
        <v>12.063700000000001</v>
      </c>
      <c r="N266" s="9">
        <v>4.9444999999999997</v>
      </c>
      <c r="O266" s="9">
        <v>0.37409999999999999</v>
      </c>
      <c r="P266" s="9">
        <v>1.2927</v>
      </c>
      <c r="Q266" s="9">
        <v>30.7105</v>
      </c>
      <c r="R266" s="9"/>
      <c r="S266" s="11"/>
    </row>
    <row r="267" spans="1:19" ht="15.75">
      <c r="A267" s="13">
        <v>49249</v>
      </c>
      <c r="B267" s="8">
        <f>CHOOSE( CONTROL!$C$32, 8.8308, 8.8305) * CHOOSE(CONTROL!$C$15, $D$11, 100%, $F$11)</f>
        <v>8.8308</v>
      </c>
      <c r="C267" s="8">
        <f>CHOOSE( CONTROL!$C$32, 8.8359, 8.8356) * CHOOSE(CONTROL!$C$15, $D$11, 100%, $F$11)</f>
        <v>8.8359000000000005</v>
      </c>
      <c r="D267" s="8">
        <f>CHOOSE( CONTROL!$C$32, 8.8186, 8.8183) * CHOOSE( CONTROL!$C$15, $D$11, 100%, $F$11)</f>
        <v>8.8186</v>
      </c>
      <c r="E267" s="12">
        <f>CHOOSE( CONTROL!$C$32, 8.8244, 8.8241) * CHOOSE( CONTROL!$C$15, $D$11, 100%, $F$11)</f>
        <v>8.8244000000000007</v>
      </c>
      <c r="F267" s="4">
        <f>CHOOSE( CONTROL!$C$32, 9.4961, 9.4958) * CHOOSE(CONTROL!$C$15, $D$11, 100%, $F$11)</f>
        <v>9.4961000000000002</v>
      </c>
      <c r="G267" s="8">
        <f>CHOOSE( CONTROL!$C$32, 8.7368, 8.7365) * CHOOSE( CONTROL!$C$15, $D$11, 100%, $F$11)</f>
        <v>8.7368000000000006</v>
      </c>
      <c r="H267" s="4">
        <f>CHOOSE( CONTROL!$C$32, 9.6315, 9.6313) * CHOOSE(CONTROL!$C$15, $D$11, 100%, $F$11)</f>
        <v>9.6315000000000008</v>
      </c>
      <c r="I267" s="8">
        <f>CHOOSE( CONTROL!$C$32, 8.7273, 8.727) * CHOOSE(CONTROL!$C$15, $D$11, 100%, $F$11)</f>
        <v>8.7272999999999996</v>
      </c>
      <c r="J267" s="4">
        <f>CHOOSE( CONTROL!$C$32, 8.5616, 8.5613) * CHOOSE(CONTROL!$C$15, $D$11, 100%, $F$11)</f>
        <v>8.5616000000000003</v>
      </c>
      <c r="K267" s="4"/>
      <c r="L267" s="9">
        <v>28.360600000000002</v>
      </c>
      <c r="M267" s="9">
        <v>11.6745</v>
      </c>
      <c r="N267" s="9">
        <v>4.7850000000000001</v>
      </c>
      <c r="O267" s="9">
        <v>0.36199999999999999</v>
      </c>
      <c r="P267" s="9">
        <v>1.2509999999999999</v>
      </c>
      <c r="Q267" s="9">
        <v>29.719799999999999</v>
      </c>
      <c r="R267" s="9"/>
      <c r="S267" s="11"/>
    </row>
    <row r="268" spans="1:19" ht="15.75">
      <c r="A268" s="13">
        <v>49279</v>
      </c>
      <c r="B268" s="8">
        <f>CHOOSE( CONTROL!$C$32, 8.8148, 8.8145) * CHOOSE(CONTROL!$C$15, $D$11, 100%, $F$11)</f>
        <v>8.8148</v>
      </c>
      <c r="C268" s="8">
        <f>CHOOSE( CONTROL!$C$32, 8.8198, 8.8196) * CHOOSE(CONTROL!$C$15, $D$11, 100%, $F$11)</f>
        <v>8.8198000000000008</v>
      </c>
      <c r="D268" s="8">
        <f>CHOOSE( CONTROL!$C$32, 8.8044, 8.8041) * CHOOSE( CONTROL!$C$15, $D$11, 100%, $F$11)</f>
        <v>8.8043999999999993</v>
      </c>
      <c r="E268" s="12">
        <f>CHOOSE( CONTROL!$C$32, 8.8095, 8.8092) * CHOOSE( CONTROL!$C$15, $D$11, 100%, $F$11)</f>
        <v>8.8094999999999999</v>
      </c>
      <c r="F268" s="4">
        <f>CHOOSE( CONTROL!$C$32, 9.4801, 9.4798) * CHOOSE(CONTROL!$C$15, $D$11, 100%, $F$11)</f>
        <v>9.4801000000000002</v>
      </c>
      <c r="G268" s="8">
        <f>CHOOSE( CONTROL!$C$32, 8.7222, 8.7219) * CHOOSE( CONTROL!$C$15, $D$11, 100%, $F$11)</f>
        <v>8.7222000000000008</v>
      </c>
      <c r="H268" s="4">
        <f>CHOOSE( CONTROL!$C$32, 9.6157, 9.6154) * CHOOSE(CONTROL!$C$15, $D$11, 100%, $F$11)</f>
        <v>9.6157000000000004</v>
      </c>
      <c r="I268" s="8">
        <f>CHOOSE( CONTROL!$C$32, 8.7173, 8.717) * CHOOSE(CONTROL!$C$15, $D$11, 100%, $F$11)</f>
        <v>8.7172999999999998</v>
      </c>
      <c r="J268" s="4">
        <f>CHOOSE( CONTROL!$C$32, 8.546, 8.5457) * CHOOSE(CONTROL!$C$15, $D$11, 100%, $F$11)</f>
        <v>8.5459999999999994</v>
      </c>
      <c r="K268" s="4"/>
      <c r="L268" s="9">
        <v>29.306000000000001</v>
      </c>
      <c r="M268" s="9">
        <v>12.063700000000001</v>
      </c>
      <c r="N268" s="9">
        <v>4.9444999999999997</v>
      </c>
      <c r="O268" s="9">
        <v>0.37409999999999999</v>
      </c>
      <c r="P268" s="9">
        <v>1.2927</v>
      </c>
      <c r="Q268" s="9">
        <v>30.7105</v>
      </c>
      <c r="R268" s="9"/>
      <c r="S268" s="11"/>
    </row>
    <row r="269" spans="1:19" ht="15.75">
      <c r="A269" s="13">
        <v>49310</v>
      </c>
      <c r="B269" s="8">
        <f>CHOOSE( CONTROL!$C$32, 9.036, 9.0358) * CHOOSE(CONTROL!$C$15, $D$11, 100%, $F$11)</f>
        <v>9.0359999999999996</v>
      </c>
      <c r="C269" s="8">
        <f>CHOOSE( CONTROL!$C$32, 9.0411, 9.0408) * CHOOSE(CONTROL!$C$15, $D$11, 100%, $F$11)</f>
        <v>9.0411000000000001</v>
      </c>
      <c r="D269" s="8">
        <f>CHOOSE( CONTROL!$C$32, 9.0315, 9.0313) * CHOOSE( CONTROL!$C$15, $D$11, 100%, $F$11)</f>
        <v>9.0314999999999994</v>
      </c>
      <c r="E269" s="12">
        <f>CHOOSE( CONTROL!$C$32, 9.0345, 9.0342) * CHOOSE( CONTROL!$C$15, $D$11, 100%, $F$11)</f>
        <v>9.0344999999999995</v>
      </c>
      <c r="F269" s="4">
        <f>CHOOSE( CONTROL!$C$32, 9.7013, 9.701) * CHOOSE(CONTROL!$C$15, $D$11, 100%, $F$11)</f>
        <v>9.7012999999999998</v>
      </c>
      <c r="G269" s="8">
        <f>CHOOSE( CONTROL!$C$32, 8.9416, 8.9413) * CHOOSE( CONTROL!$C$15, $D$11, 100%, $F$11)</f>
        <v>8.9415999999999993</v>
      </c>
      <c r="H269" s="4">
        <f>CHOOSE( CONTROL!$C$32, 9.8343, 9.8341) * CHOOSE(CONTROL!$C$15, $D$11, 100%, $F$11)</f>
        <v>9.8343000000000007</v>
      </c>
      <c r="I269" s="8">
        <f>CHOOSE( CONTROL!$C$32, 8.9126, 8.9123) * CHOOSE(CONTROL!$C$15, $D$11, 100%, $F$11)</f>
        <v>8.9125999999999994</v>
      </c>
      <c r="J269" s="4">
        <f>CHOOSE( CONTROL!$C$32, 8.7607, 8.7604) * CHOOSE(CONTROL!$C$15, $D$11, 100%, $F$11)</f>
        <v>8.7606999999999999</v>
      </c>
      <c r="K269" s="4"/>
      <c r="L269" s="9">
        <v>29.306000000000001</v>
      </c>
      <c r="M269" s="9">
        <v>12.063700000000001</v>
      </c>
      <c r="N269" s="9">
        <v>4.9444999999999997</v>
      </c>
      <c r="O269" s="9">
        <v>0.37409999999999999</v>
      </c>
      <c r="P269" s="9">
        <v>1.2927</v>
      </c>
      <c r="Q269" s="9">
        <v>30.645399999999999</v>
      </c>
      <c r="R269" s="9"/>
      <c r="S269" s="11"/>
    </row>
    <row r="270" spans="1:19" ht="15.75">
      <c r="A270" s="13">
        <v>49341</v>
      </c>
      <c r="B270" s="8">
        <f>CHOOSE( CONTROL!$C$32, 8.4525, 8.4522) * CHOOSE(CONTROL!$C$15, $D$11, 100%, $F$11)</f>
        <v>8.4525000000000006</v>
      </c>
      <c r="C270" s="8">
        <f>CHOOSE( CONTROL!$C$32, 8.4575, 8.4573) * CHOOSE(CONTROL!$C$15, $D$11, 100%, $F$11)</f>
        <v>8.4574999999999996</v>
      </c>
      <c r="D270" s="8">
        <f>CHOOSE( CONTROL!$C$32, 8.4496, 8.4494) * CHOOSE( CONTROL!$C$15, $D$11, 100%, $F$11)</f>
        <v>8.4496000000000002</v>
      </c>
      <c r="E270" s="12">
        <f>CHOOSE( CONTROL!$C$32, 8.452, 8.4517) * CHOOSE( CONTROL!$C$15, $D$11, 100%, $F$11)</f>
        <v>8.452</v>
      </c>
      <c r="F270" s="4">
        <f>CHOOSE( CONTROL!$C$32, 9.1177, 9.1175) * CHOOSE(CONTROL!$C$15, $D$11, 100%, $F$11)</f>
        <v>9.1176999999999992</v>
      </c>
      <c r="G270" s="8">
        <f>CHOOSE( CONTROL!$C$32, 8.3634, 8.3631) * CHOOSE( CONTROL!$C$15, $D$11, 100%, $F$11)</f>
        <v>8.3634000000000004</v>
      </c>
      <c r="H270" s="4">
        <f>CHOOSE( CONTROL!$C$32, 9.2576, 9.2573) * CHOOSE(CONTROL!$C$15, $D$11, 100%, $F$11)</f>
        <v>9.2576000000000001</v>
      </c>
      <c r="I270" s="8">
        <f>CHOOSE( CONTROL!$C$32, 8.3305, 8.3303) * CHOOSE(CONTROL!$C$15, $D$11, 100%, $F$11)</f>
        <v>8.3305000000000007</v>
      </c>
      <c r="J270" s="4">
        <f>CHOOSE( CONTROL!$C$32, 8.1944, 8.1941) * CHOOSE(CONTROL!$C$15, $D$11, 100%, $F$11)</f>
        <v>8.1943999999999999</v>
      </c>
      <c r="K270" s="4"/>
      <c r="L270" s="9">
        <v>26.469899999999999</v>
      </c>
      <c r="M270" s="9">
        <v>10.8962</v>
      </c>
      <c r="N270" s="9">
        <v>4.4660000000000002</v>
      </c>
      <c r="O270" s="9">
        <v>0.33789999999999998</v>
      </c>
      <c r="P270" s="9">
        <v>1.1676</v>
      </c>
      <c r="Q270" s="9">
        <v>27.6797</v>
      </c>
      <c r="R270" s="9"/>
      <c r="S270" s="11"/>
    </row>
    <row r="271" spans="1:19" ht="15.75">
      <c r="A271" s="13">
        <v>49369</v>
      </c>
      <c r="B271" s="8">
        <f>CHOOSE( CONTROL!$C$32, 8.2727, 8.2725) * CHOOSE(CONTROL!$C$15, $D$11, 100%, $F$11)</f>
        <v>8.2727000000000004</v>
      </c>
      <c r="C271" s="8">
        <f>CHOOSE( CONTROL!$C$32, 8.2778, 8.2775) * CHOOSE(CONTROL!$C$15, $D$11, 100%, $F$11)</f>
        <v>8.2777999999999992</v>
      </c>
      <c r="D271" s="8">
        <f>CHOOSE( CONTROL!$C$32, 8.2651, 8.2648) * CHOOSE( CONTROL!$C$15, $D$11, 100%, $F$11)</f>
        <v>8.2651000000000003</v>
      </c>
      <c r="E271" s="12">
        <f>CHOOSE( CONTROL!$C$32, 8.2692, 8.2689) * CHOOSE( CONTROL!$C$15, $D$11, 100%, $F$11)</f>
        <v>8.2691999999999997</v>
      </c>
      <c r="F271" s="4">
        <f>CHOOSE( CONTROL!$C$32, 8.938, 8.9377) * CHOOSE(CONTROL!$C$15, $D$11, 100%, $F$11)</f>
        <v>8.9380000000000006</v>
      </c>
      <c r="G271" s="8">
        <f>CHOOSE( CONTROL!$C$32, 8.1823, 8.182) * CHOOSE( CONTROL!$C$15, $D$11, 100%, $F$11)</f>
        <v>8.1822999999999997</v>
      </c>
      <c r="H271" s="4">
        <f>CHOOSE( CONTROL!$C$32, 9.08, 9.0797) * CHOOSE(CONTROL!$C$15, $D$11, 100%, $F$11)</f>
        <v>9.08</v>
      </c>
      <c r="I271" s="8">
        <f>CHOOSE( CONTROL!$C$32, 8.1544, 8.1542) * CHOOSE(CONTROL!$C$15, $D$11, 100%, $F$11)</f>
        <v>8.1544000000000008</v>
      </c>
      <c r="J271" s="4">
        <f>CHOOSE( CONTROL!$C$32, 8.0199, 8.0197) * CHOOSE(CONTROL!$C$15, $D$11, 100%, $F$11)</f>
        <v>8.0198999999999998</v>
      </c>
      <c r="K271" s="4"/>
      <c r="L271" s="9">
        <v>29.306000000000001</v>
      </c>
      <c r="M271" s="9">
        <v>12.063700000000001</v>
      </c>
      <c r="N271" s="9">
        <v>4.9444999999999997</v>
      </c>
      <c r="O271" s="9">
        <v>0.37409999999999999</v>
      </c>
      <c r="P271" s="9">
        <v>1.2927</v>
      </c>
      <c r="Q271" s="9">
        <v>30.645399999999999</v>
      </c>
      <c r="R271" s="9"/>
      <c r="S271" s="11"/>
    </row>
    <row r="272" spans="1:19" ht="15.75">
      <c r="A272" s="13">
        <v>49400</v>
      </c>
      <c r="B272" s="8">
        <f>CHOOSE( CONTROL!$C$32, 8.3991, 8.3988) * CHOOSE(CONTROL!$C$15, $D$11, 100%, $F$11)</f>
        <v>8.3991000000000007</v>
      </c>
      <c r="C272" s="8">
        <f>CHOOSE( CONTROL!$C$32, 8.4036, 8.4033) * CHOOSE(CONTROL!$C$15, $D$11, 100%, $F$11)</f>
        <v>8.4036000000000008</v>
      </c>
      <c r="D272" s="8">
        <f>CHOOSE( CONTROL!$C$32, 8.4085, 8.4082) * CHOOSE( CONTROL!$C$15, $D$11, 100%, $F$11)</f>
        <v>8.4085000000000001</v>
      </c>
      <c r="E272" s="12">
        <f>CHOOSE( CONTROL!$C$32, 8.4064, 8.4061) * CHOOSE( CONTROL!$C$15, $D$11, 100%, $F$11)</f>
        <v>8.4063999999999997</v>
      </c>
      <c r="F272" s="4">
        <f>CHOOSE( CONTROL!$C$32, 9.1033, 9.103) * CHOOSE(CONTROL!$C$15, $D$11, 100%, $F$11)</f>
        <v>9.1033000000000008</v>
      </c>
      <c r="G272" s="8">
        <f>CHOOSE( CONTROL!$C$32, 8.3122, 8.3119) * CHOOSE( CONTROL!$C$15, $D$11, 100%, $F$11)</f>
        <v>8.3122000000000007</v>
      </c>
      <c r="H272" s="4">
        <f>CHOOSE( CONTROL!$C$32, 9.2433, 9.243) * CHOOSE(CONTROL!$C$15, $D$11, 100%, $F$11)</f>
        <v>9.2432999999999996</v>
      </c>
      <c r="I272" s="8">
        <f>CHOOSE( CONTROL!$C$32, 8.2506, 8.2503) * CHOOSE(CONTROL!$C$15, $D$11, 100%, $F$11)</f>
        <v>8.2506000000000004</v>
      </c>
      <c r="J272" s="4">
        <f>CHOOSE( CONTROL!$C$32, 8.1418, 8.1416) * CHOOSE(CONTROL!$C$15, $D$11, 100%, $F$11)</f>
        <v>8.1417999999999999</v>
      </c>
      <c r="K272" s="4"/>
      <c r="L272" s="9">
        <v>30.092199999999998</v>
      </c>
      <c r="M272" s="9">
        <v>11.6745</v>
      </c>
      <c r="N272" s="9">
        <v>4.7850000000000001</v>
      </c>
      <c r="O272" s="9">
        <v>0.36199999999999999</v>
      </c>
      <c r="P272" s="9">
        <v>1.2509999999999999</v>
      </c>
      <c r="Q272" s="9">
        <v>29.6568</v>
      </c>
      <c r="R272" s="9"/>
      <c r="S272" s="11"/>
    </row>
    <row r="273" spans="1:19" ht="15.75">
      <c r="A273" s="13">
        <v>49430</v>
      </c>
      <c r="B273" s="8">
        <f>CHOOSE( CONTROL!$C$32, 8.6242, 8.6237) * CHOOSE(CONTROL!$C$15, $D$11, 100%, $F$11)</f>
        <v>8.6242000000000001</v>
      </c>
      <c r="C273" s="8">
        <f>CHOOSE( CONTROL!$C$32, 8.6321, 8.6317) * CHOOSE(CONTROL!$C$15, $D$11, 100%, $F$11)</f>
        <v>8.6320999999999994</v>
      </c>
      <c r="D273" s="8">
        <f>CHOOSE( CONTROL!$C$32, 8.6309, 8.6305) * CHOOSE( CONTROL!$C$15, $D$11, 100%, $F$11)</f>
        <v>8.6309000000000005</v>
      </c>
      <c r="E273" s="12">
        <f>CHOOSE( CONTROL!$C$32, 8.6301, 8.6297) * CHOOSE( CONTROL!$C$15, $D$11, 100%, $F$11)</f>
        <v>8.6301000000000005</v>
      </c>
      <c r="F273" s="4">
        <f>CHOOSE( CONTROL!$C$32, 9.327, 9.3265) * CHOOSE(CONTROL!$C$15, $D$11, 100%, $F$11)</f>
        <v>9.327</v>
      </c>
      <c r="G273" s="8">
        <f>CHOOSE( CONTROL!$C$32, 8.5331, 8.5326) * CHOOSE( CONTROL!$C$15, $D$11, 100%, $F$11)</f>
        <v>8.5330999999999992</v>
      </c>
      <c r="H273" s="4">
        <f>CHOOSE( CONTROL!$C$32, 9.4644, 9.464) * CHOOSE(CONTROL!$C$15, $D$11, 100%, $F$11)</f>
        <v>9.4643999999999995</v>
      </c>
      <c r="I273" s="8">
        <f>CHOOSE( CONTROL!$C$32, 8.467, 8.4665) * CHOOSE(CONTROL!$C$15, $D$11, 100%, $F$11)</f>
        <v>8.4670000000000005</v>
      </c>
      <c r="J273" s="4">
        <f>CHOOSE( CONTROL!$C$32, 8.3589, 8.3585) * CHOOSE(CONTROL!$C$15, $D$11, 100%, $F$11)</f>
        <v>8.3589000000000002</v>
      </c>
      <c r="K273" s="4"/>
      <c r="L273" s="9">
        <v>30.7165</v>
      </c>
      <c r="M273" s="9">
        <v>12.063700000000001</v>
      </c>
      <c r="N273" s="9">
        <v>4.9444999999999997</v>
      </c>
      <c r="O273" s="9">
        <v>0.37409999999999999</v>
      </c>
      <c r="P273" s="9">
        <v>1.2927</v>
      </c>
      <c r="Q273" s="9">
        <v>30.645399999999999</v>
      </c>
      <c r="R273" s="9"/>
      <c r="S273" s="11"/>
    </row>
    <row r="274" spans="1:19" ht="15.75">
      <c r="A274" s="14">
        <v>49461</v>
      </c>
      <c r="B274" s="8">
        <f>CHOOSE( CONTROL!$C$32, 8.4857, 8.4852) * CHOOSE(CONTROL!$C$15, $D$11, 100%, $F$11)</f>
        <v>8.4856999999999996</v>
      </c>
      <c r="C274" s="8">
        <f>CHOOSE( CONTROL!$C$32, 8.4937, 8.4932) * CHOOSE(CONTROL!$C$15, $D$11, 100%, $F$11)</f>
        <v>8.4937000000000005</v>
      </c>
      <c r="D274" s="8">
        <f>CHOOSE( CONTROL!$C$32, 8.4926, 8.4922) * CHOOSE( CONTROL!$C$15, $D$11, 100%, $F$11)</f>
        <v>8.4925999999999995</v>
      </c>
      <c r="E274" s="12">
        <f>CHOOSE( CONTROL!$C$32, 8.4918, 8.4913) * CHOOSE( CONTROL!$C$15, $D$11, 100%, $F$11)</f>
        <v>8.4917999999999996</v>
      </c>
      <c r="F274" s="4">
        <f>CHOOSE( CONTROL!$C$32, 9.1885, 9.1881) * CHOOSE(CONTROL!$C$15, $D$11, 100%, $F$11)</f>
        <v>9.1884999999999994</v>
      </c>
      <c r="G274" s="8">
        <f>CHOOSE( CONTROL!$C$32, 8.3964, 8.3959) * CHOOSE( CONTROL!$C$15, $D$11, 100%, $F$11)</f>
        <v>8.3963999999999999</v>
      </c>
      <c r="H274" s="4">
        <f>CHOOSE( CONTROL!$C$32, 9.3276, 9.3271) * CHOOSE(CONTROL!$C$15, $D$11, 100%, $F$11)</f>
        <v>9.3276000000000003</v>
      </c>
      <c r="I274" s="8">
        <f>CHOOSE( CONTROL!$C$32, 8.3332, 8.3327) * CHOOSE(CONTROL!$C$15, $D$11, 100%, $F$11)</f>
        <v>8.3331999999999997</v>
      </c>
      <c r="J274" s="4">
        <f>CHOOSE( CONTROL!$C$32, 8.2245, 8.2241) * CHOOSE(CONTROL!$C$15, $D$11, 100%, $F$11)</f>
        <v>8.2245000000000008</v>
      </c>
      <c r="K274" s="4"/>
      <c r="L274" s="9">
        <v>29.7257</v>
      </c>
      <c r="M274" s="9">
        <v>11.6745</v>
      </c>
      <c r="N274" s="9">
        <v>4.7850000000000001</v>
      </c>
      <c r="O274" s="9">
        <v>0.36199999999999999</v>
      </c>
      <c r="P274" s="9">
        <v>1.2509999999999999</v>
      </c>
      <c r="Q274" s="9">
        <v>29.6568</v>
      </c>
      <c r="R274" s="9"/>
      <c r="S274" s="11"/>
    </row>
    <row r="275" spans="1:19" ht="15.75">
      <c r="A275" s="14">
        <v>49491</v>
      </c>
      <c r="B275" s="8">
        <f>CHOOSE( CONTROL!$C$32, 8.8503, 8.8499) * CHOOSE(CONTROL!$C$15, $D$11, 100%, $F$11)</f>
        <v>8.8503000000000007</v>
      </c>
      <c r="C275" s="8">
        <f>CHOOSE( CONTROL!$C$32, 8.8583, 8.8579) * CHOOSE(CONTROL!$C$15, $D$11, 100%, $F$11)</f>
        <v>8.8582999999999998</v>
      </c>
      <c r="D275" s="8">
        <f>CHOOSE( CONTROL!$C$32, 8.8575, 8.8571) * CHOOSE( CONTROL!$C$15, $D$11, 100%, $F$11)</f>
        <v>8.8574999999999999</v>
      </c>
      <c r="E275" s="12">
        <f>CHOOSE( CONTROL!$C$32, 8.8566, 8.8562) * CHOOSE( CONTROL!$C$15, $D$11, 100%, $F$11)</f>
        <v>8.8566000000000003</v>
      </c>
      <c r="F275" s="4">
        <f>CHOOSE( CONTROL!$C$32, 9.5532, 9.5527) * CHOOSE(CONTROL!$C$15, $D$11, 100%, $F$11)</f>
        <v>9.5532000000000004</v>
      </c>
      <c r="G275" s="8">
        <f>CHOOSE( CONTROL!$C$32, 8.7569, 8.7565) * CHOOSE( CONTROL!$C$15, $D$11, 100%, $F$11)</f>
        <v>8.7568999999999999</v>
      </c>
      <c r="H275" s="4">
        <f>CHOOSE( CONTROL!$C$32, 9.6879, 9.6875) * CHOOSE(CONTROL!$C$15, $D$11, 100%, $F$11)</f>
        <v>9.6879000000000008</v>
      </c>
      <c r="I275" s="8">
        <f>CHOOSE( CONTROL!$C$32, 8.688, 8.6876) * CHOOSE(CONTROL!$C$15, $D$11, 100%, $F$11)</f>
        <v>8.6880000000000006</v>
      </c>
      <c r="J275" s="4">
        <f>CHOOSE( CONTROL!$C$32, 8.5784, 8.578) * CHOOSE(CONTROL!$C$15, $D$11, 100%, $F$11)</f>
        <v>8.5784000000000002</v>
      </c>
      <c r="K275" s="4"/>
      <c r="L275" s="9">
        <v>30.7165</v>
      </c>
      <c r="M275" s="9">
        <v>12.063700000000001</v>
      </c>
      <c r="N275" s="9">
        <v>4.9444999999999997</v>
      </c>
      <c r="O275" s="9">
        <v>0.37409999999999999</v>
      </c>
      <c r="P275" s="9">
        <v>1.2927</v>
      </c>
      <c r="Q275" s="9">
        <v>30.645399999999999</v>
      </c>
      <c r="R275" s="9"/>
      <c r="S275" s="11"/>
    </row>
    <row r="276" spans="1:19" ht="15.75">
      <c r="A276" s="14">
        <v>49522</v>
      </c>
      <c r="B276" s="8">
        <f>CHOOSE( CONTROL!$C$32, 8.1681, 8.1676) * CHOOSE(CONTROL!$C$15, $D$11, 100%, $F$11)</f>
        <v>8.1681000000000008</v>
      </c>
      <c r="C276" s="8">
        <f>CHOOSE( CONTROL!$C$32, 8.176, 8.1756) * CHOOSE(CONTROL!$C$15, $D$11, 100%, $F$11)</f>
        <v>8.1760000000000002</v>
      </c>
      <c r="D276" s="8">
        <f>CHOOSE( CONTROL!$C$32, 8.1753, 8.1748) * CHOOSE( CONTROL!$C$15, $D$11, 100%, $F$11)</f>
        <v>8.1753</v>
      </c>
      <c r="E276" s="12">
        <f>CHOOSE( CONTROL!$C$32, 8.1743, 8.1739) * CHOOSE( CONTROL!$C$15, $D$11, 100%, $F$11)</f>
        <v>8.1743000000000006</v>
      </c>
      <c r="F276" s="4">
        <f>CHOOSE( CONTROL!$C$32, 8.8709, 8.8704) * CHOOSE(CONTROL!$C$15, $D$11, 100%, $F$11)</f>
        <v>8.8709000000000007</v>
      </c>
      <c r="G276" s="8">
        <f>CHOOSE( CONTROL!$C$32, 8.0827, 8.0822) * CHOOSE( CONTROL!$C$15, $D$11, 100%, $F$11)</f>
        <v>8.0827000000000009</v>
      </c>
      <c r="H276" s="4">
        <f>CHOOSE( CONTROL!$C$32, 9.0136, 9.0132) * CHOOSE(CONTROL!$C$15, $D$11, 100%, $F$11)</f>
        <v>9.0136000000000003</v>
      </c>
      <c r="I276" s="8">
        <f>CHOOSE( CONTROL!$C$32, 8.0257, 8.0253) * CHOOSE(CONTROL!$C$15, $D$11, 100%, $F$11)</f>
        <v>8.0257000000000005</v>
      </c>
      <c r="J276" s="4">
        <f>CHOOSE( CONTROL!$C$32, 7.9163, 7.9158) * CHOOSE(CONTROL!$C$15, $D$11, 100%, $F$11)</f>
        <v>7.9162999999999997</v>
      </c>
      <c r="K276" s="4"/>
      <c r="L276" s="9">
        <v>30.7165</v>
      </c>
      <c r="M276" s="9">
        <v>12.063700000000001</v>
      </c>
      <c r="N276" s="9">
        <v>4.9444999999999997</v>
      </c>
      <c r="O276" s="9">
        <v>0.37409999999999999</v>
      </c>
      <c r="P276" s="9">
        <v>1.2927</v>
      </c>
      <c r="Q276" s="9">
        <v>30.645399999999999</v>
      </c>
      <c r="R276" s="9"/>
      <c r="S276" s="11"/>
    </row>
    <row r="277" spans="1:19" ht="15.75">
      <c r="A277" s="14">
        <v>49553</v>
      </c>
      <c r="B277" s="8">
        <f>CHOOSE( CONTROL!$C$32, 7.9972, 7.9967) * CHOOSE(CONTROL!$C$15, $D$11, 100%, $F$11)</f>
        <v>7.9972000000000003</v>
      </c>
      <c r="C277" s="8">
        <f>CHOOSE( CONTROL!$C$32, 8.0052, 8.0047) * CHOOSE(CONTROL!$C$15, $D$11, 100%, $F$11)</f>
        <v>8.0052000000000003</v>
      </c>
      <c r="D277" s="8">
        <f>CHOOSE( CONTROL!$C$32, 8.0043, 8.0038) * CHOOSE( CONTROL!$C$15, $D$11, 100%, $F$11)</f>
        <v>8.0043000000000006</v>
      </c>
      <c r="E277" s="12">
        <f>CHOOSE( CONTROL!$C$32, 8.0034, 8.0029) * CHOOSE( CONTROL!$C$15, $D$11, 100%, $F$11)</f>
        <v>8.0033999999999992</v>
      </c>
      <c r="F277" s="4">
        <f>CHOOSE( CONTROL!$C$32, 8.7, 8.6996) * CHOOSE(CONTROL!$C$15, $D$11, 100%, $F$11)</f>
        <v>8.6999999999999993</v>
      </c>
      <c r="G277" s="8">
        <f>CHOOSE( CONTROL!$C$32, 7.9137, 7.9133) * CHOOSE( CONTROL!$C$15, $D$11, 100%, $F$11)</f>
        <v>7.9137000000000004</v>
      </c>
      <c r="H277" s="4">
        <f>CHOOSE( CONTROL!$C$32, 8.8448, 8.8443) * CHOOSE(CONTROL!$C$15, $D$11, 100%, $F$11)</f>
        <v>8.8447999999999993</v>
      </c>
      <c r="I277" s="8">
        <f>CHOOSE( CONTROL!$C$32, 7.8593, 7.8589) * CHOOSE(CONTROL!$C$15, $D$11, 100%, $F$11)</f>
        <v>7.8593000000000002</v>
      </c>
      <c r="J277" s="4">
        <f>CHOOSE( CONTROL!$C$32, 7.7505, 7.75) * CHOOSE(CONTROL!$C$15, $D$11, 100%, $F$11)</f>
        <v>7.7504999999999997</v>
      </c>
      <c r="K277" s="4"/>
      <c r="L277" s="9">
        <v>29.7257</v>
      </c>
      <c r="M277" s="9">
        <v>11.6745</v>
      </c>
      <c r="N277" s="9">
        <v>4.7850000000000001</v>
      </c>
      <c r="O277" s="9">
        <v>0.36199999999999999</v>
      </c>
      <c r="P277" s="9">
        <v>1.2509999999999999</v>
      </c>
      <c r="Q277" s="9">
        <v>29.6568</v>
      </c>
      <c r="R277" s="9"/>
      <c r="S277" s="11"/>
    </row>
    <row r="278" spans="1:19" ht="15.75">
      <c r="A278" s="14">
        <v>49583</v>
      </c>
      <c r="B278" s="8">
        <f>CHOOSE( CONTROL!$C$32, 8.35, 8.3498) * CHOOSE(CONTROL!$C$15, $D$11, 100%, $F$11)</f>
        <v>8.35</v>
      </c>
      <c r="C278" s="8">
        <f>CHOOSE( CONTROL!$C$32, 8.3554, 8.3551) * CHOOSE(CONTROL!$C$15, $D$11, 100%, $F$11)</f>
        <v>8.3553999999999995</v>
      </c>
      <c r="D278" s="8">
        <f>CHOOSE( CONTROL!$C$32, 8.3601, 8.3598) * CHOOSE( CONTROL!$C$15, $D$11, 100%, $F$11)</f>
        <v>8.3600999999999992</v>
      </c>
      <c r="E278" s="12">
        <f>CHOOSE( CONTROL!$C$32, 8.358, 8.3577) * CHOOSE( CONTROL!$C$15, $D$11, 100%, $F$11)</f>
        <v>8.3580000000000005</v>
      </c>
      <c r="F278" s="4">
        <f>CHOOSE( CONTROL!$C$32, 9.0546, 9.0543) * CHOOSE(CONTROL!$C$15, $D$11, 100%, $F$11)</f>
        <v>9.0546000000000006</v>
      </c>
      <c r="G278" s="8">
        <f>CHOOSE( CONTROL!$C$32, 8.2643, 8.264) * CHOOSE( CONTROL!$C$15, $D$11, 100%, $F$11)</f>
        <v>8.2643000000000004</v>
      </c>
      <c r="H278" s="4">
        <f>CHOOSE( CONTROL!$C$32, 9.1952, 9.1949) * CHOOSE(CONTROL!$C$15, $D$11, 100%, $F$11)</f>
        <v>9.1951999999999998</v>
      </c>
      <c r="I278" s="8">
        <f>CHOOSE( CONTROL!$C$32, 8.2044, 8.2041) * CHOOSE(CONTROL!$C$15, $D$11, 100%, $F$11)</f>
        <v>8.2043999999999997</v>
      </c>
      <c r="J278" s="4">
        <f>CHOOSE( CONTROL!$C$32, 8.0946, 8.0943) * CHOOSE(CONTROL!$C$15, $D$11, 100%, $F$11)</f>
        <v>8.0945999999999998</v>
      </c>
      <c r="K278" s="4"/>
      <c r="L278" s="9">
        <v>31.095300000000002</v>
      </c>
      <c r="M278" s="9">
        <v>12.063700000000001</v>
      </c>
      <c r="N278" s="9">
        <v>4.9444999999999997</v>
      </c>
      <c r="O278" s="9">
        <v>0.37409999999999999</v>
      </c>
      <c r="P278" s="9">
        <v>1.2927</v>
      </c>
      <c r="Q278" s="9">
        <v>30.645399999999999</v>
      </c>
      <c r="R278" s="9"/>
      <c r="S278" s="11"/>
    </row>
    <row r="279" spans="1:19" ht="15.75">
      <c r="A279" s="14">
        <v>49614</v>
      </c>
      <c r="B279" s="8">
        <f>CHOOSE( CONTROL!$C$32, 9.0044, 9.0042) * CHOOSE(CONTROL!$C$15, $D$11, 100%, $F$11)</f>
        <v>9.0044000000000004</v>
      </c>
      <c r="C279" s="8">
        <f>CHOOSE( CONTROL!$C$32, 9.0095, 9.0092) * CHOOSE(CONTROL!$C$15, $D$11, 100%, $F$11)</f>
        <v>9.0094999999999992</v>
      </c>
      <c r="D279" s="8">
        <f>CHOOSE( CONTROL!$C$32, 8.9922, 8.9919) * CHOOSE( CONTROL!$C$15, $D$11, 100%, $F$11)</f>
        <v>8.9922000000000004</v>
      </c>
      <c r="E279" s="12">
        <f>CHOOSE( CONTROL!$C$32, 8.998, 8.9977) * CHOOSE( CONTROL!$C$15, $D$11, 100%, $F$11)</f>
        <v>8.9979999999999993</v>
      </c>
      <c r="F279" s="4">
        <f>CHOOSE( CONTROL!$C$32, 9.6697, 9.6694) * CHOOSE(CONTROL!$C$15, $D$11, 100%, $F$11)</f>
        <v>9.6697000000000006</v>
      </c>
      <c r="G279" s="8">
        <f>CHOOSE( CONTROL!$C$32, 8.9083, 8.9081) * CHOOSE( CONTROL!$C$15, $D$11, 100%, $F$11)</f>
        <v>8.9083000000000006</v>
      </c>
      <c r="H279" s="4">
        <f>CHOOSE( CONTROL!$C$32, 9.8031, 9.8028) * CHOOSE(CONTROL!$C$15, $D$11, 100%, $F$11)</f>
        <v>9.8031000000000006</v>
      </c>
      <c r="I279" s="8">
        <f>CHOOSE( CONTROL!$C$32, 8.8958, 8.8956) * CHOOSE(CONTROL!$C$15, $D$11, 100%, $F$11)</f>
        <v>8.8957999999999995</v>
      </c>
      <c r="J279" s="4">
        <f>CHOOSE( CONTROL!$C$32, 8.73, 8.7298) * CHOOSE(CONTROL!$C$15, $D$11, 100%, $F$11)</f>
        <v>8.73</v>
      </c>
      <c r="K279" s="4"/>
      <c r="L279" s="9">
        <v>28.360600000000002</v>
      </c>
      <c r="M279" s="9">
        <v>11.6745</v>
      </c>
      <c r="N279" s="9">
        <v>4.7850000000000001</v>
      </c>
      <c r="O279" s="9">
        <v>0.36199999999999999</v>
      </c>
      <c r="P279" s="9">
        <v>1.2509999999999999</v>
      </c>
      <c r="Q279" s="9">
        <v>29.6568</v>
      </c>
      <c r="R279" s="9"/>
      <c r="S279" s="11"/>
    </row>
    <row r="280" spans="1:19" ht="15.75">
      <c r="A280" s="14">
        <v>49644</v>
      </c>
      <c r="B280" s="8">
        <f>CHOOSE( CONTROL!$C$32, 8.9881, 8.9878) * CHOOSE(CONTROL!$C$15, $D$11, 100%, $F$11)</f>
        <v>8.9880999999999993</v>
      </c>
      <c r="C280" s="8">
        <f>CHOOSE( CONTROL!$C$32, 8.9931, 8.9929) * CHOOSE(CONTROL!$C$15, $D$11, 100%, $F$11)</f>
        <v>8.9931000000000001</v>
      </c>
      <c r="D280" s="8">
        <f>CHOOSE( CONTROL!$C$32, 8.9776, 8.9774) * CHOOSE( CONTROL!$C$15, $D$11, 100%, $F$11)</f>
        <v>8.9776000000000007</v>
      </c>
      <c r="E280" s="12">
        <f>CHOOSE( CONTROL!$C$32, 8.9827, 8.9825) * CHOOSE( CONTROL!$C$15, $D$11, 100%, $F$11)</f>
        <v>8.9826999999999995</v>
      </c>
      <c r="F280" s="4">
        <f>CHOOSE( CONTROL!$C$32, 9.6533, 9.6531) * CHOOSE(CONTROL!$C$15, $D$11, 100%, $F$11)</f>
        <v>9.6532999999999998</v>
      </c>
      <c r="G280" s="8">
        <f>CHOOSE( CONTROL!$C$32, 8.8935, 8.8932) * CHOOSE( CONTROL!$C$15, $D$11, 100%, $F$11)</f>
        <v>8.8934999999999995</v>
      </c>
      <c r="H280" s="4">
        <f>CHOOSE( CONTROL!$C$32, 9.7869, 9.7867) * CHOOSE(CONTROL!$C$15, $D$11, 100%, $F$11)</f>
        <v>9.7868999999999993</v>
      </c>
      <c r="I280" s="8">
        <f>CHOOSE( CONTROL!$C$32, 8.8855, 8.8853) * CHOOSE(CONTROL!$C$15, $D$11, 100%, $F$11)</f>
        <v>8.8855000000000004</v>
      </c>
      <c r="J280" s="4">
        <f>CHOOSE( CONTROL!$C$32, 8.7142, 8.7139) * CHOOSE(CONTROL!$C$15, $D$11, 100%, $F$11)</f>
        <v>8.7141999999999999</v>
      </c>
      <c r="K280" s="4"/>
      <c r="L280" s="9">
        <v>29.306000000000001</v>
      </c>
      <c r="M280" s="9">
        <v>12.063700000000001</v>
      </c>
      <c r="N280" s="9">
        <v>4.9444999999999997</v>
      </c>
      <c r="O280" s="9">
        <v>0.37409999999999999</v>
      </c>
      <c r="P280" s="9">
        <v>1.2927</v>
      </c>
      <c r="Q280" s="9">
        <v>30.645399999999999</v>
      </c>
      <c r="R280" s="9"/>
      <c r="S280" s="11"/>
    </row>
    <row r="281" spans="1:19" ht="15.75">
      <c r="A281" s="14">
        <v>49675</v>
      </c>
      <c r="B281" s="8">
        <f>CHOOSE( CONTROL!$C$32, 9.2529, 9.2526) * CHOOSE(CONTROL!$C$15, $D$11, 100%, $F$11)</f>
        <v>9.2529000000000003</v>
      </c>
      <c r="C281" s="8">
        <f>CHOOSE( CONTROL!$C$32, 9.258, 9.2577) * CHOOSE(CONTROL!$C$15, $D$11, 100%, $F$11)</f>
        <v>9.2579999999999991</v>
      </c>
      <c r="D281" s="8">
        <f>CHOOSE( CONTROL!$C$32, 9.2484, 9.2482) * CHOOSE( CONTROL!$C$15, $D$11, 100%, $F$11)</f>
        <v>9.2484000000000002</v>
      </c>
      <c r="E281" s="12">
        <f>CHOOSE( CONTROL!$C$32, 9.2514, 9.2511) * CHOOSE( CONTROL!$C$15, $D$11, 100%, $F$11)</f>
        <v>9.2514000000000003</v>
      </c>
      <c r="F281" s="4">
        <f>CHOOSE( CONTROL!$C$32, 9.9182, 9.9179) * CHOOSE(CONTROL!$C$15, $D$11, 100%, $F$11)</f>
        <v>9.9182000000000006</v>
      </c>
      <c r="G281" s="8">
        <f>CHOOSE( CONTROL!$C$32, 9.1559, 9.1557) * CHOOSE( CONTROL!$C$15, $D$11, 100%, $F$11)</f>
        <v>9.1559000000000008</v>
      </c>
      <c r="H281" s="4">
        <f>CHOOSE( CONTROL!$C$32, 10.0487, 10.0484) * CHOOSE(CONTROL!$C$15, $D$11, 100%, $F$11)</f>
        <v>10.0487</v>
      </c>
      <c r="I281" s="8">
        <f>CHOOSE( CONTROL!$C$32, 9.1232, 9.1229) * CHOOSE(CONTROL!$C$15, $D$11, 100%, $F$11)</f>
        <v>9.1232000000000006</v>
      </c>
      <c r="J281" s="4">
        <f>CHOOSE( CONTROL!$C$32, 8.9712, 8.9709) * CHOOSE(CONTROL!$C$15, $D$11, 100%, $F$11)</f>
        <v>8.9711999999999996</v>
      </c>
      <c r="K281" s="4"/>
      <c r="L281" s="9">
        <v>29.306000000000001</v>
      </c>
      <c r="M281" s="9">
        <v>12.063700000000001</v>
      </c>
      <c r="N281" s="9">
        <v>4.9444999999999997</v>
      </c>
      <c r="O281" s="9">
        <v>0.37409999999999999</v>
      </c>
      <c r="P281" s="9">
        <v>1.2927</v>
      </c>
      <c r="Q281" s="9">
        <v>30.580300000000001</v>
      </c>
      <c r="R281" s="9"/>
      <c r="S281" s="11"/>
    </row>
    <row r="282" spans="1:19" ht="15.75">
      <c r="A282" s="14">
        <v>49706</v>
      </c>
      <c r="B282" s="8">
        <f>CHOOSE( CONTROL!$C$32, 8.6553, 8.6551) * CHOOSE(CONTROL!$C$15, $D$11, 100%, $F$11)</f>
        <v>8.6553000000000004</v>
      </c>
      <c r="C282" s="8">
        <f>CHOOSE( CONTROL!$C$32, 8.6604, 8.6601) * CHOOSE(CONTROL!$C$15, $D$11, 100%, $F$11)</f>
        <v>8.6603999999999992</v>
      </c>
      <c r="D282" s="8">
        <f>CHOOSE( CONTROL!$C$32, 8.6525, 8.6522) * CHOOSE( CONTROL!$C$15, $D$11, 100%, $F$11)</f>
        <v>8.6524999999999999</v>
      </c>
      <c r="E282" s="12">
        <f>CHOOSE( CONTROL!$C$32, 8.6548, 8.6546) * CHOOSE( CONTROL!$C$15, $D$11, 100%, $F$11)</f>
        <v>8.6547999999999998</v>
      </c>
      <c r="F282" s="4">
        <f>CHOOSE( CONTROL!$C$32, 9.3206, 9.3203) * CHOOSE(CONTROL!$C$15, $D$11, 100%, $F$11)</f>
        <v>9.3206000000000007</v>
      </c>
      <c r="G282" s="8">
        <f>CHOOSE( CONTROL!$C$32, 8.5639, 8.5636) * CHOOSE( CONTROL!$C$15, $D$11, 100%, $F$11)</f>
        <v>8.5639000000000003</v>
      </c>
      <c r="H282" s="4">
        <f>CHOOSE( CONTROL!$C$32, 9.4581, 9.4578) * CHOOSE(CONTROL!$C$15, $D$11, 100%, $F$11)</f>
        <v>9.4581</v>
      </c>
      <c r="I282" s="8">
        <f>CHOOSE( CONTROL!$C$32, 8.5275, 8.5273) * CHOOSE(CONTROL!$C$15, $D$11, 100%, $F$11)</f>
        <v>8.5274999999999999</v>
      </c>
      <c r="J282" s="4">
        <f>CHOOSE( CONTROL!$C$32, 8.3912, 8.391) * CHOOSE(CONTROL!$C$15, $D$11, 100%, $F$11)</f>
        <v>8.3911999999999995</v>
      </c>
      <c r="K282" s="4"/>
      <c r="L282" s="9">
        <v>27.415299999999998</v>
      </c>
      <c r="M282" s="9">
        <v>11.285299999999999</v>
      </c>
      <c r="N282" s="9">
        <v>4.6254999999999997</v>
      </c>
      <c r="O282" s="9">
        <v>0.34989999999999999</v>
      </c>
      <c r="P282" s="9">
        <v>1.2093</v>
      </c>
      <c r="Q282" s="9">
        <v>28.607299999999999</v>
      </c>
      <c r="R282" s="9"/>
      <c r="S282" s="11"/>
    </row>
    <row r="283" spans="1:19" ht="15.75">
      <c r="A283" s="14">
        <v>49735</v>
      </c>
      <c r="B283" s="8">
        <f>CHOOSE( CONTROL!$C$32, 8.4713, 8.471) * CHOOSE(CONTROL!$C$15, $D$11, 100%, $F$11)</f>
        <v>8.4712999999999994</v>
      </c>
      <c r="C283" s="8">
        <f>CHOOSE( CONTROL!$C$32, 8.4763, 8.4761) * CHOOSE(CONTROL!$C$15, $D$11, 100%, $F$11)</f>
        <v>8.4763000000000002</v>
      </c>
      <c r="D283" s="8">
        <f>CHOOSE( CONTROL!$C$32, 8.4637, 8.4634) * CHOOSE( CONTROL!$C$15, $D$11, 100%, $F$11)</f>
        <v>8.4636999999999993</v>
      </c>
      <c r="E283" s="12">
        <f>CHOOSE( CONTROL!$C$32, 8.4678, 8.4675) * CHOOSE( CONTROL!$C$15, $D$11, 100%, $F$11)</f>
        <v>8.4678000000000004</v>
      </c>
      <c r="F283" s="4">
        <f>CHOOSE( CONTROL!$C$32, 9.1366, 9.1363) * CHOOSE(CONTROL!$C$15, $D$11, 100%, $F$11)</f>
        <v>9.1365999999999996</v>
      </c>
      <c r="G283" s="8">
        <f>CHOOSE( CONTROL!$C$32, 8.3785, 8.3782) * CHOOSE( CONTROL!$C$15, $D$11, 100%, $F$11)</f>
        <v>8.3785000000000007</v>
      </c>
      <c r="H283" s="4">
        <f>CHOOSE( CONTROL!$C$32, 9.2762, 9.2759) * CHOOSE(CONTROL!$C$15, $D$11, 100%, $F$11)</f>
        <v>9.2761999999999993</v>
      </c>
      <c r="I283" s="8">
        <f>CHOOSE( CONTROL!$C$32, 8.3472, 8.3469) * CHOOSE(CONTROL!$C$15, $D$11, 100%, $F$11)</f>
        <v>8.3472000000000008</v>
      </c>
      <c r="J283" s="4">
        <f>CHOOSE( CONTROL!$C$32, 8.2126, 8.2124) * CHOOSE(CONTROL!$C$15, $D$11, 100%, $F$11)</f>
        <v>8.2126000000000001</v>
      </c>
      <c r="K283" s="4"/>
      <c r="L283" s="9">
        <v>29.306000000000001</v>
      </c>
      <c r="M283" s="9">
        <v>12.063700000000001</v>
      </c>
      <c r="N283" s="9">
        <v>4.9444999999999997</v>
      </c>
      <c r="O283" s="9">
        <v>0.37409999999999999</v>
      </c>
      <c r="P283" s="9">
        <v>1.2927</v>
      </c>
      <c r="Q283" s="9">
        <v>30.580300000000001</v>
      </c>
      <c r="R283" s="9"/>
      <c r="S283" s="11"/>
    </row>
    <row r="284" spans="1:19" ht="15.75">
      <c r="A284" s="14">
        <v>49766</v>
      </c>
      <c r="B284" s="8">
        <f>CHOOSE( CONTROL!$C$32, 8.6007, 8.6004) * CHOOSE(CONTROL!$C$15, $D$11, 100%, $F$11)</f>
        <v>8.6006999999999998</v>
      </c>
      <c r="C284" s="8">
        <f>CHOOSE( CONTROL!$C$32, 8.6052, 8.6049) * CHOOSE(CONTROL!$C$15, $D$11, 100%, $F$11)</f>
        <v>8.6052</v>
      </c>
      <c r="D284" s="8">
        <f>CHOOSE( CONTROL!$C$32, 8.61, 8.6098) * CHOOSE( CONTROL!$C$15, $D$11, 100%, $F$11)</f>
        <v>8.61</v>
      </c>
      <c r="E284" s="12">
        <f>CHOOSE( CONTROL!$C$32, 8.6079, 8.6077) * CHOOSE( CONTROL!$C$15, $D$11, 100%, $F$11)</f>
        <v>8.6079000000000008</v>
      </c>
      <c r="F284" s="4">
        <f>CHOOSE( CONTROL!$C$32, 9.3048, 9.3046) * CHOOSE(CONTROL!$C$15, $D$11, 100%, $F$11)</f>
        <v>9.3048000000000002</v>
      </c>
      <c r="G284" s="8">
        <f>CHOOSE( CONTROL!$C$32, 8.5114, 8.5111) * CHOOSE( CONTROL!$C$15, $D$11, 100%, $F$11)</f>
        <v>8.5114000000000001</v>
      </c>
      <c r="H284" s="4">
        <f>CHOOSE( CONTROL!$C$32, 9.4425, 9.4422) * CHOOSE(CONTROL!$C$15, $D$11, 100%, $F$11)</f>
        <v>9.4425000000000008</v>
      </c>
      <c r="I284" s="8">
        <f>CHOOSE( CONTROL!$C$32, 8.4463, 8.446) * CHOOSE(CONTROL!$C$15, $D$11, 100%, $F$11)</f>
        <v>8.4463000000000008</v>
      </c>
      <c r="J284" s="4">
        <f>CHOOSE( CONTROL!$C$32, 8.3374, 8.3372) * CHOOSE(CONTROL!$C$15, $D$11, 100%, $F$11)</f>
        <v>8.3374000000000006</v>
      </c>
      <c r="K284" s="4"/>
      <c r="L284" s="9">
        <v>30.092199999999998</v>
      </c>
      <c r="M284" s="9">
        <v>11.6745</v>
      </c>
      <c r="N284" s="9">
        <v>4.7850000000000001</v>
      </c>
      <c r="O284" s="9">
        <v>0.36199999999999999</v>
      </c>
      <c r="P284" s="9">
        <v>1.2509999999999999</v>
      </c>
      <c r="Q284" s="9">
        <v>29.593800000000002</v>
      </c>
      <c r="R284" s="9"/>
      <c r="S284" s="11"/>
    </row>
    <row r="285" spans="1:19" ht="15.75">
      <c r="A285" s="14">
        <v>49796</v>
      </c>
      <c r="B285" s="8">
        <f>CHOOSE( CONTROL!$C$32, 8.8311, 8.8306) * CHOOSE(CONTROL!$C$15, $D$11, 100%, $F$11)</f>
        <v>8.8310999999999993</v>
      </c>
      <c r="C285" s="8">
        <f>CHOOSE( CONTROL!$C$32, 8.8391, 8.8386) * CHOOSE(CONTROL!$C$15, $D$11, 100%, $F$11)</f>
        <v>8.8391000000000002</v>
      </c>
      <c r="D285" s="8">
        <f>CHOOSE( CONTROL!$C$32, 8.8379, 8.8374) * CHOOSE( CONTROL!$C$15, $D$11, 100%, $F$11)</f>
        <v>8.8378999999999994</v>
      </c>
      <c r="E285" s="12">
        <f>CHOOSE( CONTROL!$C$32, 8.8371, 8.8366) * CHOOSE( CONTROL!$C$15, $D$11, 100%, $F$11)</f>
        <v>8.8370999999999995</v>
      </c>
      <c r="F285" s="4">
        <f>CHOOSE( CONTROL!$C$32, 9.5339, 9.5335) * CHOOSE(CONTROL!$C$15, $D$11, 100%, $F$11)</f>
        <v>9.5338999999999992</v>
      </c>
      <c r="G285" s="8">
        <f>CHOOSE( CONTROL!$C$32, 8.7376, 8.7371) * CHOOSE( CONTROL!$C$15, $D$11, 100%, $F$11)</f>
        <v>8.7376000000000005</v>
      </c>
      <c r="H285" s="4">
        <f>CHOOSE( CONTROL!$C$32, 9.6689, 9.6685) * CHOOSE(CONTROL!$C$15, $D$11, 100%, $F$11)</f>
        <v>9.6689000000000007</v>
      </c>
      <c r="I285" s="8">
        <f>CHOOSE( CONTROL!$C$32, 8.6679, 8.6675) * CHOOSE(CONTROL!$C$15, $D$11, 100%, $F$11)</f>
        <v>8.6678999999999995</v>
      </c>
      <c r="J285" s="4">
        <f>CHOOSE( CONTROL!$C$32, 8.5598, 8.5593) * CHOOSE(CONTROL!$C$15, $D$11, 100%, $F$11)</f>
        <v>8.5597999999999992</v>
      </c>
      <c r="K285" s="4"/>
      <c r="L285" s="9">
        <v>30.7165</v>
      </c>
      <c r="M285" s="9">
        <v>12.063700000000001</v>
      </c>
      <c r="N285" s="9">
        <v>4.9444999999999997</v>
      </c>
      <c r="O285" s="9">
        <v>0.37409999999999999</v>
      </c>
      <c r="P285" s="9">
        <v>1.2927</v>
      </c>
      <c r="Q285" s="9">
        <v>30.580300000000001</v>
      </c>
      <c r="R285" s="9"/>
      <c r="S285" s="11"/>
    </row>
    <row r="286" spans="1:19" ht="15.75">
      <c r="A286" s="14">
        <v>49827</v>
      </c>
      <c r="B286" s="8">
        <f>CHOOSE( CONTROL!$C$32, 8.6893, 8.6888) * CHOOSE(CONTROL!$C$15, $D$11, 100%, $F$11)</f>
        <v>8.6892999999999994</v>
      </c>
      <c r="C286" s="8">
        <f>CHOOSE( CONTROL!$C$32, 8.6973, 8.6968) * CHOOSE(CONTROL!$C$15, $D$11, 100%, $F$11)</f>
        <v>8.6973000000000003</v>
      </c>
      <c r="D286" s="8">
        <f>CHOOSE( CONTROL!$C$32, 8.6963, 8.6958) * CHOOSE( CONTROL!$C$15, $D$11, 100%, $F$11)</f>
        <v>8.6963000000000008</v>
      </c>
      <c r="E286" s="12">
        <f>CHOOSE( CONTROL!$C$32, 8.6954, 8.6949) * CHOOSE( CONTROL!$C$15, $D$11, 100%, $F$11)</f>
        <v>8.6953999999999994</v>
      </c>
      <c r="F286" s="4">
        <f>CHOOSE( CONTROL!$C$32, 9.3921, 9.3917) * CHOOSE(CONTROL!$C$15, $D$11, 100%, $F$11)</f>
        <v>9.3920999999999992</v>
      </c>
      <c r="G286" s="8">
        <f>CHOOSE( CONTROL!$C$32, 8.5976, 8.5972) * CHOOSE( CONTROL!$C$15, $D$11, 100%, $F$11)</f>
        <v>8.5975999999999999</v>
      </c>
      <c r="H286" s="4">
        <f>CHOOSE( CONTROL!$C$32, 9.5288, 9.5283) * CHOOSE(CONTROL!$C$15, $D$11, 100%, $F$11)</f>
        <v>9.5288000000000004</v>
      </c>
      <c r="I286" s="8">
        <f>CHOOSE( CONTROL!$C$32, 8.5309, 8.5305) * CHOOSE(CONTROL!$C$15, $D$11, 100%, $F$11)</f>
        <v>8.5309000000000008</v>
      </c>
      <c r="J286" s="4">
        <f>CHOOSE( CONTROL!$C$32, 8.4221, 8.4217) * CHOOSE(CONTROL!$C$15, $D$11, 100%, $F$11)</f>
        <v>8.4221000000000004</v>
      </c>
      <c r="K286" s="4"/>
      <c r="L286" s="9">
        <v>29.7257</v>
      </c>
      <c r="M286" s="9">
        <v>11.6745</v>
      </c>
      <c r="N286" s="9">
        <v>4.7850000000000001</v>
      </c>
      <c r="O286" s="9">
        <v>0.36199999999999999</v>
      </c>
      <c r="P286" s="9">
        <v>1.2509999999999999</v>
      </c>
      <c r="Q286" s="9">
        <v>29.593800000000002</v>
      </c>
      <c r="R286" s="9"/>
      <c r="S286" s="11"/>
    </row>
    <row r="287" spans="1:19" ht="15.75">
      <c r="A287" s="14">
        <v>49857</v>
      </c>
      <c r="B287" s="8">
        <f>CHOOSE( CONTROL!$C$32, 9.0627, 9.0623) * CHOOSE(CONTROL!$C$15, $D$11, 100%, $F$11)</f>
        <v>9.0626999999999995</v>
      </c>
      <c r="C287" s="8">
        <f>CHOOSE( CONTROL!$C$32, 9.0707, 9.0702) * CHOOSE(CONTROL!$C$15, $D$11, 100%, $F$11)</f>
        <v>9.0707000000000004</v>
      </c>
      <c r="D287" s="8">
        <f>CHOOSE( CONTROL!$C$32, 9.0699, 9.0694) * CHOOSE( CONTROL!$C$15, $D$11, 100%, $F$11)</f>
        <v>9.0699000000000005</v>
      </c>
      <c r="E287" s="12">
        <f>CHOOSE( CONTROL!$C$32, 9.069, 9.0685) * CHOOSE( CONTROL!$C$15, $D$11, 100%, $F$11)</f>
        <v>9.0690000000000008</v>
      </c>
      <c r="F287" s="4">
        <f>CHOOSE( CONTROL!$C$32, 9.7655, 9.7651) * CHOOSE(CONTROL!$C$15, $D$11, 100%, $F$11)</f>
        <v>9.7654999999999994</v>
      </c>
      <c r="G287" s="8">
        <f>CHOOSE( CONTROL!$C$32, 8.9668, 8.9664) * CHOOSE( CONTROL!$C$15, $D$11, 100%, $F$11)</f>
        <v>8.9667999999999992</v>
      </c>
      <c r="H287" s="4">
        <f>CHOOSE( CONTROL!$C$32, 9.8978, 9.8974) * CHOOSE(CONTROL!$C$15, $D$11, 100%, $F$11)</f>
        <v>9.8978000000000002</v>
      </c>
      <c r="I287" s="8">
        <f>CHOOSE( CONTROL!$C$32, 8.8942, 8.8938) * CHOOSE(CONTROL!$C$15, $D$11, 100%, $F$11)</f>
        <v>8.8941999999999997</v>
      </c>
      <c r="J287" s="4">
        <f>CHOOSE( CONTROL!$C$32, 8.7845, 8.7841) * CHOOSE(CONTROL!$C$15, $D$11, 100%, $F$11)</f>
        <v>8.7844999999999995</v>
      </c>
      <c r="K287" s="4"/>
      <c r="L287" s="9">
        <v>30.7165</v>
      </c>
      <c r="M287" s="9">
        <v>12.063700000000001</v>
      </c>
      <c r="N287" s="9">
        <v>4.9444999999999997</v>
      </c>
      <c r="O287" s="9">
        <v>0.37409999999999999</v>
      </c>
      <c r="P287" s="9">
        <v>1.2927</v>
      </c>
      <c r="Q287" s="9">
        <v>30.580300000000001</v>
      </c>
      <c r="R287" s="9"/>
      <c r="S287" s="11"/>
    </row>
    <row r="288" spans="1:19" ht="15.75">
      <c r="A288" s="14">
        <v>49888</v>
      </c>
      <c r="B288" s="8">
        <f>CHOOSE( CONTROL!$C$32, 8.364, 8.3636) * CHOOSE(CONTROL!$C$15, $D$11, 100%, $F$11)</f>
        <v>8.3640000000000008</v>
      </c>
      <c r="C288" s="8">
        <f>CHOOSE( CONTROL!$C$32, 8.372, 8.3715) * CHOOSE(CONTROL!$C$15, $D$11, 100%, $F$11)</f>
        <v>8.3719999999999999</v>
      </c>
      <c r="D288" s="8">
        <f>CHOOSE( CONTROL!$C$32, 8.3713, 8.3708) * CHOOSE( CONTROL!$C$15, $D$11, 100%, $F$11)</f>
        <v>8.3712999999999997</v>
      </c>
      <c r="E288" s="12">
        <f>CHOOSE( CONTROL!$C$32, 8.3703, 8.3698) * CHOOSE( CONTROL!$C$15, $D$11, 100%, $F$11)</f>
        <v>8.3703000000000003</v>
      </c>
      <c r="F288" s="4">
        <f>CHOOSE( CONTROL!$C$32, 9.0669, 9.0664) * CHOOSE(CONTROL!$C$15, $D$11, 100%, $F$11)</f>
        <v>9.0669000000000004</v>
      </c>
      <c r="G288" s="8">
        <f>CHOOSE( CONTROL!$C$32, 8.2764, 8.2759) * CHOOSE( CONTROL!$C$15, $D$11, 100%, $F$11)</f>
        <v>8.2764000000000006</v>
      </c>
      <c r="H288" s="4">
        <f>CHOOSE( CONTROL!$C$32, 9.2073, 9.2069) * CHOOSE(CONTROL!$C$15, $D$11, 100%, $F$11)</f>
        <v>9.2073</v>
      </c>
      <c r="I288" s="8">
        <f>CHOOSE( CONTROL!$C$32, 8.216, 8.2156) * CHOOSE(CONTROL!$C$15, $D$11, 100%, $F$11)</f>
        <v>8.2159999999999993</v>
      </c>
      <c r="J288" s="4">
        <f>CHOOSE( CONTROL!$C$32, 8.1065, 8.106) * CHOOSE(CONTROL!$C$15, $D$11, 100%, $F$11)</f>
        <v>8.1065000000000005</v>
      </c>
      <c r="K288" s="4"/>
      <c r="L288" s="9">
        <v>30.7165</v>
      </c>
      <c r="M288" s="9">
        <v>12.063700000000001</v>
      </c>
      <c r="N288" s="9">
        <v>4.9444999999999997</v>
      </c>
      <c r="O288" s="9">
        <v>0.37409999999999999</v>
      </c>
      <c r="P288" s="9">
        <v>1.2927</v>
      </c>
      <c r="Q288" s="9">
        <v>30.580300000000001</v>
      </c>
      <c r="R288" s="9"/>
      <c r="S288" s="11"/>
    </row>
    <row r="289" spans="1:19" ht="15.75">
      <c r="A289" s="14">
        <v>49919</v>
      </c>
      <c r="B289" s="8">
        <f>CHOOSE( CONTROL!$C$32, 8.1891, 8.1886) * CHOOSE(CONTROL!$C$15, $D$11, 100%, $F$11)</f>
        <v>8.1890999999999998</v>
      </c>
      <c r="C289" s="8">
        <f>CHOOSE( CONTROL!$C$32, 8.197, 8.1966) * CHOOSE(CONTROL!$C$15, $D$11, 100%, $F$11)</f>
        <v>8.1969999999999992</v>
      </c>
      <c r="D289" s="8">
        <f>CHOOSE( CONTROL!$C$32, 8.1962, 8.1957) * CHOOSE( CONTROL!$C$15, $D$11, 100%, $F$11)</f>
        <v>8.1961999999999993</v>
      </c>
      <c r="E289" s="12">
        <f>CHOOSE( CONTROL!$C$32, 8.1953, 8.1948) * CHOOSE( CONTROL!$C$15, $D$11, 100%, $F$11)</f>
        <v>8.1952999999999996</v>
      </c>
      <c r="F289" s="4">
        <f>CHOOSE( CONTROL!$C$32, 8.8919, 8.8914) * CHOOSE(CONTROL!$C$15, $D$11, 100%, $F$11)</f>
        <v>8.8918999999999997</v>
      </c>
      <c r="G289" s="8">
        <f>CHOOSE( CONTROL!$C$32, 8.1033, 8.1029) * CHOOSE( CONTROL!$C$15, $D$11, 100%, $F$11)</f>
        <v>8.1033000000000008</v>
      </c>
      <c r="H289" s="4">
        <f>CHOOSE( CONTROL!$C$32, 9.0344, 9.034) * CHOOSE(CONTROL!$C$15, $D$11, 100%, $F$11)</f>
        <v>9.0343999999999998</v>
      </c>
      <c r="I289" s="8">
        <f>CHOOSE( CONTROL!$C$32, 8.0456, 8.0452) * CHOOSE(CONTROL!$C$15, $D$11, 100%, $F$11)</f>
        <v>8.0456000000000003</v>
      </c>
      <c r="J289" s="4">
        <f>CHOOSE( CONTROL!$C$32, 7.9367, 7.9362) * CHOOSE(CONTROL!$C$15, $D$11, 100%, $F$11)</f>
        <v>7.9367000000000001</v>
      </c>
      <c r="K289" s="4"/>
      <c r="L289" s="9">
        <v>29.7257</v>
      </c>
      <c r="M289" s="9">
        <v>11.6745</v>
      </c>
      <c r="N289" s="9">
        <v>4.7850000000000001</v>
      </c>
      <c r="O289" s="9">
        <v>0.36199999999999999</v>
      </c>
      <c r="P289" s="9">
        <v>1.2509999999999999</v>
      </c>
      <c r="Q289" s="9">
        <v>29.593800000000002</v>
      </c>
      <c r="R289" s="9"/>
      <c r="S289" s="11"/>
    </row>
    <row r="290" spans="1:19" ht="15.75">
      <c r="A290" s="14">
        <v>49949</v>
      </c>
      <c r="B290" s="8">
        <f>CHOOSE( CONTROL!$C$32, 8.5504, 8.5502) * CHOOSE(CONTROL!$C$15, $D$11, 100%, $F$11)</f>
        <v>8.5503999999999998</v>
      </c>
      <c r="C290" s="8">
        <f>CHOOSE( CONTROL!$C$32, 8.5558, 8.5555) * CHOOSE(CONTROL!$C$15, $D$11, 100%, $F$11)</f>
        <v>8.5557999999999996</v>
      </c>
      <c r="D290" s="8">
        <f>CHOOSE( CONTROL!$C$32, 8.5605, 8.5602) * CHOOSE( CONTROL!$C$15, $D$11, 100%, $F$11)</f>
        <v>8.5604999999999993</v>
      </c>
      <c r="E290" s="12">
        <f>CHOOSE( CONTROL!$C$32, 8.5584, 8.5581) * CHOOSE( CONTROL!$C$15, $D$11, 100%, $F$11)</f>
        <v>8.5584000000000007</v>
      </c>
      <c r="F290" s="4">
        <f>CHOOSE( CONTROL!$C$32, 9.255, 9.2547) * CHOOSE(CONTROL!$C$15, $D$11, 100%, $F$11)</f>
        <v>9.2550000000000008</v>
      </c>
      <c r="G290" s="8">
        <f>CHOOSE( CONTROL!$C$32, 8.4624, 8.4621) * CHOOSE( CONTROL!$C$15, $D$11, 100%, $F$11)</f>
        <v>8.4624000000000006</v>
      </c>
      <c r="H290" s="4">
        <f>CHOOSE( CONTROL!$C$32, 9.3932, 9.393) * CHOOSE(CONTROL!$C$15, $D$11, 100%, $F$11)</f>
        <v>9.3932000000000002</v>
      </c>
      <c r="I290" s="8">
        <f>CHOOSE( CONTROL!$C$32, 8.399, 8.3987) * CHOOSE(CONTROL!$C$15, $D$11, 100%, $F$11)</f>
        <v>8.3989999999999991</v>
      </c>
      <c r="J290" s="4">
        <f>CHOOSE( CONTROL!$C$32, 8.2891, 8.2888) * CHOOSE(CONTROL!$C$15, $D$11, 100%, $F$11)</f>
        <v>8.2890999999999995</v>
      </c>
      <c r="K290" s="4"/>
      <c r="L290" s="9">
        <v>31.095300000000002</v>
      </c>
      <c r="M290" s="9">
        <v>12.063700000000001</v>
      </c>
      <c r="N290" s="9">
        <v>4.9444999999999997</v>
      </c>
      <c r="O290" s="9">
        <v>0.37409999999999999</v>
      </c>
      <c r="P290" s="9">
        <v>1.2927</v>
      </c>
      <c r="Q290" s="9">
        <v>30.580300000000001</v>
      </c>
      <c r="R290" s="9"/>
      <c r="S290" s="11"/>
    </row>
    <row r="291" spans="1:19" ht="15.75">
      <c r="A291" s="14">
        <v>49980</v>
      </c>
      <c r="B291" s="8">
        <f>CHOOSE( CONTROL!$C$32, 9.2206, 9.2203) * CHOOSE(CONTROL!$C$15, $D$11, 100%, $F$11)</f>
        <v>9.2205999999999992</v>
      </c>
      <c r="C291" s="8">
        <f>CHOOSE( CONTROL!$C$32, 9.2256, 9.2254) * CHOOSE(CONTROL!$C$15, $D$11, 100%, $F$11)</f>
        <v>9.2256</v>
      </c>
      <c r="D291" s="8">
        <f>CHOOSE( CONTROL!$C$32, 9.2083, 9.2081) * CHOOSE( CONTROL!$C$15, $D$11, 100%, $F$11)</f>
        <v>9.2082999999999995</v>
      </c>
      <c r="E291" s="12">
        <f>CHOOSE( CONTROL!$C$32, 9.2141, 9.2139) * CHOOSE( CONTROL!$C$15, $D$11, 100%, $F$11)</f>
        <v>9.2141000000000002</v>
      </c>
      <c r="F291" s="4">
        <f>CHOOSE( CONTROL!$C$32, 9.8858, 9.8856) * CHOOSE(CONTROL!$C$15, $D$11, 100%, $F$11)</f>
        <v>9.8857999999999997</v>
      </c>
      <c r="G291" s="8">
        <f>CHOOSE( CONTROL!$C$32, 9.1219, 9.1217) * CHOOSE( CONTROL!$C$15, $D$11, 100%, $F$11)</f>
        <v>9.1219000000000001</v>
      </c>
      <c r="H291" s="4">
        <f>CHOOSE( CONTROL!$C$32, 10.0167, 10.0164) * CHOOSE(CONTROL!$C$15, $D$11, 100%, $F$11)</f>
        <v>10.0167</v>
      </c>
      <c r="I291" s="8">
        <f>CHOOSE( CONTROL!$C$32, 9.1057, 9.1054) * CHOOSE(CONTROL!$C$15, $D$11, 100%, $F$11)</f>
        <v>9.1057000000000006</v>
      </c>
      <c r="J291" s="4">
        <f>CHOOSE( CONTROL!$C$32, 8.9398, 8.9395) * CHOOSE(CONTROL!$C$15, $D$11, 100%, $F$11)</f>
        <v>8.9398</v>
      </c>
      <c r="K291" s="4"/>
      <c r="L291" s="9">
        <v>28.360600000000002</v>
      </c>
      <c r="M291" s="9">
        <v>11.6745</v>
      </c>
      <c r="N291" s="9">
        <v>4.7850000000000001</v>
      </c>
      <c r="O291" s="9">
        <v>0.36199999999999999</v>
      </c>
      <c r="P291" s="9">
        <v>1.2509999999999999</v>
      </c>
      <c r="Q291" s="9">
        <v>29.593800000000002</v>
      </c>
      <c r="R291" s="9"/>
      <c r="S291" s="11"/>
    </row>
    <row r="292" spans="1:19" ht="15.75">
      <c r="A292" s="14">
        <v>50010</v>
      </c>
      <c r="B292" s="8">
        <f>CHOOSE( CONTROL!$C$32, 9.2038, 9.2035) * CHOOSE(CONTROL!$C$15, $D$11, 100%, $F$11)</f>
        <v>9.2037999999999993</v>
      </c>
      <c r="C292" s="8">
        <f>CHOOSE( CONTROL!$C$32, 9.2089, 9.2086) * CHOOSE(CONTROL!$C$15, $D$11, 100%, $F$11)</f>
        <v>9.2088999999999999</v>
      </c>
      <c r="D292" s="8">
        <f>CHOOSE( CONTROL!$C$32, 9.1934, 9.1931) * CHOOSE( CONTROL!$C$15, $D$11, 100%, $F$11)</f>
        <v>9.1934000000000005</v>
      </c>
      <c r="E292" s="12">
        <f>CHOOSE( CONTROL!$C$32, 9.1985, 9.1982) * CHOOSE( CONTROL!$C$15, $D$11, 100%, $F$11)</f>
        <v>9.1984999999999992</v>
      </c>
      <c r="F292" s="4">
        <f>CHOOSE( CONTROL!$C$32, 9.8691, 9.8688) * CHOOSE(CONTROL!$C$15, $D$11, 100%, $F$11)</f>
        <v>9.8690999999999995</v>
      </c>
      <c r="G292" s="8">
        <f>CHOOSE( CONTROL!$C$32, 9.1067, 9.1064) * CHOOSE( CONTROL!$C$15, $D$11, 100%, $F$11)</f>
        <v>9.1067</v>
      </c>
      <c r="H292" s="4">
        <f>CHOOSE( CONTROL!$C$32, 10.0002, 9.9999) * CHOOSE(CONTROL!$C$15, $D$11, 100%, $F$11)</f>
        <v>10.0002</v>
      </c>
      <c r="I292" s="8">
        <f>CHOOSE( CONTROL!$C$32, 9.095, 9.0948) * CHOOSE(CONTROL!$C$15, $D$11, 100%, $F$11)</f>
        <v>9.0950000000000006</v>
      </c>
      <c r="J292" s="4">
        <f>CHOOSE( CONTROL!$C$32, 8.9235, 8.9233) * CHOOSE(CONTROL!$C$15, $D$11, 100%, $F$11)</f>
        <v>8.9235000000000007</v>
      </c>
      <c r="K292" s="4"/>
      <c r="L292" s="9">
        <v>29.306000000000001</v>
      </c>
      <c r="M292" s="9">
        <v>12.063700000000001</v>
      </c>
      <c r="N292" s="9">
        <v>4.9444999999999997</v>
      </c>
      <c r="O292" s="9">
        <v>0.37409999999999999</v>
      </c>
      <c r="P292" s="9">
        <v>1.2927</v>
      </c>
      <c r="Q292" s="9">
        <v>30.580300000000001</v>
      </c>
      <c r="R292" s="9"/>
      <c r="S292" s="11"/>
    </row>
    <row r="293" spans="1:19" ht="15.75">
      <c r="A293" s="14">
        <v>50041</v>
      </c>
      <c r="B293" s="8">
        <f>CHOOSE( CONTROL!$C$32, 9.475, 9.4747) * CHOOSE(CONTROL!$C$15, $D$11, 100%, $F$11)</f>
        <v>9.4749999999999996</v>
      </c>
      <c r="C293" s="8">
        <f>CHOOSE( CONTROL!$C$32, 9.4801, 9.4798) * CHOOSE(CONTROL!$C$15, $D$11, 100%, $F$11)</f>
        <v>9.4801000000000002</v>
      </c>
      <c r="D293" s="8">
        <f>CHOOSE( CONTROL!$C$32, 9.4705, 9.4703) * CHOOSE( CONTROL!$C$15, $D$11, 100%, $F$11)</f>
        <v>9.4704999999999995</v>
      </c>
      <c r="E293" s="12">
        <f>CHOOSE( CONTROL!$C$32, 9.4735, 9.4732) * CHOOSE( CONTROL!$C$15, $D$11, 100%, $F$11)</f>
        <v>9.4734999999999996</v>
      </c>
      <c r="F293" s="4">
        <f>CHOOSE( CONTROL!$C$32, 10.1403, 10.14) * CHOOSE(CONTROL!$C$15, $D$11, 100%, $F$11)</f>
        <v>10.1403</v>
      </c>
      <c r="G293" s="8">
        <f>CHOOSE( CONTROL!$C$32, 9.3754, 9.3752) * CHOOSE( CONTROL!$C$15, $D$11, 100%, $F$11)</f>
        <v>9.3754000000000008</v>
      </c>
      <c r="H293" s="4">
        <f>CHOOSE( CONTROL!$C$32, 10.2682, 10.2679) * CHOOSE(CONTROL!$C$15, $D$11, 100%, $F$11)</f>
        <v>10.2682</v>
      </c>
      <c r="I293" s="8">
        <f>CHOOSE( CONTROL!$C$32, 9.3388, 9.3386) * CHOOSE(CONTROL!$C$15, $D$11, 100%, $F$11)</f>
        <v>9.3388000000000009</v>
      </c>
      <c r="J293" s="4">
        <f>CHOOSE( CONTROL!$C$32, 9.1867, 9.1865) * CHOOSE(CONTROL!$C$15, $D$11, 100%, $F$11)</f>
        <v>9.1867000000000001</v>
      </c>
      <c r="K293" s="4"/>
      <c r="L293" s="9">
        <v>29.306000000000001</v>
      </c>
      <c r="M293" s="9">
        <v>12.063700000000001</v>
      </c>
      <c r="N293" s="9">
        <v>4.9444999999999997</v>
      </c>
      <c r="O293" s="9">
        <v>0.37409999999999999</v>
      </c>
      <c r="P293" s="9">
        <v>1.2927</v>
      </c>
      <c r="Q293" s="9">
        <v>30.5152</v>
      </c>
      <c r="R293" s="9"/>
      <c r="S293" s="11"/>
    </row>
    <row r="294" spans="1:19" ht="15.75">
      <c r="A294" s="14">
        <v>50072</v>
      </c>
      <c r="B294" s="8">
        <f>CHOOSE( CONTROL!$C$32, 8.8631, 8.8628) * CHOOSE(CONTROL!$C$15, $D$11, 100%, $F$11)</f>
        <v>8.8630999999999993</v>
      </c>
      <c r="C294" s="8">
        <f>CHOOSE( CONTROL!$C$32, 8.8681, 8.8679) * CHOOSE(CONTROL!$C$15, $D$11, 100%, $F$11)</f>
        <v>8.8681000000000001</v>
      </c>
      <c r="D294" s="8">
        <f>CHOOSE( CONTROL!$C$32, 8.8602, 8.86) * CHOOSE( CONTROL!$C$15, $D$11, 100%, $F$11)</f>
        <v>8.8602000000000007</v>
      </c>
      <c r="E294" s="12">
        <f>CHOOSE( CONTROL!$C$32, 8.8626, 8.8623) * CHOOSE( CONTROL!$C$15, $D$11, 100%, $F$11)</f>
        <v>8.8626000000000005</v>
      </c>
      <c r="F294" s="4">
        <f>CHOOSE( CONTROL!$C$32, 9.5284, 9.5281) * CHOOSE(CONTROL!$C$15, $D$11, 100%, $F$11)</f>
        <v>9.5283999999999995</v>
      </c>
      <c r="G294" s="8">
        <f>CHOOSE( CONTROL!$C$32, 8.7692, 8.7689) * CHOOSE( CONTROL!$C$15, $D$11, 100%, $F$11)</f>
        <v>8.7691999999999997</v>
      </c>
      <c r="H294" s="4">
        <f>CHOOSE( CONTROL!$C$32, 9.6634, 9.6631) * CHOOSE(CONTROL!$C$15, $D$11, 100%, $F$11)</f>
        <v>9.6633999999999993</v>
      </c>
      <c r="I294" s="8">
        <f>CHOOSE( CONTROL!$C$32, 8.7292, 8.729) * CHOOSE(CONTROL!$C$15, $D$11, 100%, $F$11)</f>
        <v>8.7292000000000005</v>
      </c>
      <c r="J294" s="4">
        <f>CHOOSE( CONTROL!$C$32, 8.5929, 8.5926) * CHOOSE(CONTROL!$C$15, $D$11, 100%, $F$11)</f>
        <v>8.5929000000000002</v>
      </c>
      <c r="K294" s="4"/>
      <c r="L294" s="9">
        <v>26.469899999999999</v>
      </c>
      <c r="M294" s="9">
        <v>10.8962</v>
      </c>
      <c r="N294" s="9">
        <v>4.4660000000000002</v>
      </c>
      <c r="O294" s="9">
        <v>0.33789999999999998</v>
      </c>
      <c r="P294" s="9">
        <v>1.1676</v>
      </c>
      <c r="Q294" s="9">
        <v>27.562100000000001</v>
      </c>
      <c r="R294" s="9"/>
      <c r="S294" s="11"/>
    </row>
    <row r="295" spans="1:19" ht="15.75">
      <c r="A295" s="14">
        <v>50100</v>
      </c>
      <c r="B295" s="8">
        <f>CHOOSE( CONTROL!$C$32, 8.6746, 8.6743) * CHOOSE(CONTROL!$C$15, $D$11, 100%, $F$11)</f>
        <v>8.6745999999999999</v>
      </c>
      <c r="C295" s="8">
        <f>CHOOSE( CONTROL!$C$32, 8.6797, 8.6794) * CHOOSE(CONTROL!$C$15, $D$11, 100%, $F$11)</f>
        <v>8.6797000000000004</v>
      </c>
      <c r="D295" s="8">
        <f>CHOOSE( CONTROL!$C$32, 8.667, 8.6667) * CHOOSE( CONTROL!$C$15, $D$11, 100%, $F$11)</f>
        <v>8.6669999999999998</v>
      </c>
      <c r="E295" s="12">
        <f>CHOOSE( CONTROL!$C$32, 8.6711, 8.6708) * CHOOSE( CONTROL!$C$15, $D$11, 100%, $F$11)</f>
        <v>8.6710999999999991</v>
      </c>
      <c r="F295" s="4">
        <f>CHOOSE( CONTROL!$C$32, 9.3399, 9.3396) * CHOOSE(CONTROL!$C$15, $D$11, 100%, $F$11)</f>
        <v>9.3399000000000001</v>
      </c>
      <c r="G295" s="8">
        <f>CHOOSE( CONTROL!$C$32, 8.5794, 8.5792) * CHOOSE( CONTROL!$C$15, $D$11, 100%, $F$11)</f>
        <v>8.5793999999999997</v>
      </c>
      <c r="H295" s="4">
        <f>CHOOSE( CONTROL!$C$32, 9.4771, 9.4769) * CHOOSE(CONTROL!$C$15, $D$11, 100%, $F$11)</f>
        <v>9.4771000000000001</v>
      </c>
      <c r="I295" s="8">
        <f>CHOOSE( CONTROL!$C$32, 8.5446, 8.5444) * CHOOSE(CONTROL!$C$15, $D$11, 100%, $F$11)</f>
        <v>8.5446000000000009</v>
      </c>
      <c r="J295" s="4">
        <f>CHOOSE( CONTROL!$C$32, 8.4099, 8.4097) * CHOOSE(CONTROL!$C$15, $D$11, 100%, $F$11)</f>
        <v>8.4099000000000004</v>
      </c>
      <c r="K295" s="4"/>
      <c r="L295" s="9">
        <v>29.306000000000001</v>
      </c>
      <c r="M295" s="9">
        <v>12.063700000000001</v>
      </c>
      <c r="N295" s="9">
        <v>4.9444999999999997</v>
      </c>
      <c r="O295" s="9">
        <v>0.37409999999999999</v>
      </c>
      <c r="P295" s="9">
        <v>1.2927</v>
      </c>
      <c r="Q295" s="9">
        <v>30.5152</v>
      </c>
      <c r="R295" s="9"/>
      <c r="S295" s="11"/>
    </row>
    <row r="296" spans="1:19" ht="15.75">
      <c r="A296" s="14">
        <v>50131</v>
      </c>
      <c r="B296" s="8">
        <f>CHOOSE( CONTROL!$C$32, 8.8071, 8.8068) * CHOOSE(CONTROL!$C$15, $D$11, 100%, $F$11)</f>
        <v>8.8071000000000002</v>
      </c>
      <c r="C296" s="8">
        <f>CHOOSE( CONTROL!$C$32, 8.8116, 8.8113) * CHOOSE(CONTROL!$C$15, $D$11, 100%, $F$11)</f>
        <v>8.8116000000000003</v>
      </c>
      <c r="D296" s="8">
        <f>CHOOSE( CONTROL!$C$32, 8.8164, 8.8162) * CHOOSE( CONTROL!$C$15, $D$11, 100%, $F$11)</f>
        <v>8.8163999999999998</v>
      </c>
      <c r="E296" s="12">
        <f>CHOOSE( CONTROL!$C$32, 8.8143, 8.8141) * CHOOSE( CONTROL!$C$15, $D$11, 100%, $F$11)</f>
        <v>8.8142999999999994</v>
      </c>
      <c r="F296" s="4">
        <f>CHOOSE( CONTROL!$C$32, 9.5112, 9.511) * CHOOSE(CONTROL!$C$15, $D$11, 100%, $F$11)</f>
        <v>9.5112000000000005</v>
      </c>
      <c r="G296" s="8">
        <f>CHOOSE( CONTROL!$C$32, 8.7154, 8.7151) * CHOOSE( CONTROL!$C$15, $D$11, 100%, $F$11)</f>
        <v>8.7154000000000007</v>
      </c>
      <c r="H296" s="4">
        <f>CHOOSE( CONTROL!$C$32, 9.6465, 9.6462) * CHOOSE(CONTROL!$C$15, $D$11, 100%, $F$11)</f>
        <v>9.6464999999999996</v>
      </c>
      <c r="I296" s="8">
        <f>CHOOSE( CONTROL!$C$32, 8.6467, 8.6465) * CHOOSE(CONTROL!$C$15, $D$11, 100%, $F$11)</f>
        <v>8.6466999999999992</v>
      </c>
      <c r="J296" s="4">
        <f>CHOOSE( CONTROL!$C$32, 8.5378, 8.5375) * CHOOSE(CONTROL!$C$15, $D$11, 100%, $F$11)</f>
        <v>8.5378000000000007</v>
      </c>
      <c r="K296" s="4"/>
      <c r="L296" s="9">
        <v>30.092199999999998</v>
      </c>
      <c r="M296" s="9">
        <v>11.6745</v>
      </c>
      <c r="N296" s="9">
        <v>4.7850000000000001</v>
      </c>
      <c r="O296" s="9">
        <v>0.36199999999999999</v>
      </c>
      <c r="P296" s="9">
        <v>1.2509999999999999</v>
      </c>
      <c r="Q296" s="9">
        <v>29.530799999999999</v>
      </c>
      <c r="R296" s="9"/>
      <c r="S296" s="11"/>
    </row>
    <row r="297" spans="1:19" ht="15.75">
      <c r="A297" s="14">
        <v>50161</v>
      </c>
      <c r="B297" s="8">
        <f>CHOOSE( CONTROL!$C$32, 9.043, 9.0426) * CHOOSE(CONTROL!$C$15, $D$11, 100%, $F$11)</f>
        <v>9.0429999999999993</v>
      </c>
      <c r="C297" s="8">
        <f>CHOOSE( CONTROL!$C$32, 9.051, 9.0505) * CHOOSE(CONTROL!$C$15, $D$11, 100%, $F$11)</f>
        <v>9.0510000000000002</v>
      </c>
      <c r="D297" s="8">
        <f>CHOOSE( CONTROL!$C$32, 9.0498, 9.0493) * CHOOSE( CONTROL!$C$15, $D$11, 100%, $F$11)</f>
        <v>9.0497999999999994</v>
      </c>
      <c r="E297" s="12">
        <f>CHOOSE( CONTROL!$C$32, 9.049, 9.0485) * CHOOSE( CONTROL!$C$15, $D$11, 100%, $F$11)</f>
        <v>9.0489999999999995</v>
      </c>
      <c r="F297" s="4">
        <f>CHOOSE( CONTROL!$C$32, 9.7458, 9.7454) * CHOOSE(CONTROL!$C$15, $D$11, 100%, $F$11)</f>
        <v>9.7457999999999991</v>
      </c>
      <c r="G297" s="8">
        <f>CHOOSE( CONTROL!$C$32, 8.947, 8.9466) * CHOOSE( CONTROL!$C$15, $D$11, 100%, $F$11)</f>
        <v>8.9469999999999992</v>
      </c>
      <c r="H297" s="4">
        <f>CHOOSE( CONTROL!$C$32, 9.8783, 9.8779) * CHOOSE(CONTROL!$C$15, $D$11, 100%, $F$11)</f>
        <v>9.8782999999999994</v>
      </c>
      <c r="I297" s="8">
        <f>CHOOSE( CONTROL!$C$32, 8.8737, 8.8732) * CHOOSE(CONTROL!$C$15, $D$11, 100%, $F$11)</f>
        <v>8.8736999999999995</v>
      </c>
      <c r="J297" s="4">
        <f>CHOOSE( CONTROL!$C$32, 8.7654, 8.765) * CHOOSE(CONTROL!$C$15, $D$11, 100%, $F$11)</f>
        <v>8.7653999999999996</v>
      </c>
      <c r="K297" s="4"/>
      <c r="L297" s="9">
        <v>30.7165</v>
      </c>
      <c r="M297" s="9">
        <v>12.063700000000001</v>
      </c>
      <c r="N297" s="9">
        <v>4.9444999999999997</v>
      </c>
      <c r="O297" s="9">
        <v>0.37409999999999999</v>
      </c>
      <c r="P297" s="9">
        <v>1.2927</v>
      </c>
      <c r="Q297" s="9">
        <v>30.5152</v>
      </c>
      <c r="R297" s="9"/>
      <c r="S297" s="11"/>
    </row>
    <row r="298" spans="1:19" ht="15.75">
      <c r="A298" s="14">
        <v>50192</v>
      </c>
      <c r="B298" s="8">
        <f>CHOOSE( CONTROL!$C$32, 8.8978, 8.8974) * CHOOSE(CONTROL!$C$15, $D$11, 100%, $F$11)</f>
        <v>8.8978000000000002</v>
      </c>
      <c r="C298" s="8">
        <f>CHOOSE( CONTROL!$C$32, 8.9058, 8.9053) * CHOOSE(CONTROL!$C$15, $D$11, 100%, $F$11)</f>
        <v>8.9057999999999993</v>
      </c>
      <c r="D298" s="8">
        <f>CHOOSE( CONTROL!$C$32, 8.9048, 8.9043) * CHOOSE( CONTROL!$C$15, $D$11, 100%, $F$11)</f>
        <v>8.9047999999999998</v>
      </c>
      <c r="E298" s="12">
        <f>CHOOSE( CONTROL!$C$32, 8.9039, 8.9035) * CHOOSE( CONTROL!$C$15, $D$11, 100%, $F$11)</f>
        <v>8.9039000000000001</v>
      </c>
      <c r="F298" s="4">
        <f>CHOOSE( CONTROL!$C$32, 9.6006, 9.6002) * CHOOSE(CONTROL!$C$15, $D$11, 100%, $F$11)</f>
        <v>9.6006</v>
      </c>
      <c r="G298" s="8">
        <f>CHOOSE( CONTROL!$C$32, 8.8037, 8.8032) * CHOOSE( CONTROL!$C$15, $D$11, 100%, $F$11)</f>
        <v>8.8036999999999992</v>
      </c>
      <c r="H298" s="4">
        <f>CHOOSE( CONTROL!$C$32, 9.7348, 9.7344) * CHOOSE(CONTROL!$C$15, $D$11, 100%, $F$11)</f>
        <v>9.7347999999999999</v>
      </c>
      <c r="I298" s="8">
        <f>CHOOSE( CONTROL!$C$32, 8.7333, 8.7329) * CHOOSE(CONTROL!$C$15, $D$11, 100%, $F$11)</f>
        <v>8.7332999999999998</v>
      </c>
      <c r="J298" s="4">
        <f>CHOOSE( CONTROL!$C$32, 8.6245, 8.6241) * CHOOSE(CONTROL!$C$15, $D$11, 100%, $F$11)</f>
        <v>8.6244999999999994</v>
      </c>
      <c r="K298" s="4"/>
      <c r="L298" s="9">
        <v>29.7257</v>
      </c>
      <c r="M298" s="9">
        <v>11.6745</v>
      </c>
      <c r="N298" s="9">
        <v>4.7850000000000001</v>
      </c>
      <c r="O298" s="9">
        <v>0.36199999999999999</v>
      </c>
      <c r="P298" s="9">
        <v>1.2509999999999999</v>
      </c>
      <c r="Q298" s="9">
        <v>29.530799999999999</v>
      </c>
      <c r="R298" s="9"/>
      <c r="S298" s="11"/>
    </row>
    <row r="299" spans="1:19" ht="15.75">
      <c r="A299" s="14">
        <v>50222</v>
      </c>
      <c r="B299" s="8">
        <f>CHOOSE( CONTROL!$C$32, 9.2802, 9.2797) * CHOOSE(CONTROL!$C$15, $D$11, 100%, $F$11)</f>
        <v>9.2802000000000007</v>
      </c>
      <c r="C299" s="8">
        <f>CHOOSE( CONTROL!$C$32, 9.2882, 9.2877) * CHOOSE(CONTROL!$C$15, $D$11, 100%, $F$11)</f>
        <v>9.2881999999999998</v>
      </c>
      <c r="D299" s="8">
        <f>CHOOSE( CONTROL!$C$32, 9.2874, 9.2869) * CHOOSE( CONTROL!$C$15, $D$11, 100%, $F$11)</f>
        <v>9.2873999999999999</v>
      </c>
      <c r="E299" s="12">
        <f>CHOOSE( CONTROL!$C$32, 9.2865, 9.286) * CHOOSE( CONTROL!$C$15, $D$11, 100%, $F$11)</f>
        <v>9.2865000000000002</v>
      </c>
      <c r="F299" s="4">
        <f>CHOOSE( CONTROL!$C$32, 9.983, 9.9825) * CHOOSE(CONTROL!$C$15, $D$11, 100%, $F$11)</f>
        <v>9.9830000000000005</v>
      </c>
      <c r="G299" s="8">
        <f>CHOOSE( CONTROL!$C$32, 9.1817, 9.1813) * CHOOSE( CONTROL!$C$15, $D$11, 100%, $F$11)</f>
        <v>9.1816999999999993</v>
      </c>
      <c r="H299" s="4">
        <f>CHOOSE( CONTROL!$C$32, 10.1127, 10.1123) * CHOOSE(CONTROL!$C$15, $D$11, 100%, $F$11)</f>
        <v>10.1127</v>
      </c>
      <c r="I299" s="8">
        <f>CHOOSE( CONTROL!$C$32, 9.1054, 9.105) * CHOOSE(CONTROL!$C$15, $D$11, 100%, $F$11)</f>
        <v>9.1053999999999995</v>
      </c>
      <c r="J299" s="4">
        <f>CHOOSE( CONTROL!$C$32, 8.9956, 8.9952) * CHOOSE(CONTROL!$C$15, $D$11, 100%, $F$11)</f>
        <v>8.9955999999999996</v>
      </c>
      <c r="K299" s="4"/>
      <c r="L299" s="9">
        <v>30.7165</v>
      </c>
      <c r="M299" s="9">
        <v>12.063700000000001</v>
      </c>
      <c r="N299" s="9">
        <v>4.9444999999999997</v>
      </c>
      <c r="O299" s="9">
        <v>0.37409999999999999</v>
      </c>
      <c r="P299" s="9">
        <v>1.2927</v>
      </c>
      <c r="Q299" s="9">
        <v>30.5152</v>
      </c>
      <c r="R299" s="9"/>
      <c r="S299" s="11"/>
    </row>
    <row r="300" spans="1:19" ht="15.75">
      <c r="A300" s="14">
        <v>50253</v>
      </c>
      <c r="B300" s="8">
        <f>CHOOSE( CONTROL!$C$32, 8.5647, 8.5643) * CHOOSE(CONTROL!$C$15, $D$11, 100%, $F$11)</f>
        <v>8.5647000000000002</v>
      </c>
      <c r="C300" s="8">
        <f>CHOOSE( CONTROL!$C$32, 8.5727, 8.5722) * CHOOSE(CONTROL!$C$15, $D$11, 100%, $F$11)</f>
        <v>8.5726999999999993</v>
      </c>
      <c r="D300" s="8">
        <f>CHOOSE( CONTROL!$C$32, 8.5719, 8.5715) * CHOOSE( CONTROL!$C$15, $D$11, 100%, $F$11)</f>
        <v>8.5718999999999994</v>
      </c>
      <c r="E300" s="12">
        <f>CHOOSE( CONTROL!$C$32, 8.571, 8.5705) * CHOOSE( CONTROL!$C$15, $D$11, 100%, $F$11)</f>
        <v>8.5709999999999997</v>
      </c>
      <c r="F300" s="4">
        <f>CHOOSE( CONTROL!$C$32, 9.2675, 9.2671) * CHOOSE(CONTROL!$C$15, $D$11, 100%, $F$11)</f>
        <v>9.2675000000000001</v>
      </c>
      <c r="G300" s="8">
        <f>CHOOSE( CONTROL!$C$32, 8.4747, 8.4743) * CHOOSE( CONTROL!$C$15, $D$11, 100%, $F$11)</f>
        <v>8.4747000000000003</v>
      </c>
      <c r="H300" s="4">
        <f>CHOOSE( CONTROL!$C$32, 9.4057, 9.4052) * CHOOSE(CONTROL!$C$15, $D$11, 100%, $F$11)</f>
        <v>9.4056999999999995</v>
      </c>
      <c r="I300" s="8">
        <f>CHOOSE( CONTROL!$C$32, 8.4109, 8.4105) * CHOOSE(CONTROL!$C$15, $D$11, 100%, $F$11)</f>
        <v>8.4108999999999998</v>
      </c>
      <c r="J300" s="4">
        <f>CHOOSE( CONTROL!$C$32, 8.3012, 8.3008) * CHOOSE(CONTROL!$C$15, $D$11, 100%, $F$11)</f>
        <v>8.3011999999999997</v>
      </c>
      <c r="K300" s="4"/>
      <c r="L300" s="9">
        <v>30.7165</v>
      </c>
      <c r="M300" s="9">
        <v>12.063700000000001</v>
      </c>
      <c r="N300" s="9">
        <v>4.9444999999999997</v>
      </c>
      <c r="O300" s="9">
        <v>0.37409999999999999</v>
      </c>
      <c r="P300" s="9">
        <v>1.2927</v>
      </c>
      <c r="Q300" s="9">
        <v>30.5152</v>
      </c>
      <c r="R300" s="9"/>
      <c r="S300" s="11"/>
    </row>
    <row r="301" spans="1:19" ht="15.75">
      <c r="A301" s="14">
        <v>50284</v>
      </c>
      <c r="B301" s="8">
        <f>CHOOSE( CONTROL!$C$32, 8.3856, 8.3851) * CHOOSE(CONTROL!$C$15, $D$11, 100%, $F$11)</f>
        <v>8.3856000000000002</v>
      </c>
      <c r="C301" s="8">
        <f>CHOOSE( CONTROL!$C$32, 8.3935, 8.3931) * CHOOSE(CONTROL!$C$15, $D$11, 100%, $F$11)</f>
        <v>8.3934999999999995</v>
      </c>
      <c r="D301" s="8">
        <f>CHOOSE( CONTROL!$C$32, 8.3926, 8.3922) * CHOOSE( CONTROL!$C$15, $D$11, 100%, $F$11)</f>
        <v>8.3925999999999998</v>
      </c>
      <c r="E301" s="12">
        <f>CHOOSE( CONTROL!$C$32, 8.3917, 8.3913) * CHOOSE( CONTROL!$C$15, $D$11, 100%, $F$11)</f>
        <v>8.3917000000000002</v>
      </c>
      <c r="F301" s="4">
        <f>CHOOSE( CONTROL!$C$32, 9.0884, 9.0879) * CHOOSE(CONTROL!$C$15, $D$11, 100%, $F$11)</f>
        <v>9.0884</v>
      </c>
      <c r="G301" s="8">
        <f>CHOOSE( CONTROL!$C$32, 8.2975, 8.2971) * CHOOSE( CONTROL!$C$15, $D$11, 100%, $F$11)</f>
        <v>8.2974999999999994</v>
      </c>
      <c r="H301" s="4">
        <f>CHOOSE( CONTROL!$C$32, 9.2286, 9.2281) * CHOOSE(CONTROL!$C$15, $D$11, 100%, $F$11)</f>
        <v>9.2286000000000001</v>
      </c>
      <c r="I301" s="8">
        <f>CHOOSE( CONTROL!$C$32, 8.2364, 8.236) * CHOOSE(CONTROL!$C$15, $D$11, 100%, $F$11)</f>
        <v>8.2363999999999997</v>
      </c>
      <c r="J301" s="4">
        <f>CHOOSE( CONTROL!$C$32, 8.1274, 8.1269) * CHOOSE(CONTROL!$C$15, $D$11, 100%, $F$11)</f>
        <v>8.1273999999999997</v>
      </c>
      <c r="K301" s="4"/>
      <c r="L301" s="9">
        <v>29.7257</v>
      </c>
      <c r="M301" s="9">
        <v>11.6745</v>
      </c>
      <c r="N301" s="9">
        <v>4.7850000000000001</v>
      </c>
      <c r="O301" s="9">
        <v>0.36199999999999999</v>
      </c>
      <c r="P301" s="9">
        <v>1.2509999999999999</v>
      </c>
      <c r="Q301" s="9">
        <v>29.530799999999999</v>
      </c>
      <c r="R301" s="9"/>
      <c r="S301" s="11"/>
    </row>
    <row r="302" spans="1:19" ht="15.75">
      <c r="A302" s="14">
        <v>50314</v>
      </c>
      <c r="B302" s="8">
        <f>CHOOSE( CONTROL!$C$32, 8.7557, 8.7554) * CHOOSE(CONTROL!$C$15, $D$11, 100%, $F$11)</f>
        <v>8.7556999999999992</v>
      </c>
      <c r="C302" s="8">
        <f>CHOOSE( CONTROL!$C$32, 8.761, 8.7607) * CHOOSE(CONTROL!$C$15, $D$11, 100%, $F$11)</f>
        <v>8.7609999999999992</v>
      </c>
      <c r="D302" s="8">
        <f>CHOOSE( CONTROL!$C$32, 8.7657, 8.7654) * CHOOSE( CONTROL!$C$15, $D$11, 100%, $F$11)</f>
        <v>8.7657000000000007</v>
      </c>
      <c r="E302" s="12">
        <f>CHOOSE( CONTROL!$C$32, 8.7636, 8.7633) * CHOOSE( CONTROL!$C$15, $D$11, 100%, $F$11)</f>
        <v>8.7636000000000003</v>
      </c>
      <c r="F302" s="4">
        <f>CHOOSE( CONTROL!$C$32, 9.4602, 9.4599) * CHOOSE(CONTROL!$C$15, $D$11, 100%, $F$11)</f>
        <v>9.4602000000000004</v>
      </c>
      <c r="G302" s="8">
        <f>CHOOSE( CONTROL!$C$32, 8.6652, 8.6649) * CHOOSE( CONTROL!$C$15, $D$11, 100%, $F$11)</f>
        <v>8.6652000000000005</v>
      </c>
      <c r="H302" s="4">
        <f>CHOOSE( CONTROL!$C$32, 9.5961, 9.5958) * CHOOSE(CONTROL!$C$15, $D$11, 100%, $F$11)</f>
        <v>9.5960999999999999</v>
      </c>
      <c r="I302" s="8">
        <f>CHOOSE( CONTROL!$C$32, 8.5983, 8.598) * CHOOSE(CONTROL!$C$15, $D$11, 100%, $F$11)</f>
        <v>8.5983000000000001</v>
      </c>
      <c r="J302" s="4">
        <f>CHOOSE( CONTROL!$C$32, 8.4882, 8.4879) * CHOOSE(CONTROL!$C$15, $D$11, 100%, $F$11)</f>
        <v>8.4882000000000009</v>
      </c>
      <c r="K302" s="4"/>
      <c r="L302" s="9">
        <v>31.095300000000002</v>
      </c>
      <c r="M302" s="9">
        <v>12.063700000000001</v>
      </c>
      <c r="N302" s="9">
        <v>4.9444999999999997</v>
      </c>
      <c r="O302" s="9">
        <v>0.37409999999999999</v>
      </c>
      <c r="P302" s="9">
        <v>1.2927</v>
      </c>
      <c r="Q302" s="9">
        <v>30.5152</v>
      </c>
      <c r="R302" s="9"/>
      <c r="S302" s="11"/>
    </row>
    <row r="303" spans="1:19" ht="15.75">
      <c r="A303" s="14">
        <v>50345</v>
      </c>
      <c r="B303" s="8">
        <f>CHOOSE( CONTROL!$C$32, 9.4419, 9.4416) * CHOOSE(CONTROL!$C$15, $D$11, 100%, $F$11)</f>
        <v>9.4419000000000004</v>
      </c>
      <c r="C303" s="8">
        <f>CHOOSE( CONTROL!$C$32, 9.447, 9.4467) * CHOOSE(CONTROL!$C$15, $D$11, 100%, $F$11)</f>
        <v>9.4469999999999992</v>
      </c>
      <c r="D303" s="8">
        <f>CHOOSE( CONTROL!$C$32, 9.4297, 9.4294) * CHOOSE( CONTROL!$C$15, $D$11, 100%, $F$11)</f>
        <v>9.4297000000000004</v>
      </c>
      <c r="E303" s="12">
        <f>CHOOSE( CONTROL!$C$32, 9.4355, 9.4352) * CHOOSE( CONTROL!$C$15, $D$11, 100%, $F$11)</f>
        <v>9.4354999999999993</v>
      </c>
      <c r="F303" s="4">
        <f>CHOOSE( CONTROL!$C$32, 10.1072, 10.1069) * CHOOSE(CONTROL!$C$15, $D$11, 100%, $F$11)</f>
        <v>10.107200000000001</v>
      </c>
      <c r="G303" s="8">
        <f>CHOOSE( CONTROL!$C$32, 9.3407, 9.3404) * CHOOSE( CONTROL!$C$15, $D$11, 100%, $F$11)</f>
        <v>9.3407</v>
      </c>
      <c r="H303" s="4">
        <f>CHOOSE( CONTROL!$C$32, 10.2354, 10.2352) * CHOOSE(CONTROL!$C$15, $D$11, 100%, $F$11)</f>
        <v>10.2354</v>
      </c>
      <c r="I303" s="8">
        <f>CHOOSE( CONTROL!$C$32, 9.3206, 9.3203) * CHOOSE(CONTROL!$C$15, $D$11, 100%, $F$11)</f>
        <v>9.3206000000000007</v>
      </c>
      <c r="J303" s="4">
        <f>CHOOSE( CONTROL!$C$32, 9.1546, 9.1543) * CHOOSE(CONTROL!$C$15, $D$11, 100%, $F$11)</f>
        <v>9.1546000000000003</v>
      </c>
      <c r="K303" s="4"/>
      <c r="L303" s="9">
        <v>28.360600000000002</v>
      </c>
      <c r="M303" s="9">
        <v>11.6745</v>
      </c>
      <c r="N303" s="9">
        <v>4.7850000000000001</v>
      </c>
      <c r="O303" s="9">
        <v>0.36199999999999999</v>
      </c>
      <c r="P303" s="9">
        <v>1.2509999999999999</v>
      </c>
      <c r="Q303" s="9">
        <v>29.530799999999999</v>
      </c>
      <c r="R303" s="9"/>
      <c r="S303" s="11"/>
    </row>
    <row r="304" spans="1:19" ht="15.75">
      <c r="A304" s="14">
        <v>50375</v>
      </c>
      <c r="B304" s="8">
        <f>CHOOSE( CONTROL!$C$32, 9.4247, 9.4245) * CHOOSE(CONTROL!$C$15, $D$11, 100%, $F$11)</f>
        <v>9.4246999999999996</v>
      </c>
      <c r="C304" s="8">
        <f>CHOOSE( CONTROL!$C$32, 9.4298, 9.4295) * CHOOSE(CONTROL!$C$15, $D$11, 100%, $F$11)</f>
        <v>9.4298000000000002</v>
      </c>
      <c r="D304" s="8">
        <f>CHOOSE( CONTROL!$C$32, 9.4143, 9.414) * CHOOSE( CONTROL!$C$15, $D$11, 100%, $F$11)</f>
        <v>9.4143000000000008</v>
      </c>
      <c r="E304" s="12">
        <f>CHOOSE( CONTROL!$C$32, 9.4194, 9.4191) * CHOOSE( CONTROL!$C$15, $D$11, 100%, $F$11)</f>
        <v>9.4193999999999996</v>
      </c>
      <c r="F304" s="4">
        <f>CHOOSE( CONTROL!$C$32, 10.09, 10.0897) * CHOOSE(CONTROL!$C$15, $D$11, 100%, $F$11)</f>
        <v>10.09</v>
      </c>
      <c r="G304" s="8">
        <f>CHOOSE( CONTROL!$C$32, 9.325, 9.3247) * CHOOSE( CONTROL!$C$15, $D$11, 100%, $F$11)</f>
        <v>9.3249999999999993</v>
      </c>
      <c r="H304" s="4">
        <f>CHOOSE( CONTROL!$C$32, 10.2185, 10.2182) * CHOOSE(CONTROL!$C$15, $D$11, 100%, $F$11)</f>
        <v>10.218500000000001</v>
      </c>
      <c r="I304" s="8">
        <f>CHOOSE( CONTROL!$C$32, 9.3095, 9.3093) * CHOOSE(CONTROL!$C$15, $D$11, 100%, $F$11)</f>
        <v>9.3094999999999999</v>
      </c>
      <c r="J304" s="4">
        <f>CHOOSE( CONTROL!$C$32, 9.1379, 9.1377) * CHOOSE(CONTROL!$C$15, $D$11, 100%, $F$11)</f>
        <v>9.1379000000000001</v>
      </c>
      <c r="K304" s="4"/>
      <c r="L304" s="9">
        <v>29.306000000000001</v>
      </c>
      <c r="M304" s="9">
        <v>12.063700000000001</v>
      </c>
      <c r="N304" s="9">
        <v>4.9444999999999997</v>
      </c>
      <c r="O304" s="9">
        <v>0.37409999999999999</v>
      </c>
      <c r="P304" s="9">
        <v>1.2927</v>
      </c>
      <c r="Q304" s="9">
        <v>30.5152</v>
      </c>
      <c r="R304" s="9"/>
      <c r="S304" s="11"/>
    </row>
    <row r="305" spans="1:19" ht="15.75">
      <c r="A305" s="13">
        <v>50436</v>
      </c>
      <c r="B305" s="8">
        <f>CHOOSE( CONTROL!$C$32, 9.7025, 9.7022) * CHOOSE(CONTROL!$C$15, $D$11, 100%, $F$11)</f>
        <v>9.7025000000000006</v>
      </c>
      <c r="C305" s="8">
        <f>CHOOSE( CONTROL!$C$32, 9.7075, 9.7073) * CHOOSE(CONTROL!$C$15, $D$11, 100%, $F$11)</f>
        <v>9.7074999999999996</v>
      </c>
      <c r="D305" s="8">
        <f>CHOOSE( CONTROL!$C$32, 9.698, 9.6977) * CHOOSE( CONTROL!$C$15, $D$11, 100%, $F$11)</f>
        <v>9.6980000000000004</v>
      </c>
      <c r="E305" s="12">
        <f>CHOOSE( CONTROL!$C$32, 9.7009, 9.7007) * CHOOSE( CONTROL!$C$15, $D$11, 100%, $F$11)</f>
        <v>9.7009000000000007</v>
      </c>
      <c r="F305" s="4">
        <f>CHOOSE( CONTROL!$C$32, 10.3677, 10.3675) * CHOOSE(CONTROL!$C$15, $D$11, 100%, $F$11)</f>
        <v>10.367699999999999</v>
      </c>
      <c r="G305" s="8">
        <f>CHOOSE( CONTROL!$C$32, 9.6002, 9.5999) * CHOOSE( CONTROL!$C$15, $D$11, 100%, $F$11)</f>
        <v>9.6001999999999992</v>
      </c>
      <c r="H305" s="4">
        <f>CHOOSE( CONTROL!$C$32, 10.493, 10.4927) * CHOOSE(CONTROL!$C$15, $D$11, 100%, $F$11)</f>
        <v>10.493</v>
      </c>
      <c r="I305" s="8">
        <f>CHOOSE( CONTROL!$C$32, 9.5597, 9.5594) * CHOOSE(CONTROL!$C$15, $D$11, 100%, $F$11)</f>
        <v>9.5596999999999994</v>
      </c>
      <c r="J305" s="4">
        <f>CHOOSE( CONTROL!$C$32, 9.4075, 9.4072) * CHOOSE(CONTROL!$C$15, $D$11, 100%, $F$11)</f>
        <v>9.4075000000000006</v>
      </c>
      <c r="K305" s="4"/>
      <c r="L305" s="9">
        <v>29.306000000000001</v>
      </c>
      <c r="M305" s="9">
        <v>12.063700000000001</v>
      </c>
      <c r="N305" s="9">
        <v>4.9444999999999997</v>
      </c>
      <c r="O305" s="9">
        <v>0.37409999999999999</v>
      </c>
      <c r="P305" s="9">
        <v>1.2927</v>
      </c>
      <c r="Q305" s="9">
        <v>30.451899999999998</v>
      </c>
      <c r="R305" s="9"/>
      <c r="S305" s="11"/>
    </row>
    <row r="306" spans="1:19" ht="15.75">
      <c r="A306" s="13">
        <v>50464</v>
      </c>
      <c r="B306" s="8">
        <f>CHOOSE( CONTROL!$C$32, 9.0758, 9.0755) * CHOOSE(CONTROL!$C$15, $D$11, 100%, $F$11)</f>
        <v>9.0757999999999992</v>
      </c>
      <c r="C306" s="8">
        <f>CHOOSE( CONTROL!$C$32, 9.0809, 9.0806) * CHOOSE(CONTROL!$C$15, $D$11, 100%, $F$11)</f>
        <v>9.0808999999999997</v>
      </c>
      <c r="D306" s="8">
        <f>CHOOSE( CONTROL!$C$32, 9.073, 9.0727) * CHOOSE( CONTROL!$C$15, $D$11, 100%, $F$11)</f>
        <v>9.0730000000000004</v>
      </c>
      <c r="E306" s="12">
        <f>CHOOSE( CONTROL!$C$32, 9.0753, 9.075) * CHOOSE( CONTROL!$C$15, $D$11, 100%, $F$11)</f>
        <v>9.0753000000000004</v>
      </c>
      <c r="F306" s="4">
        <f>CHOOSE( CONTROL!$C$32, 9.7411, 9.7408) * CHOOSE(CONTROL!$C$15, $D$11, 100%, $F$11)</f>
        <v>9.7410999999999994</v>
      </c>
      <c r="G306" s="8">
        <f>CHOOSE( CONTROL!$C$32, 8.9794, 8.9791) * CHOOSE( CONTROL!$C$15, $D$11, 100%, $F$11)</f>
        <v>8.9794</v>
      </c>
      <c r="H306" s="4">
        <f>CHOOSE( CONTROL!$C$32, 9.8737, 9.8734) * CHOOSE(CONTROL!$C$15, $D$11, 100%, $F$11)</f>
        <v>9.8736999999999995</v>
      </c>
      <c r="I306" s="8">
        <f>CHOOSE( CONTROL!$C$32, 8.9358, 8.9355) * CHOOSE(CONTROL!$C$15, $D$11, 100%, $F$11)</f>
        <v>8.9358000000000004</v>
      </c>
      <c r="J306" s="4">
        <f>CHOOSE( CONTROL!$C$32, 8.7993, 8.799) * CHOOSE(CONTROL!$C$15, $D$11, 100%, $F$11)</f>
        <v>8.7993000000000006</v>
      </c>
      <c r="K306" s="4"/>
      <c r="L306" s="9">
        <v>26.469899999999999</v>
      </c>
      <c r="M306" s="9">
        <v>10.8962</v>
      </c>
      <c r="N306" s="9">
        <v>4.4660000000000002</v>
      </c>
      <c r="O306" s="9">
        <v>0.33789999999999998</v>
      </c>
      <c r="P306" s="9">
        <v>1.1676</v>
      </c>
      <c r="Q306" s="9">
        <v>27.504999999999999</v>
      </c>
      <c r="R306" s="9"/>
      <c r="S306" s="11"/>
    </row>
    <row r="307" spans="1:19" ht="15.75">
      <c r="A307" s="13">
        <v>50495</v>
      </c>
      <c r="B307" s="8">
        <f>CHOOSE( CONTROL!$C$32, 8.8828, 8.8825) * CHOOSE(CONTROL!$C$15, $D$11, 100%, $F$11)</f>
        <v>8.8827999999999996</v>
      </c>
      <c r="C307" s="8">
        <f>CHOOSE( CONTROL!$C$32, 8.8879, 8.8876) * CHOOSE(CONTROL!$C$15, $D$11, 100%, $F$11)</f>
        <v>8.8879000000000001</v>
      </c>
      <c r="D307" s="8">
        <f>CHOOSE( CONTROL!$C$32, 8.8752, 8.8749) * CHOOSE( CONTROL!$C$15, $D$11, 100%, $F$11)</f>
        <v>8.8751999999999995</v>
      </c>
      <c r="E307" s="12">
        <f>CHOOSE( CONTROL!$C$32, 8.8793, 8.879) * CHOOSE( CONTROL!$C$15, $D$11, 100%, $F$11)</f>
        <v>8.8793000000000006</v>
      </c>
      <c r="F307" s="4">
        <f>CHOOSE( CONTROL!$C$32, 9.5481, 9.5478) * CHOOSE(CONTROL!$C$15, $D$11, 100%, $F$11)</f>
        <v>9.5480999999999998</v>
      </c>
      <c r="G307" s="8">
        <f>CHOOSE( CONTROL!$C$32, 8.7852, 8.7849) * CHOOSE( CONTROL!$C$15, $D$11, 100%, $F$11)</f>
        <v>8.7851999999999997</v>
      </c>
      <c r="H307" s="4">
        <f>CHOOSE( CONTROL!$C$32, 9.6829, 9.6826) * CHOOSE(CONTROL!$C$15, $D$11, 100%, $F$11)</f>
        <v>9.6829000000000001</v>
      </c>
      <c r="I307" s="8">
        <f>CHOOSE( CONTROL!$C$32, 8.7468, 8.7465) * CHOOSE(CONTROL!$C$15, $D$11, 100%, $F$11)</f>
        <v>8.7468000000000004</v>
      </c>
      <c r="J307" s="4">
        <f>CHOOSE( CONTROL!$C$32, 8.612, 8.6117) * CHOOSE(CONTROL!$C$15, $D$11, 100%, $F$11)</f>
        <v>8.6120000000000001</v>
      </c>
      <c r="K307" s="4"/>
      <c r="L307" s="9">
        <v>29.306000000000001</v>
      </c>
      <c r="M307" s="9">
        <v>12.063700000000001</v>
      </c>
      <c r="N307" s="9">
        <v>4.9444999999999997</v>
      </c>
      <c r="O307" s="9">
        <v>0.37409999999999999</v>
      </c>
      <c r="P307" s="9">
        <v>1.2927</v>
      </c>
      <c r="Q307" s="9">
        <v>30.451899999999998</v>
      </c>
      <c r="R307" s="9"/>
      <c r="S307" s="11"/>
    </row>
    <row r="308" spans="1:19" ht="15.75">
      <c r="A308" s="13">
        <v>50525</v>
      </c>
      <c r="B308" s="8">
        <f>CHOOSE( CONTROL!$C$32, 9.0184, 9.0182) * CHOOSE(CONTROL!$C$15, $D$11, 100%, $F$11)</f>
        <v>9.0183999999999997</v>
      </c>
      <c r="C308" s="8">
        <f>CHOOSE( CONTROL!$C$32, 9.0229, 9.0227) * CHOOSE(CONTROL!$C$15, $D$11, 100%, $F$11)</f>
        <v>9.0228999999999999</v>
      </c>
      <c r="D308" s="8">
        <f>CHOOSE( CONTROL!$C$32, 9.0278, 9.0275) * CHOOSE( CONTROL!$C$15, $D$11, 100%, $F$11)</f>
        <v>9.0277999999999992</v>
      </c>
      <c r="E308" s="12">
        <f>CHOOSE( CONTROL!$C$32, 9.0257, 9.0254) * CHOOSE( CONTROL!$C$15, $D$11, 100%, $F$11)</f>
        <v>9.0257000000000005</v>
      </c>
      <c r="F308" s="4">
        <f>CHOOSE( CONTROL!$C$32, 9.7226, 9.7223) * CHOOSE(CONTROL!$C$15, $D$11, 100%, $F$11)</f>
        <v>9.7225999999999999</v>
      </c>
      <c r="G308" s="8">
        <f>CHOOSE( CONTROL!$C$32, 8.9243, 8.924) * CHOOSE( CONTROL!$C$15, $D$11, 100%, $F$11)</f>
        <v>8.9243000000000006</v>
      </c>
      <c r="H308" s="4">
        <f>CHOOSE( CONTROL!$C$32, 9.8554, 9.8551) * CHOOSE(CONTROL!$C$15, $D$11, 100%, $F$11)</f>
        <v>9.8553999999999995</v>
      </c>
      <c r="I308" s="8">
        <f>CHOOSE( CONTROL!$C$32, 8.852, 8.8517) * CHOOSE(CONTROL!$C$15, $D$11, 100%, $F$11)</f>
        <v>8.8520000000000003</v>
      </c>
      <c r="J308" s="4">
        <f>CHOOSE( CONTROL!$C$32, 8.7429, 8.7426) * CHOOSE(CONTROL!$C$15, $D$11, 100%, $F$11)</f>
        <v>8.7429000000000006</v>
      </c>
      <c r="K308" s="4"/>
      <c r="L308" s="9">
        <v>30.092199999999998</v>
      </c>
      <c r="M308" s="9">
        <v>11.6745</v>
      </c>
      <c r="N308" s="9">
        <v>4.7850000000000001</v>
      </c>
      <c r="O308" s="9">
        <v>0.36199999999999999</v>
      </c>
      <c r="P308" s="9">
        <v>1.2509999999999999</v>
      </c>
      <c r="Q308" s="9">
        <v>29.4696</v>
      </c>
      <c r="R308" s="9"/>
      <c r="S308" s="11"/>
    </row>
    <row r="309" spans="1:19" ht="15.75">
      <c r="A309" s="13">
        <v>50556</v>
      </c>
      <c r="B309" s="8">
        <f>CHOOSE( CONTROL!$C$32, 9.26, 9.2596) * CHOOSE(CONTROL!$C$15, $D$11, 100%, $F$11)</f>
        <v>9.26</v>
      </c>
      <c r="C309" s="8">
        <f>CHOOSE( CONTROL!$C$32, 9.268, 9.2675) * CHOOSE(CONTROL!$C$15, $D$11, 100%, $F$11)</f>
        <v>9.2680000000000007</v>
      </c>
      <c r="D309" s="8">
        <f>CHOOSE( CONTROL!$C$32, 9.2668, 9.2663) * CHOOSE( CONTROL!$C$15, $D$11, 100%, $F$11)</f>
        <v>9.2667999999999999</v>
      </c>
      <c r="E309" s="12">
        <f>CHOOSE( CONTROL!$C$32, 9.266, 9.2655) * CHOOSE( CONTROL!$C$15, $D$11, 100%, $F$11)</f>
        <v>9.266</v>
      </c>
      <c r="F309" s="4">
        <f>CHOOSE( CONTROL!$C$32, 9.9628, 9.9624) * CHOOSE(CONTROL!$C$15, $D$11, 100%, $F$11)</f>
        <v>9.9627999999999997</v>
      </c>
      <c r="G309" s="8">
        <f>CHOOSE( CONTROL!$C$32, 9.1615, 9.161) * CHOOSE( CONTROL!$C$15, $D$11, 100%, $F$11)</f>
        <v>9.1615000000000002</v>
      </c>
      <c r="H309" s="4">
        <f>CHOOSE( CONTROL!$C$32, 10.0928, 10.0924) * CHOOSE(CONTROL!$C$15, $D$11, 100%, $F$11)</f>
        <v>10.0928</v>
      </c>
      <c r="I309" s="8">
        <f>CHOOSE( CONTROL!$C$32, 9.0844, 9.0839) * CHOOSE(CONTROL!$C$15, $D$11, 100%, $F$11)</f>
        <v>9.0844000000000005</v>
      </c>
      <c r="J309" s="4">
        <f>CHOOSE( CONTROL!$C$32, 8.976, 8.9756) * CHOOSE(CONTROL!$C$15, $D$11, 100%, $F$11)</f>
        <v>8.9760000000000009</v>
      </c>
      <c r="K309" s="4"/>
      <c r="L309" s="9">
        <v>30.7165</v>
      </c>
      <c r="M309" s="9">
        <v>12.063700000000001</v>
      </c>
      <c r="N309" s="9">
        <v>4.9444999999999997</v>
      </c>
      <c r="O309" s="9">
        <v>0.37409999999999999</v>
      </c>
      <c r="P309" s="9">
        <v>1.2927</v>
      </c>
      <c r="Q309" s="9">
        <v>30.451899999999998</v>
      </c>
      <c r="R309" s="9"/>
      <c r="S309" s="11"/>
    </row>
    <row r="310" spans="1:19" ht="15.75">
      <c r="A310" s="13">
        <v>50586</v>
      </c>
      <c r="B310" s="8">
        <f>CHOOSE( CONTROL!$C$32, 9.1113, 9.1109) * CHOOSE(CONTROL!$C$15, $D$11, 100%, $F$11)</f>
        <v>9.1113</v>
      </c>
      <c r="C310" s="8">
        <f>CHOOSE( CONTROL!$C$32, 9.1193, 9.1188) * CHOOSE(CONTROL!$C$15, $D$11, 100%, $F$11)</f>
        <v>9.1193000000000008</v>
      </c>
      <c r="D310" s="8">
        <f>CHOOSE( CONTROL!$C$32, 9.1183, 9.1178) * CHOOSE( CONTROL!$C$15, $D$11, 100%, $F$11)</f>
        <v>9.1182999999999996</v>
      </c>
      <c r="E310" s="12">
        <f>CHOOSE( CONTROL!$C$32, 9.1174, 9.117) * CHOOSE( CONTROL!$C$15, $D$11, 100%, $F$11)</f>
        <v>9.1173999999999999</v>
      </c>
      <c r="F310" s="4">
        <f>CHOOSE( CONTROL!$C$32, 9.8141, 9.8137) * CHOOSE(CONTROL!$C$15, $D$11, 100%, $F$11)</f>
        <v>9.8140999999999998</v>
      </c>
      <c r="G310" s="8">
        <f>CHOOSE( CONTROL!$C$32, 9.0147, 9.0142) * CHOOSE( CONTROL!$C$15, $D$11, 100%, $F$11)</f>
        <v>9.0146999999999995</v>
      </c>
      <c r="H310" s="4">
        <f>CHOOSE( CONTROL!$C$32, 9.9459, 9.9454) * CHOOSE(CONTROL!$C$15, $D$11, 100%, $F$11)</f>
        <v>9.9459</v>
      </c>
      <c r="I310" s="8">
        <f>CHOOSE( CONTROL!$C$32, 8.9407, 8.9402) * CHOOSE(CONTROL!$C$15, $D$11, 100%, $F$11)</f>
        <v>8.9406999999999996</v>
      </c>
      <c r="J310" s="4">
        <f>CHOOSE( CONTROL!$C$32, 8.8317, 8.8313) * CHOOSE(CONTROL!$C$15, $D$11, 100%, $F$11)</f>
        <v>8.8316999999999997</v>
      </c>
      <c r="K310" s="4"/>
      <c r="L310" s="9">
        <v>29.7257</v>
      </c>
      <c r="M310" s="9">
        <v>11.6745</v>
      </c>
      <c r="N310" s="9">
        <v>4.7850000000000001</v>
      </c>
      <c r="O310" s="9">
        <v>0.36199999999999999</v>
      </c>
      <c r="P310" s="9">
        <v>1.2509999999999999</v>
      </c>
      <c r="Q310" s="9">
        <v>29.4696</v>
      </c>
      <c r="R310" s="9"/>
      <c r="S310" s="11"/>
    </row>
    <row r="311" spans="1:19" ht="15.75">
      <c r="A311" s="13">
        <v>50617</v>
      </c>
      <c r="B311" s="8">
        <f>CHOOSE( CONTROL!$C$32, 9.5029, 9.5024) * CHOOSE(CONTROL!$C$15, $D$11, 100%, $F$11)</f>
        <v>9.5029000000000003</v>
      </c>
      <c r="C311" s="8">
        <f>CHOOSE( CONTROL!$C$32, 9.5109, 9.5104) * CHOOSE(CONTROL!$C$15, $D$11, 100%, $F$11)</f>
        <v>9.5108999999999995</v>
      </c>
      <c r="D311" s="8">
        <f>CHOOSE( CONTROL!$C$32, 9.5101, 9.5096) * CHOOSE( CONTROL!$C$15, $D$11, 100%, $F$11)</f>
        <v>9.5100999999999996</v>
      </c>
      <c r="E311" s="12">
        <f>CHOOSE( CONTROL!$C$32, 9.5092, 9.5087) * CHOOSE( CONTROL!$C$15, $D$11, 100%, $F$11)</f>
        <v>9.5091999999999999</v>
      </c>
      <c r="F311" s="4">
        <f>CHOOSE( CONTROL!$C$32, 10.2057, 10.2052) * CHOOSE(CONTROL!$C$15, $D$11, 100%, $F$11)</f>
        <v>10.2057</v>
      </c>
      <c r="G311" s="8">
        <f>CHOOSE( CONTROL!$C$32, 9.4018, 9.4014) * CHOOSE( CONTROL!$C$15, $D$11, 100%, $F$11)</f>
        <v>9.4017999999999997</v>
      </c>
      <c r="H311" s="4">
        <f>CHOOSE( CONTROL!$C$32, 10.3328, 10.3324) * CHOOSE(CONTROL!$C$15, $D$11, 100%, $F$11)</f>
        <v>10.332800000000001</v>
      </c>
      <c r="I311" s="8">
        <f>CHOOSE( CONTROL!$C$32, 9.3216, 9.3212) * CHOOSE(CONTROL!$C$15, $D$11, 100%, $F$11)</f>
        <v>9.3216000000000001</v>
      </c>
      <c r="J311" s="4">
        <f>CHOOSE( CONTROL!$C$32, 9.2117, 9.2113) * CHOOSE(CONTROL!$C$15, $D$11, 100%, $F$11)</f>
        <v>9.2117000000000004</v>
      </c>
      <c r="K311" s="4"/>
      <c r="L311" s="9">
        <v>30.7165</v>
      </c>
      <c r="M311" s="9">
        <v>12.063700000000001</v>
      </c>
      <c r="N311" s="9">
        <v>4.9444999999999997</v>
      </c>
      <c r="O311" s="9">
        <v>0.37409999999999999</v>
      </c>
      <c r="P311" s="9">
        <v>1.2927</v>
      </c>
      <c r="Q311" s="9">
        <v>30.451899999999998</v>
      </c>
      <c r="R311" s="9"/>
      <c r="S311" s="11"/>
    </row>
    <row r="312" spans="1:19" ht="15.75">
      <c r="A312" s="13">
        <v>50648</v>
      </c>
      <c r="B312" s="8">
        <f>CHOOSE( CONTROL!$C$32, 8.7702, 8.7698) * CHOOSE(CONTROL!$C$15, $D$11, 100%, $F$11)</f>
        <v>8.7702000000000009</v>
      </c>
      <c r="C312" s="8">
        <f>CHOOSE( CONTROL!$C$32, 8.7782, 8.7777) * CHOOSE(CONTROL!$C$15, $D$11, 100%, $F$11)</f>
        <v>8.7782</v>
      </c>
      <c r="D312" s="8">
        <f>CHOOSE( CONTROL!$C$32, 8.7775, 8.777) * CHOOSE( CONTROL!$C$15, $D$11, 100%, $F$11)</f>
        <v>8.7774999999999999</v>
      </c>
      <c r="E312" s="12">
        <f>CHOOSE( CONTROL!$C$32, 8.7765, 8.776) * CHOOSE( CONTROL!$C$15, $D$11, 100%, $F$11)</f>
        <v>8.7765000000000004</v>
      </c>
      <c r="F312" s="4">
        <f>CHOOSE( CONTROL!$C$32, 9.473, 9.4726) * CHOOSE(CONTROL!$C$15, $D$11, 100%, $F$11)</f>
        <v>9.4730000000000008</v>
      </c>
      <c r="G312" s="8">
        <f>CHOOSE( CONTROL!$C$32, 8.6778, 8.6774) * CHOOSE( CONTROL!$C$15, $D$11, 100%, $F$11)</f>
        <v>8.6777999999999995</v>
      </c>
      <c r="H312" s="4">
        <f>CHOOSE( CONTROL!$C$32, 9.6088, 9.6083) * CHOOSE(CONTROL!$C$15, $D$11, 100%, $F$11)</f>
        <v>9.6088000000000005</v>
      </c>
      <c r="I312" s="8">
        <f>CHOOSE( CONTROL!$C$32, 8.6104, 8.61) * CHOOSE(CONTROL!$C$15, $D$11, 100%, $F$11)</f>
        <v>8.6104000000000003</v>
      </c>
      <c r="J312" s="4">
        <f>CHOOSE( CONTROL!$C$32, 8.5007, 8.5002) * CHOOSE(CONTROL!$C$15, $D$11, 100%, $F$11)</f>
        <v>8.5007000000000001</v>
      </c>
      <c r="K312" s="4"/>
      <c r="L312" s="9">
        <v>30.7165</v>
      </c>
      <c r="M312" s="9">
        <v>12.063700000000001</v>
      </c>
      <c r="N312" s="9">
        <v>4.9444999999999997</v>
      </c>
      <c r="O312" s="9">
        <v>0.37409999999999999</v>
      </c>
      <c r="P312" s="9">
        <v>1.2927</v>
      </c>
      <c r="Q312" s="9">
        <v>30.451899999999998</v>
      </c>
      <c r="R312" s="9"/>
      <c r="S312" s="11"/>
    </row>
    <row r="313" spans="1:19" ht="15.75">
      <c r="A313" s="13">
        <v>50678</v>
      </c>
      <c r="B313" s="8">
        <f>CHOOSE( CONTROL!$C$32, 8.5868, 8.5863) * CHOOSE(CONTROL!$C$15, $D$11, 100%, $F$11)</f>
        <v>8.5868000000000002</v>
      </c>
      <c r="C313" s="8">
        <f>CHOOSE( CONTROL!$C$32, 8.5947, 8.5943) * CHOOSE(CONTROL!$C$15, $D$11, 100%, $F$11)</f>
        <v>8.5946999999999996</v>
      </c>
      <c r="D313" s="8">
        <f>CHOOSE( CONTROL!$C$32, 8.5938, 8.5934) * CHOOSE( CONTROL!$C$15, $D$11, 100%, $F$11)</f>
        <v>8.5937999999999999</v>
      </c>
      <c r="E313" s="12">
        <f>CHOOSE( CONTROL!$C$32, 8.5929, 8.5925) * CHOOSE( CONTROL!$C$15, $D$11, 100%, $F$11)</f>
        <v>8.5929000000000002</v>
      </c>
      <c r="F313" s="4">
        <f>CHOOSE( CONTROL!$C$32, 9.2896, 9.2891) * CHOOSE(CONTROL!$C$15, $D$11, 100%, $F$11)</f>
        <v>9.2896000000000001</v>
      </c>
      <c r="G313" s="8">
        <f>CHOOSE( CONTROL!$C$32, 8.4964, 8.4959) * CHOOSE( CONTROL!$C$15, $D$11, 100%, $F$11)</f>
        <v>8.4963999999999995</v>
      </c>
      <c r="H313" s="4">
        <f>CHOOSE( CONTROL!$C$32, 9.4274, 9.427) * CHOOSE(CONTROL!$C$15, $D$11, 100%, $F$11)</f>
        <v>9.4274000000000004</v>
      </c>
      <c r="I313" s="8">
        <f>CHOOSE( CONTROL!$C$32, 8.4318, 8.4313) * CHOOSE(CONTROL!$C$15, $D$11, 100%, $F$11)</f>
        <v>8.4318000000000008</v>
      </c>
      <c r="J313" s="4">
        <f>CHOOSE( CONTROL!$C$32, 8.3226, 8.3222) * CHOOSE(CONTROL!$C$15, $D$11, 100%, $F$11)</f>
        <v>8.3225999999999996</v>
      </c>
      <c r="K313" s="4"/>
      <c r="L313" s="9">
        <v>29.7257</v>
      </c>
      <c r="M313" s="9">
        <v>11.6745</v>
      </c>
      <c r="N313" s="9">
        <v>4.7850000000000001</v>
      </c>
      <c r="O313" s="9">
        <v>0.36199999999999999</v>
      </c>
      <c r="P313" s="9">
        <v>1.2509999999999999</v>
      </c>
      <c r="Q313" s="9">
        <v>29.4696</v>
      </c>
      <c r="R313" s="9"/>
      <c r="S313" s="11"/>
    </row>
    <row r="314" spans="1:19" ht="15.75">
      <c r="A314" s="13">
        <v>50709</v>
      </c>
      <c r="B314" s="8">
        <f>CHOOSE( CONTROL!$C$32, 8.9658, 8.9655) * CHOOSE(CONTROL!$C$15, $D$11, 100%, $F$11)</f>
        <v>8.9657999999999998</v>
      </c>
      <c r="C314" s="8">
        <f>CHOOSE( CONTROL!$C$32, 8.9711, 8.9708) * CHOOSE(CONTROL!$C$15, $D$11, 100%, $F$11)</f>
        <v>8.9710999999999999</v>
      </c>
      <c r="D314" s="8">
        <f>CHOOSE( CONTROL!$C$32, 8.9758, 8.9756) * CHOOSE( CONTROL!$C$15, $D$11, 100%, $F$11)</f>
        <v>8.9757999999999996</v>
      </c>
      <c r="E314" s="12">
        <f>CHOOSE( CONTROL!$C$32, 8.9737, 8.9735) * CHOOSE( CONTROL!$C$15, $D$11, 100%, $F$11)</f>
        <v>8.9736999999999991</v>
      </c>
      <c r="F314" s="4">
        <f>CHOOSE( CONTROL!$C$32, 9.6703, 9.6701) * CHOOSE(CONTROL!$C$15, $D$11, 100%, $F$11)</f>
        <v>9.6702999999999992</v>
      </c>
      <c r="G314" s="8">
        <f>CHOOSE( CONTROL!$C$32, 8.8728, 8.8726) * CHOOSE( CONTROL!$C$15, $D$11, 100%, $F$11)</f>
        <v>8.8727999999999998</v>
      </c>
      <c r="H314" s="4">
        <f>CHOOSE( CONTROL!$C$32, 9.8037, 9.8035) * CHOOSE(CONTROL!$C$15, $D$11, 100%, $F$11)</f>
        <v>9.8036999999999992</v>
      </c>
      <c r="I314" s="8">
        <f>CHOOSE( CONTROL!$C$32, 8.8023, 8.802) * CHOOSE(CONTROL!$C$15, $D$11, 100%, $F$11)</f>
        <v>8.8023000000000007</v>
      </c>
      <c r="J314" s="4">
        <f>CHOOSE( CONTROL!$C$32, 8.6922, 8.6919) * CHOOSE(CONTROL!$C$15, $D$11, 100%, $F$11)</f>
        <v>8.6921999999999997</v>
      </c>
      <c r="K314" s="4"/>
      <c r="L314" s="9">
        <v>31.095300000000002</v>
      </c>
      <c r="M314" s="9">
        <v>12.063700000000001</v>
      </c>
      <c r="N314" s="9">
        <v>4.9444999999999997</v>
      </c>
      <c r="O314" s="9">
        <v>0.37409999999999999</v>
      </c>
      <c r="P314" s="9">
        <v>1.2927</v>
      </c>
      <c r="Q314" s="9">
        <v>30.451899999999998</v>
      </c>
      <c r="R314" s="9"/>
      <c r="S314" s="11"/>
    </row>
    <row r="315" spans="1:19" ht="15.75">
      <c r="A315" s="13">
        <v>50739</v>
      </c>
      <c r="B315" s="8">
        <f>CHOOSE( CONTROL!$C$32, 9.6685, 9.6682) * CHOOSE(CONTROL!$C$15, $D$11, 100%, $F$11)</f>
        <v>9.6684999999999999</v>
      </c>
      <c r="C315" s="8">
        <f>CHOOSE( CONTROL!$C$32, 9.6736, 9.6733) * CHOOSE(CONTROL!$C$15, $D$11, 100%, $F$11)</f>
        <v>9.6736000000000004</v>
      </c>
      <c r="D315" s="8">
        <f>CHOOSE( CONTROL!$C$32, 9.6563, 9.656) * CHOOSE( CONTROL!$C$15, $D$11, 100%, $F$11)</f>
        <v>9.6562999999999999</v>
      </c>
      <c r="E315" s="12">
        <f>CHOOSE( CONTROL!$C$32, 9.6621, 9.6618) * CHOOSE( CONTROL!$C$15, $D$11, 100%, $F$11)</f>
        <v>9.6621000000000006</v>
      </c>
      <c r="F315" s="4">
        <f>CHOOSE( CONTROL!$C$32, 10.3338, 10.3335) * CHOOSE(CONTROL!$C$15, $D$11, 100%, $F$11)</f>
        <v>10.3338</v>
      </c>
      <c r="G315" s="8">
        <f>CHOOSE( CONTROL!$C$32, 9.5647, 9.5644) * CHOOSE( CONTROL!$C$15, $D$11, 100%, $F$11)</f>
        <v>9.5647000000000002</v>
      </c>
      <c r="H315" s="4">
        <f>CHOOSE( CONTROL!$C$32, 10.4594, 10.4592) * CHOOSE(CONTROL!$C$15, $D$11, 100%, $F$11)</f>
        <v>10.4594</v>
      </c>
      <c r="I315" s="8">
        <f>CHOOSE( CONTROL!$C$32, 9.5407, 9.5404) * CHOOSE(CONTROL!$C$15, $D$11, 100%, $F$11)</f>
        <v>9.5406999999999993</v>
      </c>
      <c r="J315" s="4">
        <f>CHOOSE( CONTROL!$C$32, 9.3745, 9.3743) * CHOOSE(CONTROL!$C$15, $D$11, 100%, $F$11)</f>
        <v>9.3744999999999994</v>
      </c>
      <c r="K315" s="4"/>
      <c r="L315" s="9">
        <v>28.360600000000002</v>
      </c>
      <c r="M315" s="9">
        <v>11.6745</v>
      </c>
      <c r="N315" s="9">
        <v>4.7850000000000001</v>
      </c>
      <c r="O315" s="9">
        <v>0.36199999999999999</v>
      </c>
      <c r="P315" s="9">
        <v>1.2509999999999999</v>
      </c>
      <c r="Q315" s="9">
        <v>29.4696</v>
      </c>
      <c r="R315" s="9"/>
      <c r="S315" s="11"/>
    </row>
    <row r="316" spans="1:19" ht="15.75">
      <c r="A316" s="13">
        <v>50770</v>
      </c>
      <c r="B316" s="8">
        <f>CHOOSE( CONTROL!$C$32, 9.651, 9.6507) * CHOOSE(CONTROL!$C$15, $D$11, 100%, $F$11)</f>
        <v>9.6509999999999998</v>
      </c>
      <c r="C316" s="8">
        <f>CHOOSE( CONTROL!$C$32, 9.656, 9.6558) * CHOOSE(CONTROL!$C$15, $D$11, 100%, $F$11)</f>
        <v>9.6560000000000006</v>
      </c>
      <c r="D316" s="8">
        <f>CHOOSE( CONTROL!$C$32, 9.6405, 9.6403) * CHOOSE( CONTROL!$C$15, $D$11, 100%, $F$11)</f>
        <v>9.6404999999999994</v>
      </c>
      <c r="E316" s="12">
        <f>CHOOSE( CONTROL!$C$32, 9.6456, 9.6454) * CHOOSE( CONTROL!$C$15, $D$11, 100%, $F$11)</f>
        <v>9.6456</v>
      </c>
      <c r="F316" s="4">
        <f>CHOOSE( CONTROL!$C$32, 10.3162, 10.316) * CHOOSE(CONTROL!$C$15, $D$11, 100%, $F$11)</f>
        <v>10.3162</v>
      </c>
      <c r="G316" s="8">
        <f>CHOOSE( CONTROL!$C$32, 9.5486, 9.5483) * CHOOSE( CONTROL!$C$15, $D$11, 100%, $F$11)</f>
        <v>9.5486000000000004</v>
      </c>
      <c r="H316" s="4">
        <f>CHOOSE( CONTROL!$C$32, 10.4421, 10.4418) * CHOOSE(CONTROL!$C$15, $D$11, 100%, $F$11)</f>
        <v>10.4421</v>
      </c>
      <c r="I316" s="8">
        <f>CHOOSE( CONTROL!$C$32, 9.5292, 9.5289) * CHOOSE(CONTROL!$C$15, $D$11, 100%, $F$11)</f>
        <v>9.5291999999999994</v>
      </c>
      <c r="J316" s="4">
        <f>CHOOSE( CONTROL!$C$32, 9.3575, 9.3572) * CHOOSE(CONTROL!$C$15, $D$11, 100%, $F$11)</f>
        <v>9.3574999999999999</v>
      </c>
      <c r="K316" s="4"/>
      <c r="L316" s="9">
        <v>29.306000000000001</v>
      </c>
      <c r="M316" s="9">
        <v>12.063700000000001</v>
      </c>
      <c r="N316" s="9">
        <v>4.9444999999999997</v>
      </c>
      <c r="O316" s="9">
        <v>0.37409999999999999</v>
      </c>
      <c r="P316" s="9">
        <v>1.2927</v>
      </c>
      <c r="Q316" s="9">
        <v>30.451899999999998</v>
      </c>
      <c r="R316" s="9"/>
      <c r="S316" s="11"/>
    </row>
    <row r="317" spans="1:19" ht="15.75">
      <c r="A317" s="13">
        <v>50801</v>
      </c>
      <c r="B317" s="8">
        <f>CHOOSE( CONTROL!$C$32, 9.9354, 9.9351) * CHOOSE(CONTROL!$C$15, $D$11, 100%, $F$11)</f>
        <v>9.9353999999999996</v>
      </c>
      <c r="C317" s="8">
        <f>CHOOSE( CONTROL!$C$32, 9.9404, 9.9402) * CHOOSE(CONTROL!$C$15, $D$11, 100%, $F$11)</f>
        <v>9.9404000000000003</v>
      </c>
      <c r="D317" s="8">
        <f>CHOOSE( CONTROL!$C$32, 9.9309, 9.9306) * CHOOSE( CONTROL!$C$15, $D$11, 100%, $F$11)</f>
        <v>9.9308999999999994</v>
      </c>
      <c r="E317" s="12">
        <f>CHOOSE( CONTROL!$C$32, 9.9338, 9.9336) * CHOOSE( CONTROL!$C$15, $D$11, 100%, $F$11)</f>
        <v>9.9337999999999997</v>
      </c>
      <c r="F317" s="4">
        <f>CHOOSE( CONTROL!$C$32, 10.6006, 10.6004) * CHOOSE(CONTROL!$C$15, $D$11, 100%, $F$11)</f>
        <v>10.6006</v>
      </c>
      <c r="G317" s="8">
        <f>CHOOSE( CONTROL!$C$32, 9.8304, 9.8301) * CHOOSE( CONTROL!$C$15, $D$11, 100%, $F$11)</f>
        <v>9.8303999999999991</v>
      </c>
      <c r="H317" s="4">
        <f>CHOOSE( CONTROL!$C$32, 10.7231, 10.7229) * CHOOSE(CONTROL!$C$15, $D$11, 100%, $F$11)</f>
        <v>10.723100000000001</v>
      </c>
      <c r="I317" s="8">
        <f>CHOOSE( CONTROL!$C$32, 9.7858, 9.7855) * CHOOSE(CONTROL!$C$15, $D$11, 100%, $F$11)</f>
        <v>9.7858000000000001</v>
      </c>
      <c r="J317" s="4">
        <f>CHOOSE( CONTROL!$C$32, 9.6335, 9.6332) * CHOOSE(CONTROL!$C$15, $D$11, 100%, $F$11)</f>
        <v>9.6334999999999997</v>
      </c>
      <c r="K317" s="4"/>
      <c r="L317" s="9">
        <v>29.306000000000001</v>
      </c>
      <c r="M317" s="9">
        <v>12.063700000000001</v>
      </c>
      <c r="N317" s="9">
        <v>4.9444999999999997</v>
      </c>
      <c r="O317" s="9">
        <v>0.37409999999999999</v>
      </c>
      <c r="P317" s="9">
        <v>1.2927</v>
      </c>
      <c r="Q317" s="9">
        <v>30.386800000000001</v>
      </c>
      <c r="R317" s="9"/>
      <c r="S317" s="11"/>
    </row>
    <row r="318" spans="1:19" ht="15.75">
      <c r="A318" s="13">
        <v>50829</v>
      </c>
      <c r="B318" s="8">
        <f>CHOOSE( CONTROL!$C$32, 9.2936, 9.2934) * CHOOSE(CONTROL!$C$15, $D$11, 100%, $F$11)</f>
        <v>9.2935999999999996</v>
      </c>
      <c r="C318" s="8">
        <f>CHOOSE( CONTROL!$C$32, 9.2987, 9.2985) * CHOOSE(CONTROL!$C$15, $D$11, 100%, $F$11)</f>
        <v>9.2987000000000002</v>
      </c>
      <c r="D318" s="8">
        <f>CHOOSE( CONTROL!$C$32, 9.2908, 9.2906) * CHOOSE( CONTROL!$C$15, $D$11, 100%, $F$11)</f>
        <v>9.2908000000000008</v>
      </c>
      <c r="E318" s="12">
        <f>CHOOSE( CONTROL!$C$32, 9.2931, 9.2929) * CHOOSE( CONTROL!$C$15, $D$11, 100%, $F$11)</f>
        <v>9.2931000000000008</v>
      </c>
      <c r="F318" s="4">
        <f>CHOOSE( CONTROL!$C$32, 9.9589, 9.9587) * CHOOSE(CONTROL!$C$15, $D$11, 100%, $F$11)</f>
        <v>9.9588999999999999</v>
      </c>
      <c r="G318" s="8">
        <f>CHOOSE( CONTROL!$C$32, 9.1947, 9.1944) * CHOOSE( CONTROL!$C$15, $D$11, 100%, $F$11)</f>
        <v>9.1946999999999992</v>
      </c>
      <c r="H318" s="4">
        <f>CHOOSE( CONTROL!$C$32, 10.0889, 10.0887) * CHOOSE(CONTROL!$C$15, $D$11, 100%, $F$11)</f>
        <v>10.088900000000001</v>
      </c>
      <c r="I318" s="8">
        <f>CHOOSE( CONTROL!$C$32, 9.1473, 9.1471) * CHOOSE(CONTROL!$C$15, $D$11, 100%, $F$11)</f>
        <v>9.1472999999999995</v>
      </c>
      <c r="J318" s="4">
        <f>CHOOSE( CONTROL!$C$32, 9.0107, 9.0105) * CHOOSE(CONTROL!$C$15, $D$11, 100%, $F$11)</f>
        <v>9.0106999999999999</v>
      </c>
      <c r="K318" s="4"/>
      <c r="L318" s="9">
        <v>26.469899999999999</v>
      </c>
      <c r="M318" s="9">
        <v>10.8962</v>
      </c>
      <c r="N318" s="9">
        <v>4.4660000000000002</v>
      </c>
      <c r="O318" s="9">
        <v>0.33789999999999998</v>
      </c>
      <c r="P318" s="9">
        <v>1.1676</v>
      </c>
      <c r="Q318" s="9">
        <v>27.446200000000001</v>
      </c>
      <c r="R318" s="9"/>
      <c r="S318" s="11"/>
    </row>
    <row r="319" spans="1:19" ht="15.75">
      <c r="A319" s="13">
        <v>50860</v>
      </c>
      <c r="B319" s="8">
        <f>CHOOSE( CONTROL!$C$32, 9.096, 9.0957) * CHOOSE(CONTROL!$C$15, $D$11, 100%, $F$11)</f>
        <v>9.0960000000000001</v>
      </c>
      <c r="C319" s="8">
        <f>CHOOSE( CONTROL!$C$32, 9.1011, 9.1008) * CHOOSE(CONTROL!$C$15, $D$11, 100%, $F$11)</f>
        <v>9.1011000000000006</v>
      </c>
      <c r="D319" s="8">
        <f>CHOOSE( CONTROL!$C$32, 9.0884, 9.0881) * CHOOSE( CONTROL!$C$15, $D$11, 100%, $F$11)</f>
        <v>9.0884</v>
      </c>
      <c r="E319" s="12">
        <f>CHOOSE( CONTROL!$C$32, 9.0925, 9.0922) * CHOOSE( CONTROL!$C$15, $D$11, 100%, $F$11)</f>
        <v>9.0924999999999994</v>
      </c>
      <c r="F319" s="4">
        <f>CHOOSE( CONTROL!$C$32, 9.7613, 9.761) * CHOOSE(CONTROL!$C$15, $D$11, 100%, $F$11)</f>
        <v>9.7613000000000003</v>
      </c>
      <c r="G319" s="8">
        <f>CHOOSE( CONTROL!$C$32, 8.9959, 8.9957) * CHOOSE( CONTROL!$C$15, $D$11, 100%, $F$11)</f>
        <v>8.9959000000000007</v>
      </c>
      <c r="H319" s="4">
        <f>CHOOSE( CONTROL!$C$32, 9.8936, 9.8933) * CHOOSE(CONTROL!$C$15, $D$11, 100%, $F$11)</f>
        <v>9.8935999999999993</v>
      </c>
      <c r="I319" s="8">
        <f>CHOOSE( CONTROL!$C$32, 8.9538, 8.9535) * CHOOSE(CONTROL!$C$15, $D$11, 100%, $F$11)</f>
        <v>8.9537999999999993</v>
      </c>
      <c r="J319" s="4">
        <f>CHOOSE( CONTROL!$C$32, 8.8189, 8.8187) * CHOOSE(CONTROL!$C$15, $D$11, 100%, $F$11)</f>
        <v>8.8188999999999993</v>
      </c>
      <c r="K319" s="4"/>
      <c r="L319" s="9">
        <v>29.306000000000001</v>
      </c>
      <c r="M319" s="9">
        <v>12.063700000000001</v>
      </c>
      <c r="N319" s="9">
        <v>4.9444999999999997</v>
      </c>
      <c r="O319" s="9">
        <v>0.37409999999999999</v>
      </c>
      <c r="P319" s="9">
        <v>1.2927</v>
      </c>
      <c r="Q319" s="9">
        <v>30.386800000000001</v>
      </c>
      <c r="R319" s="9"/>
      <c r="S319" s="11"/>
    </row>
    <row r="320" spans="1:19" ht="15.75">
      <c r="A320" s="13">
        <v>50890</v>
      </c>
      <c r="B320" s="8">
        <f>CHOOSE( CONTROL!$C$32, 9.2349, 9.2346) * CHOOSE(CONTROL!$C$15, $D$11, 100%, $F$11)</f>
        <v>9.2348999999999997</v>
      </c>
      <c r="C320" s="8">
        <f>CHOOSE( CONTROL!$C$32, 9.2394, 9.2391) * CHOOSE(CONTROL!$C$15, $D$11, 100%, $F$11)</f>
        <v>9.2393999999999998</v>
      </c>
      <c r="D320" s="8">
        <f>CHOOSE( CONTROL!$C$32, 9.2443, 9.244) * CHOOSE( CONTROL!$C$15, $D$11, 100%, $F$11)</f>
        <v>9.2443000000000008</v>
      </c>
      <c r="E320" s="12">
        <f>CHOOSE( CONTROL!$C$32, 9.2422, 9.2419) * CHOOSE( CONTROL!$C$15, $D$11, 100%, $F$11)</f>
        <v>9.2422000000000004</v>
      </c>
      <c r="F320" s="4">
        <f>CHOOSE( CONTROL!$C$32, 9.9391, 9.9388) * CHOOSE(CONTROL!$C$15, $D$11, 100%, $F$11)</f>
        <v>9.9390999999999998</v>
      </c>
      <c r="G320" s="8">
        <f>CHOOSE( CONTROL!$C$32, 9.1382, 9.1379) * CHOOSE( CONTROL!$C$15, $D$11, 100%, $F$11)</f>
        <v>9.1381999999999994</v>
      </c>
      <c r="H320" s="4">
        <f>CHOOSE( CONTROL!$C$32, 10.0693, 10.069) * CHOOSE(CONTROL!$C$15, $D$11, 100%, $F$11)</f>
        <v>10.0693</v>
      </c>
      <c r="I320" s="8">
        <f>CHOOSE( CONTROL!$C$32, 9.0621, 9.0619) * CHOOSE(CONTROL!$C$15, $D$11, 100%, $F$11)</f>
        <v>9.0620999999999992</v>
      </c>
      <c r="J320" s="4">
        <f>CHOOSE( CONTROL!$C$32, 8.953, 8.9527) * CHOOSE(CONTROL!$C$15, $D$11, 100%, $F$11)</f>
        <v>8.9529999999999994</v>
      </c>
      <c r="K320" s="4"/>
      <c r="L320" s="9">
        <v>30.092199999999998</v>
      </c>
      <c r="M320" s="9">
        <v>11.6745</v>
      </c>
      <c r="N320" s="9">
        <v>4.7850000000000001</v>
      </c>
      <c r="O320" s="9">
        <v>0.36199999999999999</v>
      </c>
      <c r="P320" s="9">
        <v>1.2509999999999999</v>
      </c>
      <c r="Q320" s="9">
        <v>29.406600000000001</v>
      </c>
      <c r="R320" s="9"/>
      <c r="S320" s="11"/>
    </row>
    <row r="321" spans="1:19" ht="15.75">
      <c r="A321" s="13">
        <v>50921</v>
      </c>
      <c r="B321" s="8">
        <f>CHOOSE( CONTROL!$C$32, 9.4822, 9.4818) * CHOOSE(CONTROL!$C$15, $D$11, 100%, $F$11)</f>
        <v>9.4822000000000006</v>
      </c>
      <c r="C321" s="8">
        <f>CHOOSE( CONTROL!$C$32, 9.4902, 9.4897) * CHOOSE(CONTROL!$C$15, $D$11, 100%, $F$11)</f>
        <v>9.4901999999999997</v>
      </c>
      <c r="D321" s="8">
        <f>CHOOSE( CONTROL!$C$32, 9.489, 9.4885) * CHOOSE( CONTROL!$C$15, $D$11, 100%, $F$11)</f>
        <v>9.4890000000000008</v>
      </c>
      <c r="E321" s="12">
        <f>CHOOSE( CONTROL!$C$32, 9.4882, 9.4877) * CHOOSE( CONTROL!$C$15, $D$11, 100%, $F$11)</f>
        <v>9.4882000000000009</v>
      </c>
      <c r="F321" s="4">
        <f>CHOOSE( CONTROL!$C$32, 10.185, 10.1846) * CHOOSE(CONTROL!$C$15, $D$11, 100%, $F$11)</f>
        <v>10.185</v>
      </c>
      <c r="G321" s="8">
        <f>CHOOSE( CONTROL!$C$32, 9.3811, 9.3806) * CHOOSE( CONTROL!$C$15, $D$11, 100%, $F$11)</f>
        <v>9.3811</v>
      </c>
      <c r="H321" s="4">
        <f>CHOOSE( CONTROL!$C$32, 10.3124, 10.312) * CHOOSE(CONTROL!$C$15, $D$11, 100%, $F$11)</f>
        <v>10.3124</v>
      </c>
      <c r="I321" s="8">
        <f>CHOOSE( CONTROL!$C$32, 9.3001, 9.2997) * CHOOSE(CONTROL!$C$15, $D$11, 100%, $F$11)</f>
        <v>9.3001000000000005</v>
      </c>
      <c r="J321" s="4">
        <f>CHOOSE( CONTROL!$C$32, 9.1917, 9.1912) * CHOOSE(CONTROL!$C$15, $D$11, 100%, $F$11)</f>
        <v>9.1917000000000009</v>
      </c>
      <c r="K321" s="4"/>
      <c r="L321" s="9">
        <v>30.7165</v>
      </c>
      <c r="M321" s="9">
        <v>12.063700000000001</v>
      </c>
      <c r="N321" s="9">
        <v>4.9444999999999997</v>
      </c>
      <c r="O321" s="9">
        <v>0.37409999999999999</v>
      </c>
      <c r="P321" s="9">
        <v>1.2927</v>
      </c>
      <c r="Q321" s="9">
        <v>30.386800000000001</v>
      </c>
      <c r="R321" s="9"/>
      <c r="S321" s="11"/>
    </row>
    <row r="322" spans="1:19" ht="15.75">
      <c r="A322" s="13">
        <v>50951</v>
      </c>
      <c r="B322" s="8">
        <f>CHOOSE( CONTROL!$C$32, 9.33, 9.3295) * CHOOSE(CONTROL!$C$15, $D$11, 100%, $F$11)</f>
        <v>9.33</v>
      </c>
      <c r="C322" s="8">
        <f>CHOOSE( CONTROL!$C$32, 9.3379, 9.3375) * CHOOSE(CONTROL!$C$15, $D$11, 100%, $F$11)</f>
        <v>9.3378999999999994</v>
      </c>
      <c r="D322" s="8">
        <f>CHOOSE( CONTROL!$C$32, 9.3369, 9.3365) * CHOOSE( CONTROL!$C$15, $D$11, 100%, $F$11)</f>
        <v>9.3369</v>
      </c>
      <c r="E322" s="12">
        <f>CHOOSE( CONTROL!$C$32, 9.3361, 9.3356) * CHOOSE( CONTROL!$C$15, $D$11, 100%, $F$11)</f>
        <v>9.3361000000000001</v>
      </c>
      <c r="F322" s="4">
        <f>CHOOSE( CONTROL!$C$32, 10.0328, 10.0323) * CHOOSE(CONTROL!$C$15, $D$11, 100%, $F$11)</f>
        <v>10.0328</v>
      </c>
      <c r="G322" s="8">
        <f>CHOOSE( CONTROL!$C$32, 9.2308, 9.2303) * CHOOSE( CONTROL!$C$15, $D$11, 100%, $F$11)</f>
        <v>9.2308000000000003</v>
      </c>
      <c r="H322" s="4">
        <f>CHOOSE( CONTROL!$C$32, 10.1619, 10.1615) * CHOOSE(CONTROL!$C$15, $D$11, 100%, $F$11)</f>
        <v>10.161899999999999</v>
      </c>
      <c r="I322" s="8">
        <f>CHOOSE( CONTROL!$C$32, 9.153, 9.1525) * CHOOSE(CONTROL!$C$15, $D$11, 100%, $F$11)</f>
        <v>9.1530000000000005</v>
      </c>
      <c r="J322" s="4">
        <f>CHOOSE( CONTROL!$C$32, 9.0439, 9.0435) * CHOOSE(CONTROL!$C$15, $D$11, 100%, $F$11)</f>
        <v>9.0439000000000007</v>
      </c>
      <c r="K322" s="4"/>
      <c r="L322" s="9">
        <v>29.7257</v>
      </c>
      <c r="M322" s="9">
        <v>11.6745</v>
      </c>
      <c r="N322" s="9">
        <v>4.7850000000000001</v>
      </c>
      <c r="O322" s="9">
        <v>0.36199999999999999</v>
      </c>
      <c r="P322" s="9">
        <v>1.2509999999999999</v>
      </c>
      <c r="Q322" s="9">
        <v>29.406600000000001</v>
      </c>
      <c r="R322" s="9"/>
      <c r="S322" s="11"/>
    </row>
    <row r="323" spans="1:19" ht="15.75">
      <c r="A323" s="13">
        <v>50982</v>
      </c>
      <c r="B323" s="8">
        <f>CHOOSE( CONTROL!$C$32, 9.7309, 9.7305) * CHOOSE(CONTROL!$C$15, $D$11, 100%, $F$11)</f>
        <v>9.7309000000000001</v>
      </c>
      <c r="C323" s="8">
        <f>CHOOSE( CONTROL!$C$32, 9.7389, 9.7385) * CHOOSE(CONTROL!$C$15, $D$11, 100%, $F$11)</f>
        <v>9.7388999999999992</v>
      </c>
      <c r="D323" s="8">
        <f>CHOOSE( CONTROL!$C$32, 9.7381, 9.7377) * CHOOSE( CONTROL!$C$15, $D$11, 100%, $F$11)</f>
        <v>9.7380999999999993</v>
      </c>
      <c r="E323" s="12">
        <f>CHOOSE( CONTROL!$C$32, 9.7372, 9.7368) * CHOOSE( CONTROL!$C$15, $D$11, 100%, $F$11)</f>
        <v>9.7371999999999996</v>
      </c>
      <c r="F323" s="4">
        <f>CHOOSE( CONTROL!$C$32, 10.4338, 10.4333) * CHOOSE(CONTROL!$C$15, $D$11, 100%, $F$11)</f>
        <v>10.4338</v>
      </c>
      <c r="G323" s="8">
        <f>CHOOSE( CONTROL!$C$32, 9.6272, 9.6268) * CHOOSE( CONTROL!$C$15, $D$11, 100%, $F$11)</f>
        <v>9.6272000000000002</v>
      </c>
      <c r="H323" s="4">
        <f>CHOOSE( CONTROL!$C$32, 10.5582, 10.5578) * CHOOSE(CONTROL!$C$15, $D$11, 100%, $F$11)</f>
        <v>10.558199999999999</v>
      </c>
      <c r="I323" s="8">
        <f>CHOOSE( CONTROL!$C$32, 9.5431, 9.5426) * CHOOSE(CONTROL!$C$15, $D$11, 100%, $F$11)</f>
        <v>9.5431000000000008</v>
      </c>
      <c r="J323" s="4">
        <f>CHOOSE( CONTROL!$C$32, 9.4331, 9.4326) * CHOOSE(CONTROL!$C$15, $D$11, 100%, $F$11)</f>
        <v>9.4330999999999996</v>
      </c>
      <c r="K323" s="4"/>
      <c r="L323" s="9">
        <v>30.7165</v>
      </c>
      <c r="M323" s="9">
        <v>12.063700000000001</v>
      </c>
      <c r="N323" s="9">
        <v>4.9444999999999997</v>
      </c>
      <c r="O323" s="9">
        <v>0.37409999999999999</v>
      </c>
      <c r="P323" s="9">
        <v>1.2927</v>
      </c>
      <c r="Q323" s="9">
        <v>30.386800000000001</v>
      </c>
      <c r="R323" s="9"/>
      <c r="S323" s="11"/>
    </row>
    <row r="324" spans="1:19" ht="15.75">
      <c r="A324" s="13">
        <v>51013</v>
      </c>
      <c r="B324" s="8">
        <f>CHOOSE( CONTROL!$C$32, 8.9807, 8.9802) * CHOOSE(CONTROL!$C$15, $D$11, 100%, $F$11)</f>
        <v>8.9807000000000006</v>
      </c>
      <c r="C324" s="8">
        <f>CHOOSE( CONTROL!$C$32, 8.9886, 8.9882) * CHOOSE(CONTROL!$C$15, $D$11, 100%, $F$11)</f>
        <v>8.9885999999999999</v>
      </c>
      <c r="D324" s="8">
        <f>CHOOSE( CONTROL!$C$32, 8.9879, 8.9875) * CHOOSE( CONTROL!$C$15, $D$11, 100%, $F$11)</f>
        <v>8.9878999999999998</v>
      </c>
      <c r="E324" s="12">
        <f>CHOOSE( CONTROL!$C$32, 8.9869, 8.9865) * CHOOSE( CONTROL!$C$15, $D$11, 100%, $F$11)</f>
        <v>8.9869000000000003</v>
      </c>
      <c r="F324" s="4">
        <f>CHOOSE( CONTROL!$C$32, 9.6835, 9.683) * CHOOSE(CONTROL!$C$15, $D$11, 100%, $F$11)</f>
        <v>9.6835000000000004</v>
      </c>
      <c r="G324" s="8">
        <f>CHOOSE( CONTROL!$C$32, 8.8858, 8.8853) * CHOOSE( CONTROL!$C$15, $D$11, 100%, $F$11)</f>
        <v>8.8857999999999997</v>
      </c>
      <c r="H324" s="4">
        <f>CHOOSE( CONTROL!$C$32, 9.8167, 9.8163) * CHOOSE(CONTROL!$C$15, $D$11, 100%, $F$11)</f>
        <v>9.8167000000000009</v>
      </c>
      <c r="I324" s="8">
        <f>CHOOSE( CONTROL!$C$32, 8.8148, 8.8143) * CHOOSE(CONTROL!$C$15, $D$11, 100%, $F$11)</f>
        <v>8.8148</v>
      </c>
      <c r="J324" s="4">
        <f>CHOOSE( CONTROL!$C$32, 8.7049, 8.7045) * CHOOSE(CONTROL!$C$15, $D$11, 100%, $F$11)</f>
        <v>8.7049000000000003</v>
      </c>
      <c r="K324" s="4"/>
      <c r="L324" s="9">
        <v>30.7165</v>
      </c>
      <c r="M324" s="9">
        <v>12.063700000000001</v>
      </c>
      <c r="N324" s="9">
        <v>4.9444999999999997</v>
      </c>
      <c r="O324" s="9">
        <v>0.37409999999999999</v>
      </c>
      <c r="P324" s="9">
        <v>1.2927</v>
      </c>
      <c r="Q324" s="9">
        <v>30.386800000000001</v>
      </c>
      <c r="R324" s="9"/>
      <c r="S324" s="11"/>
    </row>
    <row r="325" spans="1:19" ht="15.75">
      <c r="A325" s="13">
        <v>51043</v>
      </c>
      <c r="B325" s="8">
        <f>CHOOSE( CONTROL!$C$32, 8.7928, 8.7923) * CHOOSE(CONTROL!$C$15, $D$11, 100%, $F$11)</f>
        <v>8.7927999999999997</v>
      </c>
      <c r="C325" s="8">
        <f>CHOOSE( CONTROL!$C$32, 8.8008, 8.8003) * CHOOSE(CONTROL!$C$15, $D$11, 100%, $F$11)</f>
        <v>8.8008000000000006</v>
      </c>
      <c r="D325" s="8">
        <f>CHOOSE( CONTROL!$C$32, 8.7999, 8.7994) * CHOOSE( CONTROL!$C$15, $D$11, 100%, $F$11)</f>
        <v>8.7998999999999992</v>
      </c>
      <c r="E325" s="12">
        <f>CHOOSE( CONTROL!$C$32, 8.799, 8.7985) * CHOOSE( CONTROL!$C$15, $D$11, 100%, $F$11)</f>
        <v>8.7989999999999995</v>
      </c>
      <c r="F325" s="4">
        <f>CHOOSE( CONTROL!$C$32, 9.4956, 9.4952) * CHOOSE(CONTROL!$C$15, $D$11, 100%, $F$11)</f>
        <v>9.4955999999999996</v>
      </c>
      <c r="G325" s="8">
        <f>CHOOSE( CONTROL!$C$32, 8.7, 8.6996) * CHOOSE( CONTROL!$C$15, $D$11, 100%, $F$11)</f>
        <v>8.6999999999999993</v>
      </c>
      <c r="H325" s="4">
        <f>CHOOSE( CONTROL!$C$32, 9.6311, 9.6306) * CHOOSE(CONTROL!$C$15, $D$11, 100%, $F$11)</f>
        <v>9.6311</v>
      </c>
      <c r="I325" s="8">
        <f>CHOOSE( CONTROL!$C$32, 8.6318, 8.6314) * CHOOSE(CONTROL!$C$15, $D$11, 100%, $F$11)</f>
        <v>8.6318000000000001</v>
      </c>
      <c r="J325" s="4">
        <f>CHOOSE( CONTROL!$C$32, 8.5226, 8.5221) * CHOOSE(CONTROL!$C$15, $D$11, 100%, $F$11)</f>
        <v>8.5226000000000006</v>
      </c>
      <c r="K325" s="4"/>
      <c r="L325" s="9">
        <v>29.7257</v>
      </c>
      <c r="M325" s="9">
        <v>11.6745</v>
      </c>
      <c r="N325" s="9">
        <v>4.7850000000000001</v>
      </c>
      <c r="O325" s="9">
        <v>0.36199999999999999</v>
      </c>
      <c r="P325" s="9">
        <v>1.2509999999999999</v>
      </c>
      <c r="Q325" s="9">
        <v>29.406600000000001</v>
      </c>
      <c r="R325" s="9"/>
      <c r="S325" s="11"/>
    </row>
    <row r="326" spans="1:19" ht="15.75">
      <c r="A326" s="13">
        <v>51074</v>
      </c>
      <c r="B326" s="8">
        <f>CHOOSE( CONTROL!$C$32, 9.181, 9.1807) * CHOOSE(CONTROL!$C$15, $D$11, 100%, $F$11)</f>
        <v>9.1809999999999992</v>
      </c>
      <c r="C326" s="8">
        <f>CHOOSE( CONTROL!$C$32, 9.1863, 9.186) * CHOOSE(CONTROL!$C$15, $D$11, 100%, $F$11)</f>
        <v>9.1862999999999992</v>
      </c>
      <c r="D326" s="8">
        <f>CHOOSE( CONTROL!$C$32, 9.191, 9.1907) * CHOOSE( CONTROL!$C$15, $D$11, 100%, $F$11)</f>
        <v>9.1910000000000007</v>
      </c>
      <c r="E326" s="12">
        <f>CHOOSE( CONTROL!$C$32, 9.1889, 9.1886) * CHOOSE( CONTROL!$C$15, $D$11, 100%, $F$11)</f>
        <v>9.1889000000000003</v>
      </c>
      <c r="F326" s="4">
        <f>CHOOSE( CONTROL!$C$32, 9.8855, 9.8853) * CHOOSE(CONTROL!$C$15, $D$11, 100%, $F$11)</f>
        <v>9.8855000000000004</v>
      </c>
      <c r="G326" s="8">
        <f>CHOOSE( CONTROL!$C$32, 9.0855, 9.0852) * CHOOSE( CONTROL!$C$15, $D$11, 100%, $F$11)</f>
        <v>9.0854999999999997</v>
      </c>
      <c r="H326" s="4">
        <f>CHOOSE( CONTROL!$C$32, 10.0164, 10.0161) * CHOOSE(CONTROL!$C$15, $D$11, 100%, $F$11)</f>
        <v>10.016400000000001</v>
      </c>
      <c r="I326" s="8">
        <f>CHOOSE( CONTROL!$C$32, 9.0112, 9.011) * CHOOSE(CONTROL!$C$15, $D$11, 100%, $F$11)</f>
        <v>9.0112000000000005</v>
      </c>
      <c r="J326" s="4">
        <f>CHOOSE( CONTROL!$C$32, 8.901, 8.9007) * CHOOSE(CONTROL!$C$15, $D$11, 100%, $F$11)</f>
        <v>8.9009999999999998</v>
      </c>
      <c r="K326" s="4"/>
      <c r="L326" s="9">
        <v>31.095300000000002</v>
      </c>
      <c r="M326" s="9">
        <v>12.063700000000001</v>
      </c>
      <c r="N326" s="9">
        <v>4.9444999999999997</v>
      </c>
      <c r="O326" s="9">
        <v>0.37409999999999999</v>
      </c>
      <c r="P326" s="9">
        <v>1.2927</v>
      </c>
      <c r="Q326" s="9">
        <v>30.386800000000001</v>
      </c>
      <c r="R326" s="9"/>
      <c r="S326" s="11"/>
    </row>
    <row r="327" spans="1:19" ht="15.75">
      <c r="A327" s="13">
        <v>51104</v>
      </c>
      <c r="B327" s="8">
        <f>CHOOSE( CONTROL!$C$32, 9.9006, 9.9003) * CHOOSE(CONTROL!$C$15, $D$11, 100%, $F$11)</f>
        <v>9.9006000000000007</v>
      </c>
      <c r="C327" s="8">
        <f>CHOOSE( CONTROL!$C$32, 9.9057, 9.9054) * CHOOSE(CONTROL!$C$15, $D$11, 100%, $F$11)</f>
        <v>9.9056999999999995</v>
      </c>
      <c r="D327" s="8">
        <f>CHOOSE( CONTROL!$C$32, 9.8884, 9.8881) * CHOOSE( CONTROL!$C$15, $D$11, 100%, $F$11)</f>
        <v>9.8884000000000007</v>
      </c>
      <c r="E327" s="12">
        <f>CHOOSE( CONTROL!$C$32, 9.8942, 9.8939) * CHOOSE( CONTROL!$C$15, $D$11, 100%, $F$11)</f>
        <v>9.8941999999999997</v>
      </c>
      <c r="F327" s="4">
        <f>CHOOSE( CONTROL!$C$32, 10.5659, 10.5656) * CHOOSE(CONTROL!$C$15, $D$11, 100%, $F$11)</f>
        <v>10.565899999999999</v>
      </c>
      <c r="G327" s="8">
        <f>CHOOSE( CONTROL!$C$32, 9.794, 9.7938) * CHOOSE( CONTROL!$C$15, $D$11, 100%, $F$11)</f>
        <v>9.7940000000000005</v>
      </c>
      <c r="H327" s="4">
        <f>CHOOSE( CONTROL!$C$32, 10.6888, 10.6885) * CHOOSE(CONTROL!$C$15, $D$11, 100%, $F$11)</f>
        <v>10.688800000000001</v>
      </c>
      <c r="I327" s="8">
        <f>CHOOSE( CONTROL!$C$32, 9.766, 9.7658) * CHOOSE(CONTROL!$C$15, $D$11, 100%, $F$11)</f>
        <v>9.766</v>
      </c>
      <c r="J327" s="4">
        <f>CHOOSE( CONTROL!$C$32, 9.5998, 9.5995) * CHOOSE(CONTROL!$C$15, $D$11, 100%, $F$11)</f>
        <v>9.5998000000000001</v>
      </c>
      <c r="K327" s="4"/>
      <c r="L327" s="9">
        <v>28.360600000000002</v>
      </c>
      <c r="M327" s="9">
        <v>11.6745</v>
      </c>
      <c r="N327" s="9">
        <v>4.7850000000000001</v>
      </c>
      <c r="O327" s="9">
        <v>0.36199999999999999</v>
      </c>
      <c r="P327" s="9">
        <v>1.2509999999999999</v>
      </c>
      <c r="Q327" s="9">
        <v>29.406600000000001</v>
      </c>
      <c r="R327" s="9"/>
      <c r="S327" s="11"/>
    </row>
    <row r="328" spans="1:19" ht="15.75">
      <c r="A328" s="13">
        <v>51135</v>
      </c>
      <c r="B328" s="8">
        <f>CHOOSE( CONTROL!$C$32, 9.8826, 9.8823) * CHOOSE(CONTROL!$C$15, $D$11, 100%, $F$11)</f>
        <v>9.8826000000000001</v>
      </c>
      <c r="C328" s="8">
        <f>CHOOSE( CONTROL!$C$32, 9.8877, 9.8874) * CHOOSE(CONTROL!$C$15, $D$11, 100%, $F$11)</f>
        <v>9.8877000000000006</v>
      </c>
      <c r="D328" s="8">
        <f>CHOOSE( CONTROL!$C$32, 9.8722, 9.8719) * CHOOSE( CONTROL!$C$15, $D$11, 100%, $F$11)</f>
        <v>9.8721999999999994</v>
      </c>
      <c r="E328" s="12">
        <f>CHOOSE( CONTROL!$C$32, 9.8773, 9.877) * CHOOSE( CONTROL!$C$15, $D$11, 100%, $F$11)</f>
        <v>9.8773</v>
      </c>
      <c r="F328" s="4">
        <f>CHOOSE( CONTROL!$C$32, 10.5479, 10.5476) * CHOOSE(CONTROL!$C$15, $D$11, 100%, $F$11)</f>
        <v>10.5479</v>
      </c>
      <c r="G328" s="8">
        <f>CHOOSE( CONTROL!$C$32, 9.7775, 9.7773) * CHOOSE( CONTROL!$C$15, $D$11, 100%, $F$11)</f>
        <v>9.7774999999999999</v>
      </c>
      <c r="H328" s="4">
        <f>CHOOSE( CONTROL!$C$32, 10.671, 10.6707) * CHOOSE(CONTROL!$C$15, $D$11, 100%, $F$11)</f>
        <v>10.670999999999999</v>
      </c>
      <c r="I328" s="8">
        <f>CHOOSE( CONTROL!$C$32, 9.7541, 9.7539) * CHOOSE(CONTROL!$C$15, $D$11, 100%, $F$11)</f>
        <v>9.7540999999999993</v>
      </c>
      <c r="J328" s="4">
        <f>CHOOSE( CONTROL!$C$32, 9.5823, 9.5821) * CHOOSE(CONTROL!$C$15, $D$11, 100%, $F$11)</f>
        <v>9.5823</v>
      </c>
      <c r="K328" s="4"/>
      <c r="L328" s="9">
        <v>29.306000000000001</v>
      </c>
      <c r="M328" s="9">
        <v>12.063700000000001</v>
      </c>
      <c r="N328" s="9">
        <v>4.9444999999999997</v>
      </c>
      <c r="O328" s="9">
        <v>0.37409999999999999</v>
      </c>
      <c r="P328" s="9">
        <v>1.2927</v>
      </c>
      <c r="Q328" s="9">
        <v>30.386800000000001</v>
      </c>
      <c r="R328" s="9"/>
      <c r="S328" s="11"/>
    </row>
    <row r="329" spans="1:19" ht="15.75">
      <c r="A329" s="13">
        <v>51166</v>
      </c>
      <c r="B329" s="8">
        <f>CHOOSE( CONTROL!$C$32, 10.1739, 10.1736) * CHOOSE(CONTROL!$C$15, $D$11, 100%, $F$11)</f>
        <v>10.1739</v>
      </c>
      <c r="C329" s="8">
        <f>CHOOSE( CONTROL!$C$32, 10.1789, 10.1787) * CHOOSE(CONTROL!$C$15, $D$11, 100%, $F$11)</f>
        <v>10.178900000000001</v>
      </c>
      <c r="D329" s="8">
        <f>CHOOSE( CONTROL!$C$32, 10.1694, 10.1691) * CHOOSE( CONTROL!$C$15, $D$11, 100%, $F$11)</f>
        <v>10.1694</v>
      </c>
      <c r="E329" s="12">
        <f>CHOOSE( CONTROL!$C$32, 10.1723, 10.1721) * CHOOSE( CONTROL!$C$15, $D$11, 100%, $F$11)</f>
        <v>10.1723</v>
      </c>
      <c r="F329" s="4">
        <f>CHOOSE( CONTROL!$C$32, 10.8391, 10.8389) * CHOOSE(CONTROL!$C$15, $D$11, 100%, $F$11)</f>
        <v>10.8391</v>
      </c>
      <c r="G329" s="8">
        <f>CHOOSE( CONTROL!$C$32, 10.0661, 10.0658) * CHOOSE( CONTROL!$C$15, $D$11, 100%, $F$11)</f>
        <v>10.0661</v>
      </c>
      <c r="H329" s="4">
        <f>CHOOSE( CONTROL!$C$32, 10.9588, 10.9586) * CHOOSE(CONTROL!$C$15, $D$11, 100%, $F$11)</f>
        <v>10.9588</v>
      </c>
      <c r="I329" s="8">
        <f>CHOOSE( CONTROL!$C$32, 10.0174, 10.0171) * CHOOSE(CONTROL!$C$15, $D$11, 100%, $F$11)</f>
        <v>10.0174</v>
      </c>
      <c r="J329" s="4">
        <f>CHOOSE( CONTROL!$C$32, 9.865, 9.8647) * CHOOSE(CONTROL!$C$15, $D$11, 100%, $F$11)</f>
        <v>9.8650000000000002</v>
      </c>
      <c r="K329" s="4"/>
      <c r="L329" s="9">
        <v>29.306000000000001</v>
      </c>
      <c r="M329" s="9">
        <v>12.063700000000001</v>
      </c>
      <c r="N329" s="9">
        <v>4.9444999999999997</v>
      </c>
      <c r="O329" s="9">
        <v>0.37409999999999999</v>
      </c>
      <c r="P329" s="9">
        <v>1.2927</v>
      </c>
      <c r="Q329" s="9">
        <v>30.3217</v>
      </c>
      <c r="R329" s="9"/>
      <c r="S329" s="11"/>
    </row>
    <row r="330" spans="1:19" ht="15.75">
      <c r="A330" s="13">
        <v>51194</v>
      </c>
      <c r="B330" s="8">
        <f>CHOOSE( CONTROL!$C$32, 9.5167, 9.5165) * CHOOSE(CONTROL!$C$15, $D$11, 100%, $F$11)</f>
        <v>9.5167000000000002</v>
      </c>
      <c r="C330" s="8">
        <f>CHOOSE( CONTROL!$C$32, 9.5218, 9.5215) * CHOOSE(CONTROL!$C$15, $D$11, 100%, $F$11)</f>
        <v>9.5218000000000007</v>
      </c>
      <c r="D330" s="8">
        <f>CHOOSE( CONTROL!$C$32, 9.5139, 9.5136) * CHOOSE( CONTROL!$C$15, $D$11, 100%, $F$11)</f>
        <v>9.5138999999999996</v>
      </c>
      <c r="E330" s="12">
        <f>CHOOSE( CONTROL!$C$32, 9.5162, 9.516) * CHOOSE( CONTROL!$C$15, $D$11, 100%, $F$11)</f>
        <v>9.5161999999999995</v>
      </c>
      <c r="F330" s="4">
        <f>CHOOSE( CONTROL!$C$32, 10.182, 10.1817) * CHOOSE(CONTROL!$C$15, $D$11, 100%, $F$11)</f>
        <v>10.182</v>
      </c>
      <c r="G330" s="8">
        <f>CHOOSE( CONTROL!$C$32, 9.4152, 9.4149) * CHOOSE( CONTROL!$C$15, $D$11, 100%, $F$11)</f>
        <v>9.4152000000000005</v>
      </c>
      <c r="H330" s="4">
        <f>CHOOSE( CONTROL!$C$32, 10.3094, 10.3091) * CHOOSE(CONTROL!$C$15, $D$11, 100%, $F$11)</f>
        <v>10.3094</v>
      </c>
      <c r="I330" s="8">
        <f>CHOOSE( CONTROL!$C$32, 9.3639, 9.3637) * CHOOSE(CONTROL!$C$15, $D$11, 100%, $F$11)</f>
        <v>9.3638999999999992</v>
      </c>
      <c r="J330" s="4">
        <f>CHOOSE( CONTROL!$C$32, 9.2272, 9.227) * CHOOSE(CONTROL!$C$15, $D$11, 100%, $F$11)</f>
        <v>9.2271999999999998</v>
      </c>
      <c r="K330" s="4"/>
      <c r="L330" s="9">
        <v>27.415299999999998</v>
      </c>
      <c r="M330" s="9">
        <v>11.285299999999999</v>
      </c>
      <c r="N330" s="9">
        <v>4.6254999999999997</v>
      </c>
      <c r="O330" s="9">
        <v>0.34989999999999999</v>
      </c>
      <c r="P330" s="9">
        <v>1.2093</v>
      </c>
      <c r="Q330" s="9">
        <v>28.365500000000001</v>
      </c>
      <c r="R330" s="9"/>
      <c r="S330" s="11"/>
    </row>
    <row r="331" spans="1:19" ht="15.75">
      <c r="A331" s="13">
        <v>51226</v>
      </c>
      <c r="B331" s="8">
        <f>CHOOSE( CONTROL!$C$32, 9.3143, 9.3141) * CHOOSE(CONTROL!$C$15, $D$11, 100%, $F$11)</f>
        <v>9.3142999999999994</v>
      </c>
      <c r="C331" s="8">
        <f>CHOOSE( CONTROL!$C$32, 9.3194, 9.3191) * CHOOSE(CONTROL!$C$15, $D$11, 100%, $F$11)</f>
        <v>9.3193999999999999</v>
      </c>
      <c r="D331" s="8">
        <f>CHOOSE( CONTROL!$C$32, 9.3067, 9.3064) * CHOOSE( CONTROL!$C$15, $D$11, 100%, $F$11)</f>
        <v>9.3066999999999993</v>
      </c>
      <c r="E331" s="12">
        <f>CHOOSE( CONTROL!$C$32, 9.3108, 9.3105) * CHOOSE( CONTROL!$C$15, $D$11, 100%, $F$11)</f>
        <v>9.3108000000000004</v>
      </c>
      <c r="F331" s="4">
        <f>CHOOSE( CONTROL!$C$32, 9.9796, 9.9793) * CHOOSE(CONTROL!$C$15, $D$11, 100%, $F$11)</f>
        <v>9.9795999999999996</v>
      </c>
      <c r="G331" s="8">
        <f>CHOOSE( CONTROL!$C$32, 9.2117, 9.2114) * CHOOSE( CONTROL!$C$15, $D$11, 100%, $F$11)</f>
        <v>9.2117000000000004</v>
      </c>
      <c r="H331" s="4">
        <f>CHOOSE( CONTROL!$C$32, 10.1094, 10.1091) * CHOOSE(CONTROL!$C$15, $D$11, 100%, $F$11)</f>
        <v>10.109400000000001</v>
      </c>
      <c r="I331" s="8">
        <f>CHOOSE( CONTROL!$C$32, 9.1658, 9.1655) * CHOOSE(CONTROL!$C$15, $D$11, 100%, $F$11)</f>
        <v>9.1658000000000008</v>
      </c>
      <c r="J331" s="4">
        <f>CHOOSE( CONTROL!$C$32, 9.0308, 9.0305) * CHOOSE(CONTROL!$C$15, $D$11, 100%, $F$11)</f>
        <v>9.0307999999999993</v>
      </c>
      <c r="K331" s="4"/>
      <c r="L331" s="9">
        <v>29.306000000000001</v>
      </c>
      <c r="M331" s="9">
        <v>12.063700000000001</v>
      </c>
      <c r="N331" s="9">
        <v>4.9444999999999997</v>
      </c>
      <c r="O331" s="9">
        <v>0.37409999999999999</v>
      </c>
      <c r="P331" s="9">
        <v>1.2927</v>
      </c>
      <c r="Q331" s="9">
        <v>30.3217</v>
      </c>
      <c r="R331" s="9"/>
      <c r="S331" s="11"/>
    </row>
    <row r="332" spans="1:19" ht="15.75">
      <c r="A332" s="13">
        <v>51256</v>
      </c>
      <c r="B332" s="8">
        <f>CHOOSE( CONTROL!$C$32, 9.4565, 9.4563) * CHOOSE(CONTROL!$C$15, $D$11, 100%, $F$11)</f>
        <v>9.4565000000000001</v>
      </c>
      <c r="C332" s="8">
        <f>CHOOSE( CONTROL!$C$32, 9.461, 9.4608) * CHOOSE(CONTROL!$C$15, $D$11, 100%, $F$11)</f>
        <v>9.4610000000000003</v>
      </c>
      <c r="D332" s="8">
        <f>CHOOSE( CONTROL!$C$32, 9.4659, 9.4656) * CHOOSE( CONTROL!$C$15, $D$11, 100%, $F$11)</f>
        <v>9.4658999999999995</v>
      </c>
      <c r="E332" s="12">
        <f>CHOOSE( CONTROL!$C$32, 9.4638, 9.4635) * CHOOSE( CONTROL!$C$15, $D$11, 100%, $F$11)</f>
        <v>9.4638000000000009</v>
      </c>
      <c r="F332" s="4">
        <f>CHOOSE( CONTROL!$C$32, 10.1607, 10.1604) * CHOOSE(CONTROL!$C$15, $D$11, 100%, $F$11)</f>
        <v>10.1607</v>
      </c>
      <c r="G332" s="8">
        <f>CHOOSE( CONTROL!$C$32, 9.3572, 9.357) * CHOOSE( CONTROL!$C$15, $D$11, 100%, $F$11)</f>
        <v>9.3572000000000006</v>
      </c>
      <c r="H332" s="4">
        <f>CHOOSE( CONTROL!$C$32, 10.2884, 10.2881) * CHOOSE(CONTROL!$C$15, $D$11, 100%, $F$11)</f>
        <v>10.288399999999999</v>
      </c>
      <c r="I332" s="8">
        <f>CHOOSE( CONTROL!$C$32, 9.2774, 9.2771) * CHOOSE(CONTROL!$C$15, $D$11, 100%, $F$11)</f>
        <v>9.2774000000000001</v>
      </c>
      <c r="J332" s="4">
        <f>CHOOSE( CONTROL!$C$32, 9.1681, 9.1678) * CHOOSE(CONTROL!$C$15, $D$11, 100%, $F$11)</f>
        <v>9.1681000000000008</v>
      </c>
      <c r="K332" s="4"/>
      <c r="L332" s="9">
        <v>30.092199999999998</v>
      </c>
      <c r="M332" s="9">
        <v>11.6745</v>
      </c>
      <c r="N332" s="9">
        <v>4.7850000000000001</v>
      </c>
      <c r="O332" s="9">
        <v>0.36199999999999999</v>
      </c>
      <c r="P332" s="9">
        <v>1.2509999999999999</v>
      </c>
      <c r="Q332" s="9">
        <v>29.343599999999999</v>
      </c>
      <c r="R332" s="9"/>
      <c r="S332" s="11"/>
    </row>
    <row r="333" spans="1:19" ht="15.75">
      <c r="A333" s="13">
        <v>51287</v>
      </c>
      <c r="B333" s="8">
        <f>CHOOSE( CONTROL!$C$32, 9.7098, 9.7093) * CHOOSE(CONTROL!$C$15, $D$11, 100%, $F$11)</f>
        <v>9.7097999999999995</v>
      </c>
      <c r="C333" s="8">
        <f>CHOOSE( CONTROL!$C$32, 9.7178, 9.7173) * CHOOSE(CONTROL!$C$15, $D$11, 100%, $F$11)</f>
        <v>9.7178000000000004</v>
      </c>
      <c r="D333" s="8">
        <f>CHOOSE( CONTROL!$C$32, 9.7165, 9.7161) * CHOOSE( CONTROL!$C$15, $D$11, 100%, $F$11)</f>
        <v>9.7164999999999999</v>
      </c>
      <c r="E333" s="12">
        <f>CHOOSE( CONTROL!$C$32, 9.7158, 9.7153) * CHOOSE( CONTROL!$C$15, $D$11, 100%, $F$11)</f>
        <v>9.7157999999999998</v>
      </c>
      <c r="F333" s="4">
        <f>CHOOSE( CONTROL!$C$32, 10.4126, 10.4121) * CHOOSE(CONTROL!$C$15, $D$11, 100%, $F$11)</f>
        <v>10.412599999999999</v>
      </c>
      <c r="G333" s="8">
        <f>CHOOSE( CONTROL!$C$32, 9.606, 9.6055) * CHOOSE( CONTROL!$C$15, $D$11, 100%, $F$11)</f>
        <v>9.6059999999999999</v>
      </c>
      <c r="H333" s="4">
        <f>CHOOSE( CONTROL!$C$32, 10.5373, 10.5369) * CHOOSE(CONTROL!$C$15, $D$11, 100%, $F$11)</f>
        <v>10.5373</v>
      </c>
      <c r="I333" s="8">
        <f>CHOOSE( CONTROL!$C$32, 9.5211, 9.5207) * CHOOSE(CONTROL!$C$15, $D$11, 100%, $F$11)</f>
        <v>9.5211000000000006</v>
      </c>
      <c r="J333" s="4">
        <f>CHOOSE( CONTROL!$C$32, 9.4125, 9.4121) * CHOOSE(CONTROL!$C$15, $D$11, 100%, $F$11)</f>
        <v>9.4124999999999996</v>
      </c>
      <c r="K333" s="4"/>
      <c r="L333" s="9">
        <v>30.7165</v>
      </c>
      <c r="M333" s="9">
        <v>12.063700000000001</v>
      </c>
      <c r="N333" s="9">
        <v>4.9444999999999997</v>
      </c>
      <c r="O333" s="9">
        <v>0.37409999999999999</v>
      </c>
      <c r="P333" s="9">
        <v>1.2927</v>
      </c>
      <c r="Q333" s="9">
        <v>30.3217</v>
      </c>
      <c r="R333" s="9"/>
      <c r="S333" s="11"/>
    </row>
    <row r="334" spans="1:19" ht="15.75">
      <c r="A334" s="13">
        <v>51317</v>
      </c>
      <c r="B334" s="8">
        <f>CHOOSE( CONTROL!$C$32, 9.5539, 9.5534) * CHOOSE(CONTROL!$C$15, $D$11, 100%, $F$11)</f>
        <v>9.5539000000000005</v>
      </c>
      <c r="C334" s="8">
        <f>CHOOSE( CONTROL!$C$32, 9.5618, 9.5614) * CHOOSE(CONTROL!$C$15, $D$11, 100%, $F$11)</f>
        <v>9.5617999999999999</v>
      </c>
      <c r="D334" s="8">
        <f>CHOOSE( CONTROL!$C$32, 9.5608, 9.5604) * CHOOSE( CONTROL!$C$15, $D$11, 100%, $F$11)</f>
        <v>9.5608000000000004</v>
      </c>
      <c r="E334" s="12">
        <f>CHOOSE( CONTROL!$C$32, 9.56, 9.5595) * CHOOSE( CONTROL!$C$15, $D$11, 100%, $F$11)</f>
        <v>9.56</v>
      </c>
      <c r="F334" s="4">
        <f>CHOOSE( CONTROL!$C$32, 10.2567, 10.2562) * CHOOSE(CONTROL!$C$15, $D$11, 100%, $F$11)</f>
        <v>10.2567</v>
      </c>
      <c r="G334" s="8">
        <f>CHOOSE( CONTROL!$C$32, 9.452, 9.4516) * CHOOSE( CONTROL!$C$15, $D$11, 100%, $F$11)</f>
        <v>9.452</v>
      </c>
      <c r="H334" s="4">
        <f>CHOOSE( CONTROL!$C$32, 10.3832, 10.3828) * CHOOSE(CONTROL!$C$15, $D$11, 100%, $F$11)</f>
        <v>10.3832</v>
      </c>
      <c r="I334" s="8">
        <f>CHOOSE( CONTROL!$C$32, 9.3704, 9.3699) * CHOOSE(CONTROL!$C$15, $D$11, 100%, $F$11)</f>
        <v>9.3704000000000001</v>
      </c>
      <c r="J334" s="4">
        <f>CHOOSE( CONTROL!$C$32, 9.2612, 9.2608) * CHOOSE(CONTROL!$C$15, $D$11, 100%, $F$11)</f>
        <v>9.2612000000000005</v>
      </c>
      <c r="K334" s="4"/>
      <c r="L334" s="9">
        <v>29.7257</v>
      </c>
      <c r="M334" s="9">
        <v>11.6745</v>
      </c>
      <c r="N334" s="9">
        <v>4.7850000000000001</v>
      </c>
      <c r="O334" s="9">
        <v>0.36199999999999999</v>
      </c>
      <c r="P334" s="9">
        <v>1.2509999999999999</v>
      </c>
      <c r="Q334" s="9">
        <v>29.343599999999999</v>
      </c>
      <c r="R334" s="9"/>
      <c r="S334" s="11"/>
    </row>
    <row r="335" spans="1:19" ht="15.75">
      <c r="A335" s="13">
        <v>51348</v>
      </c>
      <c r="B335" s="8">
        <f>CHOOSE( CONTROL!$C$32, 9.9645, 9.964) * CHOOSE(CONTROL!$C$15, $D$11, 100%, $F$11)</f>
        <v>9.9644999999999992</v>
      </c>
      <c r="C335" s="8">
        <f>CHOOSE( CONTROL!$C$32, 9.9724, 9.972) * CHOOSE(CONTROL!$C$15, $D$11, 100%, $F$11)</f>
        <v>9.9724000000000004</v>
      </c>
      <c r="D335" s="8">
        <f>CHOOSE( CONTROL!$C$32, 9.9716, 9.9712) * CHOOSE( CONTROL!$C$15, $D$11, 100%, $F$11)</f>
        <v>9.9716000000000005</v>
      </c>
      <c r="E335" s="12">
        <f>CHOOSE( CONTROL!$C$32, 9.9707, 9.9703) * CHOOSE( CONTROL!$C$15, $D$11, 100%, $F$11)</f>
        <v>9.9707000000000008</v>
      </c>
      <c r="F335" s="4">
        <f>CHOOSE( CONTROL!$C$32, 10.6673, 10.6668) * CHOOSE(CONTROL!$C$15, $D$11, 100%, $F$11)</f>
        <v>10.667299999999999</v>
      </c>
      <c r="G335" s="8">
        <f>CHOOSE( CONTROL!$C$32, 9.858, 9.8576) * CHOOSE( CONTROL!$C$15, $D$11, 100%, $F$11)</f>
        <v>9.8580000000000005</v>
      </c>
      <c r="H335" s="4">
        <f>CHOOSE( CONTROL!$C$32, 10.789, 10.7886) * CHOOSE(CONTROL!$C$15, $D$11, 100%, $F$11)</f>
        <v>10.789</v>
      </c>
      <c r="I335" s="8">
        <f>CHOOSE( CONTROL!$C$32, 9.7698, 9.7694) * CHOOSE(CONTROL!$C$15, $D$11, 100%, $F$11)</f>
        <v>9.7698</v>
      </c>
      <c r="J335" s="4">
        <f>CHOOSE( CONTROL!$C$32, 9.6597, 9.6593) * CHOOSE(CONTROL!$C$15, $D$11, 100%, $F$11)</f>
        <v>9.6597000000000008</v>
      </c>
      <c r="K335" s="4"/>
      <c r="L335" s="9">
        <v>30.7165</v>
      </c>
      <c r="M335" s="9">
        <v>12.063700000000001</v>
      </c>
      <c r="N335" s="9">
        <v>4.9444999999999997</v>
      </c>
      <c r="O335" s="9">
        <v>0.37409999999999999</v>
      </c>
      <c r="P335" s="9">
        <v>1.2927</v>
      </c>
      <c r="Q335" s="9">
        <v>30.3217</v>
      </c>
      <c r="R335" s="9"/>
      <c r="S335" s="11"/>
    </row>
    <row r="336" spans="1:19" ht="15.75">
      <c r="A336" s="13">
        <v>51379</v>
      </c>
      <c r="B336" s="8">
        <f>CHOOSE( CONTROL!$C$32, 9.1962, 9.1957) * CHOOSE(CONTROL!$C$15, $D$11, 100%, $F$11)</f>
        <v>9.1961999999999993</v>
      </c>
      <c r="C336" s="8">
        <f>CHOOSE( CONTROL!$C$32, 9.2042, 9.2037) * CHOOSE(CONTROL!$C$15, $D$11, 100%, $F$11)</f>
        <v>9.2042000000000002</v>
      </c>
      <c r="D336" s="8">
        <f>CHOOSE( CONTROL!$C$32, 9.2034, 9.203) * CHOOSE( CONTROL!$C$15, $D$11, 100%, $F$11)</f>
        <v>9.2034000000000002</v>
      </c>
      <c r="E336" s="12">
        <f>CHOOSE( CONTROL!$C$32, 9.2025, 9.202) * CHOOSE( CONTROL!$C$15, $D$11, 100%, $F$11)</f>
        <v>9.2025000000000006</v>
      </c>
      <c r="F336" s="4">
        <f>CHOOSE( CONTROL!$C$32, 9.899, 9.8985) * CHOOSE(CONTROL!$C$15, $D$11, 100%, $F$11)</f>
        <v>9.8989999999999991</v>
      </c>
      <c r="G336" s="8">
        <f>CHOOSE( CONTROL!$C$32, 9.0988, 9.0983) * CHOOSE( CONTROL!$C$15, $D$11, 100%, $F$11)</f>
        <v>9.0988000000000007</v>
      </c>
      <c r="H336" s="4">
        <f>CHOOSE( CONTROL!$C$32, 10.0297, 10.0293) * CHOOSE(CONTROL!$C$15, $D$11, 100%, $F$11)</f>
        <v>10.0297</v>
      </c>
      <c r="I336" s="8">
        <f>CHOOSE( CONTROL!$C$32, 9.024, 9.0236) * CHOOSE(CONTROL!$C$15, $D$11, 100%, $F$11)</f>
        <v>9.0239999999999991</v>
      </c>
      <c r="J336" s="4">
        <f>CHOOSE( CONTROL!$C$32, 8.9141, 8.9136) * CHOOSE(CONTROL!$C$15, $D$11, 100%, $F$11)</f>
        <v>8.9140999999999995</v>
      </c>
      <c r="K336" s="4"/>
      <c r="L336" s="9">
        <v>30.7165</v>
      </c>
      <c r="M336" s="9">
        <v>12.063700000000001</v>
      </c>
      <c r="N336" s="9">
        <v>4.9444999999999997</v>
      </c>
      <c r="O336" s="9">
        <v>0.37409999999999999</v>
      </c>
      <c r="P336" s="9">
        <v>1.2927</v>
      </c>
      <c r="Q336" s="9">
        <v>30.3217</v>
      </c>
      <c r="R336" s="9"/>
      <c r="S336" s="11"/>
    </row>
    <row r="337" spans="1:19" ht="15.75">
      <c r="A337" s="13">
        <v>51409</v>
      </c>
      <c r="B337" s="8">
        <f>CHOOSE( CONTROL!$C$32, 9.0038, 9.0033) * CHOOSE(CONTROL!$C$15, $D$11, 100%, $F$11)</f>
        <v>9.0038</v>
      </c>
      <c r="C337" s="8">
        <f>CHOOSE( CONTROL!$C$32, 9.0118, 9.0113) * CHOOSE(CONTROL!$C$15, $D$11, 100%, $F$11)</f>
        <v>9.0117999999999991</v>
      </c>
      <c r="D337" s="8">
        <f>CHOOSE( CONTROL!$C$32, 9.0109, 9.0104) * CHOOSE( CONTROL!$C$15, $D$11, 100%, $F$11)</f>
        <v>9.0108999999999995</v>
      </c>
      <c r="E337" s="12">
        <f>CHOOSE( CONTROL!$C$32, 9.01, 9.0095) * CHOOSE( CONTROL!$C$15, $D$11, 100%, $F$11)</f>
        <v>9.01</v>
      </c>
      <c r="F337" s="4">
        <f>CHOOSE( CONTROL!$C$32, 9.7066, 9.7062) * CHOOSE(CONTROL!$C$15, $D$11, 100%, $F$11)</f>
        <v>9.7065999999999999</v>
      </c>
      <c r="G337" s="8">
        <f>CHOOSE( CONTROL!$C$32, 8.9085, 8.9081) * CHOOSE( CONTROL!$C$15, $D$11, 100%, $F$11)</f>
        <v>8.9085000000000001</v>
      </c>
      <c r="H337" s="4">
        <f>CHOOSE( CONTROL!$C$32, 9.8396, 9.8391) * CHOOSE(CONTROL!$C$15, $D$11, 100%, $F$11)</f>
        <v>9.8396000000000008</v>
      </c>
      <c r="I337" s="8">
        <f>CHOOSE( CONTROL!$C$32, 8.8367, 8.8363) * CHOOSE(CONTROL!$C$15, $D$11, 100%, $F$11)</f>
        <v>8.8367000000000004</v>
      </c>
      <c r="J337" s="4">
        <f>CHOOSE( CONTROL!$C$32, 8.7274, 8.7269) * CHOOSE(CONTROL!$C$15, $D$11, 100%, $F$11)</f>
        <v>8.7273999999999994</v>
      </c>
      <c r="K337" s="4"/>
      <c r="L337" s="9">
        <v>29.7257</v>
      </c>
      <c r="M337" s="9">
        <v>11.6745</v>
      </c>
      <c r="N337" s="9">
        <v>4.7850000000000001</v>
      </c>
      <c r="O337" s="9">
        <v>0.36199999999999999</v>
      </c>
      <c r="P337" s="9">
        <v>1.2509999999999999</v>
      </c>
      <c r="Q337" s="9">
        <v>29.343599999999999</v>
      </c>
      <c r="R337" s="9"/>
      <c r="S337" s="11"/>
    </row>
    <row r="338" spans="1:19" ht="15.75">
      <c r="A338" s="13">
        <v>51440</v>
      </c>
      <c r="B338" s="8">
        <f>CHOOSE( CONTROL!$C$32, 9.4013, 9.4011) * CHOOSE(CONTROL!$C$15, $D$11, 100%, $F$11)</f>
        <v>9.4013000000000009</v>
      </c>
      <c r="C338" s="8">
        <f>CHOOSE( CONTROL!$C$32, 9.4067, 9.4064) * CHOOSE(CONTROL!$C$15, $D$11, 100%, $F$11)</f>
        <v>9.4067000000000007</v>
      </c>
      <c r="D338" s="8">
        <f>CHOOSE( CONTROL!$C$32, 9.4114, 9.4111) * CHOOSE( CONTROL!$C$15, $D$11, 100%, $F$11)</f>
        <v>9.4114000000000004</v>
      </c>
      <c r="E338" s="12">
        <f>CHOOSE( CONTROL!$C$32, 9.4093, 9.409) * CHOOSE( CONTROL!$C$15, $D$11, 100%, $F$11)</f>
        <v>9.4093</v>
      </c>
      <c r="F338" s="4">
        <f>CHOOSE( CONTROL!$C$32, 10.1059, 10.1056) * CHOOSE(CONTROL!$C$15, $D$11, 100%, $F$11)</f>
        <v>10.1059</v>
      </c>
      <c r="G338" s="8">
        <f>CHOOSE( CONTROL!$C$32, 9.3033, 9.303) * CHOOSE( CONTROL!$C$15, $D$11, 100%, $F$11)</f>
        <v>9.3033000000000001</v>
      </c>
      <c r="H338" s="4">
        <f>CHOOSE( CONTROL!$C$32, 10.2342, 10.2339) * CHOOSE(CONTROL!$C$15, $D$11, 100%, $F$11)</f>
        <v>10.2342</v>
      </c>
      <c r="I338" s="8">
        <f>CHOOSE( CONTROL!$C$32, 9.2252, 9.225) * CHOOSE(CONTROL!$C$15, $D$11, 100%, $F$11)</f>
        <v>9.2251999999999992</v>
      </c>
      <c r="J338" s="4">
        <f>CHOOSE( CONTROL!$C$32, 9.1149, 9.1146) * CHOOSE(CONTROL!$C$15, $D$11, 100%, $F$11)</f>
        <v>9.1149000000000004</v>
      </c>
      <c r="K338" s="4"/>
      <c r="L338" s="9">
        <v>31.095300000000002</v>
      </c>
      <c r="M338" s="9">
        <v>12.063700000000001</v>
      </c>
      <c r="N338" s="9">
        <v>4.9444999999999997</v>
      </c>
      <c r="O338" s="9">
        <v>0.37409999999999999</v>
      </c>
      <c r="P338" s="9">
        <v>1.2927</v>
      </c>
      <c r="Q338" s="9">
        <v>30.3217</v>
      </c>
      <c r="R338" s="9"/>
      <c r="S338" s="11"/>
    </row>
    <row r="339" spans="1:19" ht="15.75">
      <c r="A339" s="13">
        <v>51470</v>
      </c>
      <c r="B339" s="8">
        <f>CHOOSE( CONTROL!$C$32, 10.1383, 10.138) * CHOOSE(CONTROL!$C$15, $D$11, 100%, $F$11)</f>
        <v>10.138299999999999</v>
      </c>
      <c r="C339" s="8">
        <f>CHOOSE( CONTROL!$C$32, 10.1433, 10.1431) * CHOOSE(CONTROL!$C$15, $D$11, 100%, $F$11)</f>
        <v>10.1433</v>
      </c>
      <c r="D339" s="8">
        <f>CHOOSE( CONTROL!$C$32, 10.1261, 10.1258) * CHOOSE( CONTROL!$C$15, $D$11, 100%, $F$11)</f>
        <v>10.126099999999999</v>
      </c>
      <c r="E339" s="12">
        <f>CHOOSE( CONTROL!$C$32, 10.1319, 10.1316) * CHOOSE( CONTROL!$C$15, $D$11, 100%, $F$11)</f>
        <v>10.1319</v>
      </c>
      <c r="F339" s="4">
        <f>CHOOSE( CONTROL!$C$32, 10.8036, 10.8033) * CHOOSE(CONTROL!$C$15, $D$11, 100%, $F$11)</f>
        <v>10.803599999999999</v>
      </c>
      <c r="G339" s="8">
        <f>CHOOSE( CONTROL!$C$32, 10.0289, 10.0286) * CHOOSE( CONTROL!$C$15, $D$11, 100%, $F$11)</f>
        <v>10.0289</v>
      </c>
      <c r="H339" s="4">
        <f>CHOOSE( CONTROL!$C$32, 10.9237, 10.9234) * CHOOSE(CONTROL!$C$15, $D$11, 100%, $F$11)</f>
        <v>10.9237</v>
      </c>
      <c r="I339" s="8">
        <f>CHOOSE( CONTROL!$C$32, 9.9968, 9.9965) * CHOOSE(CONTROL!$C$15, $D$11, 100%, $F$11)</f>
        <v>9.9968000000000004</v>
      </c>
      <c r="J339" s="4">
        <f>CHOOSE( CONTROL!$C$32, 9.8304, 9.8302) * CHOOSE(CONTROL!$C$15, $D$11, 100%, $F$11)</f>
        <v>9.8303999999999991</v>
      </c>
      <c r="K339" s="4"/>
      <c r="L339" s="9">
        <v>28.360600000000002</v>
      </c>
      <c r="M339" s="9">
        <v>11.6745</v>
      </c>
      <c r="N339" s="9">
        <v>4.7850000000000001</v>
      </c>
      <c r="O339" s="9">
        <v>0.36199999999999999</v>
      </c>
      <c r="P339" s="9">
        <v>1.2509999999999999</v>
      </c>
      <c r="Q339" s="9">
        <v>29.343599999999999</v>
      </c>
      <c r="R339" s="9"/>
      <c r="S339" s="11"/>
    </row>
    <row r="340" spans="1:19" ht="15.75">
      <c r="A340" s="13">
        <v>51501</v>
      </c>
      <c r="B340" s="8">
        <f>CHOOSE( CONTROL!$C$32, 10.1198, 10.1196) * CHOOSE(CONTROL!$C$15, $D$11, 100%, $F$11)</f>
        <v>10.1198</v>
      </c>
      <c r="C340" s="8">
        <f>CHOOSE( CONTROL!$C$32, 10.1249, 10.1247) * CHOOSE(CONTROL!$C$15, $D$11, 100%, $F$11)</f>
        <v>10.1249</v>
      </c>
      <c r="D340" s="8">
        <f>CHOOSE( CONTROL!$C$32, 10.1094, 10.1092) * CHOOSE( CONTROL!$C$15, $D$11, 100%, $F$11)</f>
        <v>10.109400000000001</v>
      </c>
      <c r="E340" s="12">
        <f>CHOOSE( CONTROL!$C$32, 10.1145, 10.1143) * CHOOSE( CONTROL!$C$15, $D$11, 100%, $F$11)</f>
        <v>10.1145</v>
      </c>
      <c r="F340" s="4">
        <f>CHOOSE( CONTROL!$C$32, 10.7851, 10.7849) * CHOOSE(CONTROL!$C$15, $D$11, 100%, $F$11)</f>
        <v>10.7851</v>
      </c>
      <c r="G340" s="8">
        <f>CHOOSE( CONTROL!$C$32, 10.012, 10.0117) * CHOOSE( CONTROL!$C$15, $D$11, 100%, $F$11)</f>
        <v>10.012</v>
      </c>
      <c r="H340" s="4">
        <f>CHOOSE( CONTROL!$C$32, 10.9055, 10.9052) * CHOOSE(CONTROL!$C$15, $D$11, 100%, $F$11)</f>
        <v>10.9055</v>
      </c>
      <c r="I340" s="8">
        <f>CHOOSE( CONTROL!$C$32, 9.9845, 9.9842) * CHOOSE(CONTROL!$C$15, $D$11, 100%, $F$11)</f>
        <v>9.9845000000000006</v>
      </c>
      <c r="J340" s="4">
        <f>CHOOSE( CONTROL!$C$32, 9.8126, 9.8123) * CHOOSE(CONTROL!$C$15, $D$11, 100%, $F$11)</f>
        <v>9.8125999999999998</v>
      </c>
      <c r="K340" s="4"/>
      <c r="L340" s="9">
        <v>29.306000000000001</v>
      </c>
      <c r="M340" s="9">
        <v>12.063700000000001</v>
      </c>
      <c r="N340" s="9">
        <v>4.9444999999999997</v>
      </c>
      <c r="O340" s="9">
        <v>0.37409999999999999</v>
      </c>
      <c r="P340" s="9">
        <v>1.2927</v>
      </c>
      <c r="Q340" s="9">
        <v>30.3217</v>
      </c>
      <c r="R340" s="9"/>
      <c r="S340" s="11"/>
    </row>
    <row r="341" spans="1:19" ht="15.75">
      <c r="A341" s="13">
        <v>51532</v>
      </c>
      <c r="B341" s="8">
        <f>CHOOSE( CONTROL!$C$32, 10.4181, 10.4178) * CHOOSE(CONTROL!$C$15, $D$11, 100%, $F$11)</f>
        <v>10.418100000000001</v>
      </c>
      <c r="C341" s="8">
        <f>CHOOSE( CONTROL!$C$32, 10.4232, 10.4229) * CHOOSE(CONTROL!$C$15, $D$11, 100%, $F$11)</f>
        <v>10.4232</v>
      </c>
      <c r="D341" s="8">
        <f>CHOOSE( CONTROL!$C$32, 10.4136, 10.4133) * CHOOSE( CONTROL!$C$15, $D$11, 100%, $F$11)</f>
        <v>10.413600000000001</v>
      </c>
      <c r="E341" s="12">
        <f>CHOOSE( CONTROL!$C$32, 10.4166, 10.4163) * CHOOSE( CONTROL!$C$15, $D$11, 100%, $F$11)</f>
        <v>10.416600000000001</v>
      </c>
      <c r="F341" s="4">
        <f>CHOOSE( CONTROL!$C$32, 11.0834, 11.0831) * CHOOSE(CONTROL!$C$15, $D$11, 100%, $F$11)</f>
        <v>11.083399999999999</v>
      </c>
      <c r="G341" s="8">
        <f>CHOOSE( CONTROL!$C$32, 10.3074, 10.3072) * CHOOSE( CONTROL!$C$15, $D$11, 100%, $F$11)</f>
        <v>10.307399999999999</v>
      </c>
      <c r="H341" s="4">
        <f>CHOOSE( CONTROL!$C$32, 11.2002, 11.1999) * CHOOSE(CONTROL!$C$15, $D$11, 100%, $F$11)</f>
        <v>11.200200000000001</v>
      </c>
      <c r="I341" s="8">
        <f>CHOOSE( CONTROL!$C$32, 10.2545, 10.2543) * CHOOSE(CONTROL!$C$15, $D$11, 100%, $F$11)</f>
        <v>10.2545</v>
      </c>
      <c r="J341" s="4">
        <f>CHOOSE( CONTROL!$C$32, 10.102, 10.1017) * CHOOSE(CONTROL!$C$15, $D$11, 100%, $F$11)</f>
        <v>10.102</v>
      </c>
      <c r="K341" s="4"/>
      <c r="L341" s="9">
        <v>29.306000000000001</v>
      </c>
      <c r="M341" s="9">
        <v>12.063700000000001</v>
      </c>
      <c r="N341" s="9">
        <v>4.9444999999999997</v>
      </c>
      <c r="O341" s="9">
        <v>0.37409999999999999</v>
      </c>
      <c r="P341" s="9">
        <v>1.2927</v>
      </c>
      <c r="Q341" s="9">
        <v>30.258500000000002</v>
      </c>
      <c r="R341" s="9"/>
      <c r="S341" s="11"/>
    </row>
    <row r="342" spans="1:19" ht="15.75">
      <c r="A342" s="13">
        <v>51560</v>
      </c>
      <c r="B342" s="8">
        <f>CHOOSE( CONTROL!$C$32, 9.7452, 9.7449) * CHOOSE(CONTROL!$C$15, $D$11, 100%, $F$11)</f>
        <v>9.7452000000000005</v>
      </c>
      <c r="C342" s="8">
        <f>CHOOSE( CONTROL!$C$32, 9.7502, 9.75) * CHOOSE(CONTROL!$C$15, $D$11, 100%, $F$11)</f>
        <v>9.7501999999999995</v>
      </c>
      <c r="D342" s="8">
        <f>CHOOSE( CONTROL!$C$32, 9.7423, 9.7421) * CHOOSE( CONTROL!$C$15, $D$11, 100%, $F$11)</f>
        <v>9.7423000000000002</v>
      </c>
      <c r="E342" s="12">
        <f>CHOOSE( CONTROL!$C$32, 9.7447, 9.7444) * CHOOSE( CONTROL!$C$15, $D$11, 100%, $F$11)</f>
        <v>9.7446999999999999</v>
      </c>
      <c r="F342" s="4">
        <f>CHOOSE( CONTROL!$C$32, 10.4104, 10.4102) * CHOOSE(CONTROL!$C$15, $D$11, 100%, $F$11)</f>
        <v>10.410399999999999</v>
      </c>
      <c r="G342" s="8">
        <f>CHOOSE( CONTROL!$C$32, 9.6409, 9.6407) * CHOOSE( CONTROL!$C$15, $D$11, 100%, $F$11)</f>
        <v>9.6409000000000002</v>
      </c>
      <c r="H342" s="4">
        <f>CHOOSE( CONTROL!$C$32, 10.5352, 10.5349) * CHOOSE(CONTROL!$C$15, $D$11, 100%, $F$11)</f>
        <v>10.5352</v>
      </c>
      <c r="I342" s="8">
        <f>CHOOSE( CONTROL!$C$32, 9.5858, 9.5855) * CHOOSE(CONTROL!$C$15, $D$11, 100%, $F$11)</f>
        <v>9.5858000000000008</v>
      </c>
      <c r="J342" s="4">
        <f>CHOOSE( CONTROL!$C$32, 9.4489, 9.4487) * CHOOSE(CONTROL!$C$15, $D$11, 100%, $F$11)</f>
        <v>9.4489000000000001</v>
      </c>
      <c r="K342" s="4"/>
      <c r="L342" s="9">
        <v>26.469899999999999</v>
      </c>
      <c r="M342" s="9">
        <v>10.8962</v>
      </c>
      <c r="N342" s="9">
        <v>4.4660000000000002</v>
      </c>
      <c r="O342" s="9">
        <v>0.33789999999999998</v>
      </c>
      <c r="P342" s="9">
        <v>1.1676</v>
      </c>
      <c r="Q342" s="9">
        <v>27.330200000000001</v>
      </c>
      <c r="R342" s="9"/>
      <c r="S342" s="11"/>
    </row>
    <row r="343" spans="1:19" ht="15.75">
      <c r="A343" s="13">
        <v>51591</v>
      </c>
      <c r="B343" s="8">
        <f>CHOOSE( CONTROL!$C$32, 9.5379, 9.5376) * CHOOSE(CONTROL!$C$15, $D$11, 100%, $F$11)</f>
        <v>9.5379000000000005</v>
      </c>
      <c r="C343" s="8">
        <f>CHOOSE( CONTROL!$C$32, 9.543, 9.5427) * CHOOSE(CONTROL!$C$15, $D$11, 100%, $F$11)</f>
        <v>9.5429999999999993</v>
      </c>
      <c r="D343" s="8">
        <f>CHOOSE( CONTROL!$C$32, 9.5303, 9.53) * CHOOSE( CONTROL!$C$15, $D$11, 100%, $F$11)</f>
        <v>9.5303000000000004</v>
      </c>
      <c r="E343" s="12">
        <f>CHOOSE( CONTROL!$C$32, 9.5344, 9.5341) * CHOOSE( CONTROL!$C$15, $D$11, 100%, $F$11)</f>
        <v>9.5343999999999998</v>
      </c>
      <c r="F343" s="4">
        <f>CHOOSE( CONTROL!$C$32, 10.2032, 10.2029) * CHOOSE(CONTROL!$C$15, $D$11, 100%, $F$11)</f>
        <v>10.203200000000001</v>
      </c>
      <c r="G343" s="8">
        <f>CHOOSE( CONTROL!$C$32, 9.4327, 9.4324) * CHOOSE( CONTROL!$C$15, $D$11, 100%, $F$11)</f>
        <v>9.4327000000000005</v>
      </c>
      <c r="H343" s="4">
        <f>CHOOSE( CONTROL!$C$32, 10.3304, 10.3301) * CHOOSE(CONTROL!$C$15, $D$11, 100%, $F$11)</f>
        <v>10.330399999999999</v>
      </c>
      <c r="I343" s="8">
        <f>CHOOSE( CONTROL!$C$32, 9.3829, 9.3826) * CHOOSE(CONTROL!$C$15, $D$11, 100%, $F$11)</f>
        <v>9.3828999999999994</v>
      </c>
      <c r="J343" s="4">
        <f>CHOOSE( CONTROL!$C$32, 9.2478, 9.2475) * CHOOSE(CONTROL!$C$15, $D$11, 100%, $F$11)</f>
        <v>9.2477999999999998</v>
      </c>
      <c r="K343" s="4"/>
      <c r="L343" s="9">
        <v>29.306000000000001</v>
      </c>
      <c r="M343" s="9">
        <v>12.063700000000001</v>
      </c>
      <c r="N343" s="9">
        <v>4.9444999999999997</v>
      </c>
      <c r="O343" s="9">
        <v>0.37409999999999999</v>
      </c>
      <c r="P343" s="9">
        <v>1.2927</v>
      </c>
      <c r="Q343" s="9">
        <v>30.258500000000002</v>
      </c>
      <c r="R343" s="9"/>
      <c r="S343" s="11"/>
    </row>
    <row r="344" spans="1:19" ht="15.75">
      <c r="A344" s="13">
        <v>51621</v>
      </c>
      <c r="B344" s="8">
        <f>CHOOSE( CONTROL!$C$32, 9.6835, 9.6832) * CHOOSE(CONTROL!$C$15, $D$11, 100%, $F$11)</f>
        <v>9.6835000000000004</v>
      </c>
      <c r="C344" s="8">
        <f>CHOOSE( CONTROL!$C$32, 9.688, 9.6877) * CHOOSE(CONTROL!$C$15, $D$11, 100%, $F$11)</f>
        <v>9.6880000000000006</v>
      </c>
      <c r="D344" s="8">
        <f>CHOOSE( CONTROL!$C$32, 9.6929, 9.6926) * CHOOSE( CONTROL!$C$15, $D$11, 100%, $F$11)</f>
        <v>9.6928999999999998</v>
      </c>
      <c r="E344" s="12">
        <f>CHOOSE( CONTROL!$C$32, 9.6908, 9.6905) * CHOOSE( CONTROL!$C$15, $D$11, 100%, $F$11)</f>
        <v>9.6907999999999994</v>
      </c>
      <c r="F344" s="4">
        <f>CHOOSE( CONTROL!$C$32, 10.3877, 10.3874) * CHOOSE(CONTROL!$C$15, $D$11, 100%, $F$11)</f>
        <v>10.387700000000001</v>
      </c>
      <c r="G344" s="8">
        <f>CHOOSE( CONTROL!$C$32, 9.5815, 9.5813) * CHOOSE( CONTROL!$C$15, $D$11, 100%, $F$11)</f>
        <v>9.5815000000000001</v>
      </c>
      <c r="H344" s="4">
        <f>CHOOSE( CONTROL!$C$32, 10.5127, 10.5124) * CHOOSE(CONTROL!$C$15, $D$11, 100%, $F$11)</f>
        <v>10.512700000000001</v>
      </c>
      <c r="I344" s="8">
        <f>CHOOSE( CONTROL!$C$32, 9.4977, 9.4975) * CHOOSE(CONTROL!$C$15, $D$11, 100%, $F$11)</f>
        <v>9.4977</v>
      </c>
      <c r="J344" s="4">
        <f>CHOOSE( CONTROL!$C$32, 9.3883, 9.3881) * CHOOSE(CONTROL!$C$15, $D$11, 100%, $F$11)</f>
        <v>9.3882999999999992</v>
      </c>
      <c r="K344" s="4"/>
      <c r="L344" s="9">
        <v>30.092199999999998</v>
      </c>
      <c r="M344" s="9">
        <v>11.6745</v>
      </c>
      <c r="N344" s="9">
        <v>4.7850000000000001</v>
      </c>
      <c r="O344" s="9">
        <v>0.36199999999999999</v>
      </c>
      <c r="P344" s="9">
        <v>1.2509999999999999</v>
      </c>
      <c r="Q344" s="9">
        <v>29.282399999999999</v>
      </c>
      <c r="R344" s="9"/>
      <c r="S344" s="11"/>
    </row>
    <row r="345" spans="1:19" ht="15.75">
      <c r="A345" s="13">
        <v>51652</v>
      </c>
      <c r="B345" s="8">
        <f>CHOOSE( CONTROL!$C$32, 9.9428, 9.9424) * CHOOSE(CONTROL!$C$15, $D$11, 100%, $F$11)</f>
        <v>9.9428000000000001</v>
      </c>
      <c r="C345" s="8">
        <f>CHOOSE( CONTROL!$C$32, 9.9508, 9.9503) * CHOOSE(CONTROL!$C$15, $D$11, 100%, $F$11)</f>
        <v>9.9507999999999992</v>
      </c>
      <c r="D345" s="8">
        <f>CHOOSE( CONTROL!$C$32, 9.9496, 9.9491) * CHOOSE( CONTROL!$C$15, $D$11, 100%, $F$11)</f>
        <v>9.9496000000000002</v>
      </c>
      <c r="E345" s="12">
        <f>CHOOSE( CONTROL!$C$32, 9.9488, 9.9483) * CHOOSE( CONTROL!$C$15, $D$11, 100%, $F$11)</f>
        <v>9.9488000000000003</v>
      </c>
      <c r="F345" s="4">
        <f>CHOOSE( CONTROL!$C$32, 10.6456, 10.6452) * CHOOSE(CONTROL!$C$15, $D$11, 100%, $F$11)</f>
        <v>10.6456</v>
      </c>
      <c r="G345" s="8">
        <f>CHOOSE( CONTROL!$C$32, 9.8363, 9.8358) * CHOOSE( CONTROL!$C$15, $D$11, 100%, $F$11)</f>
        <v>9.8362999999999996</v>
      </c>
      <c r="H345" s="4">
        <f>CHOOSE( CONTROL!$C$32, 10.7676, 10.7672) * CHOOSE(CONTROL!$C$15, $D$11, 100%, $F$11)</f>
        <v>10.7676</v>
      </c>
      <c r="I345" s="8">
        <f>CHOOSE( CONTROL!$C$32, 9.7474, 9.7469) * CHOOSE(CONTROL!$C$15, $D$11, 100%, $F$11)</f>
        <v>9.7474000000000007</v>
      </c>
      <c r="J345" s="4">
        <f>CHOOSE( CONTROL!$C$32, 9.6387, 9.6382) * CHOOSE(CONTROL!$C$15, $D$11, 100%, $F$11)</f>
        <v>9.6387</v>
      </c>
      <c r="K345" s="4"/>
      <c r="L345" s="9">
        <v>30.7165</v>
      </c>
      <c r="M345" s="9">
        <v>12.063700000000001</v>
      </c>
      <c r="N345" s="9">
        <v>4.9444999999999997</v>
      </c>
      <c r="O345" s="9">
        <v>0.37409999999999999</v>
      </c>
      <c r="P345" s="9">
        <v>1.2927</v>
      </c>
      <c r="Q345" s="9">
        <v>30.258500000000002</v>
      </c>
      <c r="R345" s="9"/>
      <c r="S345" s="11"/>
    </row>
    <row r="346" spans="1:19" ht="15.75">
      <c r="A346" s="13">
        <v>51682</v>
      </c>
      <c r="B346" s="8">
        <f>CHOOSE( CONTROL!$C$32, 9.7831, 9.7827) * CHOOSE(CONTROL!$C$15, $D$11, 100%, $F$11)</f>
        <v>9.7830999999999992</v>
      </c>
      <c r="C346" s="8">
        <f>CHOOSE( CONTROL!$C$32, 9.7911, 9.7907) * CHOOSE(CONTROL!$C$15, $D$11, 100%, $F$11)</f>
        <v>9.7911000000000001</v>
      </c>
      <c r="D346" s="8">
        <f>CHOOSE( CONTROL!$C$32, 9.7901, 9.7896) * CHOOSE( CONTROL!$C$15, $D$11, 100%, $F$11)</f>
        <v>9.7901000000000007</v>
      </c>
      <c r="E346" s="12">
        <f>CHOOSE( CONTROL!$C$32, 9.7892, 9.7888) * CHOOSE( CONTROL!$C$15, $D$11, 100%, $F$11)</f>
        <v>9.7891999999999992</v>
      </c>
      <c r="F346" s="4">
        <f>CHOOSE( CONTROL!$C$32, 10.486, 10.4855) * CHOOSE(CONTROL!$C$15, $D$11, 100%, $F$11)</f>
        <v>10.486000000000001</v>
      </c>
      <c r="G346" s="8">
        <f>CHOOSE( CONTROL!$C$32, 9.6786, 9.6782) * CHOOSE( CONTROL!$C$15, $D$11, 100%, $F$11)</f>
        <v>9.6785999999999994</v>
      </c>
      <c r="H346" s="4">
        <f>CHOOSE( CONTROL!$C$32, 10.6098, 10.6094) * CHOOSE(CONTROL!$C$15, $D$11, 100%, $F$11)</f>
        <v>10.6098</v>
      </c>
      <c r="I346" s="8">
        <f>CHOOSE( CONTROL!$C$32, 9.593, 9.5925) * CHOOSE(CONTROL!$C$15, $D$11, 100%, $F$11)</f>
        <v>9.593</v>
      </c>
      <c r="J346" s="4">
        <f>CHOOSE( CONTROL!$C$32, 9.4837, 9.4833) * CHOOSE(CONTROL!$C$15, $D$11, 100%, $F$11)</f>
        <v>9.4837000000000007</v>
      </c>
      <c r="K346" s="4"/>
      <c r="L346" s="9">
        <v>29.7257</v>
      </c>
      <c r="M346" s="9">
        <v>11.6745</v>
      </c>
      <c r="N346" s="9">
        <v>4.7850000000000001</v>
      </c>
      <c r="O346" s="9">
        <v>0.36199999999999999</v>
      </c>
      <c r="P346" s="9">
        <v>1.2509999999999999</v>
      </c>
      <c r="Q346" s="9">
        <v>29.282399999999999</v>
      </c>
      <c r="R346" s="9"/>
      <c r="S346" s="11"/>
    </row>
    <row r="347" spans="1:19" ht="15.75">
      <c r="A347" s="13">
        <v>51713</v>
      </c>
      <c r="B347" s="8">
        <f>CHOOSE( CONTROL!$C$32, 10.2036, 10.2032) * CHOOSE(CONTROL!$C$15, $D$11, 100%, $F$11)</f>
        <v>10.2036</v>
      </c>
      <c r="C347" s="8">
        <f>CHOOSE( CONTROL!$C$32, 10.2116, 10.2111) * CHOOSE(CONTROL!$C$15, $D$11, 100%, $F$11)</f>
        <v>10.211600000000001</v>
      </c>
      <c r="D347" s="8">
        <f>CHOOSE( CONTROL!$C$32, 10.2108, 10.2103) * CHOOSE( CONTROL!$C$15, $D$11, 100%, $F$11)</f>
        <v>10.210800000000001</v>
      </c>
      <c r="E347" s="12">
        <f>CHOOSE( CONTROL!$C$32, 10.2099, 10.2094) * CHOOSE( CONTROL!$C$15, $D$11, 100%, $F$11)</f>
        <v>10.209899999999999</v>
      </c>
      <c r="F347" s="4">
        <f>CHOOSE( CONTROL!$C$32, 10.9064, 10.906) * CHOOSE(CONTROL!$C$15, $D$11, 100%, $F$11)</f>
        <v>10.9064</v>
      </c>
      <c r="G347" s="8">
        <f>CHOOSE( CONTROL!$C$32, 10.0944, 10.0939) * CHOOSE( CONTROL!$C$15, $D$11, 100%, $F$11)</f>
        <v>10.0944</v>
      </c>
      <c r="H347" s="4">
        <f>CHOOSE( CONTROL!$C$32, 11.0253, 11.0249) * CHOOSE(CONTROL!$C$15, $D$11, 100%, $F$11)</f>
        <v>11.0253</v>
      </c>
      <c r="I347" s="8">
        <f>CHOOSE( CONTROL!$C$32, 10.002, 10.0016) * CHOOSE(CONTROL!$C$15, $D$11, 100%, $F$11)</f>
        <v>10.002000000000001</v>
      </c>
      <c r="J347" s="4">
        <f>CHOOSE( CONTROL!$C$32, 9.8918, 9.8913) * CHOOSE(CONTROL!$C$15, $D$11, 100%, $F$11)</f>
        <v>9.8917999999999999</v>
      </c>
      <c r="K347" s="4"/>
      <c r="L347" s="9">
        <v>30.7165</v>
      </c>
      <c r="M347" s="9">
        <v>12.063700000000001</v>
      </c>
      <c r="N347" s="9">
        <v>4.9444999999999997</v>
      </c>
      <c r="O347" s="9">
        <v>0.37409999999999999</v>
      </c>
      <c r="P347" s="9">
        <v>1.2927</v>
      </c>
      <c r="Q347" s="9">
        <v>30.258500000000002</v>
      </c>
      <c r="R347" s="9"/>
      <c r="S347" s="11"/>
    </row>
    <row r="348" spans="1:19" ht="15.75">
      <c r="A348" s="13">
        <v>51744</v>
      </c>
      <c r="B348" s="8">
        <f>CHOOSE( CONTROL!$C$32, 9.4169, 9.4164) * CHOOSE(CONTROL!$C$15, $D$11, 100%, $F$11)</f>
        <v>9.4169</v>
      </c>
      <c r="C348" s="8">
        <f>CHOOSE( CONTROL!$C$32, 9.4248, 9.4244) * CHOOSE(CONTROL!$C$15, $D$11, 100%, $F$11)</f>
        <v>9.4247999999999994</v>
      </c>
      <c r="D348" s="8">
        <f>CHOOSE( CONTROL!$C$32, 9.4241, 9.4236) * CHOOSE( CONTROL!$C$15, $D$11, 100%, $F$11)</f>
        <v>9.4240999999999993</v>
      </c>
      <c r="E348" s="12">
        <f>CHOOSE( CONTROL!$C$32, 9.4231, 9.4227) * CHOOSE( CONTROL!$C$15, $D$11, 100%, $F$11)</f>
        <v>9.4230999999999998</v>
      </c>
      <c r="F348" s="4">
        <f>CHOOSE( CONTROL!$C$32, 10.1197, 10.1192) * CHOOSE(CONTROL!$C$15, $D$11, 100%, $F$11)</f>
        <v>10.1197</v>
      </c>
      <c r="G348" s="8">
        <f>CHOOSE( CONTROL!$C$32, 9.3169, 9.3164) * CHOOSE( CONTROL!$C$15, $D$11, 100%, $F$11)</f>
        <v>9.3169000000000004</v>
      </c>
      <c r="H348" s="4">
        <f>CHOOSE( CONTROL!$C$32, 10.2478, 10.2474) * CHOOSE(CONTROL!$C$15, $D$11, 100%, $F$11)</f>
        <v>10.2478</v>
      </c>
      <c r="I348" s="8">
        <f>CHOOSE( CONTROL!$C$32, 9.2383, 9.2379) * CHOOSE(CONTROL!$C$15, $D$11, 100%, $F$11)</f>
        <v>9.2383000000000006</v>
      </c>
      <c r="J348" s="4">
        <f>CHOOSE( CONTROL!$C$32, 9.1282, 9.1278) * CHOOSE(CONTROL!$C$15, $D$11, 100%, $F$11)</f>
        <v>9.1281999999999996</v>
      </c>
      <c r="K348" s="4"/>
      <c r="L348" s="9">
        <v>30.7165</v>
      </c>
      <c r="M348" s="9">
        <v>12.063700000000001</v>
      </c>
      <c r="N348" s="9">
        <v>4.9444999999999997</v>
      </c>
      <c r="O348" s="9">
        <v>0.37409999999999999</v>
      </c>
      <c r="P348" s="9">
        <v>1.2927</v>
      </c>
      <c r="Q348" s="9">
        <v>30.258500000000002</v>
      </c>
      <c r="R348" s="9"/>
      <c r="S348" s="11"/>
    </row>
    <row r="349" spans="1:19" ht="15.75">
      <c r="A349" s="13">
        <v>51774</v>
      </c>
      <c r="B349" s="8">
        <f>CHOOSE( CONTROL!$C$32, 9.2198, 9.2194) * CHOOSE(CONTROL!$C$15, $D$11, 100%, $F$11)</f>
        <v>9.2197999999999993</v>
      </c>
      <c r="C349" s="8">
        <f>CHOOSE( CONTROL!$C$32, 9.2278, 9.2274) * CHOOSE(CONTROL!$C$15, $D$11, 100%, $F$11)</f>
        <v>9.2278000000000002</v>
      </c>
      <c r="D349" s="8">
        <f>CHOOSE( CONTROL!$C$32, 9.2269, 9.2265) * CHOOSE( CONTROL!$C$15, $D$11, 100%, $F$11)</f>
        <v>9.2269000000000005</v>
      </c>
      <c r="E349" s="12">
        <f>CHOOSE( CONTROL!$C$32, 9.226, 9.2256) * CHOOSE( CONTROL!$C$15, $D$11, 100%, $F$11)</f>
        <v>9.2260000000000009</v>
      </c>
      <c r="F349" s="4">
        <f>CHOOSE( CONTROL!$C$32, 9.9227, 9.9222) * CHOOSE(CONTROL!$C$15, $D$11, 100%, $F$11)</f>
        <v>9.9227000000000007</v>
      </c>
      <c r="G349" s="8">
        <f>CHOOSE( CONTROL!$C$32, 9.122, 9.1216) * CHOOSE( CONTROL!$C$15, $D$11, 100%, $F$11)</f>
        <v>9.1219999999999999</v>
      </c>
      <c r="H349" s="4">
        <f>CHOOSE( CONTROL!$C$32, 10.0531, 10.0527) * CHOOSE(CONTROL!$C$15, $D$11, 100%, $F$11)</f>
        <v>10.053100000000001</v>
      </c>
      <c r="I349" s="8">
        <f>CHOOSE( CONTROL!$C$32, 9.0465, 9.0461) * CHOOSE(CONTROL!$C$15, $D$11, 100%, $F$11)</f>
        <v>9.0465</v>
      </c>
      <c r="J349" s="4">
        <f>CHOOSE( CONTROL!$C$32, 8.937, 8.9366) * CHOOSE(CONTROL!$C$15, $D$11, 100%, $F$11)</f>
        <v>8.9369999999999994</v>
      </c>
      <c r="K349" s="4"/>
      <c r="L349" s="9">
        <v>29.7257</v>
      </c>
      <c r="M349" s="9">
        <v>11.6745</v>
      </c>
      <c r="N349" s="9">
        <v>4.7850000000000001</v>
      </c>
      <c r="O349" s="9">
        <v>0.36199999999999999</v>
      </c>
      <c r="P349" s="9">
        <v>1.2509999999999999</v>
      </c>
      <c r="Q349" s="9">
        <v>29.282399999999999</v>
      </c>
      <c r="R349" s="9"/>
      <c r="S349" s="11"/>
    </row>
    <row r="350" spans="1:19" ht="15.75">
      <c r="A350" s="13">
        <v>51805</v>
      </c>
      <c r="B350" s="8">
        <f>CHOOSE( CONTROL!$C$32, 9.627, 9.6267) * CHOOSE(CONTROL!$C$15, $D$11, 100%, $F$11)</f>
        <v>9.6270000000000007</v>
      </c>
      <c r="C350" s="8">
        <f>CHOOSE( CONTROL!$C$32, 9.6323, 9.6321) * CHOOSE(CONTROL!$C$15, $D$11, 100%, $F$11)</f>
        <v>9.6323000000000008</v>
      </c>
      <c r="D350" s="8">
        <f>CHOOSE( CONTROL!$C$32, 9.637, 9.6368) * CHOOSE( CONTROL!$C$15, $D$11, 100%, $F$11)</f>
        <v>9.6370000000000005</v>
      </c>
      <c r="E350" s="12">
        <f>CHOOSE( CONTROL!$C$32, 9.6349, 9.6347) * CHOOSE( CONTROL!$C$15, $D$11, 100%, $F$11)</f>
        <v>9.6349</v>
      </c>
      <c r="F350" s="4">
        <f>CHOOSE( CONTROL!$C$32, 10.3315, 10.3313) * CHOOSE(CONTROL!$C$15, $D$11, 100%, $F$11)</f>
        <v>10.3315</v>
      </c>
      <c r="G350" s="8">
        <f>CHOOSE( CONTROL!$C$32, 9.5263, 9.526) * CHOOSE( CONTROL!$C$15, $D$11, 100%, $F$11)</f>
        <v>9.5263000000000009</v>
      </c>
      <c r="H350" s="4">
        <f>CHOOSE( CONTROL!$C$32, 10.4572, 10.4569) * CHOOSE(CONTROL!$C$15, $D$11, 100%, $F$11)</f>
        <v>10.4572</v>
      </c>
      <c r="I350" s="8">
        <f>CHOOSE( CONTROL!$C$32, 9.4443, 9.4441) * CHOOSE(CONTROL!$C$15, $D$11, 100%, $F$11)</f>
        <v>9.4443000000000001</v>
      </c>
      <c r="J350" s="4">
        <f>CHOOSE( CONTROL!$C$32, 9.3339, 9.3336) * CHOOSE(CONTROL!$C$15, $D$11, 100%, $F$11)</f>
        <v>9.3338999999999999</v>
      </c>
      <c r="K350" s="4"/>
      <c r="L350" s="9">
        <v>31.095300000000002</v>
      </c>
      <c r="M350" s="9">
        <v>12.063700000000001</v>
      </c>
      <c r="N350" s="9">
        <v>4.9444999999999997</v>
      </c>
      <c r="O350" s="9">
        <v>0.37409999999999999</v>
      </c>
      <c r="P350" s="9">
        <v>1.2927</v>
      </c>
      <c r="Q350" s="9">
        <v>30.258500000000002</v>
      </c>
      <c r="R350" s="9"/>
      <c r="S350" s="11"/>
    </row>
    <row r="351" spans="1:19" ht="15.75">
      <c r="A351" s="13">
        <v>51835</v>
      </c>
      <c r="B351" s="8">
        <f>CHOOSE( CONTROL!$C$32, 10.3816, 10.3814) * CHOOSE(CONTROL!$C$15, $D$11, 100%, $F$11)</f>
        <v>10.381600000000001</v>
      </c>
      <c r="C351" s="8">
        <f>CHOOSE( CONTROL!$C$32, 10.3867, 10.3864) * CHOOSE(CONTROL!$C$15, $D$11, 100%, $F$11)</f>
        <v>10.386699999999999</v>
      </c>
      <c r="D351" s="8">
        <f>CHOOSE( CONTROL!$C$32, 10.3694, 10.3692) * CHOOSE( CONTROL!$C$15, $D$11, 100%, $F$11)</f>
        <v>10.369400000000001</v>
      </c>
      <c r="E351" s="12">
        <f>CHOOSE( CONTROL!$C$32, 10.3752, 10.375) * CHOOSE( CONTROL!$C$15, $D$11, 100%, $F$11)</f>
        <v>10.3752</v>
      </c>
      <c r="F351" s="4">
        <f>CHOOSE( CONTROL!$C$32, 11.0469, 11.0467) * CHOOSE(CONTROL!$C$15, $D$11, 100%, $F$11)</f>
        <v>11.046900000000001</v>
      </c>
      <c r="G351" s="8">
        <f>CHOOSE( CONTROL!$C$32, 10.2694, 10.2692) * CHOOSE( CONTROL!$C$15, $D$11, 100%, $F$11)</f>
        <v>10.269399999999999</v>
      </c>
      <c r="H351" s="4">
        <f>CHOOSE( CONTROL!$C$32, 11.1642, 11.1639) * CHOOSE(CONTROL!$C$15, $D$11, 100%, $F$11)</f>
        <v>11.164199999999999</v>
      </c>
      <c r="I351" s="8">
        <f>CHOOSE( CONTROL!$C$32, 10.2331, 10.2328) * CHOOSE(CONTROL!$C$15, $D$11, 100%, $F$11)</f>
        <v>10.2331</v>
      </c>
      <c r="J351" s="4">
        <f>CHOOSE( CONTROL!$C$32, 10.0666, 10.0664) * CHOOSE(CONTROL!$C$15, $D$11, 100%, $F$11)</f>
        <v>10.066599999999999</v>
      </c>
      <c r="K351" s="4"/>
      <c r="L351" s="9">
        <v>28.360600000000002</v>
      </c>
      <c r="M351" s="9">
        <v>11.6745</v>
      </c>
      <c r="N351" s="9">
        <v>4.7850000000000001</v>
      </c>
      <c r="O351" s="9">
        <v>0.36199999999999999</v>
      </c>
      <c r="P351" s="9">
        <v>1.2509999999999999</v>
      </c>
      <c r="Q351" s="9">
        <v>29.282399999999999</v>
      </c>
      <c r="R351" s="9"/>
      <c r="S351" s="11"/>
    </row>
    <row r="352" spans="1:19" ht="15.75">
      <c r="A352" s="13">
        <v>51866</v>
      </c>
      <c r="B352" s="8">
        <f>CHOOSE( CONTROL!$C$32, 10.3628, 10.3625) * CHOOSE(CONTROL!$C$15, $D$11, 100%, $F$11)</f>
        <v>10.3628</v>
      </c>
      <c r="C352" s="8">
        <f>CHOOSE( CONTROL!$C$32, 10.3679, 10.3676) * CHOOSE(CONTROL!$C$15, $D$11, 100%, $F$11)</f>
        <v>10.367900000000001</v>
      </c>
      <c r="D352" s="8">
        <f>CHOOSE( CONTROL!$C$32, 10.3524, 10.3521) * CHOOSE( CONTROL!$C$15, $D$11, 100%, $F$11)</f>
        <v>10.352399999999999</v>
      </c>
      <c r="E352" s="12">
        <f>CHOOSE( CONTROL!$C$32, 10.3575, 10.3572) * CHOOSE( CONTROL!$C$15, $D$11, 100%, $F$11)</f>
        <v>10.3575</v>
      </c>
      <c r="F352" s="4">
        <f>CHOOSE( CONTROL!$C$32, 11.0281, 11.0278) * CHOOSE(CONTROL!$C$15, $D$11, 100%, $F$11)</f>
        <v>11.0281</v>
      </c>
      <c r="G352" s="8">
        <f>CHOOSE( CONTROL!$C$32, 10.2521, 10.2518) * CHOOSE( CONTROL!$C$15, $D$11, 100%, $F$11)</f>
        <v>10.2521</v>
      </c>
      <c r="H352" s="4">
        <f>CHOOSE( CONTROL!$C$32, 11.1456, 11.1453) * CHOOSE(CONTROL!$C$15, $D$11, 100%, $F$11)</f>
        <v>11.1456</v>
      </c>
      <c r="I352" s="8">
        <f>CHOOSE( CONTROL!$C$32, 10.2204, 10.2201) * CHOOSE(CONTROL!$C$15, $D$11, 100%, $F$11)</f>
        <v>10.2204</v>
      </c>
      <c r="J352" s="4">
        <f>CHOOSE( CONTROL!$C$32, 10.0483, 10.0481) * CHOOSE(CONTROL!$C$15, $D$11, 100%, $F$11)</f>
        <v>10.048299999999999</v>
      </c>
      <c r="K352" s="4"/>
      <c r="L352" s="9">
        <v>29.306000000000001</v>
      </c>
      <c r="M352" s="9">
        <v>12.063700000000001</v>
      </c>
      <c r="N352" s="9">
        <v>4.9444999999999997</v>
      </c>
      <c r="O352" s="9">
        <v>0.37409999999999999</v>
      </c>
      <c r="P352" s="9">
        <v>1.2927</v>
      </c>
      <c r="Q352" s="9">
        <v>30.258500000000002</v>
      </c>
      <c r="R352" s="9"/>
      <c r="S352" s="11"/>
    </row>
    <row r="353" spans="1:19" ht="15.75">
      <c r="A353" s="13">
        <v>51897</v>
      </c>
      <c r="B353" s="8">
        <f>CHOOSE( CONTROL!$C$32, 10.6682, 10.6679) * CHOOSE(CONTROL!$C$15, $D$11, 100%, $F$11)</f>
        <v>10.668200000000001</v>
      </c>
      <c r="C353" s="8">
        <f>CHOOSE( CONTROL!$C$32, 10.6733, 10.673) * CHOOSE(CONTROL!$C$15, $D$11, 100%, $F$11)</f>
        <v>10.673299999999999</v>
      </c>
      <c r="D353" s="8">
        <f>CHOOSE( CONTROL!$C$32, 10.6637, 10.6634) * CHOOSE( CONTROL!$C$15, $D$11, 100%, $F$11)</f>
        <v>10.6637</v>
      </c>
      <c r="E353" s="12">
        <f>CHOOSE( CONTROL!$C$32, 10.6667, 10.6664) * CHOOSE( CONTROL!$C$15, $D$11, 100%, $F$11)</f>
        <v>10.666700000000001</v>
      </c>
      <c r="F353" s="4">
        <f>CHOOSE( CONTROL!$C$32, 11.3335, 11.3332) * CHOOSE(CONTROL!$C$15, $D$11, 100%, $F$11)</f>
        <v>11.333500000000001</v>
      </c>
      <c r="G353" s="8">
        <f>CHOOSE( CONTROL!$C$32, 10.5546, 10.5543) * CHOOSE( CONTROL!$C$15, $D$11, 100%, $F$11)</f>
        <v>10.554600000000001</v>
      </c>
      <c r="H353" s="4">
        <f>CHOOSE( CONTROL!$C$32, 11.4474, 11.4471) * CHOOSE(CONTROL!$C$15, $D$11, 100%, $F$11)</f>
        <v>11.4474</v>
      </c>
      <c r="I353" s="8">
        <f>CHOOSE( CONTROL!$C$32, 10.4974, 10.4971) * CHOOSE(CONTROL!$C$15, $D$11, 100%, $F$11)</f>
        <v>10.497400000000001</v>
      </c>
      <c r="J353" s="4">
        <f>CHOOSE( CONTROL!$C$32, 10.3447, 10.3444) * CHOOSE(CONTROL!$C$15, $D$11, 100%, $F$11)</f>
        <v>10.3447</v>
      </c>
      <c r="K353" s="4"/>
      <c r="L353" s="9">
        <v>29.306000000000001</v>
      </c>
      <c r="M353" s="9">
        <v>12.063700000000001</v>
      </c>
      <c r="N353" s="9">
        <v>4.9444999999999997</v>
      </c>
      <c r="O353" s="9">
        <v>0.37409999999999999</v>
      </c>
      <c r="P353" s="9">
        <v>1.2927</v>
      </c>
      <c r="Q353" s="9">
        <v>20.593900000000001</v>
      </c>
      <c r="R353" s="9"/>
      <c r="S353" s="11"/>
    </row>
    <row r="354" spans="1:19" ht="15.75">
      <c r="A354" s="13">
        <v>51925</v>
      </c>
      <c r="B354" s="8">
        <f>CHOOSE( CONTROL!$C$32, 9.9791, 9.9788) * CHOOSE(CONTROL!$C$15, $D$11, 100%, $F$11)</f>
        <v>9.9791000000000007</v>
      </c>
      <c r="C354" s="8">
        <f>CHOOSE( CONTROL!$C$32, 9.9842, 9.9839) * CHOOSE(CONTROL!$C$15, $D$11, 100%, $F$11)</f>
        <v>9.9841999999999995</v>
      </c>
      <c r="D354" s="8">
        <f>CHOOSE( CONTROL!$C$32, 9.9763, 9.976) * CHOOSE( CONTROL!$C$15, $D$11, 100%, $F$11)</f>
        <v>9.9763000000000002</v>
      </c>
      <c r="E354" s="12">
        <f>CHOOSE( CONTROL!$C$32, 9.9786, 9.9783) * CHOOSE( CONTROL!$C$15, $D$11, 100%, $F$11)</f>
        <v>9.9786000000000001</v>
      </c>
      <c r="F354" s="4">
        <f>CHOOSE( CONTROL!$C$32, 10.6444, 10.6441) * CHOOSE(CONTROL!$C$15, $D$11, 100%, $F$11)</f>
        <v>10.644399999999999</v>
      </c>
      <c r="G354" s="8">
        <f>CHOOSE( CONTROL!$C$32, 9.8721, 9.8719) * CHOOSE( CONTROL!$C$15, $D$11, 100%, $F$11)</f>
        <v>9.8720999999999997</v>
      </c>
      <c r="H354" s="4">
        <f>CHOOSE( CONTROL!$C$32, 10.7664, 10.7661) * CHOOSE(CONTROL!$C$15, $D$11, 100%, $F$11)</f>
        <v>10.766400000000001</v>
      </c>
      <c r="I354" s="8">
        <f>CHOOSE( CONTROL!$C$32, 9.8129, 9.8126) * CHOOSE(CONTROL!$C$15, $D$11, 100%, $F$11)</f>
        <v>9.8129000000000008</v>
      </c>
      <c r="J354" s="4">
        <f>CHOOSE( CONTROL!$C$32, 9.676, 9.6757) * CHOOSE(CONTROL!$C$15, $D$11, 100%, $F$11)</f>
        <v>9.6760000000000002</v>
      </c>
      <c r="K354" s="4"/>
      <c r="L354" s="9">
        <v>26.469899999999999</v>
      </c>
      <c r="M354" s="9">
        <v>10.8962</v>
      </c>
      <c r="N354" s="9">
        <v>4.4660000000000002</v>
      </c>
      <c r="O354" s="9">
        <v>0.33789999999999998</v>
      </c>
      <c r="P354" s="9">
        <v>1.1676</v>
      </c>
      <c r="Q354" s="9">
        <v>18.600999999999999</v>
      </c>
      <c r="R354" s="9"/>
      <c r="S354" s="11"/>
    </row>
    <row r="355" spans="1:19" ht="15.75">
      <c r="A355" s="13">
        <v>51956</v>
      </c>
      <c r="B355" s="8">
        <f>CHOOSE( CONTROL!$C$32, 9.7669, 9.7666) * CHOOSE(CONTROL!$C$15, $D$11, 100%, $F$11)</f>
        <v>9.7668999999999997</v>
      </c>
      <c r="C355" s="8">
        <f>CHOOSE( CONTROL!$C$32, 9.7719, 9.7717) * CHOOSE(CONTROL!$C$15, $D$11, 100%, $F$11)</f>
        <v>9.7719000000000005</v>
      </c>
      <c r="D355" s="8">
        <f>CHOOSE( CONTROL!$C$32, 9.7592, 9.759) * CHOOSE( CONTROL!$C$15, $D$11, 100%, $F$11)</f>
        <v>9.7591999999999999</v>
      </c>
      <c r="E355" s="12">
        <f>CHOOSE( CONTROL!$C$32, 9.7633, 9.7631) * CHOOSE( CONTROL!$C$15, $D$11, 100%, $F$11)</f>
        <v>9.7632999999999992</v>
      </c>
      <c r="F355" s="4">
        <f>CHOOSE( CONTROL!$C$32, 10.4321, 10.4319) * CHOOSE(CONTROL!$C$15, $D$11, 100%, $F$11)</f>
        <v>10.4321</v>
      </c>
      <c r="G355" s="8">
        <f>CHOOSE( CONTROL!$C$32, 9.6589, 9.6587) * CHOOSE( CONTROL!$C$15, $D$11, 100%, $F$11)</f>
        <v>9.6588999999999992</v>
      </c>
      <c r="H355" s="4">
        <f>CHOOSE( CONTROL!$C$32, 10.5566, 10.5563) * CHOOSE(CONTROL!$C$15, $D$11, 100%, $F$11)</f>
        <v>10.5566</v>
      </c>
      <c r="I355" s="8">
        <f>CHOOSE( CONTROL!$C$32, 9.6052, 9.6049) * CHOOSE(CONTROL!$C$15, $D$11, 100%, $F$11)</f>
        <v>9.6052</v>
      </c>
      <c r="J355" s="4">
        <f>CHOOSE( CONTROL!$C$32, 9.47, 9.4697) * CHOOSE(CONTROL!$C$15, $D$11, 100%, $F$11)</f>
        <v>9.4700000000000006</v>
      </c>
      <c r="K355" s="4"/>
      <c r="L355" s="9">
        <v>29.306000000000001</v>
      </c>
      <c r="M355" s="9">
        <v>12.063700000000001</v>
      </c>
      <c r="N355" s="9">
        <v>4.9444999999999997</v>
      </c>
      <c r="O355" s="9">
        <v>0.37409999999999999</v>
      </c>
      <c r="P355" s="9">
        <v>1.2927</v>
      </c>
      <c r="Q355" s="9">
        <v>20.593900000000001</v>
      </c>
      <c r="R355" s="9"/>
      <c r="S355" s="11"/>
    </row>
    <row r="356" spans="1:19" ht="15.75">
      <c r="A356" s="13">
        <v>51986</v>
      </c>
      <c r="B356" s="8">
        <f>CHOOSE( CONTROL!$C$32, 9.9159, 9.9157) * CHOOSE(CONTROL!$C$15, $D$11, 100%, $F$11)</f>
        <v>9.9159000000000006</v>
      </c>
      <c r="C356" s="8">
        <f>CHOOSE( CONTROL!$C$32, 9.9204, 9.9202) * CHOOSE(CONTROL!$C$15, $D$11, 100%, $F$11)</f>
        <v>9.9204000000000008</v>
      </c>
      <c r="D356" s="8">
        <f>CHOOSE( CONTROL!$C$32, 9.9253, 9.925) * CHOOSE( CONTROL!$C$15, $D$11, 100%, $F$11)</f>
        <v>9.9253</v>
      </c>
      <c r="E356" s="12">
        <f>CHOOSE( CONTROL!$C$32, 9.9232, 9.9229) * CHOOSE( CONTROL!$C$15, $D$11, 100%, $F$11)</f>
        <v>9.9231999999999996</v>
      </c>
      <c r="F356" s="4">
        <f>CHOOSE( CONTROL!$C$32, 10.6201, 10.6198) * CHOOSE(CONTROL!$C$15, $D$11, 100%, $F$11)</f>
        <v>10.620100000000001</v>
      </c>
      <c r="G356" s="8">
        <f>CHOOSE( CONTROL!$C$32, 9.8113, 9.811) * CHOOSE( CONTROL!$C$15, $D$11, 100%, $F$11)</f>
        <v>9.8112999999999992</v>
      </c>
      <c r="H356" s="4">
        <f>CHOOSE( CONTROL!$C$32, 10.7424, 10.7421) * CHOOSE(CONTROL!$C$15, $D$11, 100%, $F$11)</f>
        <v>10.7424</v>
      </c>
      <c r="I356" s="8">
        <f>CHOOSE( CONTROL!$C$32, 9.7234, 9.7232) * CHOOSE(CONTROL!$C$15, $D$11, 100%, $F$11)</f>
        <v>9.7233999999999998</v>
      </c>
      <c r="J356" s="4">
        <f>CHOOSE( CONTROL!$C$32, 9.6139, 9.6137) * CHOOSE(CONTROL!$C$15, $D$11, 100%, $F$11)</f>
        <v>9.6138999999999992</v>
      </c>
      <c r="K356" s="4"/>
      <c r="L356" s="9">
        <v>30.092199999999998</v>
      </c>
      <c r="M356" s="9">
        <v>11.6745</v>
      </c>
      <c r="N356" s="9">
        <v>4.7850000000000001</v>
      </c>
      <c r="O356" s="9">
        <v>0.36199999999999999</v>
      </c>
      <c r="P356" s="9">
        <v>1.2509999999999999</v>
      </c>
      <c r="Q356" s="9">
        <v>19.929600000000001</v>
      </c>
      <c r="R356" s="9"/>
      <c r="S356" s="11"/>
    </row>
    <row r="357" spans="1:19" ht="15.75">
      <c r="A357" s="13">
        <v>52017</v>
      </c>
      <c r="B357" s="8">
        <f>CHOOSE( CONTROL!$C$32, 10.1814, 10.181) * CHOOSE(CONTROL!$C$15, $D$11, 100%, $F$11)</f>
        <v>10.1814</v>
      </c>
      <c r="C357" s="8">
        <f>CHOOSE( CONTROL!$C$32, 10.1894, 10.1889) * CHOOSE(CONTROL!$C$15, $D$11, 100%, $F$11)</f>
        <v>10.189399999999999</v>
      </c>
      <c r="D357" s="8">
        <f>CHOOSE( CONTROL!$C$32, 10.1882, 10.1877) * CHOOSE( CONTROL!$C$15, $D$11, 100%, $F$11)</f>
        <v>10.1882</v>
      </c>
      <c r="E357" s="12">
        <f>CHOOSE( CONTROL!$C$32, 10.1874, 10.1869) * CHOOSE( CONTROL!$C$15, $D$11, 100%, $F$11)</f>
        <v>10.1874</v>
      </c>
      <c r="F357" s="4">
        <f>CHOOSE( CONTROL!$C$32, 10.8842, 10.8838) * CHOOSE(CONTROL!$C$15, $D$11, 100%, $F$11)</f>
        <v>10.8842</v>
      </c>
      <c r="G357" s="8">
        <f>CHOOSE( CONTROL!$C$32, 10.0721, 10.0717) * CHOOSE( CONTROL!$C$15, $D$11, 100%, $F$11)</f>
        <v>10.072100000000001</v>
      </c>
      <c r="H357" s="4">
        <f>CHOOSE( CONTROL!$C$32, 11.0034, 11.003) * CHOOSE(CONTROL!$C$15, $D$11, 100%, $F$11)</f>
        <v>11.003399999999999</v>
      </c>
      <c r="I357" s="8">
        <f>CHOOSE( CONTROL!$C$32, 9.9791, 9.9786) * CHOOSE(CONTROL!$C$15, $D$11, 100%, $F$11)</f>
        <v>9.9791000000000007</v>
      </c>
      <c r="J357" s="4">
        <f>CHOOSE( CONTROL!$C$32, 9.8703, 9.8698) * CHOOSE(CONTROL!$C$15, $D$11, 100%, $F$11)</f>
        <v>9.8703000000000003</v>
      </c>
      <c r="K357" s="4"/>
      <c r="L357" s="9">
        <v>30.7165</v>
      </c>
      <c r="M357" s="9">
        <v>12.063700000000001</v>
      </c>
      <c r="N357" s="9">
        <v>4.9444999999999997</v>
      </c>
      <c r="O357" s="9">
        <v>0.37409999999999999</v>
      </c>
      <c r="P357" s="9">
        <v>1.2927</v>
      </c>
      <c r="Q357" s="9">
        <v>20.593900000000001</v>
      </c>
      <c r="R357" s="9"/>
      <c r="S357" s="11"/>
    </row>
    <row r="358" spans="1:19" ht="15.75">
      <c r="A358" s="13">
        <v>52047</v>
      </c>
      <c r="B358" s="8">
        <f>CHOOSE( CONTROL!$C$32, 10.0179, 10.0175) * CHOOSE(CONTROL!$C$15, $D$11, 100%, $F$11)</f>
        <v>10.017899999999999</v>
      </c>
      <c r="C358" s="8">
        <f>CHOOSE( CONTROL!$C$32, 10.0259, 10.0254) * CHOOSE(CONTROL!$C$15, $D$11, 100%, $F$11)</f>
        <v>10.0259</v>
      </c>
      <c r="D358" s="8">
        <f>CHOOSE( CONTROL!$C$32, 10.0249, 10.0244) * CHOOSE( CONTROL!$C$15, $D$11, 100%, $F$11)</f>
        <v>10.024900000000001</v>
      </c>
      <c r="E358" s="12">
        <f>CHOOSE( CONTROL!$C$32, 10.024, 10.0236) * CHOOSE( CONTROL!$C$15, $D$11, 100%, $F$11)</f>
        <v>10.023999999999999</v>
      </c>
      <c r="F358" s="4">
        <f>CHOOSE( CONTROL!$C$32, 10.7207, 10.7203) * CHOOSE(CONTROL!$C$15, $D$11, 100%, $F$11)</f>
        <v>10.720700000000001</v>
      </c>
      <c r="G358" s="8">
        <f>CHOOSE( CONTROL!$C$32, 9.9107, 9.9102) * CHOOSE( CONTROL!$C$15, $D$11, 100%, $F$11)</f>
        <v>9.9107000000000003</v>
      </c>
      <c r="H358" s="4">
        <f>CHOOSE( CONTROL!$C$32, 10.8418, 10.8414) * CHOOSE(CONTROL!$C$15, $D$11, 100%, $F$11)</f>
        <v>10.841799999999999</v>
      </c>
      <c r="I358" s="8">
        <f>CHOOSE( CONTROL!$C$32, 9.821, 9.8205) * CHOOSE(CONTROL!$C$15, $D$11, 100%, $F$11)</f>
        <v>9.8209999999999997</v>
      </c>
      <c r="J358" s="4">
        <f>CHOOSE( CONTROL!$C$32, 9.7116, 9.7111) * CHOOSE(CONTROL!$C$15, $D$11, 100%, $F$11)</f>
        <v>9.7116000000000007</v>
      </c>
      <c r="K358" s="4"/>
      <c r="L358" s="9">
        <v>29.7257</v>
      </c>
      <c r="M358" s="9">
        <v>11.6745</v>
      </c>
      <c r="N358" s="9">
        <v>4.7850000000000001</v>
      </c>
      <c r="O358" s="9">
        <v>0.36199999999999999</v>
      </c>
      <c r="P358" s="9">
        <v>1.2509999999999999</v>
      </c>
      <c r="Q358" s="9">
        <v>19.929600000000001</v>
      </c>
      <c r="R358" s="9"/>
      <c r="S358" s="11"/>
    </row>
    <row r="359" spans="1:19" ht="15.75">
      <c r="A359" s="13">
        <v>52078</v>
      </c>
      <c r="B359" s="8">
        <f>CHOOSE( CONTROL!$C$32, 10.4485, 10.448) * CHOOSE(CONTROL!$C$15, $D$11, 100%, $F$11)</f>
        <v>10.448499999999999</v>
      </c>
      <c r="C359" s="8">
        <f>CHOOSE( CONTROL!$C$32, 10.4565, 10.456) * CHOOSE(CONTROL!$C$15, $D$11, 100%, $F$11)</f>
        <v>10.4565</v>
      </c>
      <c r="D359" s="8">
        <f>CHOOSE( CONTROL!$C$32, 10.4557, 10.4552) * CHOOSE( CONTROL!$C$15, $D$11, 100%, $F$11)</f>
        <v>10.4557</v>
      </c>
      <c r="E359" s="12">
        <f>CHOOSE( CONTROL!$C$32, 10.4548, 10.4543) * CHOOSE( CONTROL!$C$15, $D$11, 100%, $F$11)</f>
        <v>10.454800000000001</v>
      </c>
      <c r="F359" s="4">
        <f>CHOOSE( CONTROL!$C$32, 11.1513, 11.1509) * CHOOSE(CONTROL!$C$15, $D$11, 100%, $F$11)</f>
        <v>11.151300000000001</v>
      </c>
      <c r="G359" s="8">
        <f>CHOOSE( CONTROL!$C$32, 10.3364, 10.3359) * CHOOSE( CONTROL!$C$15, $D$11, 100%, $F$11)</f>
        <v>10.336399999999999</v>
      </c>
      <c r="H359" s="4">
        <f>CHOOSE( CONTROL!$C$32, 11.2674, 11.2669) * CHOOSE(CONTROL!$C$15, $D$11, 100%, $F$11)</f>
        <v>11.2674</v>
      </c>
      <c r="I359" s="8">
        <f>CHOOSE( CONTROL!$C$32, 10.2398, 10.2394) * CHOOSE(CONTROL!$C$15, $D$11, 100%, $F$11)</f>
        <v>10.239800000000001</v>
      </c>
      <c r="J359" s="4">
        <f>CHOOSE( CONTROL!$C$32, 10.1294, 10.129) * CHOOSE(CONTROL!$C$15, $D$11, 100%, $F$11)</f>
        <v>10.1294</v>
      </c>
      <c r="K359" s="4"/>
      <c r="L359" s="9">
        <v>30.7165</v>
      </c>
      <c r="M359" s="9">
        <v>12.063700000000001</v>
      </c>
      <c r="N359" s="9">
        <v>4.9444999999999997</v>
      </c>
      <c r="O359" s="9">
        <v>0.37409999999999999</v>
      </c>
      <c r="P359" s="9">
        <v>1.2927</v>
      </c>
      <c r="Q359" s="9">
        <v>20.593900000000001</v>
      </c>
      <c r="R359" s="9"/>
      <c r="S359" s="11"/>
    </row>
    <row r="360" spans="1:19" ht="15.75">
      <c r="A360" s="13">
        <v>52109</v>
      </c>
      <c r="B360" s="8">
        <f>CHOOSE( CONTROL!$C$32, 9.6428, 9.6424) * CHOOSE(CONTROL!$C$15, $D$11, 100%, $F$11)</f>
        <v>9.6427999999999994</v>
      </c>
      <c r="C360" s="8">
        <f>CHOOSE( CONTROL!$C$32, 9.6508, 9.6504) * CHOOSE(CONTROL!$C$15, $D$11, 100%, $F$11)</f>
        <v>9.6508000000000003</v>
      </c>
      <c r="D360" s="8">
        <f>CHOOSE( CONTROL!$C$32, 9.6501, 9.6496) * CHOOSE( CONTROL!$C$15, $D$11, 100%, $F$11)</f>
        <v>9.6501000000000001</v>
      </c>
      <c r="E360" s="12">
        <f>CHOOSE( CONTROL!$C$32, 9.6491, 9.6487) * CHOOSE( CONTROL!$C$15, $D$11, 100%, $F$11)</f>
        <v>9.6491000000000007</v>
      </c>
      <c r="F360" s="4">
        <f>CHOOSE( CONTROL!$C$32, 10.3457, 10.3452) * CHOOSE(CONTROL!$C$15, $D$11, 100%, $F$11)</f>
        <v>10.345700000000001</v>
      </c>
      <c r="G360" s="8">
        <f>CHOOSE( CONTROL!$C$32, 9.5402, 9.5398) * CHOOSE( CONTROL!$C$15, $D$11, 100%, $F$11)</f>
        <v>9.5402000000000005</v>
      </c>
      <c r="H360" s="4">
        <f>CHOOSE( CONTROL!$C$32, 10.4712, 10.4707) * CHOOSE(CONTROL!$C$15, $D$11, 100%, $F$11)</f>
        <v>10.4712</v>
      </c>
      <c r="I360" s="8">
        <f>CHOOSE( CONTROL!$C$32, 9.4577, 9.4573) * CHOOSE(CONTROL!$C$15, $D$11, 100%, $F$11)</f>
        <v>9.4577000000000009</v>
      </c>
      <c r="J360" s="4">
        <f>CHOOSE( CONTROL!$C$32, 9.3476, 9.3471) * CHOOSE(CONTROL!$C$15, $D$11, 100%, $F$11)</f>
        <v>9.3475999999999999</v>
      </c>
      <c r="K360" s="4"/>
      <c r="L360" s="9">
        <v>30.7165</v>
      </c>
      <c r="M360" s="9">
        <v>12.063700000000001</v>
      </c>
      <c r="N360" s="9">
        <v>4.9444999999999997</v>
      </c>
      <c r="O360" s="9">
        <v>0.37409999999999999</v>
      </c>
      <c r="P360" s="9">
        <v>1.2927</v>
      </c>
      <c r="Q360" s="9">
        <v>20.593900000000001</v>
      </c>
      <c r="R360" s="9"/>
      <c r="S360" s="11"/>
    </row>
    <row r="361" spans="1:19" ht="15.75">
      <c r="A361" s="13">
        <v>52139</v>
      </c>
      <c r="B361" s="8">
        <f>CHOOSE( CONTROL!$C$32, 9.4411, 9.4406) * CHOOSE(CONTROL!$C$15, $D$11, 100%, $F$11)</f>
        <v>9.4411000000000005</v>
      </c>
      <c r="C361" s="8">
        <f>CHOOSE( CONTROL!$C$32, 9.4491, 9.4486) * CHOOSE(CONTROL!$C$15, $D$11, 100%, $F$11)</f>
        <v>9.4490999999999996</v>
      </c>
      <c r="D361" s="8">
        <f>CHOOSE( CONTROL!$C$32, 9.4482, 9.4477) * CHOOSE( CONTROL!$C$15, $D$11, 100%, $F$11)</f>
        <v>9.4481999999999999</v>
      </c>
      <c r="E361" s="12">
        <f>CHOOSE( CONTROL!$C$32, 9.4473, 9.4468) * CHOOSE( CONTROL!$C$15, $D$11, 100%, $F$11)</f>
        <v>9.4473000000000003</v>
      </c>
      <c r="F361" s="4">
        <f>CHOOSE( CONTROL!$C$32, 10.1439, 10.1435) * CHOOSE(CONTROL!$C$15, $D$11, 100%, $F$11)</f>
        <v>10.1439</v>
      </c>
      <c r="G361" s="8">
        <f>CHOOSE( CONTROL!$C$32, 9.3407, 9.3403) * CHOOSE( CONTROL!$C$15, $D$11, 100%, $F$11)</f>
        <v>9.3407</v>
      </c>
      <c r="H361" s="4">
        <f>CHOOSE( CONTROL!$C$32, 10.2718, 10.2713) * CHOOSE(CONTROL!$C$15, $D$11, 100%, $F$11)</f>
        <v>10.271800000000001</v>
      </c>
      <c r="I361" s="8">
        <f>CHOOSE( CONTROL!$C$32, 9.2613, 9.2609) * CHOOSE(CONTROL!$C$15, $D$11, 100%, $F$11)</f>
        <v>9.2613000000000003</v>
      </c>
      <c r="J361" s="4">
        <f>CHOOSE( CONTROL!$C$32, 9.1518, 9.1513) * CHOOSE(CONTROL!$C$15, $D$11, 100%, $F$11)</f>
        <v>9.1517999999999997</v>
      </c>
      <c r="K361" s="4"/>
      <c r="L361" s="9">
        <v>29.7257</v>
      </c>
      <c r="M361" s="9">
        <v>11.6745</v>
      </c>
      <c r="N361" s="9">
        <v>4.7850000000000001</v>
      </c>
      <c r="O361" s="9">
        <v>0.36199999999999999</v>
      </c>
      <c r="P361" s="9">
        <v>1.2509999999999999</v>
      </c>
      <c r="Q361" s="9">
        <v>19.929600000000001</v>
      </c>
      <c r="R361" s="9"/>
      <c r="S361" s="11"/>
    </row>
    <row r="362" spans="1:19" ht="15.75">
      <c r="A362" s="13">
        <v>52170</v>
      </c>
      <c r="B362" s="8">
        <f>CHOOSE( CONTROL!$C$32, 9.8581, 9.8578) * CHOOSE(CONTROL!$C$15, $D$11, 100%, $F$11)</f>
        <v>9.8581000000000003</v>
      </c>
      <c r="C362" s="8">
        <f>CHOOSE( CONTROL!$C$32, 9.8634, 9.8631) * CHOOSE(CONTROL!$C$15, $D$11, 100%, $F$11)</f>
        <v>9.8634000000000004</v>
      </c>
      <c r="D362" s="8">
        <f>CHOOSE( CONTROL!$C$32, 9.8681, 9.8678) * CHOOSE( CONTROL!$C$15, $D$11, 100%, $F$11)</f>
        <v>9.8681000000000001</v>
      </c>
      <c r="E362" s="12">
        <f>CHOOSE( CONTROL!$C$32, 9.866, 9.8657) * CHOOSE( CONTROL!$C$15, $D$11, 100%, $F$11)</f>
        <v>9.8659999999999997</v>
      </c>
      <c r="F362" s="4">
        <f>CHOOSE( CONTROL!$C$32, 10.5626, 10.5624) * CHOOSE(CONTROL!$C$15, $D$11, 100%, $F$11)</f>
        <v>10.5626</v>
      </c>
      <c r="G362" s="8">
        <f>CHOOSE( CONTROL!$C$32, 9.7547, 9.7544) * CHOOSE( CONTROL!$C$15, $D$11, 100%, $F$11)</f>
        <v>9.7546999999999997</v>
      </c>
      <c r="H362" s="4">
        <f>CHOOSE( CONTROL!$C$32, 10.6856, 10.6853) * CHOOSE(CONTROL!$C$15, $D$11, 100%, $F$11)</f>
        <v>10.685600000000001</v>
      </c>
      <c r="I362" s="8">
        <f>CHOOSE( CONTROL!$C$32, 9.6687, 9.6684) * CHOOSE(CONTROL!$C$15, $D$11, 100%, $F$11)</f>
        <v>9.6686999999999994</v>
      </c>
      <c r="J362" s="4">
        <f>CHOOSE( CONTROL!$C$32, 9.5581, 9.5579) * CHOOSE(CONTROL!$C$15, $D$11, 100%, $F$11)</f>
        <v>9.5580999999999996</v>
      </c>
      <c r="K362" s="4"/>
      <c r="L362" s="9">
        <v>31.095300000000002</v>
      </c>
      <c r="M362" s="9">
        <v>12.063700000000001</v>
      </c>
      <c r="N362" s="9">
        <v>4.9444999999999997</v>
      </c>
      <c r="O362" s="9">
        <v>0.37409999999999999</v>
      </c>
      <c r="P362" s="9">
        <v>1.2927</v>
      </c>
      <c r="Q362" s="9">
        <v>20.593900000000001</v>
      </c>
      <c r="R362" s="9"/>
      <c r="S362" s="11"/>
    </row>
    <row r="363" spans="1:19" ht="15.75">
      <c r="A363" s="13">
        <v>52200</v>
      </c>
      <c r="B363" s="8">
        <f>CHOOSE( CONTROL!$C$32, 10.6309, 10.6306) * CHOOSE(CONTROL!$C$15, $D$11, 100%, $F$11)</f>
        <v>10.6309</v>
      </c>
      <c r="C363" s="8">
        <f>CHOOSE( CONTROL!$C$32, 10.6359, 10.6357) * CHOOSE(CONTROL!$C$15, $D$11, 100%, $F$11)</f>
        <v>10.635899999999999</v>
      </c>
      <c r="D363" s="8">
        <f>CHOOSE( CONTROL!$C$32, 10.6187, 10.6184) * CHOOSE( CONTROL!$C$15, $D$11, 100%, $F$11)</f>
        <v>10.6187</v>
      </c>
      <c r="E363" s="12">
        <f>CHOOSE( CONTROL!$C$32, 10.6245, 10.6242) * CHOOSE( CONTROL!$C$15, $D$11, 100%, $F$11)</f>
        <v>10.624499999999999</v>
      </c>
      <c r="F363" s="4">
        <f>CHOOSE( CONTROL!$C$32, 11.2961, 11.2959) * CHOOSE(CONTROL!$C$15, $D$11, 100%, $F$11)</f>
        <v>11.296099999999999</v>
      </c>
      <c r="G363" s="8">
        <f>CHOOSE( CONTROL!$C$32, 10.5157, 10.5155) * CHOOSE( CONTROL!$C$15, $D$11, 100%, $F$11)</f>
        <v>10.515700000000001</v>
      </c>
      <c r="H363" s="4">
        <f>CHOOSE( CONTROL!$C$32, 11.4105, 11.4102) * CHOOSE(CONTROL!$C$15, $D$11, 100%, $F$11)</f>
        <v>11.410500000000001</v>
      </c>
      <c r="I363" s="8">
        <f>CHOOSE( CONTROL!$C$32, 10.4751, 10.4748) * CHOOSE(CONTROL!$C$15, $D$11, 100%, $F$11)</f>
        <v>10.475099999999999</v>
      </c>
      <c r="J363" s="4">
        <f>CHOOSE( CONTROL!$C$32, 10.3085, 10.3082) * CHOOSE(CONTROL!$C$15, $D$11, 100%, $F$11)</f>
        <v>10.3085</v>
      </c>
      <c r="K363" s="4"/>
      <c r="L363" s="9">
        <v>28.360600000000002</v>
      </c>
      <c r="M363" s="9">
        <v>11.6745</v>
      </c>
      <c r="N363" s="9">
        <v>4.7850000000000001</v>
      </c>
      <c r="O363" s="9">
        <v>0.36199999999999999</v>
      </c>
      <c r="P363" s="9">
        <v>1.2509999999999999</v>
      </c>
      <c r="Q363" s="9">
        <v>19.929600000000001</v>
      </c>
      <c r="R363" s="9"/>
      <c r="S363" s="11"/>
    </row>
    <row r="364" spans="1:19" ht="15.75">
      <c r="A364" s="13">
        <v>52231</v>
      </c>
      <c r="B364" s="8">
        <f>CHOOSE( CONTROL!$C$32, 10.6115, 10.6113) * CHOOSE(CONTROL!$C$15, $D$11, 100%, $F$11)</f>
        <v>10.611499999999999</v>
      </c>
      <c r="C364" s="8">
        <f>CHOOSE( CONTROL!$C$32, 10.6166, 10.6164) * CHOOSE(CONTROL!$C$15, $D$11, 100%, $F$11)</f>
        <v>10.6166</v>
      </c>
      <c r="D364" s="8">
        <f>CHOOSE( CONTROL!$C$32, 10.6011, 10.6009) * CHOOSE( CONTROL!$C$15, $D$11, 100%, $F$11)</f>
        <v>10.601100000000001</v>
      </c>
      <c r="E364" s="12">
        <f>CHOOSE( CONTROL!$C$32, 10.6062, 10.606) * CHOOSE( CONTROL!$C$15, $D$11, 100%, $F$11)</f>
        <v>10.606199999999999</v>
      </c>
      <c r="F364" s="4">
        <f>CHOOSE( CONTROL!$C$32, 11.2768, 11.2766) * CHOOSE(CONTROL!$C$15, $D$11, 100%, $F$11)</f>
        <v>11.2768</v>
      </c>
      <c r="G364" s="8">
        <f>CHOOSE( CONTROL!$C$32, 10.4979, 10.4977) * CHOOSE( CONTROL!$C$15, $D$11, 100%, $F$11)</f>
        <v>10.4979</v>
      </c>
      <c r="H364" s="4">
        <f>CHOOSE( CONTROL!$C$32, 11.3914, 11.3911) * CHOOSE(CONTROL!$C$15, $D$11, 100%, $F$11)</f>
        <v>11.391400000000001</v>
      </c>
      <c r="I364" s="8">
        <f>CHOOSE( CONTROL!$C$32, 10.4619, 10.4617) * CHOOSE(CONTROL!$C$15, $D$11, 100%, $F$11)</f>
        <v>10.4619</v>
      </c>
      <c r="J364" s="4">
        <f>CHOOSE( CONTROL!$C$32, 10.2898, 10.2895) * CHOOSE(CONTROL!$C$15, $D$11, 100%, $F$11)</f>
        <v>10.2898</v>
      </c>
      <c r="K364" s="4"/>
      <c r="L364" s="9">
        <v>29.306000000000001</v>
      </c>
      <c r="M364" s="9">
        <v>12.063700000000001</v>
      </c>
      <c r="N364" s="9">
        <v>4.9444999999999997</v>
      </c>
      <c r="O364" s="9">
        <v>0.37409999999999999</v>
      </c>
      <c r="P364" s="9">
        <v>1.2927</v>
      </c>
      <c r="Q364" s="9">
        <v>20.593900000000001</v>
      </c>
      <c r="R364" s="9"/>
      <c r="S364" s="11"/>
    </row>
    <row r="365" spans="1:19" ht="15.75">
      <c r="A365" s="13">
        <v>52262</v>
      </c>
      <c r="B365" s="8">
        <f>CHOOSE( CONTROL!$C$32, 10.9243, 10.924) * CHOOSE(CONTROL!$C$15, $D$11, 100%, $F$11)</f>
        <v>10.924300000000001</v>
      </c>
      <c r="C365" s="8">
        <f>CHOOSE( CONTROL!$C$32, 10.9294, 10.9291) * CHOOSE(CONTROL!$C$15, $D$11, 100%, $F$11)</f>
        <v>10.929399999999999</v>
      </c>
      <c r="D365" s="8">
        <f>CHOOSE( CONTROL!$C$32, 10.9198, 10.9195) * CHOOSE( CONTROL!$C$15, $D$11, 100%, $F$11)</f>
        <v>10.9198</v>
      </c>
      <c r="E365" s="12">
        <f>CHOOSE( CONTROL!$C$32, 10.9228, 10.9225) * CHOOSE( CONTROL!$C$15, $D$11, 100%, $F$11)</f>
        <v>10.922800000000001</v>
      </c>
      <c r="F365" s="4">
        <f>CHOOSE( CONTROL!$C$32, 11.5896, 11.5893) * CHOOSE(CONTROL!$C$15, $D$11, 100%, $F$11)</f>
        <v>11.589600000000001</v>
      </c>
      <c r="G365" s="8">
        <f>CHOOSE( CONTROL!$C$32, 10.8077, 10.8075) * CHOOSE( CONTROL!$C$15, $D$11, 100%, $F$11)</f>
        <v>10.807700000000001</v>
      </c>
      <c r="H365" s="4">
        <f>CHOOSE( CONTROL!$C$32, 11.7005, 11.7002) * CHOOSE(CONTROL!$C$15, $D$11, 100%, $F$11)</f>
        <v>11.7005</v>
      </c>
      <c r="I365" s="8">
        <f>CHOOSE( CONTROL!$C$32, 10.746, 10.7458) * CHOOSE(CONTROL!$C$15, $D$11, 100%, $F$11)</f>
        <v>10.746</v>
      </c>
      <c r="J365" s="4">
        <f>CHOOSE( CONTROL!$C$32, 10.5933, 10.593) * CHOOSE(CONTROL!$C$15, $D$11, 100%, $F$11)</f>
        <v>10.593299999999999</v>
      </c>
      <c r="K365" s="4"/>
      <c r="L365" s="9">
        <v>29.306000000000001</v>
      </c>
      <c r="M365" s="9">
        <v>12.063700000000001</v>
      </c>
      <c r="N365" s="9">
        <v>4.9444999999999997</v>
      </c>
      <c r="O365" s="9">
        <v>0.37409999999999999</v>
      </c>
      <c r="P365" s="9">
        <v>1.2927</v>
      </c>
      <c r="Q365" s="9">
        <v>20.5288</v>
      </c>
      <c r="R365" s="9"/>
      <c r="S365" s="11"/>
    </row>
    <row r="366" spans="1:19" ht="15.75">
      <c r="A366" s="13">
        <v>52290</v>
      </c>
      <c r="B366" s="8">
        <f>CHOOSE( CONTROL!$C$32, 10.2186, 10.2184) * CHOOSE(CONTROL!$C$15, $D$11, 100%, $F$11)</f>
        <v>10.2186</v>
      </c>
      <c r="C366" s="8">
        <f>CHOOSE( CONTROL!$C$32, 10.2237, 10.2234) * CHOOSE(CONTROL!$C$15, $D$11, 100%, $F$11)</f>
        <v>10.223699999999999</v>
      </c>
      <c r="D366" s="8">
        <f>CHOOSE( CONTROL!$C$32, 10.2158, 10.2156) * CHOOSE( CONTROL!$C$15, $D$11, 100%, $F$11)</f>
        <v>10.2158</v>
      </c>
      <c r="E366" s="12">
        <f>CHOOSE( CONTROL!$C$32, 10.2181, 10.2179) * CHOOSE( CONTROL!$C$15, $D$11, 100%, $F$11)</f>
        <v>10.2181</v>
      </c>
      <c r="F366" s="4">
        <f>CHOOSE( CONTROL!$C$32, 10.8839, 10.8837) * CHOOSE(CONTROL!$C$15, $D$11, 100%, $F$11)</f>
        <v>10.883900000000001</v>
      </c>
      <c r="G366" s="8">
        <f>CHOOSE( CONTROL!$C$32, 10.1089, 10.1086) * CHOOSE( CONTROL!$C$15, $D$11, 100%, $F$11)</f>
        <v>10.1089</v>
      </c>
      <c r="H366" s="4">
        <f>CHOOSE( CONTROL!$C$32, 11.0031, 11.0028) * CHOOSE(CONTROL!$C$15, $D$11, 100%, $F$11)</f>
        <v>11.0031</v>
      </c>
      <c r="I366" s="8">
        <f>CHOOSE( CONTROL!$C$32, 10.0455, 10.0452) * CHOOSE(CONTROL!$C$15, $D$11, 100%, $F$11)</f>
        <v>10.045500000000001</v>
      </c>
      <c r="J366" s="4">
        <f>CHOOSE( CONTROL!$C$32, 9.9084, 9.9082) * CHOOSE(CONTROL!$C$15, $D$11, 100%, $F$11)</f>
        <v>9.9084000000000003</v>
      </c>
      <c r="K366" s="4"/>
      <c r="L366" s="9">
        <v>26.469899999999999</v>
      </c>
      <c r="M366" s="9">
        <v>10.8962</v>
      </c>
      <c r="N366" s="9">
        <v>4.4660000000000002</v>
      </c>
      <c r="O366" s="9">
        <v>0.33789999999999998</v>
      </c>
      <c r="P366" s="9">
        <v>1.1676</v>
      </c>
      <c r="Q366" s="9">
        <v>18.542200000000001</v>
      </c>
      <c r="R366" s="9"/>
      <c r="S366" s="11"/>
    </row>
    <row r="367" spans="1:19" ht="15.75">
      <c r="A367" s="13">
        <v>52321</v>
      </c>
      <c r="B367" s="8">
        <f>CHOOSE( CONTROL!$C$32, 10.0013, 10.001) * CHOOSE(CONTROL!$C$15, $D$11, 100%, $F$11)</f>
        <v>10.001300000000001</v>
      </c>
      <c r="C367" s="8">
        <f>CHOOSE( CONTROL!$C$32, 10.0064, 10.0061) * CHOOSE(CONTROL!$C$15, $D$11, 100%, $F$11)</f>
        <v>10.006399999999999</v>
      </c>
      <c r="D367" s="8">
        <f>CHOOSE( CONTROL!$C$32, 9.9937, 9.9934) * CHOOSE( CONTROL!$C$15, $D$11, 100%, $F$11)</f>
        <v>9.9937000000000005</v>
      </c>
      <c r="E367" s="12">
        <f>CHOOSE( CONTROL!$C$32, 9.9978, 9.9975) * CHOOSE( CONTROL!$C$15, $D$11, 100%, $F$11)</f>
        <v>9.9977999999999998</v>
      </c>
      <c r="F367" s="4">
        <f>CHOOSE( CONTROL!$C$32, 10.6666, 10.6663) * CHOOSE(CONTROL!$C$15, $D$11, 100%, $F$11)</f>
        <v>10.666600000000001</v>
      </c>
      <c r="G367" s="8">
        <f>CHOOSE( CONTROL!$C$32, 9.8906, 9.8904) * CHOOSE( CONTROL!$C$15, $D$11, 100%, $F$11)</f>
        <v>9.8905999999999992</v>
      </c>
      <c r="H367" s="4">
        <f>CHOOSE( CONTROL!$C$32, 10.7883, 10.7881) * CHOOSE(CONTROL!$C$15, $D$11, 100%, $F$11)</f>
        <v>10.7883</v>
      </c>
      <c r="I367" s="8">
        <f>CHOOSE( CONTROL!$C$32, 9.8328, 9.8326) * CHOOSE(CONTROL!$C$15, $D$11, 100%, $F$11)</f>
        <v>9.8328000000000007</v>
      </c>
      <c r="J367" s="4">
        <f>CHOOSE( CONTROL!$C$32, 9.6975, 9.6973) * CHOOSE(CONTROL!$C$15, $D$11, 100%, $F$11)</f>
        <v>9.6974999999999998</v>
      </c>
      <c r="K367" s="4"/>
      <c r="L367" s="9">
        <v>29.306000000000001</v>
      </c>
      <c r="M367" s="9">
        <v>12.063700000000001</v>
      </c>
      <c r="N367" s="9">
        <v>4.9444999999999997</v>
      </c>
      <c r="O367" s="9">
        <v>0.37409999999999999</v>
      </c>
      <c r="P367" s="9">
        <v>1.2927</v>
      </c>
      <c r="Q367" s="9">
        <v>20.5288</v>
      </c>
      <c r="R367" s="9"/>
      <c r="S367" s="11"/>
    </row>
    <row r="368" spans="1:19" ht="15.75">
      <c r="A368" s="13">
        <v>52351</v>
      </c>
      <c r="B368" s="8">
        <f>CHOOSE( CONTROL!$C$32, 10.1539, 10.1537) * CHOOSE(CONTROL!$C$15, $D$11, 100%, $F$11)</f>
        <v>10.1539</v>
      </c>
      <c r="C368" s="8">
        <f>CHOOSE( CONTROL!$C$32, 10.1585, 10.1582) * CHOOSE(CONTROL!$C$15, $D$11, 100%, $F$11)</f>
        <v>10.1585</v>
      </c>
      <c r="D368" s="8">
        <f>CHOOSE( CONTROL!$C$32, 10.1633, 10.163) * CHOOSE( CONTROL!$C$15, $D$11, 100%, $F$11)</f>
        <v>10.1633</v>
      </c>
      <c r="E368" s="12">
        <f>CHOOSE( CONTROL!$C$32, 10.1612, 10.1609) * CHOOSE( CONTROL!$C$15, $D$11, 100%, $F$11)</f>
        <v>10.161199999999999</v>
      </c>
      <c r="F368" s="4">
        <f>CHOOSE( CONTROL!$C$32, 10.8581, 10.8579) * CHOOSE(CONTROL!$C$15, $D$11, 100%, $F$11)</f>
        <v>10.8581</v>
      </c>
      <c r="G368" s="8">
        <f>CHOOSE( CONTROL!$C$32, 10.0465, 10.0462) * CHOOSE( CONTROL!$C$15, $D$11, 100%, $F$11)</f>
        <v>10.0465</v>
      </c>
      <c r="H368" s="4">
        <f>CHOOSE( CONTROL!$C$32, 10.9776, 10.9773) * CHOOSE(CONTROL!$C$15, $D$11, 100%, $F$11)</f>
        <v>10.977600000000001</v>
      </c>
      <c r="I368" s="8">
        <f>CHOOSE( CONTROL!$C$32, 9.9545, 9.9543) * CHOOSE(CONTROL!$C$15, $D$11, 100%, $F$11)</f>
        <v>9.9544999999999995</v>
      </c>
      <c r="J368" s="4">
        <f>CHOOSE( CONTROL!$C$32, 9.8449, 9.8446) * CHOOSE(CONTROL!$C$15, $D$11, 100%, $F$11)</f>
        <v>9.8449000000000009</v>
      </c>
      <c r="K368" s="4"/>
      <c r="L368" s="9">
        <v>30.092199999999998</v>
      </c>
      <c r="M368" s="9">
        <v>11.6745</v>
      </c>
      <c r="N368" s="9">
        <v>4.7850000000000001</v>
      </c>
      <c r="O368" s="9">
        <v>0.36199999999999999</v>
      </c>
      <c r="P368" s="9">
        <v>1.2509999999999999</v>
      </c>
      <c r="Q368" s="9">
        <v>19.866599999999998</v>
      </c>
      <c r="R368" s="9"/>
      <c r="S368" s="11"/>
    </row>
    <row r="369" spans="1:19" ht="15.75">
      <c r="A369" s="13">
        <v>52382</v>
      </c>
      <c r="B369" s="8">
        <f>CHOOSE( CONTROL!$C$32, 10.4258, 10.4253) * CHOOSE(CONTROL!$C$15, $D$11, 100%, $F$11)</f>
        <v>10.425800000000001</v>
      </c>
      <c r="C369" s="8">
        <f>CHOOSE( CONTROL!$C$32, 10.4338, 10.4333) * CHOOSE(CONTROL!$C$15, $D$11, 100%, $F$11)</f>
        <v>10.4338</v>
      </c>
      <c r="D369" s="8">
        <f>CHOOSE( CONTROL!$C$32, 10.4325, 10.4321) * CHOOSE( CONTROL!$C$15, $D$11, 100%, $F$11)</f>
        <v>10.432499999999999</v>
      </c>
      <c r="E369" s="12">
        <f>CHOOSE( CONTROL!$C$32, 10.4318, 10.4313) * CHOOSE( CONTROL!$C$15, $D$11, 100%, $F$11)</f>
        <v>10.431800000000001</v>
      </c>
      <c r="F369" s="4">
        <f>CHOOSE( CONTROL!$C$32, 11.1286, 11.1281) * CHOOSE(CONTROL!$C$15, $D$11, 100%, $F$11)</f>
        <v>11.1286</v>
      </c>
      <c r="G369" s="8">
        <f>CHOOSE( CONTROL!$C$32, 10.3136, 10.3131) * CHOOSE( CONTROL!$C$15, $D$11, 100%, $F$11)</f>
        <v>10.313599999999999</v>
      </c>
      <c r="H369" s="4">
        <f>CHOOSE( CONTROL!$C$32, 11.2449, 11.2445) * CHOOSE(CONTROL!$C$15, $D$11, 100%, $F$11)</f>
        <v>11.244899999999999</v>
      </c>
      <c r="I369" s="8">
        <f>CHOOSE( CONTROL!$C$32, 10.2163, 10.2159) * CHOOSE(CONTROL!$C$15, $D$11, 100%, $F$11)</f>
        <v>10.2163</v>
      </c>
      <c r="J369" s="4">
        <f>CHOOSE( CONTROL!$C$32, 10.1074, 10.107) * CHOOSE(CONTROL!$C$15, $D$11, 100%, $F$11)</f>
        <v>10.1074</v>
      </c>
      <c r="K369" s="4"/>
      <c r="L369" s="9">
        <v>30.7165</v>
      </c>
      <c r="M369" s="9">
        <v>12.063700000000001</v>
      </c>
      <c r="N369" s="9">
        <v>4.9444999999999997</v>
      </c>
      <c r="O369" s="9">
        <v>0.37409999999999999</v>
      </c>
      <c r="P369" s="9">
        <v>1.2927</v>
      </c>
      <c r="Q369" s="9">
        <v>20.5288</v>
      </c>
      <c r="R369" s="9"/>
      <c r="S369" s="11"/>
    </row>
    <row r="370" spans="1:19" ht="15.75">
      <c r="A370" s="13">
        <v>52412</v>
      </c>
      <c r="B370" s="8">
        <f>CHOOSE( CONTROL!$C$32, 10.2583, 10.2579) * CHOOSE(CONTROL!$C$15, $D$11, 100%, $F$11)</f>
        <v>10.2583</v>
      </c>
      <c r="C370" s="8">
        <f>CHOOSE( CONTROL!$C$32, 10.2663, 10.2659) * CHOOSE(CONTROL!$C$15, $D$11, 100%, $F$11)</f>
        <v>10.266299999999999</v>
      </c>
      <c r="D370" s="8">
        <f>CHOOSE( CONTROL!$C$32, 10.2653, 10.2648) * CHOOSE( CONTROL!$C$15, $D$11, 100%, $F$11)</f>
        <v>10.2653</v>
      </c>
      <c r="E370" s="12">
        <f>CHOOSE( CONTROL!$C$32, 10.2644, 10.264) * CHOOSE( CONTROL!$C$15, $D$11, 100%, $F$11)</f>
        <v>10.2644</v>
      </c>
      <c r="F370" s="4">
        <f>CHOOSE( CONTROL!$C$32, 10.9612, 10.9607) * CHOOSE(CONTROL!$C$15, $D$11, 100%, $F$11)</f>
        <v>10.9612</v>
      </c>
      <c r="G370" s="8">
        <f>CHOOSE( CONTROL!$C$32, 10.1483, 10.1478) * CHOOSE( CONTROL!$C$15, $D$11, 100%, $F$11)</f>
        <v>10.148300000000001</v>
      </c>
      <c r="H370" s="4">
        <f>CHOOSE( CONTROL!$C$32, 11.0794, 11.079) * CHOOSE(CONTROL!$C$15, $D$11, 100%, $F$11)</f>
        <v>11.0794</v>
      </c>
      <c r="I370" s="8">
        <f>CHOOSE( CONTROL!$C$32, 10.0544, 10.054) * CHOOSE(CONTROL!$C$15, $D$11, 100%, $F$11)</f>
        <v>10.054399999999999</v>
      </c>
      <c r="J370" s="4">
        <f>CHOOSE( CONTROL!$C$32, 9.9449, 9.9445) * CHOOSE(CONTROL!$C$15, $D$11, 100%, $F$11)</f>
        <v>9.9449000000000005</v>
      </c>
      <c r="K370" s="4"/>
      <c r="L370" s="9">
        <v>29.7257</v>
      </c>
      <c r="M370" s="9">
        <v>11.6745</v>
      </c>
      <c r="N370" s="9">
        <v>4.7850000000000001</v>
      </c>
      <c r="O370" s="9">
        <v>0.36199999999999999</v>
      </c>
      <c r="P370" s="9">
        <v>1.2509999999999999</v>
      </c>
      <c r="Q370" s="9">
        <v>19.866599999999998</v>
      </c>
      <c r="R370" s="9"/>
      <c r="S370" s="11"/>
    </row>
    <row r="371" spans="1:19" ht="15.75">
      <c r="A371" s="13">
        <v>52443</v>
      </c>
      <c r="B371" s="8">
        <f>CHOOSE( CONTROL!$C$32, 10.6993, 10.6988) * CHOOSE(CONTROL!$C$15, $D$11, 100%, $F$11)</f>
        <v>10.699299999999999</v>
      </c>
      <c r="C371" s="8">
        <f>CHOOSE( CONTROL!$C$32, 10.7072, 10.7068) * CHOOSE(CONTROL!$C$15, $D$11, 100%, $F$11)</f>
        <v>10.7072</v>
      </c>
      <c r="D371" s="8">
        <f>CHOOSE( CONTROL!$C$32, 10.7064, 10.706) * CHOOSE( CONTROL!$C$15, $D$11, 100%, $F$11)</f>
        <v>10.7064</v>
      </c>
      <c r="E371" s="12">
        <f>CHOOSE( CONTROL!$C$32, 10.7055, 10.7051) * CHOOSE( CONTROL!$C$15, $D$11, 100%, $F$11)</f>
        <v>10.705500000000001</v>
      </c>
      <c r="F371" s="4">
        <f>CHOOSE( CONTROL!$C$32, 11.4021, 11.4016) * CHOOSE(CONTROL!$C$15, $D$11, 100%, $F$11)</f>
        <v>11.402100000000001</v>
      </c>
      <c r="G371" s="8">
        <f>CHOOSE( CONTROL!$C$32, 10.5842, 10.5838) * CHOOSE( CONTROL!$C$15, $D$11, 100%, $F$11)</f>
        <v>10.584199999999999</v>
      </c>
      <c r="H371" s="4">
        <f>CHOOSE( CONTROL!$C$32, 11.5152, 11.5148) * CHOOSE(CONTROL!$C$15, $D$11, 100%, $F$11)</f>
        <v>11.5152</v>
      </c>
      <c r="I371" s="8">
        <f>CHOOSE( CONTROL!$C$32, 10.4833, 10.4829) * CHOOSE(CONTROL!$C$15, $D$11, 100%, $F$11)</f>
        <v>10.4833</v>
      </c>
      <c r="J371" s="4">
        <f>CHOOSE( CONTROL!$C$32, 10.3728, 10.3724) * CHOOSE(CONTROL!$C$15, $D$11, 100%, $F$11)</f>
        <v>10.3728</v>
      </c>
      <c r="K371" s="4"/>
      <c r="L371" s="9">
        <v>30.7165</v>
      </c>
      <c r="M371" s="9">
        <v>12.063700000000001</v>
      </c>
      <c r="N371" s="9">
        <v>4.9444999999999997</v>
      </c>
      <c r="O371" s="9">
        <v>0.37409999999999999</v>
      </c>
      <c r="P371" s="9">
        <v>1.2927</v>
      </c>
      <c r="Q371" s="9">
        <v>20.5288</v>
      </c>
      <c r="R371" s="9"/>
      <c r="S371" s="11"/>
    </row>
    <row r="372" spans="1:19" ht="15.75">
      <c r="A372" s="13">
        <v>52474</v>
      </c>
      <c r="B372" s="8">
        <f>CHOOSE( CONTROL!$C$32, 9.8743, 9.8738) * CHOOSE(CONTROL!$C$15, $D$11, 100%, $F$11)</f>
        <v>9.8742999999999999</v>
      </c>
      <c r="C372" s="8">
        <f>CHOOSE( CONTROL!$C$32, 9.8822, 9.8818) * CHOOSE(CONTROL!$C$15, $D$11, 100%, $F$11)</f>
        <v>9.8821999999999992</v>
      </c>
      <c r="D372" s="8">
        <f>CHOOSE( CONTROL!$C$32, 9.8815, 9.881) * CHOOSE( CONTROL!$C$15, $D$11, 100%, $F$11)</f>
        <v>9.8815000000000008</v>
      </c>
      <c r="E372" s="12">
        <f>CHOOSE( CONTROL!$C$32, 9.8805, 9.8801) * CHOOSE( CONTROL!$C$15, $D$11, 100%, $F$11)</f>
        <v>9.8804999999999996</v>
      </c>
      <c r="F372" s="4">
        <f>CHOOSE( CONTROL!$C$32, 10.5771, 10.5766) * CHOOSE(CONTROL!$C$15, $D$11, 100%, $F$11)</f>
        <v>10.5771</v>
      </c>
      <c r="G372" s="8">
        <f>CHOOSE( CONTROL!$C$32, 9.7689, 9.7685) * CHOOSE( CONTROL!$C$15, $D$11, 100%, $F$11)</f>
        <v>9.7689000000000004</v>
      </c>
      <c r="H372" s="4">
        <f>CHOOSE( CONTROL!$C$32, 10.6999, 10.6994) * CHOOSE(CONTROL!$C$15, $D$11, 100%, $F$11)</f>
        <v>10.6999</v>
      </c>
      <c r="I372" s="8">
        <f>CHOOSE( CONTROL!$C$32, 9.6824, 9.682) * CHOOSE(CONTROL!$C$15, $D$11, 100%, $F$11)</f>
        <v>9.6823999999999995</v>
      </c>
      <c r="J372" s="4">
        <f>CHOOSE( CONTROL!$C$32, 9.5721, 9.5717) * CHOOSE(CONTROL!$C$15, $D$11, 100%, $F$11)</f>
        <v>9.5721000000000007</v>
      </c>
      <c r="K372" s="4"/>
      <c r="L372" s="9">
        <v>30.7165</v>
      </c>
      <c r="M372" s="9">
        <v>12.063700000000001</v>
      </c>
      <c r="N372" s="9">
        <v>4.9444999999999997</v>
      </c>
      <c r="O372" s="9">
        <v>0.37409999999999999</v>
      </c>
      <c r="P372" s="9">
        <v>1.2927</v>
      </c>
      <c r="Q372" s="9">
        <v>20.5288</v>
      </c>
      <c r="R372" s="9"/>
      <c r="S372" s="11"/>
    </row>
    <row r="373" spans="1:19" ht="15.75">
      <c r="A373" s="13">
        <v>52504</v>
      </c>
      <c r="B373" s="8">
        <f>CHOOSE( CONTROL!$C$32, 9.6677, 9.6672) * CHOOSE(CONTROL!$C$15, $D$11, 100%, $F$11)</f>
        <v>9.6677</v>
      </c>
      <c r="C373" s="8">
        <f>CHOOSE( CONTROL!$C$32, 9.6756, 9.6752) * CHOOSE(CONTROL!$C$15, $D$11, 100%, $F$11)</f>
        <v>9.6755999999999993</v>
      </c>
      <c r="D373" s="8">
        <f>CHOOSE( CONTROL!$C$32, 9.6747, 9.6743) * CHOOSE( CONTROL!$C$15, $D$11, 100%, $F$11)</f>
        <v>9.6746999999999996</v>
      </c>
      <c r="E373" s="12">
        <f>CHOOSE( CONTROL!$C$32, 9.6738, 9.6734) * CHOOSE( CONTROL!$C$15, $D$11, 100%, $F$11)</f>
        <v>9.6738</v>
      </c>
      <c r="F373" s="4">
        <f>CHOOSE( CONTROL!$C$32, 10.3705, 10.37) * CHOOSE(CONTROL!$C$15, $D$11, 100%, $F$11)</f>
        <v>10.3705</v>
      </c>
      <c r="G373" s="8">
        <f>CHOOSE( CONTROL!$C$32, 9.5646, 9.5642) * CHOOSE( CONTROL!$C$15, $D$11, 100%, $F$11)</f>
        <v>9.5646000000000004</v>
      </c>
      <c r="H373" s="4">
        <f>CHOOSE( CONTROL!$C$32, 10.4957, 10.4952) * CHOOSE(CONTROL!$C$15, $D$11, 100%, $F$11)</f>
        <v>10.495699999999999</v>
      </c>
      <c r="I373" s="8">
        <f>CHOOSE( CONTROL!$C$32, 9.4813, 9.4809) * CHOOSE(CONTROL!$C$15, $D$11, 100%, $F$11)</f>
        <v>9.4812999999999992</v>
      </c>
      <c r="J373" s="4">
        <f>CHOOSE( CONTROL!$C$32, 9.3716, 9.3712) * CHOOSE(CONTROL!$C$15, $D$11, 100%, $F$11)</f>
        <v>9.3716000000000008</v>
      </c>
      <c r="K373" s="4"/>
      <c r="L373" s="9">
        <v>29.7257</v>
      </c>
      <c r="M373" s="9">
        <v>11.6745</v>
      </c>
      <c r="N373" s="9">
        <v>4.7850000000000001</v>
      </c>
      <c r="O373" s="9">
        <v>0.36199999999999999</v>
      </c>
      <c r="P373" s="9">
        <v>1.2509999999999999</v>
      </c>
      <c r="Q373" s="9">
        <v>19.866599999999998</v>
      </c>
      <c r="R373" s="9"/>
      <c r="S373" s="11"/>
    </row>
    <row r="374" spans="1:19" ht="15.75">
      <c r="A374" s="13">
        <v>52535</v>
      </c>
      <c r="B374" s="8">
        <f>CHOOSE( CONTROL!$C$32, 10.0947, 10.0944) * CHOOSE(CONTROL!$C$15, $D$11, 100%, $F$11)</f>
        <v>10.0947</v>
      </c>
      <c r="C374" s="8">
        <f>CHOOSE( CONTROL!$C$32, 10.1, 10.0998) * CHOOSE(CONTROL!$C$15, $D$11, 100%, $F$11)</f>
        <v>10.1</v>
      </c>
      <c r="D374" s="8">
        <f>CHOOSE( CONTROL!$C$32, 10.1047, 10.1045) * CHOOSE( CONTROL!$C$15, $D$11, 100%, $F$11)</f>
        <v>10.104699999999999</v>
      </c>
      <c r="E374" s="12">
        <f>CHOOSE( CONTROL!$C$32, 10.1026, 10.1024) * CHOOSE( CONTROL!$C$15, $D$11, 100%, $F$11)</f>
        <v>10.102600000000001</v>
      </c>
      <c r="F374" s="4">
        <f>CHOOSE( CONTROL!$C$32, 10.7993, 10.799) * CHOOSE(CONTROL!$C$15, $D$11, 100%, $F$11)</f>
        <v>10.799300000000001</v>
      </c>
      <c r="G374" s="8">
        <f>CHOOSE( CONTROL!$C$32, 9.9885, 9.9883) * CHOOSE( CONTROL!$C$15, $D$11, 100%, $F$11)</f>
        <v>9.9885000000000002</v>
      </c>
      <c r="H374" s="4">
        <f>CHOOSE( CONTROL!$C$32, 10.9194, 10.9192) * CHOOSE(CONTROL!$C$15, $D$11, 100%, $F$11)</f>
        <v>10.9194</v>
      </c>
      <c r="I374" s="8">
        <f>CHOOSE( CONTROL!$C$32, 9.8985, 9.8982) * CHOOSE(CONTROL!$C$15, $D$11, 100%, $F$11)</f>
        <v>9.8985000000000003</v>
      </c>
      <c r="J374" s="4">
        <f>CHOOSE( CONTROL!$C$32, 9.7878, 9.7875) * CHOOSE(CONTROL!$C$15, $D$11, 100%, $F$11)</f>
        <v>9.7878000000000007</v>
      </c>
      <c r="K374" s="4"/>
      <c r="L374" s="9">
        <v>31.095300000000002</v>
      </c>
      <c r="M374" s="9">
        <v>12.063700000000001</v>
      </c>
      <c r="N374" s="9">
        <v>4.9444999999999997</v>
      </c>
      <c r="O374" s="9">
        <v>0.37409999999999999</v>
      </c>
      <c r="P374" s="9">
        <v>1.2927</v>
      </c>
      <c r="Q374" s="9">
        <v>20.5288</v>
      </c>
      <c r="R374" s="9"/>
      <c r="S374" s="11"/>
    </row>
    <row r="375" spans="1:19" ht="15.75">
      <c r="A375" s="13">
        <v>52565</v>
      </c>
      <c r="B375" s="8">
        <f>CHOOSE( CONTROL!$C$32, 10.8861, 10.8858) * CHOOSE(CONTROL!$C$15, $D$11, 100%, $F$11)</f>
        <v>10.886100000000001</v>
      </c>
      <c r="C375" s="8">
        <f>CHOOSE( CONTROL!$C$32, 10.8912, 10.8909) * CHOOSE(CONTROL!$C$15, $D$11, 100%, $F$11)</f>
        <v>10.8912</v>
      </c>
      <c r="D375" s="8">
        <f>CHOOSE( CONTROL!$C$32, 10.8739, 10.8736) * CHOOSE( CONTROL!$C$15, $D$11, 100%, $F$11)</f>
        <v>10.873900000000001</v>
      </c>
      <c r="E375" s="12">
        <f>CHOOSE( CONTROL!$C$32, 10.8797, 10.8794) * CHOOSE( CONTROL!$C$15, $D$11, 100%, $F$11)</f>
        <v>10.8797</v>
      </c>
      <c r="F375" s="4">
        <f>CHOOSE( CONTROL!$C$32, 11.5514, 11.5511) * CHOOSE(CONTROL!$C$15, $D$11, 100%, $F$11)</f>
        <v>11.551399999999999</v>
      </c>
      <c r="G375" s="8">
        <f>CHOOSE( CONTROL!$C$32, 10.768, 10.7677) * CHOOSE( CONTROL!$C$15, $D$11, 100%, $F$11)</f>
        <v>10.768000000000001</v>
      </c>
      <c r="H375" s="4">
        <f>CHOOSE( CONTROL!$C$32, 11.6627, 11.6625) * CHOOSE(CONTROL!$C$15, $D$11, 100%, $F$11)</f>
        <v>11.662699999999999</v>
      </c>
      <c r="I375" s="8">
        <f>CHOOSE( CONTROL!$C$32, 10.7229, 10.7226) * CHOOSE(CONTROL!$C$15, $D$11, 100%, $F$11)</f>
        <v>10.722899999999999</v>
      </c>
      <c r="J375" s="4">
        <f>CHOOSE( CONTROL!$C$32, 10.5562, 10.5559) * CHOOSE(CONTROL!$C$15, $D$11, 100%, $F$11)</f>
        <v>10.5562</v>
      </c>
      <c r="K375" s="4"/>
      <c r="L375" s="9">
        <v>28.360600000000002</v>
      </c>
      <c r="M375" s="9">
        <v>11.6745</v>
      </c>
      <c r="N375" s="9">
        <v>4.7850000000000001</v>
      </c>
      <c r="O375" s="9">
        <v>0.36199999999999999</v>
      </c>
      <c r="P375" s="9">
        <v>1.2509999999999999</v>
      </c>
      <c r="Q375" s="9">
        <v>19.866599999999998</v>
      </c>
      <c r="R375" s="9"/>
      <c r="S375" s="11"/>
    </row>
    <row r="376" spans="1:19" ht="15.75">
      <c r="A376" s="13">
        <v>52596</v>
      </c>
      <c r="B376" s="8">
        <f>CHOOSE( CONTROL!$C$32, 10.8663, 10.866) * CHOOSE(CONTROL!$C$15, $D$11, 100%, $F$11)</f>
        <v>10.866300000000001</v>
      </c>
      <c r="C376" s="8">
        <f>CHOOSE( CONTROL!$C$32, 10.8714, 10.8711) * CHOOSE(CONTROL!$C$15, $D$11, 100%, $F$11)</f>
        <v>10.8714</v>
      </c>
      <c r="D376" s="8">
        <f>CHOOSE( CONTROL!$C$32, 10.8559, 10.8556) * CHOOSE( CONTROL!$C$15, $D$11, 100%, $F$11)</f>
        <v>10.8559</v>
      </c>
      <c r="E376" s="12">
        <f>CHOOSE( CONTROL!$C$32, 10.861, 10.8607) * CHOOSE( CONTROL!$C$15, $D$11, 100%, $F$11)</f>
        <v>10.861000000000001</v>
      </c>
      <c r="F376" s="4">
        <f>CHOOSE( CONTROL!$C$32, 11.5316, 11.5313) * CHOOSE(CONTROL!$C$15, $D$11, 100%, $F$11)</f>
        <v>11.531599999999999</v>
      </c>
      <c r="G376" s="8">
        <f>CHOOSE( CONTROL!$C$32, 10.7497, 10.7494) * CHOOSE( CONTROL!$C$15, $D$11, 100%, $F$11)</f>
        <v>10.749700000000001</v>
      </c>
      <c r="H376" s="4">
        <f>CHOOSE( CONTROL!$C$32, 11.6432, 11.6429) * CHOOSE(CONTROL!$C$15, $D$11, 100%, $F$11)</f>
        <v>11.6432</v>
      </c>
      <c r="I376" s="8">
        <f>CHOOSE( CONTROL!$C$32, 10.7093, 10.709) * CHOOSE(CONTROL!$C$15, $D$11, 100%, $F$11)</f>
        <v>10.709300000000001</v>
      </c>
      <c r="J376" s="4">
        <f>CHOOSE( CONTROL!$C$32, 10.537, 10.5367) * CHOOSE(CONTROL!$C$15, $D$11, 100%, $F$11)</f>
        <v>10.537000000000001</v>
      </c>
      <c r="K376" s="4"/>
      <c r="L376" s="9">
        <v>29.306000000000001</v>
      </c>
      <c r="M376" s="9">
        <v>12.063700000000001</v>
      </c>
      <c r="N376" s="9">
        <v>4.9444999999999997</v>
      </c>
      <c r="O376" s="9">
        <v>0.37409999999999999</v>
      </c>
      <c r="P376" s="9">
        <v>1.2927</v>
      </c>
      <c r="Q376" s="9">
        <v>20.5288</v>
      </c>
      <c r="R376" s="9"/>
      <c r="S376" s="11"/>
    </row>
    <row r="377" spans="1:19" ht="15.75">
      <c r="A377" s="13">
        <v>52627</v>
      </c>
      <c r="B377" s="8">
        <f>CHOOSE( CONTROL!$C$32, 11.1865, 11.1863) * CHOOSE(CONTROL!$C$15, $D$11, 100%, $F$11)</f>
        <v>11.186500000000001</v>
      </c>
      <c r="C377" s="8">
        <f>CHOOSE( CONTROL!$C$32, 11.1916, 11.1913) * CHOOSE(CONTROL!$C$15, $D$11, 100%, $F$11)</f>
        <v>11.191599999999999</v>
      </c>
      <c r="D377" s="8">
        <f>CHOOSE( CONTROL!$C$32, 11.1821, 11.1818) * CHOOSE( CONTROL!$C$15, $D$11, 100%, $F$11)</f>
        <v>11.1821</v>
      </c>
      <c r="E377" s="12">
        <f>CHOOSE( CONTROL!$C$32, 11.185, 11.1847) * CHOOSE( CONTROL!$C$15, $D$11, 100%, $F$11)</f>
        <v>11.185</v>
      </c>
      <c r="F377" s="4">
        <f>CHOOSE( CONTROL!$C$32, 11.8518, 11.8515) * CHOOSE(CONTROL!$C$15, $D$11, 100%, $F$11)</f>
        <v>11.851800000000001</v>
      </c>
      <c r="G377" s="8">
        <f>CHOOSE( CONTROL!$C$32, 11.0669, 11.0666) * CHOOSE( CONTROL!$C$15, $D$11, 100%, $F$11)</f>
        <v>11.0669</v>
      </c>
      <c r="H377" s="4">
        <f>CHOOSE( CONTROL!$C$32, 11.9597, 11.9594) * CHOOSE(CONTROL!$C$15, $D$11, 100%, $F$11)</f>
        <v>11.9597</v>
      </c>
      <c r="I377" s="8">
        <f>CHOOSE( CONTROL!$C$32, 11.0007, 11.0004) * CHOOSE(CONTROL!$C$15, $D$11, 100%, $F$11)</f>
        <v>11.0007</v>
      </c>
      <c r="J377" s="4">
        <f>CHOOSE( CONTROL!$C$32, 10.8478, 10.8475) * CHOOSE(CONTROL!$C$15, $D$11, 100%, $F$11)</f>
        <v>10.847799999999999</v>
      </c>
      <c r="K377" s="4"/>
      <c r="L377" s="9">
        <v>29.306000000000001</v>
      </c>
      <c r="M377" s="9">
        <v>12.063700000000001</v>
      </c>
      <c r="N377" s="9">
        <v>4.9444999999999997</v>
      </c>
      <c r="O377" s="9">
        <v>0.37409999999999999</v>
      </c>
      <c r="P377" s="9">
        <v>1.2927</v>
      </c>
      <c r="Q377" s="9">
        <v>20.4619</v>
      </c>
      <c r="R377" s="9"/>
      <c r="S377" s="11"/>
    </row>
    <row r="378" spans="1:19" ht="15.75">
      <c r="A378" s="13">
        <v>52655</v>
      </c>
      <c r="B378" s="8">
        <f>CHOOSE( CONTROL!$C$32, 10.464, 10.4637) * CHOOSE(CONTROL!$C$15, $D$11, 100%, $F$11)</f>
        <v>10.464</v>
      </c>
      <c r="C378" s="8">
        <f>CHOOSE( CONTROL!$C$32, 10.469, 10.4688) * CHOOSE(CONTROL!$C$15, $D$11, 100%, $F$11)</f>
        <v>10.468999999999999</v>
      </c>
      <c r="D378" s="8">
        <f>CHOOSE( CONTROL!$C$32, 10.4611, 10.4609) * CHOOSE( CONTROL!$C$15, $D$11, 100%, $F$11)</f>
        <v>10.4611</v>
      </c>
      <c r="E378" s="12">
        <f>CHOOSE( CONTROL!$C$32, 10.4635, 10.4632) * CHOOSE( CONTROL!$C$15, $D$11, 100%, $F$11)</f>
        <v>10.4635</v>
      </c>
      <c r="F378" s="4">
        <f>CHOOSE( CONTROL!$C$32, 11.1292, 11.129) * CHOOSE(CONTROL!$C$15, $D$11, 100%, $F$11)</f>
        <v>11.129200000000001</v>
      </c>
      <c r="G378" s="8">
        <f>CHOOSE( CONTROL!$C$32, 10.3513, 10.351) * CHOOSE( CONTROL!$C$15, $D$11, 100%, $F$11)</f>
        <v>10.3513</v>
      </c>
      <c r="H378" s="4">
        <f>CHOOSE( CONTROL!$C$32, 11.2455, 11.2453) * CHOOSE(CONTROL!$C$15, $D$11, 100%, $F$11)</f>
        <v>11.2455</v>
      </c>
      <c r="I378" s="8">
        <f>CHOOSE( CONTROL!$C$32, 10.2837, 10.2834) * CHOOSE(CONTROL!$C$15, $D$11, 100%, $F$11)</f>
        <v>10.2837</v>
      </c>
      <c r="J378" s="4">
        <f>CHOOSE( CONTROL!$C$32, 10.1465, 10.1462) * CHOOSE(CONTROL!$C$15, $D$11, 100%, $F$11)</f>
        <v>10.1465</v>
      </c>
      <c r="K378" s="4"/>
      <c r="L378" s="9">
        <v>27.415299999999998</v>
      </c>
      <c r="M378" s="9">
        <v>11.285299999999999</v>
      </c>
      <c r="N378" s="9">
        <v>4.6254999999999997</v>
      </c>
      <c r="O378" s="9">
        <v>0.34989999999999999</v>
      </c>
      <c r="P378" s="9">
        <v>1.2093</v>
      </c>
      <c r="Q378" s="9">
        <v>19.1417</v>
      </c>
      <c r="R378" s="9"/>
      <c r="S378" s="11"/>
    </row>
    <row r="379" spans="1:19" ht="15.75">
      <c r="A379" s="13">
        <v>52687</v>
      </c>
      <c r="B379" s="8">
        <f>CHOOSE( CONTROL!$C$32, 10.2414, 10.2411) * CHOOSE(CONTROL!$C$15, $D$11, 100%, $F$11)</f>
        <v>10.241400000000001</v>
      </c>
      <c r="C379" s="8">
        <f>CHOOSE( CONTROL!$C$32, 10.2465, 10.2462) * CHOOSE(CONTROL!$C$15, $D$11, 100%, $F$11)</f>
        <v>10.246499999999999</v>
      </c>
      <c r="D379" s="8">
        <f>CHOOSE( CONTROL!$C$32, 10.2338, 10.2335) * CHOOSE( CONTROL!$C$15, $D$11, 100%, $F$11)</f>
        <v>10.2338</v>
      </c>
      <c r="E379" s="12">
        <f>CHOOSE( CONTROL!$C$32, 10.2379, 10.2376) * CHOOSE( CONTROL!$C$15, $D$11, 100%, $F$11)</f>
        <v>10.2379</v>
      </c>
      <c r="F379" s="4">
        <f>CHOOSE( CONTROL!$C$32, 10.9067, 10.9064) * CHOOSE(CONTROL!$C$15, $D$11, 100%, $F$11)</f>
        <v>10.906700000000001</v>
      </c>
      <c r="G379" s="8">
        <f>CHOOSE( CONTROL!$C$32, 10.1279, 10.1276) * CHOOSE( CONTROL!$C$15, $D$11, 100%, $F$11)</f>
        <v>10.1279</v>
      </c>
      <c r="H379" s="4">
        <f>CHOOSE( CONTROL!$C$32, 11.0256, 11.0253) * CHOOSE(CONTROL!$C$15, $D$11, 100%, $F$11)</f>
        <v>11.025600000000001</v>
      </c>
      <c r="I379" s="8">
        <f>CHOOSE( CONTROL!$C$32, 10.066, 10.0657) * CHOOSE(CONTROL!$C$15, $D$11, 100%, $F$11)</f>
        <v>10.066000000000001</v>
      </c>
      <c r="J379" s="4">
        <f>CHOOSE( CONTROL!$C$32, 9.9305, 9.9303) * CHOOSE(CONTROL!$C$15, $D$11, 100%, $F$11)</f>
        <v>9.9305000000000003</v>
      </c>
      <c r="K379" s="4"/>
      <c r="L379" s="9">
        <v>29.306000000000001</v>
      </c>
      <c r="M379" s="9">
        <v>12.063700000000001</v>
      </c>
      <c r="N379" s="9">
        <v>4.9444999999999997</v>
      </c>
      <c r="O379" s="9">
        <v>0.37409999999999999</v>
      </c>
      <c r="P379" s="9">
        <v>1.2927</v>
      </c>
      <c r="Q379" s="9">
        <v>20.4619</v>
      </c>
      <c r="R379" s="9"/>
      <c r="S379" s="11"/>
    </row>
    <row r="380" spans="1:19" ht="15.75">
      <c r="A380" s="13">
        <v>52717</v>
      </c>
      <c r="B380" s="8">
        <f>CHOOSE( CONTROL!$C$32, 10.3977, 10.3974) * CHOOSE(CONTROL!$C$15, $D$11, 100%, $F$11)</f>
        <v>10.3977</v>
      </c>
      <c r="C380" s="8">
        <f>CHOOSE( CONTROL!$C$32, 10.4022, 10.4019) * CHOOSE(CONTROL!$C$15, $D$11, 100%, $F$11)</f>
        <v>10.402200000000001</v>
      </c>
      <c r="D380" s="8">
        <f>CHOOSE( CONTROL!$C$32, 10.4071, 10.4068) * CHOOSE( CONTROL!$C$15, $D$11, 100%, $F$11)</f>
        <v>10.4071</v>
      </c>
      <c r="E380" s="12">
        <f>CHOOSE( CONTROL!$C$32, 10.405, 10.4047) * CHOOSE( CONTROL!$C$15, $D$11, 100%, $F$11)</f>
        <v>10.404999999999999</v>
      </c>
      <c r="F380" s="4">
        <f>CHOOSE( CONTROL!$C$32, 11.1019, 11.1016) * CHOOSE(CONTROL!$C$15, $D$11, 100%, $F$11)</f>
        <v>11.101900000000001</v>
      </c>
      <c r="G380" s="8">
        <f>CHOOSE( CONTROL!$C$32, 10.2874, 10.2871) * CHOOSE( CONTROL!$C$15, $D$11, 100%, $F$11)</f>
        <v>10.2874</v>
      </c>
      <c r="H380" s="4">
        <f>CHOOSE( CONTROL!$C$32, 11.2185, 11.2182) * CHOOSE(CONTROL!$C$15, $D$11, 100%, $F$11)</f>
        <v>11.218500000000001</v>
      </c>
      <c r="I380" s="8">
        <f>CHOOSE( CONTROL!$C$32, 10.1912, 10.1909) * CHOOSE(CONTROL!$C$15, $D$11, 100%, $F$11)</f>
        <v>10.1912</v>
      </c>
      <c r="J380" s="4">
        <f>CHOOSE( CONTROL!$C$32, 10.0815, 10.0812) * CHOOSE(CONTROL!$C$15, $D$11, 100%, $F$11)</f>
        <v>10.0815</v>
      </c>
      <c r="K380" s="4"/>
      <c r="L380" s="9">
        <v>30.092199999999998</v>
      </c>
      <c r="M380" s="9">
        <v>11.6745</v>
      </c>
      <c r="N380" s="9">
        <v>4.7850000000000001</v>
      </c>
      <c r="O380" s="9">
        <v>0.36199999999999999</v>
      </c>
      <c r="P380" s="9">
        <v>1.2509999999999999</v>
      </c>
      <c r="Q380" s="9">
        <v>19.8018</v>
      </c>
      <c r="R380" s="9"/>
      <c r="S380" s="11"/>
    </row>
    <row r="381" spans="1:19" ht="15.75">
      <c r="A381" s="13">
        <v>52748</v>
      </c>
      <c r="B381" s="8">
        <f>CHOOSE( CONTROL!$C$32, 10.676, 10.6756) * CHOOSE(CONTROL!$C$15, $D$11, 100%, $F$11)</f>
        <v>10.676</v>
      </c>
      <c r="C381" s="8">
        <f>CHOOSE( CONTROL!$C$32, 10.684, 10.6835) * CHOOSE(CONTROL!$C$15, $D$11, 100%, $F$11)</f>
        <v>10.683999999999999</v>
      </c>
      <c r="D381" s="8">
        <f>CHOOSE( CONTROL!$C$32, 10.6828, 10.6823) * CHOOSE( CONTROL!$C$15, $D$11, 100%, $F$11)</f>
        <v>10.6828</v>
      </c>
      <c r="E381" s="12">
        <f>CHOOSE( CONTROL!$C$32, 10.682, 10.6815) * CHOOSE( CONTROL!$C$15, $D$11, 100%, $F$11)</f>
        <v>10.682</v>
      </c>
      <c r="F381" s="4">
        <f>CHOOSE( CONTROL!$C$32, 11.3788, 11.3784) * CHOOSE(CONTROL!$C$15, $D$11, 100%, $F$11)</f>
        <v>11.3788</v>
      </c>
      <c r="G381" s="8">
        <f>CHOOSE( CONTROL!$C$32, 10.5609, 10.5604) * CHOOSE( CONTROL!$C$15, $D$11, 100%, $F$11)</f>
        <v>10.5609</v>
      </c>
      <c r="H381" s="4">
        <f>CHOOSE( CONTROL!$C$32, 11.4922, 11.4918) * CHOOSE(CONTROL!$C$15, $D$11, 100%, $F$11)</f>
        <v>11.4922</v>
      </c>
      <c r="I381" s="8">
        <f>CHOOSE( CONTROL!$C$32, 10.4593, 10.4588) * CHOOSE(CONTROL!$C$15, $D$11, 100%, $F$11)</f>
        <v>10.459300000000001</v>
      </c>
      <c r="J381" s="4">
        <f>CHOOSE( CONTROL!$C$32, 10.3502, 10.3498) * CHOOSE(CONTROL!$C$15, $D$11, 100%, $F$11)</f>
        <v>10.350199999999999</v>
      </c>
      <c r="K381" s="4"/>
      <c r="L381" s="9">
        <v>30.7165</v>
      </c>
      <c r="M381" s="9">
        <v>12.063700000000001</v>
      </c>
      <c r="N381" s="9">
        <v>4.9444999999999997</v>
      </c>
      <c r="O381" s="9">
        <v>0.37409999999999999</v>
      </c>
      <c r="P381" s="9">
        <v>1.2927</v>
      </c>
      <c r="Q381" s="9">
        <v>20.4619</v>
      </c>
      <c r="R381" s="9"/>
      <c r="S381" s="11"/>
    </row>
    <row r="382" spans="1:19" ht="15.75">
      <c r="A382" s="13">
        <v>52778</v>
      </c>
      <c r="B382" s="8">
        <f>CHOOSE( CONTROL!$C$32, 10.5046, 10.5041) * CHOOSE(CONTROL!$C$15, $D$11, 100%, $F$11)</f>
        <v>10.5046</v>
      </c>
      <c r="C382" s="8">
        <f>CHOOSE( CONTROL!$C$32, 10.5125, 10.5121) * CHOOSE(CONTROL!$C$15, $D$11, 100%, $F$11)</f>
        <v>10.512499999999999</v>
      </c>
      <c r="D382" s="8">
        <f>CHOOSE( CONTROL!$C$32, 10.5115, 10.511) * CHOOSE( CONTROL!$C$15, $D$11, 100%, $F$11)</f>
        <v>10.5115</v>
      </c>
      <c r="E382" s="12">
        <f>CHOOSE( CONTROL!$C$32, 10.5107, 10.5102) * CHOOSE( CONTROL!$C$15, $D$11, 100%, $F$11)</f>
        <v>10.5107</v>
      </c>
      <c r="F382" s="4">
        <f>CHOOSE( CONTROL!$C$32, 11.2074, 11.2069) * CHOOSE(CONTROL!$C$15, $D$11, 100%, $F$11)</f>
        <v>11.2074</v>
      </c>
      <c r="G382" s="8">
        <f>CHOOSE( CONTROL!$C$32, 10.3916, 10.3911) * CHOOSE( CONTROL!$C$15, $D$11, 100%, $F$11)</f>
        <v>10.3916</v>
      </c>
      <c r="H382" s="4">
        <f>CHOOSE( CONTROL!$C$32, 11.3228, 11.3223) * CHOOSE(CONTROL!$C$15, $D$11, 100%, $F$11)</f>
        <v>11.322800000000001</v>
      </c>
      <c r="I382" s="8">
        <f>CHOOSE( CONTROL!$C$32, 10.2935, 10.293) * CHOOSE(CONTROL!$C$15, $D$11, 100%, $F$11)</f>
        <v>10.2935</v>
      </c>
      <c r="J382" s="4">
        <f>CHOOSE( CONTROL!$C$32, 10.1838, 10.1834) * CHOOSE(CONTROL!$C$15, $D$11, 100%, $F$11)</f>
        <v>10.1838</v>
      </c>
      <c r="K382" s="4"/>
      <c r="L382" s="9">
        <v>29.7257</v>
      </c>
      <c r="M382" s="9">
        <v>11.6745</v>
      </c>
      <c r="N382" s="9">
        <v>4.7850000000000001</v>
      </c>
      <c r="O382" s="9">
        <v>0.36199999999999999</v>
      </c>
      <c r="P382" s="9">
        <v>1.2509999999999999</v>
      </c>
      <c r="Q382" s="9">
        <v>19.8018</v>
      </c>
      <c r="R382" s="9"/>
      <c r="S382" s="11"/>
    </row>
    <row r="383" spans="1:19" ht="15.75">
      <c r="A383" s="13">
        <v>52809</v>
      </c>
      <c r="B383" s="8">
        <f>CHOOSE( CONTROL!$C$32, 10.9561, 10.9556) * CHOOSE(CONTROL!$C$15, $D$11, 100%, $F$11)</f>
        <v>10.956099999999999</v>
      </c>
      <c r="C383" s="8">
        <f>CHOOSE( CONTROL!$C$32, 10.964, 10.9636) * CHOOSE(CONTROL!$C$15, $D$11, 100%, $F$11)</f>
        <v>10.964</v>
      </c>
      <c r="D383" s="8">
        <f>CHOOSE( CONTROL!$C$32, 10.9632, 10.9628) * CHOOSE( CONTROL!$C$15, $D$11, 100%, $F$11)</f>
        <v>10.963200000000001</v>
      </c>
      <c r="E383" s="12">
        <f>CHOOSE( CONTROL!$C$32, 10.9623, 10.9619) * CHOOSE( CONTROL!$C$15, $D$11, 100%, $F$11)</f>
        <v>10.962300000000001</v>
      </c>
      <c r="F383" s="4">
        <f>CHOOSE( CONTROL!$C$32, 11.6589, 11.6584) * CHOOSE(CONTROL!$C$15, $D$11, 100%, $F$11)</f>
        <v>11.658899999999999</v>
      </c>
      <c r="G383" s="8">
        <f>CHOOSE( CONTROL!$C$32, 10.838, 10.8376) * CHOOSE( CONTROL!$C$15, $D$11, 100%, $F$11)</f>
        <v>10.837999999999999</v>
      </c>
      <c r="H383" s="4">
        <f>CHOOSE( CONTROL!$C$32, 11.769, 11.7685) * CHOOSE(CONTROL!$C$15, $D$11, 100%, $F$11)</f>
        <v>11.769</v>
      </c>
      <c r="I383" s="8">
        <f>CHOOSE( CONTROL!$C$32, 10.7327, 10.7322) * CHOOSE(CONTROL!$C$15, $D$11, 100%, $F$11)</f>
        <v>10.732699999999999</v>
      </c>
      <c r="J383" s="4">
        <f>CHOOSE( CONTROL!$C$32, 10.622, 10.6216) * CHOOSE(CONTROL!$C$15, $D$11, 100%, $F$11)</f>
        <v>10.622</v>
      </c>
      <c r="K383" s="4"/>
      <c r="L383" s="9">
        <v>30.7165</v>
      </c>
      <c r="M383" s="9">
        <v>12.063700000000001</v>
      </c>
      <c r="N383" s="9">
        <v>4.9444999999999997</v>
      </c>
      <c r="O383" s="9">
        <v>0.37409999999999999</v>
      </c>
      <c r="P383" s="9">
        <v>1.2927</v>
      </c>
      <c r="Q383" s="9">
        <v>20.4619</v>
      </c>
      <c r="R383" s="9"/>
      <c r="S383" s="11"/>
    </row>
    <row r="384" spans="1:19" ht="15.75">
      <c r="A384" s="13">
        <v>52840</v>
      </c>
      <c r="B384" s="8">
        <f>CHOOSE( CONTROL!$C$32, 10.1112, 10.1108) * CHOOSE(CONTROL!$C$15, $D$11, 100%, $F$11)</f>
        <v>10.1112</v>
      </c>
      <c r="C384" s="8">
        <f>CHOOSE( CONTROL!$C$32, 10.1192, 10.1188) * CHOOSE(CONTROL!$C$15, $D$11, 100%, $F$11)</f>
        <v>10.119199999999999</v>
      </c>
      <c r="D384" s="8">
        <f>CHOOSE( CONTROL!$C$32, 10.1185, 10.118) * CHOOSE( CONTROL!$C$15, $D$11, 100%, $F$11)</f>
        <v>10.118499999999999</v>
      </c>
      <c r="E384" s="12">
        <f>CHOOSE( CONTROL!$C$32, 10.1175, 10.1171) * CHOOSE( CONTROL!$C$15, $D$11, 100%, $F$11)</f>
        <v>10.1175</v>
      </c>
      <c r="F384" s="4">
        <f>CHOOSE( CONTROL!$C$32, 10.8141, 10.8136) * CHOOSE(CONTROL!$C$15, $D$11, 100%, $F$11)</f>
        <v>10.8141</v>
      </c>
      <c r="G384" s="8">
        <f>CHOOSE( CONTROL!$C$32, 10.0031, 10.0027) * CHOOSE( CONTROL!$C$15, $D$11, 100%, $F$11)</f>
        <v>10.0031</v>
      </c>
      <c r="H384" s="4">
        <f>CHOOSE( CONTROL!$C$32, 10.9341, 10.9336) * CHOOSE(CONTROL!$C$15, $D$11, 100%, $F$11)</f>
        <v>10.934100000000001</v>
      </c>
      <c r="I384" s="8">
        <f>CHOOSE( CONTROL!$C$32, 9.9125, 9.9121) * CHOOSE(CONTROL!$C$15, $D$11, 100%, $F$11)</f>
        <v>9.9124999999999996</v>
      </c>
      <c r="J384" s="4">
        <f>CHOOSE( CONTROL!$C$32, 9.8021, 9.8017) * CHOOSE(CONTROL!$C$15, $D$11, 100%, $F$11)</f>
        <v>9.8020999999999994</v>
      </c>
      <c r="K384" s="4"/>
      <c r="L384" s="9">
        <v>30.7165</v>
      </c>
      <c r="M384" s="9">
        <v>12.063700000000001</v>
      </c>
      <c r="N384" s="9">
        <v>4.9444999999999997</v>
      </c>
      <c r="O384" s="9">
        <v>0.37409999999999999</v>
      </c>
      <c r="P384" s="9">
        <v>1.2927</v>
      </c>
      <c r="Q384" s="9">
        <v>20.4619</v>
      </c>
      <c r="R384" s="9"/>
      <c r="S384" s="11"/>
    </row>
    <row r="385" spans="1:19" ht="15.75">
      <c r="A385" s="13">
        <v>52870</v>
      </c>
      <c r="B385" s="8">
        <f>CHOOSE( CONTROL!$C$32, 9.8997, 9.8992) * CHOOSE(CONTROL!$C$15, $D$11, 100%, $F$11)</f>
        <v>9.8996999999999993</v>
      </c>
      <c r="C385" s="8">
        <f>CHOOSE( CONTROL!$C$32, 9.9077, 9.9072) * CHOOSE(CONTROL!$C$15, $D$11, 100%, $F$11)</f>
        <v>9.9077000000000002</v>
      </c>
      <c r="D385" s="8">
        <f>CHOOSE( CONTROL!$C$32, 9.9068, 9.9063) * CHOOSE( CONTROL!$C$15, $D$11, 100%, $F$11)</f>
        <v>9.9068000000000005</v>
      </c>
      <c r="E385" s="12">
        <f>CHOOSE( CONTROL!$C$32, 9.9059, 9.9054) * CHOOSE( CONTROL!$C$15, $D$11, 100%, $F$11)</f>
        <v>9.9059000000000008</v>
      </c>
      <c r="F385" s="4">
        <f>CHOOSE( CONTROL!$C$32, 10.6025, 10.602) * CHOOSE(CONTROL!$C$15, $D$11, 100%, $F$11)</f>
        <v>10.602499999999999</v>
      </c>
      <c r="G385" s="8">
        <f>CHOOSE( CONTROL!$C$32, 9.7939, 9.7935) * CHOOSE( CONTROL!$C$15, $D$11, 100%, $F$11)</f>
        <v>9.7939000000000007</v>
      </c>
      <c r="H385" s="4">
        <f>CHOOSE( CONTROL!$C$32, 10.725, 10.7245) * CHOOSE(CONTROL!$C$15, $D$11, 100%, $F$11)</f>
        <v>10.725</v>
      </c>
      <c r="I385" s="8">
        <f>CHOOSE( CONTROL!$C$32, 9.7066, 9.7062) * CHOOSE(CONTROL!$C$15, $D$11, 100%, $F$11)</f>
        <v>9.7065999999999999</v>
      </c>
      <c r="J385" s="4">
        <f>CHOOSE( CONTROL!$C$32, 9.5968, 9.5964) * CHOOSE(CONTROL!$C$15, $D$11, 100%, $F$11)</f>
        <v>9.5968</v>
      </c>
      <c r="K385" s="4"/>
      <c r="L385" s="9">
        <v>29.7257</v>
      </c>
      <c r="M385" s="9">
        <v>11.6745</v>
      </c>
      <c r="N385" s="9">
        <v>4.7850000000000001</v>
      </c>
      <c r="O385" s="9">
        <v>0.36199999999999999</v>
      </c>
      <c r="P385" s="9">
        <v>1.2509999999999999</v>
      </c>
      <c r="Q385" s="9">
        <v>19.8018</v>
      </c>
      <c r="R385" s="9"/>
      <c r="S385" s="11"/>
    </row>
    <row r="386" spans="1:19" ht="15.75">
      <c r="A386" s="13">
        <v>52901</v>
      </c>
      <c r="B386" s="8">
        <f>CHOOSE( CONTROL!$C$32, 10.337, 10.3368) * CHOOSE(CONTROL!$C$15, $D$11, 100%, $F$11)</f>
        <v>10.337</v>
      </c>
      <c r="C386" s="8">
        <f>CHOOSE( CONTROL!$C$32, 10.3424, 10.3421) * CHOOSE(CONTROL!$C$15, $D$11, 100%, $F$11)</f>
        <v>10.3424</v>
      </c>
      <c r="D386" s="8">
        <f>CHOOSE( CONTROL!$C$32, 10.3471, 10.3468) * CHOOSE( CONTROL!$C$15, $D$11, 100%, $F$11)</f>
        <v>10.347099999999999</v>
      </c>
      <c r="E386" s="12">
        <f>CHOOSE( CONTROL!$C$32, 10.345, 10.3447) * CHOOSE( CONTROL!$C$15, $D$11, 100%, $F$11)</f>
        <v>10.345000000000001</v>
      </c>
      <c r="F386" s="4">
        <f>CHOOSE( CONTROL!$C$32, 11.0416, 11.0413) * CHOOSE(CONTROL!$C$15, $D$11, 100%, $F$11)</f>
        <v>11.041600000000001</v>
      </c>
      <c r="G386" s="8">
        <f>CHOOSE( CONTROL!$C$32, 10.228, 10.2278) * CHOOSE( CONTROL!$C$15, $D$11, 100%, $F$11)</f>
        <v>10.228</v>
      </c>
      <c r="H386" s="4">
        <f>CHOOSE( CONTROL!$C$32, 11.1589, 11.1586) * CHOOSE(CONTROL!$C$15, $D$11, 100%, $F$11)</f>
        <v>11.158899999999999</v>
      </c>
      <c r="I386" s="8">
        <f>CHOOSE( CONTROL!$C$32, 10.1338, 10.1335) * CHOOSE(CONTROL!$C$15, $D$11, 100%, $F$11)</f>
        <v>10.133800000000001</v>
      </c>
      <c r="J386" s="4">
        <f>CHOOSE( CONTROL!$C$32, 10.0229, 10.0227) * CHOOSE(CONTROL!$C$15, $D$11, 100%, $F$11)</f>
        <v>10.0229</v>
      </c>
      <c r="K386" s="4"/>
      <c r="L386" s="9">
        <v>31.095300000000002</v>
      </c>
      <c r="M386" s="9">
        <v>12.063700000000001</v>
      </c>
      <c r="N386" s="9">
        <v>4.9444999999999997</v>
      </c>
      <c r="O386" s="9">
        <v>0.37409999999999999</v>
      </c>
      <c r="P386" s="9">
        <v>1.2927</v>
      </c>
      <c r="Q386" s="9">
        <v>20.4619</v>
      </c>
      <c r="R386" s="9"/>
      <c r="S386" s="11"/>
    </row>
    <row r="387" spans="1:19" ht="15.75">
      <c r="A387" s="13">
        <v>52931</v>
      </c>
      <c r="B387" s="8">
        <f>CHOOSE( CONTROL!$C$32, 11.1474, 11.1471) * CHOOSE(CONTROL!$C$15, $D$11, 100%, $F$11)</f>
        <v>11.147399999999999</v>
      </c>
      <c r="C387" s="8">
        <f>CHOOSE( CONTROL!$C$32, 11.1525, 11.1522) * CHOOSE(CONTROL!$C$15, $D$11, 100%, $F$11)</f>
        <v>11.1525</v>
      </c>
      <c r="D387" s="8">
        <f>CHOOSE( CONTROL!$C$32, 11.1352, 11.1349) * CHOOSE( CONTROL!$C$15, $D$11, 100%, $F$11)</f>
        <v>11.135199999999999</v>
      </c>
      <c r="E387" s="12">
        <f>CHOOSE( CONTROL!$C$32, 11.141, 11.1407) * CHOOSE( CONTROL!$C$15, $D$11, 100%, $F$11)</f>
        <v>11.141</v>
      </c>
      <c r="F387" s="4">
        <f>CHOOSE( CONTROL!$C$32, 11.8127, 11.8124) * CHOOSE(CONTROL!$C$15, $D$11, 100%, $F$11)</f>
        <v>11.8127</v>
      </c>
      <c r="G387" s="8">
        <f>CHOOSE( CONTROL!$C$32, 11.0262, 11.026) * CHOOSE( CONTROL!$C$15, $D$11, 100%, $F$11)</f>
        <v>11.026199999999999</v>
      </c>
      <c r="H387" s="4">
        <f>CHOOSE( CONTROL!$C$32, 11.921, 11.9207) * CHOOSE(CONTROL!$C$15, $D$11, 100%, $F$11)</f>
        <v>11.920999999999999</v>
      </c>
      <c r="I387" s="8">
        <f>CHOOSE( CONTROL!$C$32, 10.9767, 10.9764) * CHOOSE(CONTROL!$C$15, $D$11, 100%, $F$11)</f>
        <v>10.976699999999999</v>
      </c>
      <c r="J387" s="4">
        <f>CHOOSE( CONTROL!$C$32, 10.8098, 10.8096) * CHOOSE(CONTROL!$C$15, $D$11, 100%, $F$11)</f>
        <v>10.809799999999999</v>
      </c>
      <c r="K387" s="4"/>
      <c r="L387" s="9">
        <v>28.360600000000002</v>
      </c>
      <c r="M387" s="9">
        <v>11.6745</v>
      </c>
      <c r="N387" s="9">
        <v>4.7850000000000001</v>
      </c>
      <c r="O387" s="9">
        <v>0.36199999999999999</v>
      </c>
      <c r="P387" s="9">
        <v>1.2509999999999999</v>
      </c>
      <c r="Q387" s="9">
        <v>19.8018</v>
      </c>
      <c r="R387" s="9"/>
      <c r="S387" s="11"/>
    </row>
    <row r="388" spans="1:19" ht="15.75">
      <c r="A388" s="13">
        <v>52962</v>
      </c>
      <c r="B388" s="8">
        <f>CHOOSE( CONTROL!$C$32, 11.1272, 11.1269) * CHOOSE(CONTROL!$C$15, $D$11, 100%, $F$11)</f>
        <v>11.1272</v>
      </c>
      <c r="C388" s="8">
        <f>CHOOSE( CONTROL!$C$32, 11.1322, 11.132) * CHOOSE(CONTROL!$C$15, $D$11, 100%, $F$11)</f>
        <v>11.132199999999999</v>
      </c>
      <c r="D388" s="8">
        <f>CHOOSE( CONTROL!$C$32, 11.1167, 11.1165) * CHOOSE( CONTROL!$C$15, $D$11, 100%, $F$11)</f>
        <v>11.1167</v>
      </c>
      <c r="E388" s="12">
        <f>CHOOSE( CONTROL!$C$32, 11.1218, 11.1216) * CHOOSE( CONTROL!$C$15, $D$11, 100%, $F$11)</f>
        <v>11.1218</v>
      </c>
      <c r="F388" s="4">
        <f>CHOOSE( CONTROL!$C$32, 11.7924, 11.7922) * CHOOSE(CONTROL!$C$15, $D$11, 100%, $F$11)</f>
        <v>11.792400000000001</v>
      </c>
      <c r="G388" s="8">
        <f>CHOOSE( CONTROL!$C$32, 11.0075, 11.0072) * CHOOSE( CONTROL!$C$15, $D$11, 100%, $F$11)</f>
        <v>11.0075</v>
      </c>
      <c r="H388" s="4">
        <f>CHOOSE( CONTROL!$C$32, 11.901, 11.9007) * CHOOSE(CONTROL!$C$15, $D$11, 100%, $F$11)</f>
        <v>11.901</v>
      </c>
      <c r="I388" s="8">
        <f>CHOOSE( CONTROL!$C$32, 10.9626, 10.9623) * CHOOSE(CONTROL!$C$15, $D$11, 100%, $F$11)</f>
        <v>10.9626</v>
      </c>
      <c r="J388" s="4">
        <f>CHOOSE( CONTROL!$C$32, 10.7902, 10.7899) * CHOOSE(CONTROL!$C$15, $D$11, 100%, $F$11)</f>
        <v>10.7902</v>
      </c>
      <c r="K388" s="4"/>
      <c r="L388" s="9">
        <v>29.306000000000001</v>
      </c>
      <c r="M388" s="9">
        <v>12.063700000000001</v>
      </c>
      <c r="N388" s="9">
        <v>4.9444999999999997</v>
      </c>
      <c r="O388" s="9">
        <v>0.37409999999999999</v>
      </c>
      <c r="P388" s="9">
        <v>1.2927</v>
      </c>
      <c r="Q388" s="9">
        <v>20.4619</v>
      </c>
      <c r="R388" s="9"/>
      <c r="S388" s="11"/>
    </row>
    <row r="389" spans="1:19" ht="15.75">
      <c r="A389" s="13">
        <v>52993</v>
      </c>
      <c r="B389" s="8">
        <f>CHOOSE( CONTROL!$C$32, 11.4551, 11.4548) * CHOOSE(CONTROL!$C$15, $D$11, 100%, $F$11)</f>
        <v>11.4551</v>
      </c>
      <c r="C389" s="8">
        <f>CHOOSE( CONTROL!$C$32, 11.4602, 11.4599) * CHOOSE(CONTROL!$C$15, $D$11, 100%, $F$11)</f>
        <v>11.4602</v>
      </c>
      <c r="D389" s="8">
        <f>CHOOSE( CONTROL!$C$32, 11.4506, 11.4503) * CHOOSE( CONTROL!$C$15, $D$11, 100%, $F$11)</f>
        <v>11.4506</v>
      </c>
      <c r="E389" s="12">
        <f>CHOOSE( CONTROL!$C$32, 11.4536, 11.4533) * CHOOSE( CONTROL!$C$15, $D$11, 100%, $F$11)</f>
        <v>11.4536</v>
      </c>
      <c r="F389" s="4">
        <f>CHOOSE( CONTROL!$C$32, 12.1204, 12.1201) * CHOOSE(CONTROL!$C$15, $D$11, 100%, $F$11)</f>
        <v>12.1204</v>
      </c>
      <c r="G389" s="8">
        <f>CHOOSE( CONTROL!$C$32, 11.3323, 11.3321) * CHOOSE( CONTROL!$C$15, $D$11, 100%, $F$11)</f>
        <v>11.3323</v>
      </c>
      <c r="H389" s="4">
        <f>CHOOSE( CONTROL!$C$32, 12.2251, 12.2248) * CHOOSE(CONTROL!$C$15, $D$11, 100%, $F$11)</f>
        <v>12.225099999999999</v>
      </c>
      <c r="I389" s="8">
        <f>CHOOSE( CONTROL!$C$32, 11.2615, 11.2612) * CHOOSE(CONTROL!$C$15, $D$11, 100%, $F$11)</f>
        <v>11.2615</v>
      </c>
      <c r="J389" s="4">
        <f>CHOOSE( CONTROL!$C$32, 11.1084, 11.1082) * CHOOSE(CONTROL!$C$15, $D$11, 100%, $F$11)</f>
        <v>11.1084</v>
      </c>
      <c r="K389" s="4"/>
      <c r="L389" s="9">
        <v>29.306000000000001</v>
      </c>
      <c r="M389" s="9">
        <v>12.063700000000001</v>
      </c>
      <c r="N389" s="9">
        <v>4.9444999999999997</v>
      </c>
      <c r="O389" s="9">
        <v>0.37409999999999999</v>
      </c>
      <c r="P389" s="9">
        <v>1.2927</v>
      </c>
      <c r="Q389" s="9">
        <v>20.396799999999999</v>
      </c>
      <c r="R389" s="9"/>
      <c r="S389" s="11"/>
    </row>
    <row r="390" spans="1:19" ht="15.75">
      <c r="A390" s="13">
        <v>53021</v>
      </c>
      <c r="B390" s="8">
        <f>CHOOSE( CONTROL!$C$32, 10.7151, 10.7149) * CHOOSE(CONTROL!$C$15, $D$11, 100%, $F$11)</f>
        <v>10.7151</v>
      </c>
      <c r="C390" s="8">
        <f>CHOOSE( CONTROL!$C$32, 10.7202, 10.72) * CHOOSE(CONTROL!$C$15, $D$11, 100%, $F$11)</f>
        <v>10.7202</v>
      </c>
      <c r="D390" s="8">
        <f>CHOOSE( CONTROL!$C$32, 10.7123, 10.7121) * CHOOSE( CONTROL!$C$15, $D$11, 100%, $F$11)</f>
        <v>10.712300000000001</v>
      </c>
      <c r="E390" s="12">
        <f>CHOOSE( CONTROL!$C$32, 10.7146, 10.7144) * CHOOSE( CONTROL!$C$15, $D$11, 100%, $F$11)</f>
        <v>10.714600000000001</v>
      </c>
      <c r="F390" s="4">
        <f>CHOOSE( CONTROL!$C$32, 11.3804, 11.3802) * CHOOSE(CONTROL!$C$15, $D$11, 100%, $F$11)</f>
        <v>11.3804</v>
      </c>
      <c r="G390" s="8">
        <f>CHOOSE( CONTROL!$C$32, 10.5996, 10.5993) * CHOOSE( CONTROL!$C$15, $D$11, 100%, $F$11)</f>
        <v>10.599600000000001</v>
      </c>
      <c r="H390" s="4">
        <f>CHOOSE( CONTROL!$C$32, 11.4938, 11.4935) * CHOOSE(CONTROL!$C$15, $D$11, 100%, $F$11)</f>
        <v>11.4938</v>
      </c>
      <c r="I390" s="8">
        <f>CHOOSE( CONTROL!$C$32, 10.5276, 10.5273) * CHOOSE(CONTROL!$C$15, $D$11, 100%, $F$11)</f>
        <v>10.5276</v>
      </c>
      <c r="J390" s="4">
        <f>CHOOSE( CONTROL!$C$32, 10.3903, 10.39) * CHOOSE(CONTROL!$C$15, $D$11, 100%, $F$11)</f>
        <v>10.3903</v>
      </c>
      <c r="K390" s="4"/>
      <c r="L390" s="9">
        <v>26.469899999999999</v>
      </c>
      <c r="M390" s="9">
        <v>10.8962</v>
      </c>
      <c r="N390" s="9">
        <v>4.4660000000000002</v>
      </c>
      <c r="O390" s="9">
        <v>0.33789999999999998</v>
      </c>
      <c r="P390" s="9">
        <v>1.1676</v>
      </c>
      <c r="Q390" s="9">
        <v>18.422899999999998</v>
      </c>
      <c r="R390" s="9"/>
      <c r="S390" s="11"/>
    </row>
    <row r="391" spans="1:19" ht="15.75">
      <c r="A391" s="13">
        <v>53052</v>
      </c>
      <c r="B391" s="8">
        <f>CHOOSE( CONTROL!$C$32, 10.4872, 10.487) * CHOOSE(CONTROL!$C$15, $D$11, 100%, $F$11)</f>
        <v>10.4872</v>
      </c>
      <c r="C391" s="8">
        <f>CHOOSE( CONTROL!$C$32, 10.4923, 10.492) * CHOOSE(CONTROL!$C$15, $D$11, 100%, $F$11)</f>
        <v>10.4923</v>
      </c>
      <c r="D391" s="8">
        <f>CHOOSE( CONTROL!$C$32, 10.4796, 10.4794) * CHOOSE( CONTROL!$C$15, $D$11, 100%, $F$11)</f>
        <v>10.4796</v>
      </c>
      <c r="E391" s="12">
        <f>CHOOSE( CONTROL!$C$32, 10.4837, 10.4835) * CHOOSE( CONTROL!$C$15, $D$11, 100%, $F$11)</f>
        <v>10.483700000000001</v>
      </c>
      <c r="F391" s="4">
        <f>CHOOSE( CONTROL!$C$32, 11.1525, 11.1523) * CHOOSE(CONTROL!$C$15, $D$11, 100%, $F$11)</f>
        <v>11.1525</v>
      </c>
      <c r="G391" s="8">
        <f>CHOOSE( CONTROL!$C$32, 10.3709, 10.3706) * CHOOSE( CONTROL!$C$15, $D$11, 100%, $F$11)</f>
        <v>10.370900000000001</v>
      </c>
      <c r="H391" s="4">
        <f>CHOOSE( CONTROL!$C$32, 11.2686, 11.2683) * CHOOSE(CONTROL!$C$15, $D$11, 100%, $F$11)</f>
        <v>11.268599999999999</v>
      </c>
      <c r="I391" s="8">
        <f>CHOOSE( CONTROL!$C$32, 10.3047, 10.3044) * CHOOSE(CONTROL!$C$15, $D$11, 100%, $F$11)</f>
        <v>10.3047</v>
      </c>
      <c r="J391" s="4">
        <f>CHOOSE( CONTROL!$C$32, 10.1691, 10.1689) * CHOOSE(CONTROL!$C$15, $D$11, 100%, $F$11)</f>
        <v>10.1691</v>
      </c>
      <c r="K391" s="4"/>
      <c r="L391" s="9">
        <v>29.306000000000001</v>
      </c>
      <c r="M391" s="9">
        <v>12.063700000000001</v>
      </c>
      <c r="N391" s="9">
        <v>4.9444999999999997</v>
      </c>
      <c r="O391" s="9">
        <v>0.37409999999999999</v>
      </c>
      <c r="P391" s="9">
        <v>1.2927</v>
      </c>
      <c r="Q391" s="9">
        <v>20.396799999999999</v>
      </c>
      <c r="R391" s="9"/>
      <c r="S391" s="11"/>
    </row>
    <row r="392" spans="1:19" ht="15.75">
      <c r="A392" s="13">
        <v>53082</v>
      </c>
      <c r="B392" s="8">
        <f>CHOOSE( CONTROL!$C$32, 10.6473, 10.647) * CHOOSE(CONTROL!$C$15, $D$11, 100%, $F$11)</f>
        <v>10.6473</v>
      </c>
      <c r="C392" s="8">
        <f>CHOOSE( CONTROL!$C$32, 10.6518, 10.6515) * CHOOSE(CONTROL!$C$15, $D$11, 100%, $F$11)</f>
        <v>10.6518</v>
      </c>
      <c r="D392" s="8">
        <f>CHOOSE( CONTROL!$C$32, 10.6566, 10.6564) * CHOOSE( CONTROL!$C$15, $D$11, 100%, $F$11)</f>
        <v>10.656599999999999</v>
      </c>
      <c r="E392" s="12">
        <f>CHOOSE( CONTROL!$C$32, 10.6545, 10.6543) * CHOOSE( CONTROL!$C$15, $D$11, 100%, $F$11)</f>
        <v>10.654500000000001</v>
      </c>
      <c r="F392" s="4">
        <f>CHOOSE( CONTROL!$C$32, 11.3515, 11.3512) * CHOOSE(CONTROL!$C$15, $D$11, 100%, $F$11)</f>
        <v>11.3515</v>
      </c>
      <c r="G392" s="8">
        <f>CHOOSE( CONTROL!$C$32, 10.534, 10.5338) * CHOOSE( CONTROL!$C$15, $D$11, 100%, $F$11)</f>
        <v>10.534000000000001</v>
      </c>
      <c r="H392" s="4">
        <f>CHOOSE( CONTROL!$C$32, 11.4652, 11.4649) * CHOOSE(CONTROL!$C$15, $D$11, 100%, $F$11)</f>
        <v>11.465199999999999</v>
      </c>
      <c r="I392" s="8">
        <f>CHOOSE( CONTROL!$C$32, 10.4335, 10.4333) * CHOOSE(CONTROL!$C$15, $D$11, 100%, $F$11)</f>
        <v>10.4335</v>
      </c>
      <c r="J392" s="4">
        <f>CHOOSE( CONTROL!$C$32, 10.3237, 10.3234) * CHOOSE(CONTROL!$C$15, $D$11, 100%, $F$11)</f>
        <v>10.323700000000001</v>
      </c>
      <c r="K392" s="4"/>
      <c r="L392" s="9">
        <v>30.092199999999998</v>
      </c>
      <c r="M392" s="9">
        <v>11.6745</v>
      </c>
      <c r="N392" s="9">
        <v>4.7850000000000001</v>
      </c>
      <c r="O392" s="9">
        <v>0.36199999999999999</v>
      </c>
      <c r="P392" s="9">
        <v>1.2509999999999999</v>
      </c>
      <c r="Q392" s="9">
        <v>19.738800000000001</v>
      </c>
      <c r="R392" s="9"/>
      <c r="S392" s="11"/>
    </row>
    <row r="393" spans="1:19" ht="15.75">
      <c r="A393" s="13">
        <v>53113</v>
      </c>
      <c r="B393" s="8">
        <f>CHOOSE( CONTROL!$C$32, 10.9322, 10.9318) * CHOOSE(CONTROL!$C$15, $D$11, 100%, $F$11)</f>
        <v>10.9322</v>
      </c>
      <c r="C393" s="8">
        <f>CHOOSE( CONTROL!$C$32, 10.9402, 10.9398) * CHOOSE(CONTROL!$C$15, $D$11, 100%, $F$11)</f>
        <v>10.940200000000001</v>
      </c>
      <c r="D393" s="8">
        <f>CHOOSE( CONTROL!$C$32, 10.939, 10.9386) * CHOOSE( CONTROL!$C$15, $D$11, 100%, $F$11)</f>
        <v>10.939</v>
      </c>
      <c r="E393" s="12">
        <f>CHOOSE( CONTROL!$C$32, 10.9382, 10.9378) * CHOOSE( CONTROL!$C$15, $D$11, 100%, $F$11)</f>
        <v>10.9382</v>
      </c>
      <c r="F393" s="4">
        <f>CHOOSE( CONTROL!$C$32, 11.6351, 11.6346) * CHOOSE(CONTROL!$C$15, $D$11, 100%, $F$11)</f>
        <v>11.6351</v>
      </c>
      <c r="G393" s="8">
        <f>CHOOSE( CONTROL!$C$32, 10.8141, 10.8137) * CHOOSE( CONTROL!$C$15, $D$11, 100%, $F$11)</f>
        <v>10.8141</v>
      </c>
      <c r="H393" s="4">
        <f>CHOOSE( CONTROL!$C$32, 11.7455, 11.745) * CHOOSE(CONTROL!$C$15, $D$11, 100%, $F$11)</f>
        <v>11.7455</v>
      </c>
      <c r="I393" s="8">
        <f>CHOOSE( CONTROL!$C$32, 10.7081, 10.7077) * CHOOSE(CONTROL!$C$15, $D$11, 100%, $F$11)</f>
        <v>10.7081</v>
      </c>
      <c r="J393" s="4">
        <f>CHOOSE( CONTROL!$C$32, 10.5989, 10.5985) * CHOOSE(CONTROL!$C$15, $D$11, 100%, $F$11)</f>
        <v>10.5989</v>
      </c>
      <c r="K393" s="4"/>
      <c r="L393" s="9">
        <v>30.7165</v>
      </c>
      <c r="M393" s="9">
        <v>12.063700000000001</v>
      </c>
      <c r="N393" s="9">
        <v>4.9444999999999997</v>
      </c>
      <c r="O393" s="9">
        <v>0.37409999999999999</v>
      </c>
      <c r="P393" s="9">
        <v>1.2927</v>
      </c>
      <c r="Q393" s="9">
        <v>20.396799999999999</v>
      </c>
      <c r="R393" s="9"/>
      <c r="S393" s="11"/>
    </row>
    <row r="394" spans="1:19" ht="15.75">
      <c r="A394" s="13">
        <v>53143</v>
      </c>
      <c r="B394" s="8">
        <f>CHOOSE( CONTROL!$C$32, 10.7567, 10.7562) * CHOOSE(CONTROL!$C$15, $D$11, 100%, $F$11)</f>
        <v>10.7567</v>
      </c>
      <c r="C394" s="8">
        <f>CHOOSE( CONTROL!$C$32, 10.7646, 10.7642) * CHOOSE(CONTROL!$C$15, $D$11, 100%, $F$11)</f>
        <v>10.7646</v>
      </c>
      <c r="D394" s="8">
        <f>CHOOSE( CONTROL!$C$32, 10.7636, 10.7632) * CHOOSE( CONTROL!$C$15, $D$11, 100%, $F$11)</f>
        <v>10.7636</v>
      </c>
      <c r="E394" s="12">
        <f>CHOOSE( CONTROL!$C$32, 10.7628, 10.7623) * CHOOSE( CONTROL!$C$15, $D$11, 100%, $F$11)</f>
        <v>10.7628</v>
      </c>
      <c r="F394" s="4">
        <f>CHOOSE( CONTROL!$C$32, 11.4595, 11.459) * CHOOSE(CONTROL!$C$15, $D$11, 100%, $F$11)</f>
        <v>11.4595</v>
      </c>
      <c r="G394" s="8">
        <f>CHOOSE( CONTROL!$C$32, 10.6408, 10.6403) * CHOOSE( CONTROL!$C$15, $D$11, 100%, $F$11)</f>
        <v>10.6408</v>
      </c>
      <c r="H394" s="4">
        <f>CHOOSE( CONTROL!$C$32, 11.5719, 11.5715) * CHOOSE(CONTROL!$C$15, $D$11, 100%, $F$11)</f>
        <v>11.571899999999999</v>
      </c>
      <c r="I394" s="8">
        <f>CHOOSE( CONTROL!$C$32, 10.5383, 10.5378) * CHOOSE(CONTROL!$C$15, $D$11, 100%, $F$11)</f>
        <v>10.5383</v>
      </c>
      <c r="J394" s="4">
        <f>CHOOSE( CONTROL!$C$32, 10.4285, 10.4281) * CHOOSE(CONTROL!$C$15, $D$11, 100%, $F$11)</f>
        <v>10.4285</v>
      </c>
      <c r="K394" s="4"/>
      <c r="L394" s="9">
        <v>29.7257</v>
      </c>
      <c r="M394" s="9">
        <v>11.6745</v>
      </c>
      <c r="N394" s="9">
        <v>4.7850000000000001</v>
      </c>
      <c r="O394" s="9">
        <v>0.36199999999999999</v>
      </c>
      <c r="P394" s="9">
        <v>1.2509999999999999</v>
      </c>
      <c r="Q394" s="9">
        <v>19.738800000000001</v>
      </c>
      <c r="R394" s="9"/>
      <c r="S394" s="11"/>
    </row>
    <row r="395" spans="1:19" ht="15.75">
      <c r="A395" s="13">
        <v>53174</v>
      </c>
      <c r="B395" s="8">
        <f>CHOOSE( CONTROL!$C$32, 11.219, 11.2186) * CHOOSE(CONTROL!$C$15, $D$11, 100%, $F$11)</f>
        <v>11.218999999999999</v>
      </c>
      <c r="C395" s="8">
        <f>CHOOSE( CONTROL!$C$32, 11.227, 11.2266) * CHOOSE(CONTROL!$C$15, $D$11, 100%, $F$11)</f>
        <v>11.227</v>
      </c>
      <c r="D395" s="8">
        <f>CHOOSE( CONTROL!$C$32, 11.2262, 11.2258) * CHOOSE( CONTROL!$C$15, $D$11, 100%, $F$11)</f>
        <v>11.2262</v>
      </c>
      <c r="E395" s="12">
        <f>CHOOSE( CONTROL!$C$32, 11.2253, 11.2249) * CHOOSE( CONTROL!$C$15, $D$11, 100%, $F$11)</f>
        <v>11.225300000000001</v>
      </c>
      <c r="F395" s="4">
        <f>CHOOSE( CONTROL!$C$32, 11.9219, 11.9214) * CHOOSE(CONTROL!$C$15, $D$11, 100%, $F$11)</f>
        <v>11.921900000000001</v>
      </c>
      <c r="G395" s="8">
        <f>CHOOSE( CONTROL!$C$32, 11.0979, 11.0974) * CHOOSE( CONTROL!$C$15, $D$11, 100%, $F$11)</f>
        <v>11.097899999999999</v>
      </c>
      <c r="H395" s="4">
        <f>CHOOSE( CONTROL!$C$32, 12.0289, 12.0284) * CHOOSE(CONTROL!$C$15, $D$11, 100%, $F$11)</f>
        <v>12.0289</v>
      </c>
      <c r="I395" s="8">
        <f>CHOOSE( CONTROL!$C$32, 10.988, 10.9876) * CHOOSE(CONTROL!$C$15, $D$11, 100%, $F$11)</f>
        <v>10.988</v>
      </c>
      <c r="J395" s="4">
        <f>CHOOSE( CONTROL!$C$32, 10.8773, 10.8768) * CHOOSE(CONTROL!$C$15, $D$11, 100%, $F$11)</f>
        <v>10.8773</v>
      </c>
      <c r="K395" s="4"/>
      <c r="L395" s="9">
        <v>30.7165</v>
      </c>
      <c r="M395" s="9">
        <v>12.063700000000001</v>
      </c>
      <c r="N395" s="9">
        <v>4.9444999999999997</v>
      </c>
      <c r="O395" s="9">
        <v>0.37409999999999999</v>
      </c>
      <c r="P395" s="9">
        <v>1.2927</v>
      </c>
      <c r="Q395" s="9">
        <v>20.396799999999999</v>
      </c>
      <c r="R395" s="9"/>
      <c r="S395" s="11"/>
    </row>
    <row r="396" spans="1:19" ht="15.75">
      <c r="A396" s="13">
        <v>53205</v>
      </c>
      <c r="B396" s="8">
        <f>CHOOSE( CONTROL!$C$32, 10.3539, 10.3534) * CHOOSE(CONTROL!$C$15, $D$11, 100%, $F$11)</f>
        <v>10.353899999999999</v>
      </c>
      <c r="C396" s="8">
        <f>CHOOSE( CONTROL!$C$32, 10.3619, 10.3614) * CHOOSE(CONTROL!$C$15, $D$11, 100%, $F$11)</f>
        <v>10.3619</v>
      </c>
      <c r="D396" s="8">
        <f>CHOOSE( CONTROL!$C$32, 10.3611, 10.3607) * CHOOSE( CONTROL!$C$15, $D$11, 100%, $F$11)</f>
        <v>10.3611</v>
      </c>
      <c r="E396" s="12">
        <f>CHOOSE( CONTROL!$C$32, 10.3602, 10.3597) * CHOOSE( CONTROL!$C$15, $D$11, 100%, $F$11)</f>
        <v>10.360200000000001</v>
      </c>
      <c r="F396" s="4">
        <f>CHOOSE( CONTROL!$C$32, 11.0567, 11.0563) * CHOOSE(CONTROL!$C$15, $D$11, 100%, $F$11)</f>
        <v>11.056699999999999</v>
      </c>
      <c r="G396" s="8">
        <f>CHOOSE( CONTROL!$C$32, 10.2429, 10.2425) * CHOOSE( CONTROL!$C$15, $D$11, 100%, $F$11)</f>
        <v>10.242900000000001</v>
      </c>
      <c r="H396" s="4">
        <f>CHOOSE( CONTROL!$C$32, 11.1739, 11.1734) * CHOOSE(CONTROL!$C$15, $D$11, 100%, $F$11)</f>
        <v>11.1739</v>
      </c>
      <c r="I396" s="8">
        <f>CHOOSE( CONTROL!$C$32, 10.1482, 10.1477) * CHOOSE(CONTROL!$C$15, $D$11, 100%, $F$11)</f>
        <v>10.148199999999999</v>
      </c>
      <c r="J396" s="4">
        <f>CHOOSE( CONTROL!$C$32, 10.0376, 10.0372) * CHOOSE(CONTROL!$C$15, $D$11, 100%, $F$11)</f>
        <v>10.037599999999999</v>
      </c>
      <c r="K396" s="4"/>
      <c r="L396" s="9">
        <v>30.7165</v>
      </c>
      <c r="M396" s="9">
        <v>12.063700000000001</v>
      </c>
      <c r="N396" s="9">
        <v>4.9444999999999997</v>
      </c>
      <c r="O396" s="9">
        <v>0.37409999999999999</v>
      </c>
      <c r="P396" s="9">
        <v>1.2927</v>
      </c>
      <c r="Q396" s="9">
        <v>20.396799999999999</v>
      </c>
      <c r="R396" s="9"/>
      <c r="S396" s="11"/>
    </row>
    <row r="397" spans="1:19" ht="15.75">
      <c r="A397" s="13">
        <v>53235</v>
      </c>
      <c r="B397" s="8">
        <f>CHOOSE( CONTROL!$C$32, 10.1373, 10.1368) * CHOOSE(CONTROL!$C$15, $D$11, 100%, $F$11)</f>
        <v>10.1373</v>
      </c>
      <c r="C397" s="8">
        <f>CHOOSE( CONTROL!$C$32, 10.1452, 10.1448) * CHOOSE(CONTROL!$C$15, $D$11, 100%, $F$11)</f>
        <v>10.145200000000001</v>
      </c>
      <c r="D397" s="8">
        <f>CHOOSE( CONTROL!$C$32, 10.1443, 10.1439) * CHOOSE( CONTROL!$C$15, $D$11, 100%, $F$11)</f>
        <v>10.144299999999999</v>
      </c>
      <c r="E397" s="12">
        <f>CHOOSE( CONTROL!$C$32, 10.1434, 10.143) * CHOOSE( CONTROL!$C$15, $D$11, 100%, $F$11)</f>
        <v>10.1434</v>
      </c>
      <c r="F397" s="4">
        <f>CHOOSE( CONTROL!$C$32, 10.8401, 10.8396) * CHOOSE(CONTROL!$C$15, $D$11, 100%, $F$11)</f>
        <v>10.8401</v>
      </c>
      <c r="G397" s="8">
        <f>CHOOSE( CONTROL!$C$32, 10.0287, 10.0283) * CHOOSE( CONTROL!$C$15, $D$11, 100%, $F$11)</f>
        <v>10.028700000000001</v>
      </c>
      <c r="H397" s="4">
        <f>CHOOSE( CONTROL!$C$32, 10.9598, 10.9593) * CHOOSE(CONTROL!$C$15, $D$11, 100%, $F$11)</f>
        <v>10.9598</v>
      </c>
      <c r="I397" s="8">
        <f>CHOOSE( CONTROL!$C$32, 9.9373, 9.9369) * CHOOSE(CONTROL!$C$15, $D$11, 100%, $F$11)</f>
        <v>9.9373000000000005</v>
      </c>
      <c r="J397" s="4">
        <f>CHOOSE( CONTROL!$C$32, 9.8274, 9.827) * CHOOSE(CONTROL!$C$15, $D$11, 100%, $F$11)</f>
        <v>9.8274000000000008</v>
      </c>
      <c r="K397" s="4"/>
      <c r="L397" s="9">
        <v>29.7257</v>
      </c>
      <c r="M397" s="9">
        <v>11.6745</v>
      </c>
      <c r="N397" s="9">
        <v>4.7850000000000001</v>
      </c>
      <c r="O397" s="9">
        <v>0.36199999999999999</v>
      </c>
      <c r="P397" s="9">
        <v>1.2509999999999999</v>
      </c>
      <c r="Q397" s="9">
        <v>19.738800000000001</v>
      </c>
      <c r="R397" s="9"/>
      <c r="S397" s="11"/>
    </row>
    <row r="398" spans="1:19" ht="15.75">
      <c r="A398" s="13">
        <v>53266</v>
      </c>
      <c r="B398" s="8">
        <f>CHOOSE( CONTROL!$C$32, 10.5852, 10.5849) * CHOOSE(CONTROL!$C$15, $D$11, 100%, $F$11)</f>
        <v>10.5852</v>
      </c>
      <c r="C398" s="8">
        <f>CHOOSE( CONTROL!$C$32, 10.5905, 10.5902) * CHOOSE(CONTROL!$C$15, $D$11, 100%, $F$11)</f>
        <v>10.5905</v>
      </c>
      <c r="D398" s="8">
        <f>CHOOSE( CONTROL!$C$32, 10.5952, 10.5949) * CHOOSE( CONTROL!$C$15, $D$11, 100%, $F$11)</f>
        <v>10.5952</v>
      </c>
      <c r="E398" s="12">
        <f>CHOOSE( CONTROL!$C$32, 10.5931, 10.5928) * CHOOSE( CONTROL!$C$15, $D$11, 100%, $F$11)</f>
        <v>10.5931</v>
      </c>
      <c r="F398" s="4">
        <f>CHOOSE( CONTROL!$C$32, 11.2897, 11.2894) * CHOOSE(CONTROL!$C$15, $D$11, 100%, $F$11)</f>
        <v>11.2897</v>
      </c>
      <c r="G398" s="8">
        <f>CHOOSE( CONTROL!$C$32, 10.4733, 10.473) * CHOOSE( CONTROL!$C$15, $D$11, 100%, $F$11)</f>
        <v>10.4733</v>
      </c>
      <c r="H398" s="4">
        <f>CHOOSE( CONTROL!$C$32, 11.4041, 11.4039) * CHOOSE(CONTROL!$C$15, $D$11, 100%, $F$11)</f>
        <v>11.4041</v>
      </c>
      <c r="I398" s="8">
        <f>CHOOSE( CONTROL!$C$32, 10.3747, 10.3744) * CHOOSE(CONTROL!$C$15, $D$11, 100%, $F$11)</f>
        <v>10.374700000000001</v>
      </c>
      <c r="J398" s="4">
        <f>CHOOSE( CONTROL!$C$32, 10.2638, 10.2635) * CHOOSE(CONTROL!$C$15, $D$11, 100%, $F$11)</f>
        <v>10.2638</v>
      </c>
      <c r="K398" s="4"/>
      <c r="L398" s="9">
        <v>31.095300000000002</v>
      </c>
      <c r="M398" s="9">
        <v>12.063700000000001</v>
      </c>
      <c r="N398" s="9">
        <v>4.9444999999999997</v>
      </c>
      <c r="O398" s="9">
        <v>0.37409999999999999</v>
      </c>
      <c r="P398" s="9">
        <v>1.2927</v>
      </c>
      <c r="Q398" s="9">
        <v>20.396799999999999</v>
      </c>
      <c r="R398" s="9"/>
      <c r="S398" s="11"/>
    </row>
    <row r="399" spans="1:19" ht="15.75">
      <c r="A399" s="13">
        <v>53296</v>
      </c>
      <c r="B399" s="8">
        <f>CHOOSE( CONTROL!$C$32, 11.415, 11.4148) * CHOOSE(CONTROL!$C$15, $D$11, 100%, $F$11)</f>
        <v>11.414999999999999</v>
      </c>
      <c r="C399" s="8">
        <f>CHOOSE( CONTROL!$C$32, 11.4201, 11.4198) * CHOOSE(CONTROL!$C$15, $D$11, 100%, $F$11)</f>
        <v>11.4201</v>
      </c>
      <c r="D399" s="8">
        <f>CHOOSE( CONTROL!$C$32, 11.4028, 11.4025) * CHOOSE( CONTROL!$C$15, $D$11, 100%, $F$11)</f>
        <v>11.402799999999999</v>
      </c>
      <c r="E399" s="12">
        <f>CHOOSE( CONTROL!$C$32, 11.4086, 11.4083) * CHOOSE( CONTROL!$C$15, $D$11, 100%, $F$11)</f>
        <v>11.4086</v>
      </c>
      <c r="F399" s="4">
        <f>CHOOSE( CONTROL!$C$32, 12.0803, 12.08) * CHOOSE(CONTROL!$C$15, $D$11, 100%, $F$11)</f>
        <v>12.080299999999999</v>
      </c>
      <c r="G399" s="8">
        <f>CHOOSE( CONTROL!$C$32, 11.2907, 11.2905) * CHOOSE( CONTROL!$C$15, $D$11, 100%, $F$11)</f>
        <v>11.290699999999999</v>
      </c>
      <c r="H399" s="4">
        <f>CHOOSE( CONTROL!$C$32, 12.1855, 12.1852) * CHOOSE(CONTROL!$C$15, $D$11, 100%, $F$11)</f>
        <v>12.185499999999999</v>
      </c>
      <c r="I399" s="8">
        <f>CHOOSE( CONTROL!$C$32, 11.2365, 11.2362) * CHOOSE(CONTROL!$C$15, $D$11, 100%, $F$11)</f>
        <v>11.236499999999999</v>
      </c>
      <c r="J399" s="4">
        <f>CHOOSE( CONTROL!$C$32, 11.0695, 11.0693) * CHOOSE(CONTROL!$C$15, $D$11, 100%, $F$11)</f>
        <v>11.0695</v>
      </c>
      <c r="K399" s="4"/>
      <c r="L399" s="9">
        <v>28.360600000000002</v>
      </c>
      <c r="M399" s="9">
        <v>11.6745</v>
      </c>
      <c r="N399" s="9">
        <v>4.7850000000000001</v>
      </c>
      <c r="O399" s="9">
        <v>0.36199999999999999</v>
      </c>
      <c r="P399" s="9">
        <v>1.2509999999999999</v>
      </c>
      <c r="Q399" s="9">
        <v>19.738800000000001</v>
      </c>
      <c r="R399" s="9"/>
      <c r="S399" s="11"/>
    </row>
    <row r="400" spans="1:19" ht="15.75">
      <c r="A400" s="13">
        <v>53327</v>
      </c>
      <c r="B400" s="8">
        <f>CHOOSE( CONTROL!$C$32, 11.3943, 11.394) * CHOOSE(CONTROL!$C$15, $D$11, 100%, $F$11)</f>
        <v>11.394299999999999</v>
      </c>
      <c r="C400" s="8">
        <f>CHOOSE( CONTROL!$C$32, 11.3994, 11.3991) * CHOOSE(CONTROL!$C$15, $D$11, 100%, $F$11)</f>
        <v>11.3994</v>
      </c>
      <c r="D400" s="8">
        <f>CHOOSE( CONTROL!$C$32, 11.3839, 11.3836) * CHOOSE( CONTROL!$C$15, $D$11, 100%, $F$11)</f>
        <v>11.383900000000001</v>
      </c>
      <c r="E400" s="12">
        <f>CHOOSE( CONTROL!$C$32, 11.389, 11.3887) * CHOOSE( CONTROL!$C$15, $D$11, 100%, $F$11)</f>
        <v>11.388999999999999</v>
      </c>
      <c r="F400" s="4">
        <f>CHOOSE( CONTROL!$C$32, 12.0596, 12.0593) * CHOOSE(CONTROL!$C$15, $D$11, 100%, $F$11)</f>
        <v>12.0596</v>
      </c>
      <c r="G400" s="8">
        <f>CHOOSE( CONTROL!$C$32, 11.2715, 11.2712) * CHOOSE( CONTROL!$C$15, $D$11, 100%, $F$11)</f>
        <v>11.2715</v>
      </c>
      <c r="H400" s="4">
        <f>CHOOSE( CONTROL!$C$32, 12.165, 12.1647) * CHOOSE(CONTROL!$C$15, $D$11, 100%, $F$11)</f>
        <v>12.164999999999999</v>
      </c>
      <c r="I400" s="8">
        <f>CHOOSE( CONTROL!$C$32, 11.222, 11.2217) * CHOOSE(CONTROL!$C$15, $D$11, 100%, $F$11)</f>
        <v>11.222</v>
      </c>
      <c r="J400" s="4">
        <f>CHOOSE( CONTROL!$C$32, 11.0494, 11.0491) * CHOOSE(CONTROL!$C$15, $D$11, 100%, $F$11)</f>
        <v>11.0494</v>
      </c>
      <c r="K400" s="4"/>
      <c r="L400" s="9">
        <v>29.306000000000001</v>
      </c>
      <c r="M400" s="9">
        <v>12.063700000000001</v>
      </c>
      <c r="N400" s="9">
        <v>4.9444999999999997</v>
      </c>
      <c r="O400" s="9">
        <v>0.37409999999999999</v>
      </c>
      <c r="P400" s="9">
        <v>1.2927</v>
      </c>
      <c r="Q400" s="9">
        <v>20.396799999999999</v>
      </c>
      <c r="R400" s="9"/>
      <c r="S400" s="11"/>
    </row>
    <row r="401" spans="1:19" ht="15.75">
      <c r="A401" s="13">
        <v>53358</v>
      </c>
      <c r="B401" s="8">
        <f>CHOOSE( CONTROL!$C$32, 11.7301, 11.7298) * CHOOSE(CONTROL!$C$15, $D$11, 100%, $F$11)</f>
        <v>11.7301</v>
      </c>
      <c r="C401" s="8">
        <f>CHOOSE( CONTROL!$C$32, 11.7352, 11.7349) * CHOOSE(CONTROL!$C$15, $D$11, 100%, $F$11)</f>
        <v>11.735200000000001</v>
      </c>
      <c r="D401" s="8">
        <f>CHOOSE( CONTROL!$C$32, 11.7256, 11.7254) * CHOOSE( CONTROL!$C$15, $D$11, 100%, $F$11)</f>
        <v>11.7256</v>
      </c>
      <c r="E401" s="12">
        <f>CHOOSE( CONTROL!$C$32, 11.7286, 11.7283) * CHOOSE( CONTROL!$C$15, $D$11, 100%, $F$11)</f>
        <v>11.7286</v>
      </c>
      <c r="F401" s="4">
        <f>CHOOSE( CONTROL!$C$32, 12.3954, 12.3951) * CHOOSE(CONTROL!$C$15, $D$11, 100%, $F$11)</f>
        <v>12.3954</v>
      </c>
      <c r="G401" s="8">
        <f>CHOOSE( CONTROL!$C$32, 11.6041, 11.6038) * CHOOSE( CONTROL!$C$15, $D$11, 100%, $F$11)</f>
        <v>11.604100000000001</v>
      </c>
      <c r="H401" s="4">
        <f>CHOOSE( CONTROL!$C$32, 12.4969, 12.4966) * CHOOSE(CONTROL!$C$15, $D$11, 100%, $F$11)</f>
        <v>12.4969</v>
      </c>
      <c r="I401" s="8">
        <f>CHOOSE( CONTROL!$C$32, 11.5285, 11.5282) * CHOOSE(CONTROL!$C$15, $D$11, 100%, $F$11)</f>
        <v>11.528499999999999</v>
      </c>
      <c r="J401" s="4">
        <f>CHOOSE( CONTROL!$C$32, 11.3753, 11.3751) * CHOOSE(CONTROL!$C$15, $D$11, 100%, $F$11)</f>
        <v>11.375299999999999</v>
      </c>
      <c r="K401" s="4"/>
      <c r="L401" s="9">
        <v>29.306000000000001</v>
      </c>
      <c r="M401" s="9">
        <v>12.063700000000001</v>
      </c>
      <c r="N401" s="9">
        <v>4.9444999999999997</v>
      </c>
      <c r="O401" s="9">
        <v>0.37409999999999999</v>
      </c>
      <c r="P401" s="9">
        <v>1.2927</v>
      </c>
      <c r="Q401" s="9">
        <v>20.331700000000001</v>
      </c>
      <c r="R401" s="9"/>
      <c r="S401" s="11"/>
    </row>
    <row r="402" spans="1:19" ht="15.75">
      <c r="A402" s="13">
        <v>53386</v>
      </c>
      <c r="B402" s="8">
        <f>CHOOSE( CONTROL!$C$32, 10.9724, 10.9721) * CHOOSE(CONTROL!$C$15, $D$11, 100%, $F$11)</f>
        <v>10.9724</v>
      </c>
      <c r="C402" s="8">
        <f>CHOOSE( CONTROL!$C$32, 10.9775, 10.9772) * CHOOSE(CONTROL!$C$15, $D$11, 100%, $F$11)</f>
        <v>10.977499999999999</v>
      </c>
      <c r="D402" s="8">
        <f>CHOOSE( CONTROL!$C$32, 10.9696, 10.9693) * CHOOSE( CONTROL!$C$15, $D$11, 100%, $F$11)</f>
        <v>10.9696</v>
      </c>
      <c r="E402" s="12">
        <f>CHOOSE( CONTROL!$C$32, 10.9719, 10.9716) * CHOOSE( CONTROL!$C$15, $D$11, 100%, $F$11)</f>
        <v>10.9719</v>
      </c>
      <c r="F402" s="4">
        <f>CHOOSE( CONTROL!$C$32, 11.6377, 11.6374) * CHOOSE(CONTROL!$C$15, $D$11, 100%, $F$11)</f>
        <v>11.637700000000001</v>
      </c>
      <c r="G402" s="8">
        <f>CHOOSE( CONTROL!$C$32, 10.8538, 10.8535) * CHOOSE( CONTROL!$C$15, $D$11, 100%, $F$11)</f>
        <v>10.8538</v>
      </c>
      <c r="H402" s="4">
        <f>CHOOSE( CONTROL!$C$32, 11.748, 11.7478) * CHOOSE(CONTROL!$C$15, $D$11, 100%, $F$11)</f>
        <v>11.747999999999999</v>
      </c>
      <c r="I402" s="8">
        <f>CHOOSE( CONTROL!$C$32, 10.7774, 10.7771) * CHOOSE(CONTROL!$C$15, $D$11, 100%, $F$11)</f>
        <v>10.7774</v>
      </c>
      <c r="J402" s="4">
        <f>CHOOSE( CONTROL!$C$32, 10.6399, 10.6397) * CHOOSE(CONTROL!$C$15, $D$11, 100%, $F$11)</f>
        <v>10.639900000000001</v>
      </c>
      <c r="K402" s="4"/>
      <c r="L402" s="9">
        <v>26.469899999999999</v>
      </c>
      <c r="M402" s="9">
        <v>10.8962</v>
      </c>
      <c r="N402" s="9">
        <v>4.4660000000000002</v>
      </c>
      <c r="O402" s="9">
        <v>0.33789999999999998</v>
      </c>
      <c r="P402" s="9">
        <v>1.1676</v>
      </c>
      <c r="Q402" s="9">
        <v>18.364100000000001</v>
      </c>
      <c r="R402" s="9"/>
      <c r="S402" s="11"/>
    </row>
    <row r="403" spans="1:19" ht="15.75">
      <c r="A403" s="13">
        <v>53417</v>
      </c>
      <c r="B403" s="8">
        <f>CHOOSE( CONTROL!$C$32, 10.739, 10.7387) * CHOOSE(CONTROL!$C$15, $D$11, 100%, $F$11)</f>
        <v>10.739000000000001</v>
      </c>
      <c r="C403" s="8">
        <f>CHOOSE( CONTROL!$C$32, 10.7441, 10.7438) * CHOOSE(CONTROL!$C$15, $D$11, 100%, $F$11)</f>
        <v>10.7441</v>
      </c>
      <c r="D403" s="8">
        <f>CHOOSE( CONTROL!$C$32, 10.7314, 10.7311) * CHOOSE( CONTROL!$C$15, $D$11, 100%, $F$11)</f>
        <v>10.731400000000001</v>
      </c>
      <c r="E403" s="12">
        <f>CHOOSE( CONTROL!$C$32, 10.7355, 10.7352) * CHOOSE( CONTROL!$C$15, $D$11, 100%, $F$11)</f>
        <v>10.7355</v>
      </c>
      <c r="F403" s="4">
        <f>CHOOSE( CONTROL!$C$32, 11.4043, 11.404) * CHOOSE(CONTROL!$C$15, $D$11, 100%, $F$11)</f>
        <v>11.404299999999999</v>
      </c>
      <c r="G403" s="8">
        <f>CHOOSE( CONTROL!$C$32, 10.6197, 10.6194) * CHOOSE( CONTROL!$C$15, $D$11, 100%, $F$11)</f>
        <v>10.6197</v>
      </c>
      <c r="H403" s="4">
        <f>CHOOSE( CONTROL!$C$32, 11.5174, 11.5171) * CHOOSE(CONTROL!$C$15, $D$11, 100%, $F$11)</f>
        <v>11.5174</v>
      </c>
      <c r="I403" s="8">
        <f>CHOOSE( CONTROL!$C$32, 10.5491, 10.5489) * CHOOSE(CONTROL!$C$15, $D$11, 100%, $F$11)</f>
        <v>10.549099999999999</v>
      </c>
      <c r="J403" s="4">
        <f>CHOOSE( CONTROL!$C$32, 10.4135, 10.4132) * CHOOSE(CONTROL!$C$15, $D$11, 100%, $F$11)</f>
        <v>10.413500000000001</v>
      </c>
      <c r="K403" s="4"/>
      <c r="L403" s="9">
        <v>29.306000000000001</v>
      </c>
      <c r="M403" s="9">
        <v>12.063700000000001</v>
      </c>
      <c r="N403" s="9">
        <v>4.9444999999999997</v>
      </c>
      <c r="O403" s="9">
        <v>0.37409999999999999</v>
      </c>
      <c r="P403" s="9">
        <v>1.2927</v>
      </c>
      <c r="Q403" s="9">
        <v>20.331700000000001</v>
      </c>
      <c r="R403" s="9"/>
      <c r="S403" s="11"/>
    </row>
    <row r="404" spans="1:19" ht="15.75">
      <c r="A404" s="13">
        <v>53447</v>
      </c>
      <c r="B404" s="8">
        <f>CHOOSE( CONTROL!$C$32, 10.9029, 10.9026) * CHOOSE(CONTROL!$C$15, $D$11, 100%, $F$11)</f>
        <v>10.902900000000001</v>
      </c>
      <c r="C404" s="8">
        <f>CHOOSE( CONTROL!$C$32, 10.9074, 10.9071) * CHOOSE(CONTROL!$C$15, $D$11, 100%, $F$11)</f>
        <v>10.907400000000001</v>
      </c>
      <c r="D404" s="8">
        <f>CHOOSE( CONTROL!$C$32, 10.9122, 10.912) * CHOOSE( CONTROL!$C$15, $D$11, 100%, $F$11)</f>
        <v>10.9122</v>
      </c>
      <c r="E404" s="12">
        <f>CHOOSE( CONTROL!$C$32, 10.9101, 10.9099) * CHOOSE( CONTROL!$C$15, $D$11, 100%, $F$11)</f>
        <v>10.9101</v>
      </c>
      <c r="F404" s="4">
        <f>CHOOSE( CONTROL!$C$32, 11.607, 11.6068) * CHOOSE(CONTROL!$C$15, $D$11, 100%, $F$11)</f>
        <v>11.606999999999999</v>
      </c>
      <c r="G404" s="8">
        <f>CHOOSE( CONTROL!$C$32, 10.7866, 10.7863) * CHOOSE( CONTROL!$C$15, $D$11, 100%, $F$11)</f>
        <v>10.7866</v>
      </c>
      <c r="H404" s="4">
        <f>CHOOSE( CONTROL!$C$32, 11.7178, 11.7175) * CHOOSE(CONTROL!$C$15, $D$11, 100%, $F$11)</f>
        <v>11.7178</v>
      </c>
      <c r="I404" s="8">
        <f>CHOOSE( CONTROL!$C$32, 10.6817, 10.6814) * CHOOSE(CONTROL!$C$15, $D$11, 100%, $F$11)</f>
        <v>10.681699999999999</v>
      </c>
      <c r="J404" s="4">
        <f>CHOOSE( CONTROL!$C$32, 10.5717, 10.5715) * CHOOSE(CONTROL!$C$15, $D$11, 100%, $F$11)</f>
        <v>10.5717</v>
      </c>
      <c r="K404" s="4"/>
      <c r="L404" s="9">
        <v>30.092199999999998</v>
      </c>
      <c r="M404" s="9">
        <v>11.6745</v>
      </c>
      <c r="N404" s="9">
        <v>4.7850000000000001</v>
      </c>
      <c r="O404" s="9">
        <v>0.36199999999999999</v>
      </c>
      <c r="P404" s="9">
        <v>1.2509999999999999</v>
      </c>
      <c r="Q404" s="9">
        <v>19.675799999999999</v>
      </c>
      <c r="R404" s="9"/>
      <c r="S404" s="11"/>
    </row>
    <row r="405" spans="1:19" ht="15.75">
      <c r="A405" s="13">
        <v>53478</v>
      </c>
      <c r="B405" s="8">
        <f>CHOOSE( CONTROL!$C$32, 11.1946, 11.1942) * CHOOSE(CONTROL!$C$15, $D$11, 100%, $F$11)</f>
        <v>11.194599999999999</v>
      </c>
      <c r="C405" s="8">
        <f>CHOOSE( CONTROL!$C$32, 11.2026, 11.2022) * CHOOSE(CONTROL!$C$15, $D$11, 100%, $F$11)</f>
        <v>11.2026</v>
      </c>
      <c r="D405" s="8">
        <f>CHOOSE( CONTROL!$C$32, 11.2014, 11.2009) * CHOOSE( CONTROL!$C$15, $D$11, 100%, $F$11)</f>
        <v>11.2014</v>
      </c>
      <c r="E405" s="12">
        <f>CHOOSE( CONTROL!$C$32, 11.2006, 11.2002) * CHOOSE( CONTROL!$C$15, $D$11, 100%, $F$11)</f>
        <v>11.2006</v>
      </c>
      <c r="F405" s="4">
        <f>CHOOSE( CONTROL!$C$32, 11.8975, 11.897) * CHOOSE(CONTROL!$C$15, $D$11, 100%, $F$11)</f>
        <v>11.897500000000001</v>
      </c>
      <c r="G405" s="8">
        <f>CHOOSE( CONTROL!$C$32, 11.0735, 11.073) * CHOOSE( CONTROL!$C$15, $D$11, 100%, $F$11)</f>
        <v>11.073499999999999</v>
      </c>
      <c r="H405" s="4">
        <f>CHOOSE( CONTROL!$C$32, 12.0048, 12.0043) * CHOOSE(CONTROL!$C$15, $D$11, 100%, $F$11)</f>
        <v>12.004799999999999</v>
      </c>
      <c r="I405" s="8">
        <f>CHOOSE( CONTROL!$C$32, 10.9629, 10.9624) * CHOOSE(CONTROL!$C$15, $D$11, 100%, $F$11)</f>
        <v>10.962899999999999</v>
      </c>
      <c r="J405" s="4">
        <f>CHOOSE( CONTROL!$C$32, 10.8536, 10.8531) * CHOOSE(CONTROL!$C$15, $D$11, 100%, $F$11)</f>
        <v>10.8536</v>
      </c>
      <c r="K405" s="4"/>
      <c r="L405" s="9">
        <v>30.7165</v>
      </c>
      <c r="M405" s="9">
        <v>12.063700000000001</v>
      </c>
      <c r="N405" s="9">
        <v>4.9444999999999997</v>
      </c>
      <c r="O405" s="9">
        <v>0.37409999999999999</v>
      </c>
      <c r="P405" s="9">
        <v>1.2927</v>
      </c>
      <c r="Q405" s="9">
        <v>20.331700000000001</v>
      </c>
      <c r="R405" s="9"/>
      <c r="S405" s="11"/>
    </row>
    <row r="406" spans="1:19" ht="15.75">
      <c r="A406" s="13">
        <v>53508</v>
      </c>
      <c r="B406" s="8">
        <f>CHOOSE( CONTROL!$C$32, 11.0148, 11.0144) * CHOOSE(CONTROL!$C$15, $D$11, 100%, $F$11)</f>
        <v>11.014799999999999</v>
      </c>
      <c r="C406" s="8">
        <f>CHOOSE( CONTROL!$C$32, 11.0228, 11.0224) * CHOOSE(CONTROL!$C$15, $D$11, 100%, $F$11)</f>
        <v>11.0228</v>
      </c>
      <c r="D406" s="8">
        <f>CHOOSE( CONTROL!$C$32, 11.0218, 11.0213) * CHOOSE( CONTROL!$C$15, $D$11, 100%, $F$11)</f>
        <v>11.021800000000001</v>
      </c>
      <c r="E406" s="12">
        <f>CHOOSE( CONTROL!$C$32, 11.0209, 11.0205) * CHOOSE( CONTROL!$C$15, $D$11, 100%, $F$11)</f>
        <v>11.020899999999999</v>
      </c>
      <c r="F406" s="4">
        <f>CHOOSE( CONTROL!$C$32, 11.7177, 11.7172) * CHOOSE(CONTROL!$C$15, $D$11, 100%, $F$11)</f>
        <v>11.717700000000001</v>
      </c>
      <c r="G406" s="8">
        <f>CHOOSE( CONTROL!$C$32, 10.8959, 10.8955) * CHOOSE( CONTROL!$C$15, $D$11, 100%, $F$11)</f>
        <v>10.895899999999999</v>
      </c>
      <c r="H406" s="4">
        <f>CHOOSE( CONTROL!$C$32, 11.8271, 11.8266) * CHOOSE(CONTROL!$C$15, $D$11, 100%, $F$11)</f>
        <v>11.8271</v>
      </c>
      <c r="I406" s="8">
        <f>CHOOSE( CONTROL!$C$32, 10.789, 10.7885) * CHOOSE(CONTROL!$C$15, $D$11, 100%, $F$11)</f>
        <v>10.789</v>
      </c>
      <c r="J406" s="4">
        <f>CHOOSE( CONTROL!$C$32, 10.6791, 10.6786) * CHOOSE(CONTROL!$C$15, $D$11, 100%, $F$11)</f>
        <v>10.6791</v>
      </c>
      <c r="K406" s="4"/>
      <c r="L406" s="9">
        <v>29.7257</v>
      </c>
      <c r="M406" s="9">
        <v>11.6745</v>
      </c>
      <c r="N406" s="9">
        <v>4.7850000000000001</v>
      </c>
      <c r="O406" s="9">
        <v>0.36199999999999999</v>
      </c>
      <c r="P406" s="9">
        <v>1.2509999999999999</v>
      </c>
      <c r="Q406" s="9">
        <v>19.675799999999999</v>
      </c>
      <c r="R406" s="9"/>
      <c r="S406" s="11"/>
    </row>
    <row r="407" spans="1:19" ht="15.75">
      <c r="A407" s="13">
        <v>53539</v>
      </c>
      <c r="B407" s="8">
        <f>CHOOSE( CONTROL!$C$32, 11.4883, 11.4879) * CHOOSE(CONTROL!$C$15, $D$11, 100%, $F$11)</f>
        <v>11.488300000000001</v>
      </c>
      <c r="C407" s="8">
        <f>CHOOSE( CONTROL!$C$32, 11.4963, 11.4958) * CHOOSE(CONTROL!$C$15, $D$11, 100%, $F$11)</f>
        <v>11.4963</v>
      </c>
      <c r="D407" s="8">
        <f>CHOOSE( CONTROL!$C$32, 11.4955, 11.495) * CHOOSE( CONTROL!$C$15, $D$11, 100%, $F$11)</f>
        <v>11.4955</v>
      </c>
      <c r="E407" s="12">
        <f>CHOOSE( CONTROL!$C$32, 11.4946, 11.4941) * CHOOSE( CONTROL!$C$15, $D$11, 100%, $F$11)</f>
        <v>11.4946</v>
      </c>
      <c r="F407" s="4">
        <f>CHOOSE( CONTROL!$C$32, 12.1911, 12.1907) * CHOOSE(CONTROL!$C$15, $D$11, 100%, $F$11)</f>
        <v>12.1911</v>
      </c>
      <c r="G407" s="8">
        <f>CHOOSE( CONTROL!$C$32, 11.364, 11.3636) * CHOOSE( CONTROL!$C$15, $D$11, 100%, $F$11)</f>
        <v>11.364000000000001</v>
      </c>
      <c r="H407" s="4">
        <f>CHOOSE( CONTROL!$C$32, 12.295, 12.2946) * CHOOSE(CONTROL!$C$15, $D$11, 100%, $F$11)</f>
        <v>12.295</v>
      </c>
      <c r="I407" s="8">
        <f>CHOOSE( CONTROL!$C$32, 11.2495, 11.249) * CHOOSE(CONTROL!$C$15, $D$11, 100%, $F$11)</f>
        <v>11.249499999999999</v>
      </c>
      <c r="J407" s="4">
        <f>CHOOSE( CONTROL!$C$32, 11.1386, 11.1382) * CHOOSE(CONTROL!$C$15, $D$11, 100%, $F$11)</f>
        <v>11.1386</v>
      </c>
      <c r="K407" s="4"/>
      <c r="L407" s="9">
        <v>30.7165</v>
      </c>
      <c r="M407" s="9">
        <v>12.063700000000001</v>
      </c>
      <c r="N407" s="9">
        <v>4.9444999999999997</v>
      </c>
      <c r="O407" s="9">
        <v>0.37409999999999999</v>
      </c>
      <c r="P407" s="9">
        <v>1.2927</v>
      </c>
      <c r="Q407" s="9">
        <v>20.331700000000001</v>
      </c>
      <c r="R407" s="9"/>
      <c r="S407" s="11"/>
    </row>
    <row r="408" spans="1:19" ht="15.75">
      <c r="A408" s="13">
        <v>53570</v>
      </c>
      <c r="B408" s="8">
        <f>CHOOSE( CONTROL!$C$32, 10.6024, 10.6019) * CHOOSE(CONTROL!$C$15, $D$11, 100%, $F$11)</f>
        <v>10.602399999999999</v>
      </c>
      <c r="C408" s="8">
        <f>CHOOSE( CONTROL!$C$32, 10.6104, 10.6099) * CHOOSE(CONTROL!$C$15, $D$11, 100%, $F$11)</f>
        <v>10.6104</v>
      </c>
      <c r="D408" s="8">
        <f>CHOOSE( CONTROL!$C$32, 10.6096, 10.6092) * CHOOSE( CONTROL!$C$15, $D$11, 100%, $F$11)</f>
        <v>10.6096</v>
      </c>
      <c r="E408" s="12">
        <f>CHOOSE( CONTROL!$C$32, 10.6087, 10.6082) * CHOOSE( CONTROL!$C$15, $D$11, 100%, $F$11)</f>
        <v>10.608700000000001</v>
      </c>
      <c r="F408" s="4">
        <f>CHOOSE( CONTROL!$C$32, 11.3052, 11.3048) * CHOOSE(CONTROL!$C$15, $D$11, 100%, $F$11)</f>
        <v>11.305199999999999</v>
      </c>
      <c r="G408" s="8">
        <f>CHOOSE( CONTROL!$C$32, 10.4885, 10.4881) * CHOOSE( CONTROL!$C$15, $D$11, 100%, $F$11)</f>
        <v>10.4885</v>
      </c>
      <c r="H408" s="4">
        <f>CHOOSE( CONTROL!$C$32, 11.4195, 11.419) * CHOOSE(CONTROL!$C$15, $D$11, 100%, $F$11)</f>
        <v>11.419499999999999</v>
      </c>
      <c r="I408" s="8">
        <f>CHOOSE( CONTROL!$C$32, 10.3895, 10.389) * CHOOSE(CONTROL!$C$15, $D$11, 100%, $F$11)</f>
        <v>10.3895</v>
      </c>
      <c r="J408" s="4">
        <f>CHOOSE( CONTROL!$C$32, 10.2788, 10.2784) * CHOOSE(CONTROL!$C$15, $D$11, 100%, $F$11)</f>
        <v>10.2788</v>
      </c>
      <c r="K408" s="4"/>
      <c r="L408" s="9">
        <v>30.7165</v>
      </c>
      <c r="M408" s="9">
        <v>12.063700000000001</v>
      </c>
      <c r="N408" s="9">
        <v>4.9444999999999997</v>
      </c>
      <c r="O408" s="9">
        <v>0.37409999999999999</v>
      </c>
      <c r="P408" s="9">
        <v>1.2927</v>
      </c>
      <c r="Q408" s="9">
        <v>20.331700000000001</v>
      </c>
      <c r="R408" s="9"/>
      <c r="S408" s="11"/>
    </row>
    <row r="409" spans="1:19" ht="15.75">
      <c r="A409" s="13">
        <v>53600</v>
      </c>
      <c r="B409" s="8">
        <f>CHOOSE( CONTROL!$C$32, 10.3806, 10.3801) * CHOOSE(CONTROL!$C$15, $D$11, 100%, $F$11)</f>
        <v>10.380599999999999</v>
      </c>
      <c r="C409" s="8">
        <f>CHOOSE( CONTROL!$C$32, 10.3885, 10.3881) * CHOOSE(CONTROL!$C$15, $D$11, 100%, $F$11)</f>
        <v>10.388500000000001</v>
      </c>
      <c r="D409" s="8">
        <f>CHOOSE( CONTROL!$C$32, 10.3876, 10.3872) * CHOOSE( CONTROL!$C$15, $D$11, 100%, $F$11)</f>
        <v>10.387600000000001</v>
      </c>
      <c r="E409" s="12">
        <f>CHOOSE( CONTROL!$C$32, 10.3867, 10.3863) * CHOOSE( CONTROL!$C$15, $D$11, 100%, $F$11)</f>
        <v>10.386699999999999</v>
      </c>
      <c r="F409" s="4">
        <f>CHOOSE( CONTROL!$C$32, 11.0834, 11.0829) * CHOOSE(CONTROL!$C$15, $D$11, 100%, $F$11)</f>
        <v>11.083399999999999</v>
      </c>
      <c r="G409" s="8">
        <f>CHOOSE( CONTROL!$C$32, 10.2692, 10.2687) * CHOOSE( CONTROL!$C$15, $D$11, 100%, $F$11)</f>
        <v>10.2692</v>
      </c>
      <c r="H409" s="4">
        <f>CHOOSE( CONTROL!$C$32, 11.2002, 11.1998) * CHOOSE(CONTROL!$C$15, $D$11, 100%, $F$11)</f>
        <v>11.200200000000001</v>
      </c>
      <c r="I409" s="8">
        <f>CHOOSE( CONTROL!$C$32, 10.1735, 10.1731) * CHOOSE(CONTROL!$C$15, $D$11, 100%, $F$11)</f>
        <v>10.173500000000001</v>
      </c>
      <c r="J409" s="4">
        <f>CHOOSE( CONTROL!$C$32, 10.0635, 10.0631) * CHOOSE(CONTROL!$C$15, $D$11, 100%, $F$11)</f>
        <v>10.063499999999999</v>
      </c>
      <c r="K409" s="4"/>
      <c r="L409" s="9">
        <v>29.7257</v>
      </c>
      <c r="M409" s="9">
        <v>11.6745</v>
      </c>
      <c r="N409" s="9">
        <v>4.7850000000000001</v>
      </c>
      <c r="O409" s="9">
        <v>0.36199999999999999</v>
      </c>
      <c r="P409" s="9">
        <v>1.2509999999999999</v>
      </c>
      <c r="Q409" s="9">
        <v>19.675799999999999</v>
      </c>
      <c r="R409" s="9"/>
      <c r="S409" s="11"/>
    </row>
    <row r="410" spans="1:19" ht="15.75">
      <c r="A410" s="13">
        <v>53631</v>
      </c>
      <c r="B410" s="8">
        <f>CHOOSE( CONTROL!$C$32, 10.8393, 10.839) * CHOOSE(CONTROL!$C$15, $D$11, 100%, $F$11)</f>
        <v>10.8393</v>
      </c>
      <c r="C410" s="8">
        <f>CHOOSE( CONTROL!$C$32, 10.8446, 10.8443) * CHOOSE(CONTROL!$C$15, $D$11, 100%, $F$11)</f>
        <v>10.8446</v>
      </c>
      <c r="D410" s="8">
        <f>CHOOSE( CONTROL!$C$32, 10.8493, 10.849) * CHOOSE( CONTROL!$C$15, $D$11, 100%, $F$11)</f>
        <v>10.849299999999999</v>
      </c>
      <c r="E410" s="12">
        <f>CHOOSE( CONTROL!$C$32, 10.8472, 10.8469) * CHOOSE( CONTROL!$C$15, $D$11, 100%, $F$11)</f>
        <v>10.847200000000001</v>
      </c>
      <c r="F410" s="4">
        <f>CHOOSE( CONTROL!$C$32, 11.5438, 11.5435) * CHOOSE(CONTROL!$C$15, $D$11, 100%, $F$11)</f>
        <v>11.543799999999999</v>
      </c>
      <c r="G410" s="8">
        <f>CHOOSE( CONTROL!$C$32, 10.7244, 10.7241) * CHOOSE( CONTROL!$C$15, $D$11, 100%, $F$11)</f>
        <v>10.724399999999999</v>
      </c>
      <c r="H410" s="4">
        <f>CHOOSE( CONTROL!$C$32, 11.6553, 11.655) * CHOOSE(CONTROL!$C$15, $D$11, 100%, $F$11)</f>
        <v>11.6553</v>
      </c>
      <c r="I410" s="8">
        <f>CHOOSE( CONTROL!$C$32, 10.6214, 10.6212) * CHOOSE(CONTROL!$C$15, $D$11, 100%, $F$11)</f>
        <v>10.6214</v>
      </c>
      <c r="J410" s="4">
        <f>CHOOSE( CONTROL!$C$32, 10.5104, 10.5101) * CHOOSE(CONTROL!$C$15, $D$11, 100%, $F$11)</f>
        <v>10.510400000000001</v>
      </c>
      <c r="K410" s="4"/>
      <c r="L410" s="9">
        <v>31.095300000000002</v>
      </c>
      <c r="M410" s="9">
        <v>12.063700000000001</v>
      </c>
      <c r="N410" s="9">
        <v>4.9444999999999997</v>
      </c>
      <c r="O410" s="9">
        <v>0.37409999999999999</v>
      </c>
      <c r="P410" s="9">
        <v>1.2927</v>
      </c>
      <c r="Q410" s="9">
        <v>20.331700000000001</v>
      </c>
      <c r="R410" s="9"/>
      <c r="S410" s="11"/>
    </row>
    <row r="411" spans="1:19" ht="15.75">
      <c r="A411" s="13">
        <v>53661</v>
      </c>
      <c r="B411" s="8">
        <f>CHOOSE( CONTROL!$C$32, 11.6891, 11.6888) * CHOOSE(CONTROL!$C$15, $D$11, 100%, $F$11)</f>
        <v>11.6891</v>
      </c>
      <c r="C411" s="8">
        <f>CHOOSE( CONTROL!$C$32, 11.6942, 11.6939) * CHOOSE(CONTROL!$C$15, $D$11, 100%, $F$11)</f>
        <v>11.6942</v>
      </c>
      <c r="D411" s="8">
        <f>CHOOSE( CONTROL!$C$32, 11.6769, 11.6766) * CHOOSE( CONTROL!$C$15, $D$11, 100%, $F$11)</f>
        <v>11.6769</v>
      </c>
      <c r="E411" s="12">
        <f>CHOOSE( CONTROL!$C$32, 11.6827, 11.6824) * CHOOSE( CONTROL!$C$15, $D$11, 100%, $F$11)</f>
        <v>11.682700000000001</v>
      </c>
      <c r="F411" s="4">
        <f>CHOOSE( CONTROL!$C$32, 12.3544, 12.3541) * CHOOSE(CONTROL!$C$15, $D$11, 100%, $F$11)</f>
        <v>12.3544</v>
      </c>
      <c r="G411" s="8">
        <f>CHOOSE( CONTROL!$C$32, 11.5616, 11.5613) * CHOOSE( CONTROL!$C$15, $D$11, 100%, $F$11)</f>
        <v>11.5616</v>
      </c>
      <c r="H411" s="4">
        <f>CHOOSE( CONTROL!$C$32, 12.4563, 12.4561) * CHOOSE(CONTROL!$C$15, $D$11, 100%, $F$11)</f>
        <v>12.456300000000001</v>
      </c>
      <c r="I411" s="8">
        <f>CHOOSE( CONTROL!$C$32, 11.5026, 11.5023) * CHOOSE(CONTROL!$C$15, $D$11, 100%, $F$11)</f>
        <v>11.502599999999999</v>
      </c>
      <c r="J411" s="4">
        <f>CHOOSE( CONTROL!$C$32, 11.3355, 11.3352) * CHOOSE(CONTROL!$C$15, $D$11, 100%, $F$11)</f>
        <v>11.3355</v>
      </c>
      <c r="K411" s="4"/>
      <c r="L411" s="9">
        <v>28.360600000000002</v>
      </c>
      <c r="M411" s="9">
        <v>11.6745</v>
      </c>
      <c r="N411" s="9">
        <v>4.7850000000000001</v>
      </c>
      <c r="O411" s="9">
        <v>0.36199999999999999</v>
      </c>
      <c r="P411" s="9">
        <v>1.2509999999999999</v>
      </c>
      <c r="Q411" s="9">
        <v>19.675799999999999</v>
      </c>
      <c r="R411" s="9"/>
      <c r="S411" s="11"/>
    </row>
    <row r="412" spans="1:19" ht="15.75">
      <c r="A412" s="13">
        <v>53692</v>
      </c>
      <c r="B412" s="8">
        <f>CHOOSE( CONTROL!$C$32, 11.6678, 11.6676) * CHOOSE(CONTROL!$C$15, $D$11, 100%, $F$11)</f>
        <v>11.6678</v>
      </c>
      <c r="C412" s="8">
        <f>CHOOSE( CONTROL!$C$32, 11.6729, 11.6726) * CHOOSE(CONTROL!$C$15, $D$11, 100%, $F$11)</f>
        <v>11.6729</v>
      </c>
      <c r="D412" s="8">
        <f>CHOOSE( CONTROL!$C$32, 11.6574, 11.6572) * CHOOSE( CONTROL!$C$15, $D$11, 100%, $F$11)</f>
        <v>11.657400000000001</v>
      </c>
      <c r="E412" s="12">
        <f>CHOOSE( CONTROL!$C$32, 11.6625, 11.6623) * CHOOSE( CONTROL!$C$15, $D$11, 100%, $F$11)</f>
        <v>11.6625</v>
      </c>
      <c r="F412" s="4">
        <f>CHOOSE( CONTROL!$C$32, 12.3331, 12.3329) * CHOOSE(CONTROL!$C$15, $D$11, 100%, $F$11)</f>
        <v>12.3331</v>
      </c>
      <c r="G412" s="8">
        <f>CHOOSE( CONTROL!$C$32, 11.5419, 11.5416) * CHOOSE( CONTROL!$C$15, $D$11, 100%, $F$11)</f>
        <v>11.5419</v>
      </c>
      <c r="H412" s="4">
        <f>CHOOSE( CONTROL!$C$32, 12.4353, 12.4351) * CHOOSE(CONTROL!$C$15, $D$11, 100%, $F$11)</f>
        <v>12.4353</v>
      </c>
      <c r="I412" s="8">
        <f>CHOOSE( CONTROL!$C$32, 11.4876, 11.4873) * CHOOSE(CONTROL!$C$15, $D$11, 100%, $F$11)</f>
        <v>11.4876</v>
      </c>
      <c r="J412" s="4">
        <f>CHOOSE( CONTROL!$C$32, 11.3149, 11.3146) * CHOOSE(CONTROL!$C$15, $D$11, 100%, $F$11)</f>
        <v>11.3149</v>
      </c>
      <c r="K412" s="4"/>
      <c r="L412" s="9">
        <v>29.306000000000001</v>
      </c>
      <c r="M412" s="9">
        <v>12.063700000000001</v>
      </c>
      <c r="N412" s="9">
        <v>4.9444999999999997</v>
      </c>
      <c r="O412" s="9">
        <v>0.37409999999999999</v>
      </c>
      <c r="P412" s="9">
        <v>1.2927</v>
      </c>
      <c r="Q412" s="9">
        <v>20.331700000000001</v>
      </c>
      <c r="R412" s="9"/>
      <c r="S412" s="11"/>
    </row>
    <row r="413" spans="1:19" ht="15.75">
      <c r="A413" s="13">
        <v>53723</v>
      </c>
      <c r="B413" s="8">
        <f>CHOOSE( CONTROL!$C$32, 12.0117, 12.0115) * CHOOSE(CONTROL!$C$15, $D$11, 100%, $F$11)</f>
        <v>12.011699999999999</v>
      </c>
      <c r="C413" s="8">
        <f>CHOOSE( CONTROL!$C$32, 12.0168, 12.0165) * CHOOSE(CONTROL!$C$15, $D$11, 100%, $F$11)</f>
        <v>12.0168</v>
      </c>
      <c r="D413" s="8">
        <f>CHOOSE( CONTROL!$C$32, 12.0073, 12.007) * CHOOSE( CONTROL!$C$15, $D$11, 100%, $F$11)</f>
        <v>12.007300000000001</v>
      </c>
      <c r="E413" s="12">
        <f>CHOOSE( CONTROL!$C$32, 12.0102, 12.0099) * CHOOSE( CONTROL!$C$15, $D$11, 100%, $F$11)</f>
        <v>12.010199999999999</v>
      </c>
      <c r="F413" s="4">
        <f>CHOOSE( CONTROL!$C$32, 12.677, 12.6767) * CHOOSE(CONTROL!$C$15, $D$11, 100%, $F$11)</f>
        <v>12.677</v>
      </c>
      <c r="G413" s="8">
        <f>CHOOSE( CONTROL!$C$32, 11.8824, 11.8822) * CHOOSE( CONTROL!$C$15, $D$11, 100%, $F$11)</f>
        <v>11.882400000000001</v>
      </c>
      <c r="H413" s="4">
        <f>CHOOSE( CONTROL!$C$32, 12.7752, 12.7749) * CHOOSE(CONTROL!$C$15, $D$11, 100%, $F$11)</f>
        <v>12.7752</v>
      </c>
      <c r="I413" s="8">
        <f>CHOOSE( CONTROL!$C$32, 11.8019, 11.8017) * CHOOSE(CONTROL!$C$15, $D$11, 100%, $F$11)</f>
        <v>11.8019</v>
      </c>
      <c r="J413" s="4">
        <f>CHOOSE( CONTROL!$C$32, 11.6486, 11.6484) * CHOOSE(CONTROL!$C$15, $D$11, 100%, $F$11)</f>
        <v>11.6486</v>
      </c>
      <c r="K413" s="4"/>
      <c r="L413" s="9">
        <v>29.306000000000001</v>
      </c>
      <c r="M413" s="9">
        <v>12.063700000000001</v>
      </c>
      <c r="N413" s="9">
        <v>4.9444999999999997</v>
      </c>
      <c r="O413" s="9">
        <v>0.37409999999999999</v>
      </c>
      <c r="P413" s="9">
        <v>1.2927</v>
      </c>
      <c r="Q413" s="9">
        <v>20.2666</v>
      </c>
      <c r="R413" s="9"/>
      <c r="S413" s="11"/>
    </row>
    <row r="414" spans="1:19" ht="15.75">
      <c r="A414" s="13">
        <v>53751</v>
      </c>
      <c r="B414" s="8">
        <f>CHOOSE( CONTROL!$C$32, 11.2358, 11.2355) * CHOOSE(CONTROL!$C$15, $D$11, 100%, $F$11)</f>
        <v>11.235799999999999</v>
      </c>
      <c r="C414" s="8">
        <f>CHOOSE( CONTROL!$C$32, 11.2409, 11.2406) * CHOOSE(CONTROL!$C$15, $D$11, 100%, $F$11)</f>
        <v>11.2409</v>
      </c>
      <c r="D414" s="8">
        <f>CHOOSE( CONTROL!$C$32, 11.233, 11.2327) * CHOOSE( CONTROL!$C$15, $D$11, 100%, $F$11)</f>
        <v>11.233000000000001</v>
      </c>
      <c r="E414" s="12">
        <f>CHOOSE( CONTROL!$C$32, 11.2353, 11.235) * CHOOSE( CONTROL!$C$15, $D$11, 100%, $F$11)</f>
        <v>11.235300000000001</v>
      </c>
      <c r="F414" s="4">
        <f>CHOOSE( CONTROL!$C$32, 11.9011, 11.9008) * CHOOSE(CONTROL!$C$15, $D$11, 100%, $F$11)</f>
        <v>11.9011</v>
      </c>
      <c r="G414" s="8">
        <f>CHOOSE( CONTROL!$C$32, 11.1141, 11.1138) * CHOOSE( CONTROL!$C$15, $D$11, 100%, $F$11)</f>
        <v>11.114100000000001</v>
      </c>
      <c r="H414" s="4">
        <f>CHOOSE( CONTROL!$C$32, 12.0084, 12.0081) * CHOOSE(CONTROL!$C$15, $D$11, 100%, $F$11)</f>
        <v>12.0084</v>
      </c>
      <c r="I414" s="8">
        <f>CHOOSE( CONTROL!$C$32, 11.0331, 11.0329) * CHOOSE(CONTROL!$C$15, $D$11, 100%, $F$11)</f>
        <v>11.033099999999999</v>
      </c>
      <c r="J414" s="4">
        <f>CHOOSE( CONTROL!$C$32, 10.8956, 10.8953) * CHOOSE(CONTROL!$C$15, $D$11, 100%, $F$11)</f>
        <v>10.8956</v>
      </c>
      <c r="K414" s="4"/>
      <c r="L414" s="9">
        <v>26.469899999999999</v>
      </c>
      <c r="M414" s="9">
        <v>10.8962</v>
      </c>
      <c r="N414" s="9">
        <v>4.4660000000000002</v>
      </c>
      <c r="O414" s="9">
        <v>0.33789999999999998</v>
      </c>
      <c r="P414" s="9">
        <v>1.1676</v>
      </c>
      <c r="Q414" s="9">
        <v>18.305299999999999</v>
      </c>
      <c r="R414" s="9"/>
      <c r="S414" s="11"/>
    </row>
    <row r="415" spans="1:19" ht="15.75">
      <c r="A415" s="13">
        <v>53782</v>
      </c>
      <c r="B415" s="8">
        <f>CHOOSE( CONTROL!$C$32, 10.9968, 10.9965) * CHOOSE(CONTROL!$C$15, $D$11, 100%, $F$11)</f>
        <v>10.9968</v>
      </c>
      <c r="C415" s="8">
        <f>CHOOSE( CONTROL!$C$32, 11.0019, 11.0016) * CHOOSE(CONTROL!$C$15, $D$11, 100%, $F$11)</f>
        <v>11.001899999999999</v>
      </c>
      <c r="D415" s="8">
        <f>CHOOSE( CONTROL!$C$32, 10.9892, 10.9889) * CHOOSE( CONTROL!$C$15, $D$11, 100%, $F$11)</f>
        <v>10.9892</v>
      </c>
      <c r="E415" s="12">
        <f>CHOOSE( CONTROL!$C$32, 10.9933, 10.993) * CHOOSE( CONTROL!$C$15, $D$11, 100%, $F$11)</f>
        <v>10.9933</v>
      </c>
      <c r="F415" s="4">
        <f>CHOOSE( CONTROL!$C$32, 11.6621, 11.6618) * CHOOSE(CONTROL!$C$15, $D$11, 100%, $F$11)</f>
        <v>11.662100000000001</v>
      </c>
      <c r="G415" s="8">
        <f>CHOOSE( CONTROL!$C$32, 10.8745, 10.8742) * CHOOSE( CONTROL!$C$15, $D$11, 100%, $F$11)</f>
        <v>10.874499999999999</v>
      </c>
      <c r="H415" s="4">
        <f>CHOOSE( CONTROL!$C$32, 11.7722, 11.7719) * CHOOSE(CONTROL!$C$15, $D$11, 100%, $F$11)</f>
        <v>11.7722</v>
      </c>
      <c r="I415" s="8">
        <f>CHOOSE( CONTROL!$C$32, 10.7995, 10.7992) * CHOOSE(CONTROL!$C$15, $D$11, 100%, $F$11)</f>
        <v>10.7995</v>
      </c>
      <c r="J415" s="4">
        <f>CHOOSE( CONTROL!$C$32, 10.6637, 10.6634) * CHOOSE(CONTROL!$C$15, $D$11, 100%, $F$11)</f>
        <v>10.6637</v>
      </c>
      <c r="K415" s="4"/>
      <c r="L415" s="9">
        <v>29.306000000000001</v>
      </c>
      <c r="M415" s="9">
        <v>12.063700000000001</v>
      </c>
      <c r="N415" s="9">
        <v>4.9444999999999997</v>
      </c>
      <c r="O415" s="9">
        <v>0.37409999999999999</v>
      </c>
      <c r="P415" s="9">
        <v>1.2927</v>
      </c>
      <c r="Q415" s="9">
        <v>20.2666</v>
      </c>
      <c r="R415" s="9"/>
      <c r="S415" s="11"/>
    </row>
    <row r="416" spans="1:19" ht="15.75">
      <c r="A416" s="13">
        <v>53812</v>
      </c>
      <c r="B416" s="8">
        <f>CHOOSE( CONTROL!$C$32, 11.1646, 11.1643) * CHOOSE(CONTROL!$C$15, $D$11, 100%, $F$11)</f>
        <v>11.1646</v>
      </c>
      <c r="C416" s="8">
        <f>CHOOSE( CONTROL!$C$32, 11.1691, 11.1688) * CHOOSE(CONTROL!$C$15, $D$11, 100%, $F$11)</f>
        <v>11.1691</v>
      </c>
      <c r="D416" s="8">
        <f>CHOOSE( CONTROL!$C$32, 11.174, 11.1737) * CHOOSE( CONTROL!$C$15, $D$11, 100%, $F$11)</f>
        <v>11.173999999999999</v>
      </c>
      <c r="E416" s="12">
        <f>CHOOSE( CONTROL!$C$32, 11.1719, 11.1716) * CHOOSE( CONTROL!$C$15, $D$11, 100%, $F$11)</f>
        <v>11.171900000000001</v>
      </c>
      <c r="F416" s="4">
        <f>CHOOSE( CONTROL!$C$32, 11.8688, 11.8685) * CHOOSE(CONTROL!$C$15, $D$11, 100%, $F$11)</f>
        <v>11.8688</v>
      </c>
      <c r="G416" s="8">
        <f>CHOOSE( CONTROL!$C$32, 11.0453, 11.045) * CHOOSE( CONTROL!$C$15, $D$11, 100%, $F$11)</f>
        <v>11.045299999999999</v>
      </c>
      <c r="H416" s="4">
        <f>CHOOSE( CONTROL!$C$32, 11.9764, 11.9761) * CHOOSE(CONTROL!$C$15, $D$11, 100%, $F$11)</f>
        <v>11.9764</v>
      </c>
      <c r="I416" s="8">
        <f>CHOOSE( CONTROL!$C$32, 10.9358, 10.9356) * CHOOSE(CONTROL!$C$15, $D$11, 100%, $F$11)</f>
        <v>10.9358</v>
      </c>
      <c r="J416" s="4">
        <f>CHOOSE( CONTROL!$C$32, 10.8257, 10.8255) * CHOOSE(CONTROL!$C$15, $D$11, 100%, $F$11)</f>
        <v>10.825699999999999</v>
      </c>
      <c r="K416" s="4"/>
      <c r="L416" s="9">
        <v>30.092199999999998</v>
      </c>
      <c r="M416" s="9">
        <v>11.6745</v>
      </c>
      <c r="N416" s="9">
        <v>4.7850000000000001</v>
      </c>
      <c r="O416" s="9">
        <v>0.36199999999999999</v>
      </c>
      <c r="P416" s="9">
        <v>1.2509999999999999</v>
      </c>
      <c r="Q416" s="9">
        <v>19.6128</v>
      </c>
      <c r="R416" s="9"/>
      <c r="S416" s="11"/>
    </row>
    <row r="417" spans="1:19" ht="15.75">
      <c r="A417" s="13">
        <v>53843</v>
      </c>
      <c r="B417" s="8">
        <f>CHOOSE( CONTROL!$C$32, 11.4633, 11.4629) * CHOOSE(CONTROL!$C$15, $D$11, 100%, $F$11)</f>
        <v>11.4633</v>
      </c>
      <c r="C417" s="8">
        <f>CHOOSE( CONTROL!$C$32, 11.4713, 11.4709) * CHOOSE(CONTROL!$C$15, $D$11, 100%, $F$11)</f>
        <v>11.471299999999999</v>
      </c>
      <c r="D417" s="8">
        <f>CHOOSE( CONTROL!$C$32, 11.4701, 11.4696) * CHOOSE( CONTROL!$C$15, $D$11, 100%, $F$11)</f>
        <v>11.4701</v>
      </c>
      <c r="E417" s="12">
        <f>CHOOSE( CONTROL!$C$32, 11.4693, 11.4689) * CHOOSE( CONTROL!$C$15, $D$11, 100%, $F$11)</f>
        <v>11.4693</v>
      </c>
      <c r="F417" s="4">
        <f>CHOOSE( CONTROL!$C$32, 12.1662, 12.1657) * CHOOSE(CONTROL!$C$15, $D$11, 100%, $F$11)</f>
        <v>12.1662</v>
      </c>
      <c r="G417" s="8">
        <f>CHOOSE( CONTROL!$C$32, 11.339, 11.3386) * CHOOSE( CONTROL!$C$15, $D$11, 100%, $F$11)</f>
        <v>11.339</v>
      </c>
      <c r="H417" s="4">
        <f>CHOOSE( CONTROL!$C$32, 12.2703, 12.2699) * CHOOSE(CONTROL!$C$15, $D$11, 100%, $F$11)</f>
        <v>12.270300000000001</v>
      </c>
      <c r="I417" s="8">
        <f>CHOOSE( CONTROL!$C$32, 11.2238, 11.2233) * CHOOSE(CONTROL!$C$15, $D$11, 100%, $F$11)</f>
        <v>11.223800000000001</v>
      </c>
      <c r="J417" s="4">
        <f>CHOOSE( CONTROL!$C$32, 11.1144, 11.1139) * CHOOSE(CONTROL!$C$15, $D$11, 100%, $F$11)</f>
        <v>11.1144</v>
      </c>
      <c r="K417" s="4"/>
      <c r="L417" s="9">
        <v>30.7165</v>
      </c>
      <c r="M417" s="9">
        <v>12.063700000000001</v>
      </c>
      <c r="N417" s="9">
        <v>4.9444999999999997</v>
      </c>
      <c r="O417" s="9">
        <v>0.37409999999999999</v>
      </c>
      <c r="P417" s="9">
        <v>1.2927</v>
      </c>
      <c r="Q417" s="9">
        <v>20.2666</v>
      </c>
      <c r="R417" s="9"/>
      <c r="S417" s="11"/>
    </row>
    <row r="418" spans="1:19" ht="15.75">
      <c r="A418" s="13">
        <v>53873</v>
      </c>
      <c r="B418" s="8">
        <f>CHOOSE( CONTROL!$C$32, 11.2792, 11.2788) * CHOOSE(CONTROL!$C$15, $D$11, 100%, $F$11)</f>
        <v>11.279199999999999</v>
      </c>
      <c r="C418" s="8">
        <f>CHOOSE( CONTROL!$C$32, 11.2872, 11.2867) * CHOOSE(CONTROL!$C$15, $D$11, 100%, $F$11)</f>
        <v>11.2872</v>
      </c>
      <c r="D418" s="8">
        <f>CHOOSE( CONTROL!$C$32, 11.2862, 11.2857) * CHOOSE( CONTROL!$C$15, $D$11, 100%, $F$11)</f>
        <v>11.286199999999999</v>
      </c>
      <c r="E418" s="12">
        <f>CHOOSE( CONTROL!$C$32, 11.2853, 11.2849) * CHOOSE( CONTROL!$C$15, $D$11, 100%, $F$11)</f>
        <v>11.285299999999999</v>
      </c>
      <c r="F418" s="4">
        <f>CHOOSE( CONTROL!$C$32, 11.982, 11.9816) * CHOOSE(CONTROL!$C$15, $D$11, 100%, $F$11)</f>
        <v>11.981999999999999</v>
      </c>
      <c r="G418" s="8">
        <f>CHOOSE( CONTROL!$C$32, 11.1572, 11.1568) * CHOOSE( CONTROL!$C$15, $D$11, 100%, $F$11)</f>
        <v>11.1572</v>
      </c>
      <c r="H418" s="4">
        <f>CHOOSE( CONTROL!$C$32, 12.0884, 12.0879) * CHOOSE(CONTROL!$C$15, $D$11, 100%, $F$11)</f>
        <v>12.0884</v>
      </c>
      <c r="I418" s="8">
        <f>CHOOSE( CONTROL!$C$32, 11.0457, 11.0452) * CHOOSE(CONTROL!$C$15, $D$11, 100%, $F$11)</f>
        <v>11.0457</v>
      </c>
      <c r="J418" s="4">
        <f>CHOOSE( CONTROL!$C$32, 10.9357, 10.9352) * CHOOSE(CONTROL!$C$15, $D$11, 100%, $F$11)</f>
        <v>10.935700000000001</v>
      </c>
      <c r="K418" s="4"/>
      <c r="L418" s="9">
        <v>29.7257</v>
      </c>
      <c r="M418" s="9">
        <v>11.6745</v>
      </c>
      <c r="N418" s="9">
        <v>4.7850000000000001</v>
      </c>
      <c r="O418" s="9">
        <v>0.36199999999999999</v>
      </c>
      <c r="P418" s="9">
        <v>1.2509999999999999</v>
      </c>
      <c r="Q418" s="9">
        <v>19.6128</v>
      </c>
      <c r="R418" s="9"/>
      <c r="S418" s="11"/>
    </row>
    <row r="419" spans="1:19" ht="15.75">
      <c r="A419" s="13">
        <v>53904</v>
      </c>
      <c r="B419" s="8">
        <f>CHOOSE( CONTROL!$C$32, 11.7641, 11.7636) * CHOOSE(CONTROL!$C$15, $D$11, 100%, $F$11)</f>
        <v>11.764099999999999</v>
      </c>
      <c r="C419" s="8">
        <f>CHOOSE( CONTROL!$C$32, 11.772, 11.7716) * CHOOSE(CONTROL!$C$15, $D$11, 100%, $F$11)</f>
        <v>11.772</v>
      </c>
      <c r="D419" s="8">
        <f>CHOOSE( CONTROL!$C$32, 11.7712, 11.7708) * CHOOSE( CONTROL!$C$15, $D$11, 100%, $F$11)</f>
        <v>11.7712</v>
      </c>
      <c r="E419" s="12">
        <f>CHOOSE( CONTROL!$C$32, 11.7703, 11.7699) * CHOOSE( CONTROL!$C$15, $D$11, 100%, $F$11)</f>
        <v>11.770300000000001</v>
      </c>
      <c r="F419" s="4">
        <f>CHOOSE( CONTROL!$C$32, 12.4669, 12.4664) * CHOOSE(CONTROL!$C$15, $D$11, 100%, $F$11)</f>
        <v>12.466900000000001</v>
      </c>
      <c r="G419" s="8">
        <f>CHOOSE( CONTROL!$C$32, 11.6366, 11.6361) * CHOOSE( CONTROL!$C$15, $D$11, 100%, $F$11)</f>
        <v>11.6366</v>
      </c>
      <c r="H419" s="4">
        <f>CHOOSE( CONTROL!$C$32, 12.5675, 12.5671) * CHOOSE(CONTROL!$C$15, $D$11, 100%, $F$11)</f>
        <v>12.567500000000001</v>
      </c>
      <c r="I419" s="8">
        <f>CHOOSE( CONTROL!$C$32, 11.5172, 11.5168) * CHOOSE(CONTROL!$C$15, $D$11, 100%, $F$11)</f>
        <v>11.517200000000001</v>
      </c>
      <c r="J419" s="4">
        <f>CHOOSE( CONTROL!$C$32, 11.4062, 11.4058) * CHOOSE(CONTROL!$C$15, $D$11, 100%, $F$11)</f>
        <v>11.4062</v>
      </c>
      <c r="K419" s="4"/>
      <c r="L419" s="9">
        <v>30.7165</v>
      </c>
      <c r="M419" s="9">
        <v>12.063700000000001</v>
      </c>
      <c r="N419" s="9">
        <v>4.9444999999999997</v>
      </c>
      <c r="O419" s="9">
        <v>0.37409999999999999</v>
      </c>
      <c r="P419" s="9">
        <v>1.2927</v>
      </c>
      <c r="Q419" s="9">
        <v>20.2666</v>
      </c>
      <c r="R419" s="9"/>
      <c r="S419" s="11"/>
    </row>
    <row r="420" spans="1:19" ht="15.75">
      <c r="A420" s="13">
        <v>53935</v>
      </c>
      <c r="B420" s="8">
        <f>CHOOSE( CONTROL!$C$32, 10.8569, 10.8564) * CHOOSE(CONTROL!$C$15, $D$11, 100%, $F$11)</f>
        <v>10.8569</v>
      </c>
      <c r="C420" s="8">
        <f>CHOOSE( CONTROL!$C$32, 10.8648, 10.8644) * CHOOSE(CONTROL!$C$15, $D$11, 100%, $F$11)</f>
        <v>10.864800000000001</v>
      </c>
      <c r="D420" s="8">
        <f>CHOOSE( CONTROL!$C$32, 10.8641, 10.8636) * CHOOSE( CONTROL!$C$15, $D$11, 100%, $F$11)</f>
        <v>10.864100000000001</v>
      </c>
      <c r="E420" s="12">
        <f>CHOOSE( CONTROL!$C$32, 10.8631, 10.8627) * CHOOSE( CONTROL!$C$15, $D$11, 100%, $F$11)</f>
        <v>10.863099999999999</v>
      </c>
      <c r="F420" s="4">
        <f>CHOOSE( CONTROL!$C$32, 11.5597, 11.5592) * CHOOSE(CONTROL!$C$15, $D$11, 100%, $F$11)</f>
        <v>11.559699999999999</v>
      </c>
      <c r="G420" s="8">
        <f>CHOOSE( CONTROL!$C$32, 10.74, 10.7396) * CHOOSE( CONTROL!$C$15, $D$11, 100%, $F$11)</f>
        <v>10.74</v>
      </c>
      <c r="H420" s="4">
        <f>CHOOSE( CONTROL!$C$32, 11.671, 11.6705) * CHOOSE(CONTROL!$C$15, $D$11, 100%, $F$11)</f>
        <v>11.670999999999999</v>
      </c>
      <c r="I420" s="8">
        <f>CHOOSE( CONTROL!$C$32, 10.6365, 10.6361) * CHOOSE(CONTROL!$C$15, $D$11, 100%, $F$11)</f>
        <v>10.6365</v>
      </c>
      <c r="J420" s="4">
        <f>CHOOSE( CONTROL!$C$32, 10.5258, 10.5253) * CHOOSE(CONTROL!$C$15, $D$11, 100%, $F$11)</f>
        <v>10.5258</v>
      </c>
      <c r="K420" s="4"/>
      <c r="L420" s="9">
        <v>30.7165</v>
      </c>
      <c r="M420" s="9">
        <v>12.063700000000001</v>
      </c>
      <c r="N420" s="9">
        <v>4.9444999999999997</v>
      </c>
      <c r="O420" s="9">
        <v>0.37409999999999999</v>
      </c>
      <c r="P420" s="9">
        <v>1.2927</v>
      </c>
      <c r="Q420" s="9">
        <v>20.2666</v>
      </c>
      <c r="R420" s="9"/>
      <c r="S420" s="11"/>
    </row>
    <row r="421" spans="1:19" ht="15.75">
      <c r="A421" s="13">
        <v>53965</v>
      </c>
      <c r="B421" s="8">
        <f>CHOOSE( CONTROL!$C$32, 10.6297, 10.6292) * CHOOSE(CONTROL!$C$15, $D$11, 100%, $F$11)</f>
        <v>10.6297</v>
      </c>
      <c r="C421" s="8">
        <f>CHOOSE( CONTROL!$C$32, 10.6377, 10.6372) * CHOOSE(CONTROL!$C$15, $D$11, 100%, $F$11)</f>
        <v>10.637700000000001</v>
      </c>
      <c r="D421" s="8">
        <f>CHOOSE( CONTROL!$C$32, 10.6368, 10.6363) * CHOOSE( CONTROL!$C$15, $D$11, 100%, $F$11)</f>
        <v>10.636799999999999</v>
      </c>
      <c r="E421" s="12">
        <f>CHOOSE( CONTROL!$C$32, 10.6359, 10.6354) * CHOOSE( CONTROL!$C$15, $D$11, 100%, $F$11)</f>
        <v>10.635899999999999</v>
      </c>
      <c r="F421" s="4">
        <f>CHOOSE( CONTROL!$C$32, 11.3325, 11.3321) * CHOOSE(CONTROL!$C$15, $D$11, 100%, $F$11)</f>
        <v>11.3325</v>
      </c>
      <c r="G421" s="8">
        <f>CHOOSE( CONTROL!$C$32, 10.5154, 10.5149) * CHOOSE( CONTROL!$C$15, $D$11, 100%, $F$11)</f>
        <v>10.5154</v>
      </c>
      <c r="H421" s="4">
        <f>CHOOSE( CONTROL!$C$32, 11.4464, 11.446) * CHOOSE(CONTROL!$C$15, $D$11, 100%, $F$11)</f>
        <v>11.446400000000001</v>
      </c>
      <c r="I421" s="8">
        <f>CHOOSE( CONTROL!$C$32, 10.4154, 10.415) * CHOOSE(CONTROL!$C$15, $D$11, 100%, $F$11)</f>
        <v>10.4154</v>
      </c>
      <c r="J421" s="4">
        <f>CHOOSE( CONTROL!$C$32, 10.3053, 10.3049) * CHOOSE(CONTROL!$C$15, $D$11, 100%, $F$11)</f>
        <v>10.305300000000001</v>
      </c>
      <c r="K421" s="4"/>
      <c r="L421" s="9">
        <v>29.7257</v>
      </c>
      <c r="M421" s="9">
        <v>11.6745</v>
      </c>
      <c r="N421" s="9">
        <v>4.7850000000000001</v>
      </c>
      <c r="O421" s="9">
        <v>0.36199999999999999</v>
      </c>
      <c r="P421" s="9">
        <v>1.2509999999999999</v>
      </c>
      <c r="Q421" s="9">
        <v>19.6128</v>
      </c>
      <c r="R421" s="9"/>
      <c r="S421" s="11"/>
    </row>
    <row r="422" spans="1:19" ht="15.75">
      <c r="A422" s="13">
        <v>53996</v>
      </c>
      <c r="B422" s="8">
        <f>CHOOSE( CONTROL!$C$32, 11.0995, 11.0992) * CHOOSE(CONTROL!$C$15, $D$11, 100%, $F$11)</f>
        <v>11.099500000000001</v>
      </c>
      <c r="C422" s="8">
        <f>CHOOSE( CONTROL!$C$32, 11.1048, 11.1045) * CHOOSE(CONTROL!$C$15, $D$11, 100%, $F$11)</f>
        <v>11.104799999999999</v>
      </c>
      <c r="D422" s="8">
        <f>CHOOSE( CONTROL!$C$32, 11.1095, 11.1092) * CHOOSE( CONTROL!$C$15, $D$11, 100%, $F$11)</f>
        <v>11.109500000000001</v>
      </c>
      <c r="E422" s="12">
        <f>CHOOSE( CONTROL!$C$32, 11.1074, 11.1071) * CHOOSE( CONTROL!$C$15, $D$11, 100%, $F$11)</f>
        <v>11.1074</v>
      </c>
      <c r="F422" s="4">
        <f>CHOOSE( CONTROL!$C$32, 11.804, 11.8038) * CHOOSE(CONTROL!$C$15, $D$11, 100%, $F$11)</f>
        <v>11.804</v>
      </c>
      <c r="G422" s="8">
        <f>CHOOSE( CONTROL!$C$32, 10.9815, 10.9813) * CHOOSE( CONTROL!$C$15, $D$11, 100%, $F$11)</f>
        <v>10.9815</v>
      </c>
      <c r="H422" s="4">
        <f>CHOOSE( CONTROL!$C$32, 11.9124, 11.9122) * CHOOSE(CONTROL!$C$15, $D$11, 100%, $F$11)</f>
        <v>11.9124</v>
      </c>
      <c r="I422" s="8">
        <f>CHOOSE( CONTROL!$C$32, 10.8741, 10.8738) * CHOOSE(CONTROL!$C$15, $D$11, 100%, $F$11)</f>
        <v>10.8741</v>
      </c>
      <c r="J422" s="4">
        <f>CHOOSE( CONTROL!$C$32, 10.7629, 10.7626) * CHOOSE(CONTROL!$C$15, $D$11, 100%, $F$11)</f>
        <v>10.7629</v>
      </c>
      <c r="K422" s="4"/>
      <c r="L422" s="9">
        <v>31.095300000000002</v>
      </c>
      <c r="M422" s="9">
        <v>12.063700000000001</v>
      </c>
      <c r="N422" s="9">
        <v>4.9444999999999997</v>
      </c>
      <c r="O422" s="9">
        <v>0.37409999999999999</v>
      </c>
      <c r="P422" s="9">
        <v>1.2927</v>
      </c>
      <c r="Q422" s="9">
        <v>20.2666</v>
      </c>
      <c r="R422" s="9"/>
      <c r="S422" s="11"/>
    </row>
    <row r="423" spans="1:19" ht="15.75">
      <c r="A423" s="13">
        <v>54026</v>
      </c>
      <c r="B423" s="8">
        <f>CHOOSE( CONTROL!$C$32, 11.9697, 11.9695) * CHOOSE(CONTROL!$C$15, $D$11, 100%, $F$11)</f>
        <v>11.9697</v>
      </c>
      <c r="C423" s="8">
        <f>CHOOSE( CONTROL!$C$32, 11.9748, 11.9745) * CHOOSE(CONTROL!$C$15, $D$11, 100%, $F$11)</f>
        <v>11.9748</v>
      </c>
      <c r="D423" s="8">
        <f>CHOOSE( CONTROL!$C$32, 11.9575, 11.9572) * CHOOSE( CONTROL!$C$15, $D$11, 100%, $F$11)</f>
        <v>11.9575</v>
      </c>
      <c r="E423" s="12">
        <f>CHOOSE( CONTROL!$C$32, 11.9633, 11.963) * CHOOSE( CONTROL!$C$15, $D$11, 100%, $F$11)</f>
        <v>11.9633</v>
      </c>
      <c r="F423" s="4">
        <f>CHOOSE( CONTROL!$C$32, 12.635, 12.6347) * CHOOSE(CONTROL!$C$15, $D$11, 100%, $F$11)</f>
        <v>12.635</v>
      </c>
      <c r="G423" s="8">
        <f>CHOOSE( CONTROL!$C$32, 11.8389, 11.8386) * CHOOSE( CONTROL!$C$15, $D$11, 100%, $F$11)</f>
        <v>11.838900000000001</v>
      </c>
      <c r="H423" s="4">
        <f>CHOOSE( CONTROL!$C$32, 12.7337, 12.7334) * CHOOSE(CONTROL!$C$15, $D$11, 100%, $F$11)</f>
        <v>12.733700000000001</v>
      </c>
      <c r="I423" s="8">
        <f>CHOOSE( CONTROL!$C$32, 11.7751, 11.7748) * CHOOSE(CONTROL!$C$15, $D$11, 100%, $F$11)</f>
        <v>11.7751</v>
      </c>
      <c r="J423" s="4">
        <f>CHOOSE( CONTROL!$C$32, 11.6079, 11.6076) * CHOOSE(CONTROL!$C$15, $D$11, 100%, $F$11)</f>
        <v>11.607900000000001</v>
      </c>
      <c r="K423" s="4"/>
      <c r="L423" s="9">
        <v>28.360600000000002</v>
      </c>
      <c r="M423" s="9">
        <v>11.6745</v>
      </c>
      <c r="N423" s="9">
        <v>4.7850000000000001</v>
      </c>
      <c r="O423" s="9">
        <v>0.36199999999999999</v>
      </c>
      <c r="P423" s="9">
        <v>1.2509999999999999</v>
      </c>
      <c r="Q423" s="9">
        <v>19.6128</v>
      </c>
      <c r="R423" s="9"/>
      <c r="S423" s="11"/>
    </row>
    <row r="424" spans="1:19" ht="15.75">
      <c r="A424" s="13">
        <v>54057</v>
      </c>
      <c r="B424" s="8">
        <f>CHOOSE( CONTROL!$C$32, 11.948, 11.9477) * CHOOSE(CONTROL!$C$15, $D$11, 100%, $F$11)</f>
        <v>11.948</v>
      </c>
      <c r="C424" s="8">
        <f>CHOOSE( CONTROL!$C$32, 11.953, 11.9528) * CHOOSE(CONTROL!$C$15, $D$11, 100%, $F$11)</f>
        <v>11.952999999999999</v>
      </c>
      <c r="D424" s="8">
        <f>CHOOSE( CONTROL!$C$32, 11.9376, 11.9373) * CHOOSE( CONTROL!$C$15, $D$11, 100%, $F$11)</f>
        <v>11.9376</v>
      </c>
      <c r="E424" s="12">
        <f>CHOOSE( CONTROL!$C$32, 11.9427, 11.9424) * CHOOSE( CONTROL!$C$15, $D$11, 100%, $F$11)</f>
        <v>11.9427</v>
      </c>
      <c r="F424" s="4">
        <f>CHOOSE( CONTROL!$C$32, 12.6133, 12.613) * CHOOSE(CONTROL!$C$15, $D$11, 100%, $F$11)</f>
        <v>12.613300000000001</v>
      </c>
      <c r="G424" s="8">
        <f>CHOOSE( CONTROL!$C$32, 11.8187, 11.8184) * CHOOSE( CONTROL!$C$15, $D$11, 100%, $F$11)</f>
        <v>11.8187</v>
      </c>
      <c r="H424" s="4">
        <f>CHOOSE( CONTROL!$C$32, 12.7122, 12.7119) * CHOOSE(CONTROL!$C$15, $D$11, 100%, $F$11)</f>
        <v>12.712199999999999</v>
      </c>
      <c r="I424" s="8">
        <f>CHOOSE( CONTROL!$C$32, 11.7596, 11.7593) * CHOOSE(CONTROL!$C$15, $D$11, 100%, $F$11)</f>
        <v>11.759600000000001</v>
      </c>
      <c r="J424" s="4">
        <f>CHOOSE( CONTROL!$C$32, 11.5868, 11.5865) * CHOOSE(CONTROL!$C$15, $D$11, 100%, $F$11)</f>
        <v>11.5868</v>
      </c>
      <c r="K424" s="4"/>
      <c r="L424" s="9">
        <v>29.306000000000001</v>
      </c>
      <c r="M424" s="9">
        <v>12.063700000000001</v>
      </c>
      <c r="N424" s="9">
        <v>4.9444999999999997</v>
      </c>
      <c r="O424" s="9">
        <v>0.37409999999999999</v>
      </c>
      <c r="P424" s="9">
        <v>1.2927</v>
      </c>
      <c r="Q424" s="9">
        <v>20.2666</v>
      </c>
      <c r="R424" s="9"/>
      <c r="S424" s="11"/>
    </row>
    <row r="425" spans="1:19" ht="15.75">
      <c r="A425" s="13">
        <v>54088</v>
      </c>
      <c r="B425" s="8">
        <f>CHOOSE( CONTROL!$C$32, 12.3001, 12.2999) * CHOOSE(CONTROL!$C$15, $D$11, 100%, $F$11)</f>
        <v>12.3001</v>
      </c>
      <c r="C425" s="8">
        <f>CHOOSE( CONTROL!$C$32, 12.3052, 12.3049) * CHOOSE(CONTROL!$C$15, $D$11, 100%, $F$11)</f>
        <v>12.305199999999999</v>
      </c>
      <c r="D425" s="8">
        <f>CHOOSE( CONTROL!$C$32, 12.2956, 12.2954) * CHOOSE( CONTROL!$C$15, $D$11, 100%, $F$11)</f>
        <v>12.2956</v>
      </c>
      <c r="E425" s="12">
        <f>CHOOSE( CONTROL!$C$32, 12.2986, 12.2983) * CHOOSE( CONTROL!$C$15, $D$11, 100%, $F$11)</f>
        <v>12.2986</v>
      </c>
      <c r="F425" s="4">
        <f>CHOOSE( CONTROL!$C$32, 12.9654, 12.9651) * CHOOSE(CONTROL!$C$15, $D$11, 100%, $F$11)</f>
        <v>12.965400000000001</v>
      </c>
      <c r="G425" s="8">
        <f>CHOOSE( CONTROL!$C$32, 12.1675, 12.1672) * CHOOSE( CONTROL!$C$15, $D$11, 100%, $F$11)</f>
        <v>12.1675</v>
      </c>
      <c r="H425" s="4">
        <f>CHOOSE( CONTROL!$C$32, 13.0602, 13.0599) * CHOOSE(CONTROL!$C$15, $D$11, 100%, $F$11)</f>
        <v>13.0602</v>
      </c>
      <c r="I425" s="8">
        <f>CHOOSE( CONTROL!$C$32, 12.082, 12.0817) * CHOOSE(CONTROL!$C$15, $D$11, 100%, $F$11)</f>
        <v>12.082000000000001</v>
      </c>
      <c r="J425" s="4">
        <f>CHOOSE( CONTROL!$C$32, 11.9285, 11.9283) * CHOOSE(CONTROL!$C$15, $D$11, 100%, $F$11)</f>
        <v>11.9285</v>
      </c>
      <c r="K425" s="4"/>
      <c r="L425" s="9">
        <v>29.306000000000001</v>
      </c>
      <c r="M425" s="9">
        <v>12.063700000000001</v>
      </c>
      <c r="N425" s="9">
        <v>4.9444999999999997</v>
      </c>
      <c r="O425" s="9">
        <v>0.37409999999999999</v>
      </c>
      <c r="P425" s="9">
        <v>1.2927</v>
      </c>
      <c r="Q425" s="9">
        <v>20.201499999999999</v>
      </c>
      <c r="R425" s="9"/>
      <c r="S425" s="11"/>
    </row>
    <row r="426" spans="1:19" ht="15.75">
      <c r="A426" s="13">
        <v>54116</v>
      </c>
      <c r="B426" s="8">
        <f>CHOOSE( CONTROL!$C$32, 11.5055, 11.5053) * CHOOSE(CONTROL!$C$15, $D$11, 100%, $F$11)</f>
        <v>11.5055</v>
      </c>
      <c r="C426" s="8">
        <f>CHOOSE( CONTROL!$C$32, 11.5106, 11.5103) * CHOOSE(CONTROL!$C$15, $D$11, 100%, $F$11)</f>
        <v>11.5106</v>
      </c>
      <c r="D426" s="8">
        <f>CHOOSE( CONTROL!$C$32, 11.5027, 11.5024) * CHOOSE( CONTROL!$C$15, $D$11, 100%, $F$11)</f>
        <v>11.502700000000001</v>
      </c>
      <c r="E426" s="12">
        <f>CHOOSE( CONTROL!$C$32, 11.505, 11.5048) * CHOOSE( CONTROL!$C$15, $D$11, 100%, $F$11)</f>
        <v>11.505000000000001</v>
      </c>
      <c r="F426" s="4">
        <f>CHOOSE( CONTROL!$C$32, 12.1708, 12.1706) * CHOOSE(CONTROL!$C$15, $D$11, 100%, $F$11)</f>
        <v>12.1708</v>
      </c>
      <c r="G426" s="8">
        <f>CHOOSE( CONTROL!$C$32, 11.3807, 11.3804) * CHOOSE( CONTROL!$C$15, $D$11, 100%, $F$11)</f>
        <v>11.380699999999999</v>
      </c>
      <c r="H426" s="4">
        <f>CHOOSE( CONTROL!$C$32, 12.2749, 12.2747) * CHOOSE(CONTROL!$C$15, $D$11, 100%, $F$11)</f>
        <v>12.274900000000001</v>
      </c>
      <c r="I426" s="8">
        <f>CHOOSE( CONTROL!$C$32, 11.295, 11.2948) * CHOOSE(CONTROL!$C$15, $D$11, 100%, $F$11)</f>
        <v>11.295</v>
      </c>
      <c r="J426" s="4">
        <f>CHOOSE( CONTROL!$C$32, 11.1574, 11.1571) * CHOOSE(CONTROL!$C$15, $D$11, 100%, $F$11)</f>
        <v>11.157400000000001</v>
      </c>
      <c r="K426" s="4"/>
      <c r="L426" s="9">
        <v>27.415299999999998</v>
      </c>
      <c r="M426" s="9">
        <v>11.285299999999999</v>
      </c>
      <c r="N426" s="9">
        <v>4.6254999999999997</v>
      </c>
      <c r="O426" s="9">
        <v>0.34989999999999999</v>
      </c>
      <c r="P426" s="9">
        <v>1.2093</v>
      </c>
      <c r="Q426" s="9">
        <v>18.898099999999999</v>
      </c>
      <c r="R426" s="9"/>
      <c r="S426" s="11"/>
    </row>
    <row r="427" spans="1:19" ht="15.75">
      <c r="A427" s="13">
        <v>54148</v>
      </c>
      <c r="B427" s="8">
        <f>CHOOSE( CONTROL!$C$32, 11.2608, 11.2605) * CHOOSE(CONTROL!$C$15, $D$11, 100%, $F$11)</f>
        <v>11.2608</v>
      </c>
      <c r="C427" s="8">
        <f>CHOOSE( CONTROL!$C$32, 11.2659, 11.2656) * CHOOSE(CONTROL!$C$15, $D$11, 100%, $F$11)</f>
        <v>11.2659</v>
      </c>
      <c r="D427" s="8">
        <f>CHOOSE( CONTROL!$C$32, 11.2532, 11.2529) * CHOOSE( CONTROL!$C$15, $D$11, 100%, $F$11)</f>
        <v>11.2532</v>
      </c>
      <c r="E427" s="12">
        <f>CHOOSE( CONTROL!$C$32, 11.2573, 11.257) * CHOOSE( CONTROL!$C$15, $D$11, 100%, $F$11)</f>
        <v>11.257300000000001</v>
      </c>
      <c r="F427" s="4">
        <f>CHOOSE( CONTROL!$C$32, 11.9261, 11.9258) * CHOOSE(CONTROL!$C$15, $D$11, 100%, $F$11)</f>
        <v>11.9261</v>
      </c>
      <c r="G427" s="8">
        <f>CHOOSE( CONTROL!$C$32, 11.1354, 11.1351) * CHOOSE( CONTROL!$C$15, $D$11, 100%, $F$11)</f>
        <v>11.135400000000001</v>
      </c>
      <c r="H427" s="4">
        <f>CHOOSE( CONTROL!$C$32, 12.0331, 12.0328) * CHOOSE(CONTROL!$C$15, $D$11, 100%, $F$11)</f>
        <v>12.033099999999999</v>
      </c>
      <c r="I427" s="8">
        <f>CHOOSE( CONTROL!$C$32, 11.0558, 11.0555) * CHOOSE(CONTROL!$C$15, $D$11, 100%, $F$11)</f>
        <v>11.0558</v>
      </c>
      <c r="J427" s="4">
        <f>CHOOSE( CONTROL!$C$32, 10.9199, 10.9196) * CHOOSE(CONTROL!$C$15, $D$11, 100%, $F$11)</f>
        <v>10.9199</v>
      </c>
      <c r="K427" s="4"/>
      <c r="L427" s="9">
        <v>29.306000000000001</v>
      </c>
      <c r="M427" s="9">
        <v>12.063700000000001</v>
      </c>
      <c r="N427" s="9">
        <v>4.9444999999999997</v>
      </c>
      <c r="O427" s="9">
        <v>0.37409999999999999</v>
      </c>
      <c r="P427" s="9">
        <v>1.2927</v>
      </c>
      <c r="Q427" s="9">
        <v>20.201499999999999</v>
      </c>
      <c r="R427" s="9"/>
      <c r="S427" s="11"/>
    </row>
    <row r="428" spans="1:19" ht="15.75">
      <c r="A428" s="13">
        <v>54178</v>
      </c>
      <c r="B428" s="8">
        <f>CHOOSE( CONTROL!$C$32, 11.4326, 11.4323) * CHOOSE(CONTROL!$C$15, $D$11, 100%, $F$11)</f>
        <v>11.432600000000001</v>
      </c>
      <c r="C428" s="8">
        <f>CHOOSE( CONTROL!$C$32, 11.4371, 11.4368) * CHOOSE(CONTROL!$C$15, $D$11, 100%, $F$11)</f>
        <v>11.437099999999999</v>
      </c>
      <c r="D428" s="8">
        <f>CHOOSE( CONTROL!$C$32, 11.442, 11.4417) * CHOOSE( CONTROL!$C$15, $D$11, 100%, $F$11)</f>
        <v>11.442</v>
      </c>
      <c r="E428" s="12">
        <f>CHOOSE( CONTROL!$C$32, 11.4399, 11.4396) * CHOOSE( CONTROL!$C$15, $D$11, 100%, $F$11)</f>
        <v>11.4399</v>
      </c>
      <c r="F428" s="4">
        <f>CHOOSE( CONTROL!$C$32, 12.1368, 12.1365) * CHOOSE(CONTROL!$C$15, $D$11, 100%, $F$11)</f>
        <v>12.136799999999999</v>
      </c>
      <c r="G428" s="8">
        <f>CHOOSE( CONTROL!$C$32, 11.3102, 11.3099) * CHOOSE( CONTROL!$C$15, $D$11, 100%, $F$11)</f>
        <v>11.3102</v>
      </c>
      <c r="H428" s="4">
        <f>CHOOSE( CONTROL!$C$32, 12.2413, 12.241) * CHOOSE(CONTROL!$C$15, $D$11, 100%, $F$11)</f>
        <v>12.241300000000001</v>
      </c>
      <c r="I428" s="8">
        <f>CHOOSE( CONTROL!$C$32, 11.1961, 11.1958) * CHOOSE(CONTROL!$C$15, $D$11, 100%, $F$11)</f>
        <v>11.196099999999999</v>
      </c>
      <c r="J428" s="4">
        <f>CHOOSE( CONTROL!$C$32, 11.0858, 11.0856) * CHOOSE(CONTROL!$C$15, $D$11, 100%, $F$11)</f>
        <v>11.085800000000001</v>
      </c>
      <c r="K428" s="4"/>
      <c r="L428" s="9">
        <v>30.092199999999998</v>
      </c>
      <c r="M428" s="9">
        <v>11.6745</v>
      </c>
      <c r="N428" s="9">
        <v>4.7850000000000001</v>
      </c>
      <c r="O428" s="9">
        <v>0.36199999999999999</v>
      </c>
      <c r="P428" s="9">
        <v>1.2509999999999999</v>
      </c>
      <c r="Q428" s="9">
        <v>19.549800000000001</v>
      </c>
      <c r="R428" s="9"/>
      <c r="S428" s="11"/>
    </row>
    <row r="429" spans="1:19" ht="15.75">
      <c r="A429" s="13">
        <v>54209</v>
      </c>
      <c r="B429" s="8">
        <f>CHOOSE( CONTROL!$C$32, 11.7385, 11.738) * CHOOSE(CONTROL!$C$15, $D$11, 100%, $F$11)</f>
        <v>11.7385</v>
      </c>
      <c r="C429" s="8">
        <f>CHOOSE( CONTROL!$C$32, 11.7465, 11.746) * CHOOSE(CONTROL!$C$15, $D$11, 100%, $F$11)</f>
        <v>11.746499999999999</v>
      </c>
      <c r="D429" s="8">
        <f>CHOOSE( CONTROL!$C$32, 11.7453, 11.7448) * CHOOSE( CONTROL!$C$15, $D$11, 100%, $F$11)</f>
        <v>11.7453</v>
      </c>
      <c r="E429" s="12">
        <f>CHOOSE( CONTROL!$C$32, 11.7445, 11.744) * CHOOSE( CONTROL!$C$15, $D$11, 100%, $F$11)</f>
        <v>11.7445</v>
      </c>
      <c r="F429" s="4">
        <f>CHOOSE( CONTROL!$C$32, 12.4413, 12.4409) * CHOOSE(CONTROL!$C$15, $D$11, 100%, $F$11)</f>
        <v>12.4413</v>
      </c>
      <c r="G429" s="8">
        <f>CHOOSE( CONTROL!$C$32, 11.6109, 11.6105) * CHOOSE( CONTROL!$C$15, $D$11, 100%, $F$11)</f>
        <v>11.610900000000001</v>
      </c>
      <c r="H429" s="4">
        <f>CHOOSE( CONTROL!$C$32, 12.5423, 12.5418) * CHOOSE(CONTROL!$C$15, $D$11, 100%, $F$11)</f>
        <v>12.542299999999999</v>
      </c>
      <c r="I429" s="8">
        <f>CHOOSE( CONTROL!$C$32, 11.491, 11.4905) * CHOOSE(CONTROL!$C$15, $D$11, 100%, $F$11)</f>
        <v>11.491</v>
      </c>
      <c r="J429" s="4">
        <f>CHOOSE( CONTROL!$C$32, 11.3814, 11.381) * CHOOSE(CONTROL!$C$15, $D$11, 100%, $F$11)</f>
        <v>11.381399999999999</v>
      </c>
      <c r="K429" s="4"/>
      <c r="L429" s="9">
        <v>30.7165</v>
      </c>
      <c r="M429" s="9">
        <v>12.063700000000001</v>
      </c>
      <c r="N429" s="9">
        <v>4.9444999999999997</v>
      </c>
      <c r="O429" s="9">
        <v>0.37409999999999999</v>
      </c>
      <c r="P429" s="9">
        <v>1.2927</v>
      </c>
      <c r="Q429" s="9">
        <v>20.201499999999999</v>
      </c>
      <c r="R429" s="9"/>
      <c r="S429" s="11"/>
    </row>
    <row r="430" spans="1:19" ht="15.75">
      <c r="A430" s="13">
        <v>54239</v>
      </c>
      <c r="B430" s="8">
        <f>CHOOSE( CONTROL!$C$32, 11.55, 11.5495) * CHOOSE(CONTROL!$C$15, $D$11, 100%, $F$11)</f>
        <v>11.55</v>
      </c>
      <c r="C430" s="8">
        <f>CHOOSE( CONTROL!$C$32, 11.5579, 11.5575) * CHOOSE(CONTROL!$C$15, $D$11, 100%, $F$11)</f>
        <v>11.5579</v>
      </c>
      <c r="D430" s="8">
        <f>CHOOSE( CONTROL!$C$32, 11.5569, 11.5565) * CHOOSE( CONTROL!$C$15, $D$11, 100%, $F$11)</f>
        <v>11.556900000000001</v>
      </c>
      <c r="E430" s="12">
        <f>CHOOSE( CONTROL!$C$32, 11.5561, 11.5556) * CHOOSE( CONTROL!$C$15, $D$11, 100%, $F$11)</f>
        <v>11.556100000000001</v>
      </c>
      <c r="F430" s="4">
        <f>CHOOSE( CONTROL!$C$32, 12.2528, 12.2523) * CHOOSE(CONTROL!$C$15, $D$11, 100%, $F$11)</f>
        <v>12.252800000000001</v>
      </c>
      <c r="G430" s="8">
        <f>CHOOSE( CONTROL!$C$32, 11.4248, 11.4243) * CHOOSE( CONTROL!$C$15, $D$11, 100%, $F$11)</f>
        <v>11.424799999999999</v>
      </c>
      <c r="H430" s="4">
        <f>CHOOSE( CONTROL!$C$32, 12.3559, 12.3555) * CHOOSE(CONTROL!$C$15, $D$11, 100%, $F$11)</f>
        <v>12.3559</v>
      </c>
      <c r="I430" s="8">
        <f>CHOOSE( CONTROL!$C$32, 11.3085, 11.3081) * CHOOSE(CONTROL!$C$15, $D$11, 100%, $F$11)</f>
        <v>11.3085</v>
      </c>
      <c r="J430" s="4">
        <f>CHOOSE( CONTROL!$C$32, 11.1984, 11.198) * CHOOSE(CONTROL!$C$15, $D$11, 100%, $F$11)</f>
        <v>11.198399999999999</v>
      </c>
      <c r="K430" s="4"/>
      <c r="L430" s="9">
        <v>29.7257</v>
      </c>
      <c r="M430" s="9">
        <v>11.6745</v>
      </c>
      <c r="N430" s="9">
        <v>4.7850000000000001</v>
      </c>
      <c r="O430" s="9">
        <v>0.36199999999999999</v>
      </c>
      <c r="P430" s="9">
        <v>1.2509999999999999</v>
      </c>
      <c r="Q430" s="9">
        <v>19.549800000000001</v>
      </c>
      <c r="R430" s="9"/>
      <c r="S430" s="11"/>
    </row>
    <row r="431" spans="1:19" ht="15.75">
      <c r="A431" s="13">
        <v>54270</v>
      </c>
      <c r="B431" s="8">
        <f>CHOOSE( CONTROL!$C$32, 12.0465, 12.046) * CHOOSE(CONTROL!$C$15, $D$11, 100%, $F$11)</f>
        <v>12.0465</v>
      </c>
      <c r="C431" s="8">
        <f>CHOOSE( CONTROL!$C$32, 12.0544, 12.054) * CHOOSE(CONTROL!$C$15, $D$11, 100%, $F$11)</f>
        <v>12.054399999999999</v>
      </c>
      <c r="D431" s="8">
        <f>CHOOSE( CONTROL!$C$32, 12.0536, 12.0532) * CHOOSE( CONTROL!$C$15, $D$11, 100%, $F$11)</f>
        <v>12.053599999999999</v>
      </c>
      <c r="E431" s="12">
        <f>CHOOSE( CONTROL!$C$32, 12.0527, 12.0523) * CHOOSE( CONTROL!$C$15, $D$11, 100%, $F$11)</f>
        <v>12.0527</v>
      </c>
      <c r="F431" s="4">
        <f>CHOOSE( CONTROL!$C$32, 12.7493, 12.7488) * CHOOSE(CONTROL!$C$15, $D$11, 100%, $F$11)</f>
        <v>12.7493</v>
      </c>
      <c r="G431" s="8">
        <f>CHOOSE( CONTROL!$C$32, 11.9156, 11.9152) * CHOOSE( CONTROL!$C$15, $D$11, 100%, $F$11)</f>
        <v>11.9156</v>
      </c>
      <c r="H431" s="4">
        <f>CHOOSE( CONTROL!$C$32, 12.8466, 12.8462) * CHOOSE(CONTROL!$C$15, $D$11, 100%, $F$11)</f>
        <v>12.8466</v>
      </c>
      <c r="I431" s="8">
        <f>CHOOSE( CONTROL!$C$32, 11.7914, 11.791) * CHOOSE(CONTROL!$C$15, $D$11, 100%, $F$11)</f>
        <v>11.791399999999999</v>
      </c>
      <c r="J431" s="4">
        <f>CHOOSE( CONTROL!$C$32, 11.6803, 11.6798) * CHOOSE(CONTROL!$C$15, $D$11, 100%, $F$11)</f>
        <v>11.680300000000001</v>
      </c>
      <c r="K431" s="4"/>
      <c r="L431" s="9">
        <v>30.7165</v>
      </c>
      <c r="M431" s="9">
        <v>12.063700000000001</v>
      </c>
      <c r="N431" s="9">
        <v>4.9444999999999997</v>
      </c>
      <c r="O431" s="9">
        <v>0.37409999999999999</v>
      </c>
      <c r="P431" s="9">
        <v>1.2927</v>
      </c>
      <c r="Q431" s="9">
        <v>20.201499999999999</v>
      </c>
      <c r="R431" s="9"/>
      <c r="S431" s="11"/>
    </row>
    <row r="432" spans="1:19" ht="15.75">
      <c r="A432" s="13">
        <v>54301</v>
      </c>
      <c r="B432" s="8">
        <f>CHOOSE( CONTROL!$C$32, 11.1175, 11.117) * CHOOSE(CONTROL!$C$15, $D$11, 100%, $F$11)</f>
        <v>11.1175</v>
      </c>
      <c r="C432" s="8">
        <f>CHOOSE( CONTROL!$C$32, 11.1254, 11.125) * CHOOSE(CONTROL!$C$15, $D$11, 100%, $F$11)</f>
        <v>11.125400000000001</v>
      </c>
      <c r="D432" s="8">
        <f>CHOOSE( CONTROL!$C$32, 11.1247, 11.1242) * CHOOSE( CONTROL!$C$15, $D$11, 100%, $F$11)</f>
        <v>11.124700000000001</v>
      </c>
      <c r="E432" s="12">
        <f>CHOOSE( CONTROL!$C$32, 11.1237, 11.1233) * CHOOSE( CONTROL!$C$15, $D$11, 100%, $F$11)</f>
        <v>11.123699999999999</v>
      </c>
      <c r="F432" s="4">
        <f>CHOOSE( CONTROL!$C$32, 11.8203, 11.8198) * CHOOSE(CONTROL!$C$15, $D$11, 100%, $F$11)</f>
        <v>11.8203</v>
      </c>
      <c r="G432" s="8">
        <f>CHOOSE( CONTROL!$C$32, 10.9976, 10.9971) * CHOOSE( CONTROL!$C$15, $D$11, 100%, $F$11)</f>
        <v>10.9976</v>
      </c>
      <c r="H432" s="4">
        <f>CHOOSE( CONTROL!$C$32, 11.9285, 11.928) * CHOOSE(CONTROL!$C$15, $D$11, 100%, $F$11)</f>
        <v>11.9285</v>
      </c>
      <c r="I432" s="8">
        <f>CHOOSE( CONTROL!$C$32, 10.8896, 10.8891) * CHOOSE(CONTROL!$C$15, $D$11, 100%, $F$11)</f>
        <v>10.8896</v>
      </c>
      <c r="J432" s="4">
        <f>CHOOSE( CONTROL!$C$32, 10.7787, 10.7782) * CHOOSE(CONTROL!$C$15, $D$11, 100%, $F$11)</f>
        <v>10.778700000000001</v>
      </c>
      <c r="K432" s="4"/>
      <c r="L432" s="9">
        <v>30.7165</v>
      </c>
      <c r="M432" s="9">
        <v>12.063700000000001</v>
      </c>
      <c r="N432" s="9">
        <v>4.9444999999999997</v>
      </c>
      <c r="O432" s="9">
        <v>0.37409999999999999</v>
      </c>
      <c r="P432" s="9">
        <v>1.2927</v>
      </c>
      <c r="Q432" s="9">
        <v>20.201499999999999</v>
      </c>
      <c r="R432" s="9"/>
      <c r="S432" s="11"/>
    </row>
    <row r="433" spans="1:19" ht="15.75">
      <c r="A433" s="13">
        <v>54331</v>
      </c>
      <c r="B433" s="8">
        <f>CHOOSE( CONTROL!$C$32, 10.8848, 10.8844) * CHOOSE(CONTROL!$C$15, $D$11, 100%, $F$11)</f>
        <v>10.8848</v>
      </c>
      <c r="C433" s="8">
        <f>CHOOSE( CONTROL!$C$32, 10.8928, 10.8923) * CHOOSE(CONTROL!$C$15, $D$11, 100%, $F$11)</f>
        <v>10.892799999999999</v>
      </c>
      <c r="D433" s="8">
        <f>CHOOSE( CONTROL!$C$32, 10.8919, 10.8914) * CHOOSE( CONTROL!$C$15, $D$11, 100%, $F$11)</f>
        <v>10.8919</v>
      </c>
      <c r="E433" s="12">
        <f>CHOOSE( CONTROL!$C$32, 10.891, 10.8905) * CHOOSE( CONTROL!$C$15, $D$11, 100%, $F$11)</f>
        <v>10.891</v>
      </c>
      <c r="F433" s="4">
        <f>CHOOSE( CONTROL!$C$32, 11.5876, 11.5872) * CHOOSE(CONTROL!$C$15, $D$11, 100%, $F$11)</f>
        <v>11.5876</v>
      </c>
      <c r="G433" s="8">
        <f>CHOOSE( CONTROL!$C$32, 10.7675, 10.7671) * CHOOSE( CONTROL!$C$15, $D$11, 100%, $F$11)</f>
        <v>10.7675</v>
      </c>
      <c r="H433" s="4">
        <f>CHOOSE( CONTROL!$C$32, 11.6986, 11.6981) * CHOOSE(CONTROL!$C$15, $D$11, 100%, $F$11)</f>
        <v>11.698600000000001</v>
      </c>
      <c r="I433" s="8">
        <f>CHOOSE( CONTROL!$C$32, 10.6632, 10.6627) * CHOOSE(CONTROL!$C$15, $D$11, 100%, $F$11)</f>
        <v>10.6632</v>
      </c>
      <c r="J433" s="4">
        <f>CHOOSE( CONTROL!$C$32, 10.5529, 10.5525) * CHOOSE(CONTROL!$C$15, $D$11, 100%, $F$11)</f>
        <v>10.552899999999999</v>
      </c>
      <c r="K433" s="4"/>
      <c r="L433" s="9">
        <v>29.7257</v>
      </c>
      <c r="M433" s="9">
        <v>11.6745</v>
      </c>
      <c r="N433" s="9">
        <v>4.7850000000000001</v>
      </c>
      <c r="O433" s="9">
        <v>0.36199999999999999</v>
      </c>
      <c r="P433" s="9">
        <v>1.2509999999999999</v>
      </c>
      <c r="Q433" s="9">
        <v>19.549800000000001</v>
      </c>
      <c r="R433" s="9"/>
      <c r="S433" s="11"/>
    </row>
    <row r="434" spans="1:19" ht="15.75">
      <c r="A434" s="13">
        <v>54362</v>
      </c>
      <c r="B434" s="8">
        <f>CHOOSE( CONTROL!$C$32, 11.3659, 11.3657) * CHOOSE(CONTROL!$C$15, $D$11, 100%, $F$11)</f>
        <v>11.3659</v>
      </c>
      <c r="C434" s="8">
        <f>CHOOSE( CONTROL!$C$32, 11.3713, 11.371) * CHOOSE(CONTROL!$C$15, $D$11, 100%, $F$11)</f>
        <v>11.3713</v>
      </c>
      <c r="D434" s="8">
        <f>CHOOSE( CONTROL!$C$32, 11.376, 11.3757) * CHOOSE( CONTROL!$C$15, $D$11, 100%, $F$11)</f>
        <v>11.375999999999999</v>
      </c>
      <c r="E434" s="12">
        <f>CHOOSE( CONTROL!$C$32, 11.3739, 11.3736) * CHOOSE( CONTROL!$C$15, $D$11, 100%, $F$11)</f>
        <v>11.373900000000001</v>
      </c>
      <c r="F434" s="4">
        <f>CHOOSE( CONTROL!$C$32, 12.0705, 12.0702) * CHOOSE(CONTROL!$C$15, $D$11, 100%, $F$11)</f>
        <v>12.070499999999999</v>
      </c>
      <c r="G434" s="8">
        <f>CHOOSE( CONTROL!$C$32, 11.2449, 11.2446) * CHOOSE( CONTROL!$C$15, $D$11, 100%, $F$11)</f>
        <v>11.244899999999999</v>
      </c>
      <c r="H434" s="4">
        <f>CHOOSE( CONTROL!$C$32, 12.1758, 12.1755) * CHOOSE(CONTROL!$C$15, $D$11, 100%, $F$11)</f>
        <v>12.175800000000001</v>
      </c>
      <c r="I434" s="8">
        <f>CHOOSE( CONTROL!$C$32, 11.1328, 11.1325) * CHOOSE(CONTROL!$C$15, $D$11, 100%, $F$11)</f>
        <v>11.1328</v>
      </c>
      <c r="J434" s="4">
        <f>CHOOSE( CONTROL!$C$32, 11.0215, 11.0212) * CHOOSE(CONTROL!$C$15, $D$11, 100%, $F$11)</f>
        <v>11.0215</v>
      </c>
      <c r="K434" s="4"/>
      <c r="L434" s="9">
        <v>31.095300000000002</v>
      </c>
      <c r="M434" s="9">
        <v>12.063700000000001</v>
      </c>
      <c r="N434" s="9">
        <v>4.9444999999999997</v>
      </c>
      <c r="O434" s="9">
        <v>0.37409999999999999</v>
      </c>
      <c r="P434" s="9">
        <v>1.2927</v>
      </c>
      <c r="Q434" s="9">
        <v>20.201499999999999</v>
      </c>
      <c r="R434" s="9"/>
      <c r="S434" s="11"/>
    </row>
    <row r="435" spans="1:19" ht="15.75">
      <c r="A435" s="13">
        <v>54392</v>
      </c>
      <c r="B435" s="8">
        <f>CHOOSE( CONTROL!$C$32, 12.2571, 12.2568) * CHOOSE(CONTROL!$C$15, $D$11, 100%, $F$11)</f>
        <v>12.257099999999999</v>
      </c>
      <c r="C435" s="8">
        <f>CHOOSE( CONTROL!$C$32, 12.2622, 12.2619) * CHOOSE(CONTROL!$C$15, $D$11, 100%, $F$11)</f>
        <v>12.2622</v>
      </c>
      <c r="D435" s="8">
        <f>CHOOSE( CONTROL!$C$32, 12.2449, 12.2446) * CHOOSE( CONTROL!$C$15, $D$11, 100%, $F$11)</f>
        <v>12.244899999999999</v>
      </c>
      <c r="E435" s="12">
        <f>CHOOSE( CONTROL!$C$32, 12.2507, 12.2504) * CHOOSE( CONTROL!$C$15, $D$11, 100%, $F$11)</f>
        <v>12.2507</v>
      </c>
      <c r="F435" s="4">
        <f>CHOOSE( CONTROL!$C$32, 12.9224, 12.9221) * CHOOSE(CONTROL!$C$15, $D$11, 100%, $F$11)</f>
        <v>12.9224</v>
      </c>
      <c r="G435" s="8">
        <f>CHOOSE( CONTROL!$C$32, 12.1229, 12.1227) * CHOOSE( CONTROL!$C$15, $D$11, 100%, $F$11)</f>
        <v>12.1229</v>
      </c>
      <c r="H435" s="4">
        <f>CHOOSE( CONTROL!$C$32, 13.0177, 13.0174) * CHOOSE(CONTROL!$C$15, $D$11, 100%, $F$11)</f>
        <v>13.0177</v>
      </c>
      <c r="I435" s="8">
        <f>CHOOSE( CONTROL!$C$32, 12.0541, 12.0539) * CHOOSE(CONTROL!$C$15, $D$11, 100%, $F$11)</f>
        <v>12.0541</v>
      </c>
      <c r="J435" s="4">
        <f>CHOOSE( CONTROL!$C$32, 11.8868, 11.8865) * CHOOSE(CONTROL!$C$15, $D$11, 100%, $F$11)</f>
        <v>11.886799999999999</v>
      </c>
      <c r="K435" s="4"/>
      <c r="L435" s="9">
        <v>28.360600000000002</v>
      </c>
      <c r="M435" s="9">
        <v>11.6745</v>
      </c>
      <c r="N435" s="9">
        <v>4.7850000000000001</v>
      </c>
      <c r="O435" s="9">
        <v>0.36199999999999999</v>
      </c>
      <c r="P435" s="9">
        <v>1.2509999999999999</v>
      </c>
      <c r="Q435" s="9">
        <v>19.549800000000001</v>
      </c>
      <c r="R435" s="9"/>
      <c r="S435" s="11"/>
    </row>
    <row r="436" spans="1:19" ht="15.75">
      <c r="A436" s="13">
        <v>54423</v>
      </c>
      <c r="B436" s="8">
        <f>CHOOSE( CONTROL!$C$32, 12.2348, 12.2346) * CHOOSE(CONTROL!$C$15, $D$11, 100%, $F$11)</f>
        <v>12.2348</v>
      </c>
      <c r="C436" s="8">
        <f>CHOOSE( CONTROL!$C$32, 12.2399, 12.2396) * CHOOSE(CONTROL!$C$15, $D$11, 100%, $F$11)</f>
        <v>12.2399</v>
      </c>
      <c r="D436" s="8">
        <f>CHOOSE( CONTROL!$C$32, 12.2244, 12.2241) * CHOOSE( CONTROL!$C$15, $D$11, 100%, $F$11)</f>
        <v>12.224399999999999</v>
      </c>
      <c r="E436" s="12">
        <f>CHOOSE( CONTROL!$C$32, 12.2295, 12.2292) * CHOOSE( CONTROL!$C$15, $D$11, 100%, $F$11)</f>
        <v>12.2295</v>
      </c>
      <c r="F436" s="4">
        <f>CHOOSE( CONTROL!$C$32, 12.9001, 12.8998) * CHOOSE(CONTROL!$C$15, $D$11, 100%, $F$11)</f>
        <v>12.9001</v>
      </c>
      <c r="G436" s="8">
        <f>CHOOSE( CONTROL!$C$32, 12.1022, 12.1019) * CHOOSE( CONTROL!$C$15, $D$11, 100%, $F$11)</f>
        <v>12.1022</v>
      </c>
      <c r="H436" s="4">
        <f>CHOOSE( CONTROL!$C$32, 12.9957, 12.9954) * CHOOSE(CONTROL!$C$15, $D$11, 100%, $F$11)</f>
        <v>12.995699999999999</v>
      </c>
      <c r="I436" s="8">
        <f>CHOOSE( CONTROL!$C$32, 12.0381, 12.0378) * CHOOSE(CONTROL!$C$15, $D$11, 100%, $F$11)</f>
        <v>12.0381</v>
      </c>
      <c r="J436" s="4">
        <f>CHOOSE( CONTROL!$C$32, 11.8651, 11.8649) * CHOOSE(CONTROL!$C$15, $D$11, 100%, $F$11)</f>
        <v>11.8651</v>
      </c>
      <c r="K436" s="4"/>
      <c r="L436" s="9">
        <v>29.306000000000001</v>
      </c>
      <c r="M436" s="9">
        <v>12.063700000000001</v>
      </c>
      <c r="N436" s="9">
        <v>4.9444999999999997</v>
      </c>
      <c r="O436" s="9">
        <v>0.37409999999999999</v>
      </c>
      <c r="P436" s="9">
        <v>1.2927</v>
      </c>
      <c r="Q436" s="9">
        <v>20.201499999999999</v>
      </c>
      <c r="R436" s="9"/>
      <c r="S436" s="11"/>
    </row>
    <row r="437" spans="1:19" ht="15.75">
      <c r="A437" s="13">
        <v>54454</v>
      </c>
      <c r="B437" s="8">
        <f>CHOOSE( CONTROL!$C$32, 12.5954, 12.5952) * CHOOSE(CONTROL!$C$15, $D$11, 100%, $F$11)</f>
        <v>12.5954</v>
      </c>
      <c r="C437" s="8">
        <f>CHOOSE( CONTROL!$C$32, 12.6005, 12.6002) * CHOOSE(CONTROL!$C$15, $D$11, 100%, $F$11)</f>
        <v>12.6005</v>
      </c>
      <c r="D437" s="8">
        <f>CHOOSE( CONTROL!$C$32, 12.591, 12.5907) * CHOOSE( CONTROL!$C$15, $D$11, 100%, $F$11)</f>
        <v>12.590999999999999</v>
      </c>
      <c r="E437" s="12">
        <f>CHOOSE( CONTROL!$C$32, 12.5939, 12.5936) * CHOOSE( CONTROL!$C$15, $D$11, 100%, $F$11)</f>
        <v>12.5939</v>
      </c>
      <c r="F437" s="4">
        <f>CHOOSE( CONTROL!$C$32, 13.2607, 13.2605) * CHOOSE(CONTROL!$C$15, $D$11, 100%, $F$11)</f>
        <v>13.2607</v>
      </c>
      <c r="G437" s="8">
        <f>CHOOSE( CONTROL!$C$32, 12.4593, 12.459) * CHOOSE( CONTROL!$C$15, $D$11, 100%, $F$11)</f>
        <v>12.459300000000001</v>
      </c>
      <c r="H437" s="4">
        <f>CHOOSE( CONTROL!$C$32, 13.3521, 13.3518) * CHOOSE(CONTROL!$C$15, $D$11, 100%, $F$11)</f>
        <v>13.3521</v>
      </c>
      <c r="I437" s="8">
        <f>CHOOSE( CONTROL!$C$32, 12.3687, 12.3684) * CHOOSE(CONTROL!$C$15, $D$11, 100%, $F$11)</f>
        <v>12.3687</v>
      </c>
      <c r="J437" s="4">
        <f>CHOOSE( CONTROL!$C$32, 12.2151, 12.2149) * CHOOSE(CONTROL!$C$15, $D$11, 100%, $F$11)</f>
        <v>12.2151</v>
      </c>
      <c r="K437" s="4"/>
      <c r="L437" s="9">
        <v>29.306000000000001</v>
      </c>
      <c r="M437" s="9">
        <v>12.063700000000001</v>
      </c>
      <c r="N437" s="9">
        <v>4.9444999999999997</v>
      </c>
      <c r="O437" s="9">
        <v>0.37409999999999999</v>
      </c>
      <c r="P437" s="9">
        <v>1.2927</v>
      </c>
      <c r="Q437" s="9">
        <v>20.136399999999998</v>
      </c>
      <c r="R437" s="9"/>
      <c r="S437" s="11"/>
    </row>
    <row r="438" spans="1:19" ht="15.75">
      <c r="A438" s="13">
        <v>54482</v>
      </c>
      <c r="B438" s="8">
        <f>CHOOSE( CONTROL!$C$32, 11.7818, 11.7815) * CHOOSE(CONTROL!$C$15, $D$11, 100%, $F$11)</f>
        <v>11.7818</v>
      </c>
      <c r="C438" s="8">
        <f>CHOOSE( CONTROL!$C$32, 11.7868, 11.7866) * CHOOSE(CONTROL!$C$15, $D$11, 100%, $F$11)</f>
        <v>11.786799999999999</v>
      </c>
      <c r="D438" s="8">
        <f>CHOOSE( CONTROL!$C$32, 11.7789, 11.7787) * CHOOSE( CONTROL!$C$15, $D$11, 100%, $F$11)</f>
        <v>11.7789</v>
      </c>
      <c r="E438" s="12">
        <f>CHOOSE( CONTROL!$C$32, 11.7813, 11.781) * CHOOSE( CONTROL!$C$15, $D$11, 100%, $F$11)</f>
        <v>11.7813</v>
      </c>
      <c r="F438" s="4">
        <f>CHOOSE( CONTROL!$C$32, 12.447, 12.4468) * CHOOSE(CONTROL!$C$15, $D$11, 100%, $F$11)</f>
        <v>12.446999999999999</v>
      </c>
      <c r="G438" s="8">
        <f>CHOOSE( CONTROL!$C$32, 11.6537, 11.6534) * CHOOSE( CONTROL!$C$15, $D$11, 100%, $F$11)</f>
        <v>11.653700000000001</v>
      </c>
      <c r="H438" s="4">
        <f>CHOOSE( CONTROL!$C$32, 12.5479, 12.5477) * CHOOSE(CONTROL!$C$15, $D$11, 100%, $F$11)</f>
        <v>12.5479</v>
      </c>
      <c r="I438" s="8">
        <f>CHOOSE( CONTROL!$C$32, 11.5633, 11.563) * CHOOSE(CONTROL!$C$15, $D$11, 100%, $F$11)</f>
        <v>11.5633</v>
      </c>
      <c r="J438" s="4">
        <f>CHOOSE( CONTROL!$C$32, 11.4255, 11.4252) * CHOOSE(CONTROL!$C$15, $D$11, 100%, $F$11)</f>
        <v>11.4255</v>
      </c>
      <c r="K438" s="4"/>
      <c r="L438" s="9">
        <v>26.469899999999999</v>
      </c>
      <c r="M438" s="9">
        <v>10.8962</v>
      </c>
      <c r="N438" s="9">
        <v>4.4660000000000002</v>
      </c>
      <c r="O438" s="9">
        <v>0.33789999999999998</v>
      </c>
      <c r="P438" s="9">
        <v>1.1676</v>
      </c>
      <c r="Q438" s="9">
        <v>18.1877</v>
      </c>
      <c r="R438" s="9"/>
      <c r="S438" s="11"/>
    </row>
    <row r="439" spans="1:19" ht="15.75">
      <c r="A439" s="13">
        <v>54513</v>
      </c>
      <c r="B439" s="8">
        <f>CHOOSE( CONTROL!$C$32, 11.5312, 11.5309) * CHOOSE(CONTROL!$C$15, $D$11, 100%, $F$11)</f>
        <v>11.5312</v>
      </c>
      <c r="C439" s="8">
        <f>CHOOSE( CONTROL!$C$32, 11.5362, 11.536) * CHOOSE(CONTROL!$C$15, $D$11, 100%, $F$11)</f>
        <v>11.536199999999999</v>
      </c>
      <c r="D439" s="8">
        <f>CHOOSE( CONTROL!$C$32, 11.5235, 11.5233) * CHOOSE( CONTROL!$C$15, $D$11, 100%, $F$11)</f>
        <v>11.5235</v>
      </c>
      <c r="E439" s="12">
        <f>CHOOSE( CONTROL!$C$32, 11.5276, 11.5274) * CHOOSE( CONTROL!$C$15, $D$11, 100%, $F$11)</f>
        <v>11.5276</v>
      </c>
      <c r="F439" s="4">
        <f>CHOOSE( CONTROL!$C$32, 12.1964, 12.1962) * CHOOSE(CONTROL!$C$15, $D$11, 100%, $F$11)</f>
        <v>12.196400000000001</v>
      </c>
      <c r="G439" s="8">
        <f>CHOOSE( CONTROL!$C$32, 11.4026, 11.4023) * CHOOSE( CONTROL!$C$15, $D$11, 100%, $F$11)</f>
        <v>11.4026</v>
      </c>
      <c r="H439" s="4">
        <f>CHOOSE( CONTROL!$C$32, 12.3003, 12.3) * CHOOSE(CONTROL!$C$15, $D$11, 100%, $F$11)</f>
        <v>12.3003</v>
      </c>
      <c r="I439" s="8">
        <f>CHOOSE( CONTROL!$C$32, 11.3183, 11.318) * CHOOSE(CONTROL!$C$15, $D$11, 100%, $F$11)</f>
        <v>11.318300000000001</v>
      </c>
      <c r="J439" s="4">
        <f>CHOOSE( CONTROL!$C$32, 11.1822, 11.182) * CHOOSE(CONTROL!$C$15, $D$11, 100%, $F$11)</f>
        <v>11.1822</v>
      </c>
      <c r="K439" s="4"/>
      <c r="L439" s="9">
        <v>29.306000000000001</v>
      </c>
      <c r="M439" s="9">
        <v>12.063700000000001</v>
      </c>
      <c r="N439" s="9">
        <v>4.9444999999999997</v>
      </c>
      <c r="O439" s="9">
        <v>0.37409999999999999</v>
      </c>
      <c r="P439" s="9">
        <v>1.2927</v>
      </c>
      <c r="Q439" s="9">
        <v>20.136399999999998</v>
      </c>
      <c r="R439" s="9"/>
      <c r="S439" s="11"/>
    </row>
    <row r="440" spans="1:19" ht="15.75">
      <c r="A440" s="13">
        <v>54543</v>
      </c>
      <c r="B440" s="8">
        <f>CHOOSE( CONTROL!$C$32, 11.707, 11.7068) * CHOOSE(CONTROL!$C$15, $D$11, 100%, $F$11)</f>
        <v>11.707000000000001</v>
      </c>
      <c r="C440" s="8">
        <f>CHOOSE( CONTROL!$C$32, 11.7116, 11.7113) * CHOOSE(CONTROL!$C$15, $D$11, 100%, $F$11)</f>
        <v>11.711600000000001</v>
      </c>
      <c r="D440" s="8">
        <f>CHOOSE( CONTROL!$C$32, 11.7164, 11.7161) * CHOOSE( CONTROL!$C$15, $D$11, 100%, $F$11)</f>
        <v>11.7164</v>
      </c>
      <c r="E440" s="12">
        <f>CHOOSE( CONTROL!$C$32, 11.7143, 11.714) * CHOOSE( CONTROL!$C$15, $D$11, 100%, $F$11)</f>
        <v>11.7143</v>
      </c>
      <c r="F440" s="4">
        <f>CHOOSE( CONTROL!$C$32, 12.4112, 12.411) * CHOOSE(CONTROL!$C$15, $D$11, 100%, $F$11)</f>
        <v>12.411199999999999</v>
      </c>
      <c r="G440" s="8">
        <f>CHOOSE( CONTROL!$C$32, 11.5814, 11.5811) * CHOOSE( CONTROL!$C$15, $D$11, 100%, $F$11)</f>
        <v>11.5814</v>
      </c>
      <c r="H440" s="4">
        <f>CHOOSE( CONTROL!$C$32, 12.5125, 12.5123) * CHOOSE(CONTROL!$C$15, $D$11, 100%, $F$11)</f>
        <v>12.512499999999999</v>
      </c>
      <c r="I440" s="8">
        <f>CHOOSE( CONTROL!$C$32, 11.4626, 11.4623) * CHOOSE(CONTROL!$C$15, $D$11, 100%, $F$11)</f>
        <v>11.4626</v>
      </c>
      <c r="J440" s="4">
        <f>CHOOSE( CONTROL!$C$32, 11.3522, 11.3519) * CHOOSE(CONTROL!$C$15, $D$11, 100%, $F$11)</f>
        <v>11.3522</v>
      </c>
      <c r="K440" s="4"/>
      <c r="L440" s="9">
        <v>30.092199999999998</v>
      </c>
      <c r="M440" s="9">
        <v>11.6745</v>
      </c>
      <c r="N440" s="9">
        <v>4.7850000000000001</v>
      </c>
      <c r="O440" s="9">
        <v>0.36199999999999999</v>
      </c>
      <c r="P440" s="9">
        <v>1.2509999999999999</v>
      </c>
      <c r="Q440" s="9">
        <v>19.486799999999999</v>
      </c>
      <c r="R440" s="9"/>
      <c r="S440" s="11"/>
    </row>
    <row r="441" spans="1:19" ht="15.75">
      <c r="A441" s="13">
        <v>54574</v>
      </c>
      <c r="B441" s="8">
        <f>CHOOSE( CONTROL!$C$32, 12.0203, 12.0198) * CHOOSE(CONTROL!$C$15, $D$11, 100%, $F$11)</f>
        <v>12.020300000000001</v>
      </c>
      <c r="C441" s="8">
        <f>CHOOSE( CONTROL!$C$32, 12.0282, 12.0278) * CHOOSE(CONTROL!$C$15, $D$11, 100%, $F$11)</f>
        <v>12.0282</v>
      </c>
      <c r="D441" s="8">
        <f>CHOOSE( CONTROL!$C$32, 12.027, 12.0266) * CHOOSE( CONTROL!$C$15, $D$11, 100%, $F$11)</f>
        <v>12.026999999999999</v>
      </c>
      <c r="E441" s="12">
        <f>CHOOSE( CONTROL!$C$32, 12.0262, 12.0258) * CHOOSE( CONTROL!$C$15, $D$11, 100%, $F$11)</f>
        <v>12.026199999999999</v>
      </c>
      <c r="F441" s="4">
        <f>CHOOSE( CONTROL!$C$32, 12.7231, 12.7226) * CHOOSE(CONTROL!$C$15, $D$11, 100%, $F$11)</f>
        <v>12.723100000000001</v>
      </c>
      <c r="G441" s="8">
        <f>CHOOSE( CONTROL!$C$32, 11.8894, 11.889) * CHOOSE( CONTROL!$C$15, $D$11, 100%, $F$11)</f>
        <v>11.8894</v>
      </c>
      <c r="H441" s="4">
        <f>CHOOSE( CONTROL!$C$32, 12.8207, 12.8203) * CHOOSE(CONTROL!$C$15, $D$11, 100%, $F$11)</f>
        <v>12.8207</v>
      </c>
      <c r="I441" s="8">
        <f>CHOOSE( CONTROL!$C$32, 11.7645, 11.7641) * CHOOSE(CONTROL!$C$15, $D$11, 100%, $F$11)</f>
        <v>11.7645</v>
      </c>
      <c r="J441" s="4">
        <f>CHOOSE( CONTROL!$C$32, 11.6548, 11.6544) * CHOOSE(CONTROL!$C$15, $D$11, 100%, $F$11)</f>
        <v>11.6548</v>
      </c>
      <c r="K441" s="4"/>
      <c r="L441" s="9">
        <v>30.7165</v>
      </c>
      <c r="M441" s="9">
        <v>12.063700000000001</v>
      </c>
      <c r="N441" s="9">
        <v>4.9444999999999997</v>
      </c>
      <c r="O441" s="9">
        <v>0.37409999999999999</v>
      </c>
      <c r="P441" s="9">
        <v>1.2927</v>
      </c>
      <c r="Q441" s="9">
        <v>20.136399999999998</v>
      </c>
      <c r="R441" s="9"/>
      <c r="S441" s="11"/>
    </row>
    <row r="442" spans="1:19" ht="15.75">
      <c r="A442" s="13">
        <v>54604</v>
      </c>
      <c r="B442" s="8">
        <f>CHOOSE( CONTROL!$C$32, 11.8272, 11.8267) * CHOOSE(CONTROL!$C$15, $D$11, 100%, $F$11)</f>
        <v>11.827199999999999</v>
      </c>
      <c r="C442" s="8">
        <f>CHOOSE( CONTROL!$C$32, 11.8352, 11.8347) * CHOOSE(CONTROL!$C$15, $D$11, 100%, $F$11)</f>
        <v>11.8352</v>
      </c>
      <c r="D442" s="8">
        <f>CHOOSE( CONTROL!$C$32, 11.8341, 11.8337) * CHOOSE( CONTROL!$C$15, $D$11, 100%, $F$11)</f>
        <v>11.834099999999999</v>
      </c>
      <c r="E442" s="12">
        <f>CHOOSE( CONTROL!$C$32, 11.8333, 11.8328) * CHOOSE( CONTROL!$C$15, $D$11, 100%, $F$11)</f>
        <v>11.833299999999999</v>
      </c>
      <c r="F442" s="4">
        <f>CHOOSE( CONTROL!$C$32, 12.53, 12.5296) * CHOOSE(CONTROL!$C$15, $D$11, 100%, $F$11)</f>
        <v>12.53</v>
      </c>
      <c r="G442" s="8">
        <f>CHOOSE( CONTROL!$C$32, 11.6988, 11.6983) * CHOOSE( CONTROL!$C$15, $D$11, 100%, $F$11)</f>
        <v>11.6988</v>
      </c>
      <c r="H442" s="4">
        <f>CHOOSE( CONTROL!$C$32, 12.6299, 12.6295) * CHOOSE(CONTROL!$C$15, $D$11, 100%, $F$11)</f>
        <v>12.629899999999999</v>
      </c>
      <c r="I442" s="8">
        <f>CHOOSE( CONTROL!$C$32, 11.5777, 11.5773) * CHOOSE(CONTROL!$C$15, $D$11, 100%, $F$11)</f>
        <v>11.5777</v>
      </c>
      <c r="J442" s="4">
        <f>CHOOSE( CONTROL!$C$32, 11.4675, 11.467) * CHOOSE(CONTROL!$C$15, $D$11, 100%, $F$11)</f>
        <v>11.467499999999999</v>
      </c>
      <c r="K442" s="4"/>
      <c r="L442" s="9">
        <v>29.7257</v>
      </c>
      <c r="M442" s="9">
        <v>11.6745</v>
      </c>
      <c r="N442" s="9">
        <v>4.7850000000000001</v>
      </c>
      <c r="O442" s="9">
        <v>0.36199999999999999</v>
      </c>
      <c r="P442" s="9">
        <v>1.2509999999999999</v>
      </c>
      <c r="Q442" s="9">
        <v>19.486799999999999</v>
      </c>
      <c r="R442" s="9"/>
      <c r="S442" s="11"/>
    </row>
    <row r="443" spans="1:19" ht="15.75">
      <c r="A443" s="13">
        <v>54635</v>
      </c>
      <c r="B443" s="8">
        <f>CHOOSE( CONTROL!$C$32, 12.3356, 12.3352) * CHOOSE(CONTROL!$C$15, $D$11, 100%, $F$11)</f>
        <v>12.335599999999999</v>
      </c>
      <c r="C443" s="8">
        <f>CHOOSE( CONTROL!$C$32, 12.3436, 12.3431) * CHOOSE(CONTROL!$C$15, $D$11, 100%, $F$11)</f>
        <v>12.3436</v>
      </c>
      <c r="D443" s="8">
        <f>CHOOSE( CONTROL!$C$32, 12.3428, 12.3423) * CHOOSE( CONTROL!$C$15, $D$11, 100%, $F$11)</f>
        <v>12.3428</v>
      </c>
      <c r="E443" s="12">
        <f>CHOOSE( CONTROL!$C$32, 12.3419, 12.3414) * CHOOSE( CONTROL!$C$15, $D$11, 100%, $F$11)</f>
        <v>12.341900000000001</v>
      </c>
      <c r="F443" s="4">
        <f>CHOOSE( CONTROL!$C$32, 13.0384, 13.038) * CHOOSE(CONTROL!$C$15, $D$11, 100%, $F$11)</f>
        <v>13.038399999999999</v>
      </c>
      <c r="G443" s="8">
        <f>CHOOSE( CONTROL!$C$32, 12.2014, 12.201) * CHOOSE( CONTROL!$C$15, $D$11, 100%, $F$11)</f>
        <v>12.2014</v>
      </c>
      <c r="H443" s="4">
        <f>CHOOSE( CONTROL!$C$32, 13.1324, 13.1319) * CHOOSE(CONTROL!$C$15, $D$11, 100%, $F$11)</f>
        <v>13.132400000000001</v>
      </c>
      <c r="I443" s="8">
        <f>CHOOSE( CONTROL!$C$32, 12.0722, 12.0718) * CHOOSE(CONTROL!$C$15, $D$11, 100%, $F$11)</f>
        <v>12.0722</v>
      </c>
      <c r="J443" s="4">
        <f>CHOOSE( CONTROL!$C$32, 11.9609, 11.9605) * CHOOSE(CONTROL!$C$15, $D$11, 100%, $F$11)</f>
        <v>11.960900000000001</v>
      </c>
      <c r="K443" s="4"/>
      <c r="L443" s="9">
        <v>30.7165</v>
      </c>
      <c r="M443" s="9">
        <v>12.063700000000001</v>
      </c>
      <c r="N443" s="9">
        <v>4.9444999999999997</v>
      </c>
      <c r="O443" s="9">
        <v>0.37409999999999999</v>
      </c>
      <c r="P443" s="9">
        <v>1.2927</v>
      </c>
      <c r="Q443" s="9">
        <v>20.136399999999998</v>
      </c>
      <c r="R443" s="9"/>
      <c r="S443" s="11"/>
    </row>
    <row r="444" spans="1:19" ht="15.75">
      <c r="A444" s="13">
        <v>54666</v>
      </c>
      <c r="B444" s="8">
        <f>CHOOSE( CONTROL!$C$32, 11.3843, 11.3838) * CHOOSE(CONTROL!$C$15, $D$11, 100%, $F$11)</f>
        <v>11.3843</v>
      </c>
      <c r="C444" s="8">
        <f>CHOOSE( CONTROL!$C$32, 11.3923, 11.3918) * CHOOSE(CONTROL!$C$15, $D$11, 100%, $F$11)</f>
        <v>11.392300000000001</v>
      </c>
      <c r="D444" s="8">
        <f>CHOOSE( CONTROL!$C$32, 11.3915, 11.3911) * CHOOSE( CONTROL!$C$15, $D$11, 100%, $F$11)</f>
        <v>11.391500000000001</v>
      </c>
      <c r="E444" s="12">
        <f>CHOOSE( CONTROL!$C$32, 11.3906, 11.3901) * CHOOSE( CONTROL!$C$15, $D$11, 100%, $F$11)</f>
        <v>11.390599999999999</v>
      </c>
      <c r="F444" s="4">
        <f>CHOOSE( CONTROL!$C$32, 12.0871, 12.0867) * CHOOSE(CONTROL!$C$15, $D$11, 100%, $F$11)</f>
        <v>12.0871</v>
      </c>
      <c r="G444" s="8">
        <f>CHOOSE( CONTROL!$C$32, 11.2613, 11.2608) * CHOOSE( CONTROL!$C$15, $D$11, 100%, $F$11)</f>
        <v>11.2613</v>
      </c>
      <c r="H444" s="4">
        <f>CHOOSE( CONTROL!$C$32, 12.1922, 12.1918) * CHOOSE(CONTROL!$C$15, $D$11, 100%, $F$11)</f>
        <v>12.1922</v>
      </c>
      <c r="I444" s="8">
        <f>CHOOSE( CONTROL!$C$32, 11.1487, 11.1482) * CHOOSE(CONTROL!$C$15, $D$11, 100%, $F$11)</f>
        <v>11.1487</v>
      </c>
      <c r="J444" s="4">
        <f>CHOOSE( CONTROL!$C$32, 11.0376, 11.0372) * CHOOSE(CONTROL!$C$15, $D$11, 100%, $F$11)</f>
        <v>11.037599999999999</v>
      </c>
      <c r="K444" s="4"/>
      <c r="L444" s="9">
        <v>30.7165</v>
      </c>
      <c r="M444" s="9">
        <v>12.063700000000001</v>
      </c>
      <c r="N444" s="9">
        <v>4.9444999999999997</v>
      </c>
      <c r="O444" s="9">
        <v>0.37409999999999999</v>
      </c>
      <c r="P444" s="9">
        <v>1.2927</v>
      </c>
      <c r="Q444" s="9">
        <v>20.136399999999998</v>
      </c>
      <c r="R444" s="9"/>
      <c r="S444" s="11"/>
    </row>
    <row r="445" spans="1:19" ht="15.75">
      <c r="A445" s="13">
        <v>54696</v>
      </c>
      <c r="B445" s="8">
        <f>CHOOSE( CONTROL!$C$32, 11.1461, 11.1456) * CHOOSE(CONTROL!$C$15, $D$11, 100%, $F$11)</f>
        <v>11.146100000000001</v>
      </c>
      <c r="C445" s="8">
        <f>CHOOSE( CONTROL!$C$32, 11.1541, 11.1536) * CHOOSE(CONTROL!$C$15, $D$11, 100%, $F$11)</f>
        <v>11.1541</v>
      </c>
      <c r="D445" s="8">
        <f>CHOOSE( CONTROL!$C$32, 11.1532, 11.1527) * CHOOSE( CONTROL!$C$15, $D$11, 100%, $F$11)</f>
        <v>11.1532</v>
      </c>
      <c r="E445" s="12">
        <f>CHOOSE( CONTROL!$C$32, 11.1523, 11.1518) * CHOOSE( CONTROL!$C$15, $D$11, 100%, $F$11)</f>
        <v>11.1523</v>
      </c>
      <c r="F445" s="4">
        <f>CHOOSE( CONTROL!$C$32, 11.8489, 11.8484) * CHOOSE(CONTROL!$C$15, $D$11, 100%, $F$11)</f>
        <v>11.8489</v>
      </c>
      <c r="G445" s="8">
        <f>CHOOSE( CONTROL!$C$32, 11.0257, 11.0253) * CHOOSE( CONTROL!$C$15, $D$11, 100%, $F$11)</f>
        <v>11.025700000000001</v>
      </c>
      <c r="H445" s="4">
        <f>CHOOSE( CONTROL!$C$32, 11.9568, 11.9563) * CHOOSE(CONTROL!$C$15, $D$11, 100%, $F$11)</f>
        <v>11.956799999999999</v>
      </c>
      <c r="I445" s="8">
        <f>CHOOSE( CONTROL!$C$32, 10.9168, 10.9164) * CHOOSE(CONTROL!$C$15, $D$11, 100%, $F$11)</f>
        <v>10.9168</v>
      </c>
      <c r="J445" s="4">
        <f>CHOOSE( CONTROL!$C$32, 10.8064, 10.806) * CHOOSE(CONTROL!$C$15, $D$11, 100%, $F$11)</f>
        <v>10.8064</v>
      </c>
      <c r="K445" s="4"/>
      <c r="L445" s="9">
        <v>29.7257</v>
      </c>
      <c r="M445" s="9">
        <v>11.6745</v>
      </c>
      <c r="N445" s="9">
        <v>4.7850000000000001</v>
      </c>
      <c r="O445" s="9">
        <v>0.36199999999999999</v>
      </c>
      <c r="P445" s="9">
        <v>1.2509999999999999</v>
      </c>
      <c r="Q445" s="9">
        <v>19.486799999999999</v>
      </c>
      <c r="R445" s="9"/>
      <c r="S445" s="11"/>
    </row>
    <row r="446" spans="1:19" ht="15.75">
      <c r="A446" s="13">
        <v>54727</v>
      </c>
      <c r="B446" s="8">
        <f>CHOOSE( CONTROL!$C$32, 11.6388, 11.6385) * CHOOSE(CONTROL!$C$15, $D$11, 100%, $F$11)</f>
        <v>11.6388</v>
      </c>
      <c r="C446" s="8">
        <f>CHOOSE( CONTROL!$C$32, 11.6441, 11.6439) * CHOOSE(CONTROL!$C$15, $D$11, 100%, $F$11)</f>
        <v>11.6441</v>
      </c>
      <c r="D446" s="8">
        <f>CHOOSE( CONTROL!$C$32, 11.6488, 11.6486) * CHOOSE( CONTROL!$C$15, $D$11, 100%, $F$11)</f>
        <v>11.6488</v>
      </c>
      <c r="E446" s="12">
        <f>CHOOSE( CONTROL!$C$32, 11.6467, 11.6465) * CHOOSE( CONTROL!$C$15, $D$11, 100%, $F$11)</f>
        <v>11.646699999999999</v>
      </c>
      <c r="F446" s="4">
        <f>CHOOSE( CONTROL!$C$32, 12.3433, 12.3431) * CHOOSE(CONTROL!$C$15, $D$11, 100%, $F$11)</f>
        <v>12.343299999999999</v>
      </c>
      <c r="G446" s="8">
        <f>CHOOSE( CONTROL!$C$32, 11.5146, 11.5143) * CHOOSE( CONTROL!$C$15, $D$11, 100%, $F$11)</f>
        <v>11.5146</v>
      </c>
      <c r="H446" s="4">
        <f>CHOOSE( CONTROL!$C$32, 12.4454, 12.4452) * CHOOSE(CONTROL!$C$15, $D$11, 100%, $F$11)</f>
        <v>12.445399999999999</v>
      </c>
      <c r="I446" s="8">
        <f>CHOOSE( CONTROL!$C$32, 11.3978, 11.3975) * CHOOSE(CONTROL!$C$15, $D$11, 100%, $F$11)</f>
        <v>11.3978</v>
      </c>
      <c r="J446" s="4">
        <f>CHOOSE( CONTROL!$C$32, 11.2863, 11.286) * CHOOSE(CONTROL!$C$15, $D$11, 100%, $F$11)</f>
        <v>11.286300000000001</v>
      </c>
      <c r="K446" s="4"/>
      <c r="L446" s="9">
        <v>31.095300000000002</v>
      </c>
      <c r="M446" s="9">
        <v>12.063700000000001</v>
      </c>
      <c r="N446" s="9">
        <v>4.9444999999999997</v>
      </c>
      <c r="O446" s="9">
        <v>0.37409999999999999</v>
      </c>
      <c r="P446" s="9">
        <v>1.2927</v>
      </c>
      <c r="Q446" s="9">
        <v>20.136399999999998</v>
      </c>
      <c r="R446" s="9"/>
      <c r="S446" s="11"/>
    </row>
    <row r="447" spans="1:19" ht="15.75">
      <c r="A447" s="13">
        <v>54757</v>
      </c>
      <c r="B447" s="8">
        <f>CHOOSE( CONTROL!$C$32, 12.5514, 12.5511) * CHOOSE(CONTROL!$C$15, $D$11, 100%, $F$11)</f>
        <v>12.551399999999999</v>
      </c>
      <c r="C447" s="8">
        <f>CHOOSE( CONTROL!$C$32, 12.5565, 12.5562) * CHOOSE(CONTROL!$C$15, $D$11, 100%, $F$11)</f>
        <v>12.5565</v>
      </c>
      <c r="D447" s="8">
        <f>CHOOSE( CONTROL!$C$32, 12.5392, 12.5389) * CHOOSE( CONTROL!$C$15, $D$11, 100%, $F$11)</f>
        <v>12.539199999999999</v>
      </c>
      <c r="E447" s="12">
        <f>CHOOSE( CONTROL!$C$32, 12.545, 12.5447) * CHOOSE( CONTROL!$C$15, $D$11, 100%, $F$11)</f>
        <v>12.545</v>
      </c>
      <c r="F447" s="4">
        <f>CHOOSE( CONTROL!$C$32, 13.2167, 13.2164) * CHOOSE(CONTROL!$C$15, $D$11, 100%, $F$11)</f>
        <v>13.216699999999999</v>
      </c>
      <c r="G447" s="8">
        <f>CHOOSE( CONTROL!$C$32, 12.4138, 12.4135) * CHOOSE( CONTROL!$C$15, $D$11, 100%, $F$11)</f>
        <v>12.4138</v>
      </c>
      <c r="H447" s="4">
        <f>CHOOSE( CONTROL!$C$32, 13.3085, 13.3083) * CHOOSE(CONTROL!$C$15, $D$11, 100%, $F$11)</f>
        <v>13.3085</v>
      </c>
      <c r="I447" s="8">
        <f>CHOOSE( CONTROL!$C$32, 12.3399, 12.3396) * CHOOSE(CONTROL!$C$15, $D$11, 100%, $F$11)</f>
        <v>12.3399</v>
      </c>
      <c r="J447" s="4">
        <f>CHOOSE( CONTROL!$C$32, 12.1724, 12.1721) * CHOOSE(CONTROL!$C$15, $D$11, 100%, $F$11)</f>
        <v>12.1724</v>
      </c>
      <c r="K447" s="4"/>
      <c r="L447" s="9">
        <v>28.360600000000002</v>
      </c>
      <c r="M447" s="9">
        <v>11.6745</v>
      </c>
      <c r="N447" s="9">
        <v>4.7850000000000001</v>
      </c>
      <c r="O447" s="9">
        <v>0.36199999999999999</v>
      </c>
      <c r="P447" s="9">
        <v>1.2509999999999999</v>
      </c>
      <c r="Q447" s="9">
        <v>19.486799999999999</v>
      </c>
      <c r="R447" s="9"/>
      <c r="S447" s="11"/>
    </row>
    <row r="448" spans="1:19" ht="15.75">
      <c r="A448" s="13">
        <v>54788</v>
      </c>
      <c r="B448" s="8">
        <f>CHOOSE( CONTROL!$C$32, 12.5286, 12.5283) * CHOOSE(CONTROL!$C$15, $D$11, 100%, $F$11)</f>
        <v>12.528600000000001</v>
      </c>
      <c r="C448" s="8">
        <f>CHOOSE( CONTROL!$C$32, 12.5337, 12.5334) * CHOOSE(CONTROL!$C$15, $D$11, 100%, $F$11)</f>
        <v>12.5337</v>
      </c>
      <c r="D448" s="8">
        <f>CHOOSE( CONTROL!$C$32, 12.5182, 12.5179) * CHOOSE( CONTROL!$C$15, $D$11, 100%, $F$11)</f>
        <v>12.5182</v>
      </c>
      <c r="E448" s="12">
        <f>CHOOSE( CONTROL!$C$32, 12.5233, 12.523) * CHOOSE( CONTROL!$C$15, $D$11, 100%, $F$11)</f>
        <v>12.523300000000001</v>
      </c>
      <c r="F448" s="4">
        <f>CHOOSE( CONTROL!$C$32, 13.1939, 13.1936) * CHOOSE(CONTROL!$C$15, $D$11, 100%, $F$11)</f>
        <v>13.193899999999999</v>
      </c>
      <c r="G448" s="8">
        <f>CHOOSE( CONTROL!$C$32, 12.3925, 12.3922) * CHOOSE( CONTROL!$C$15, $D$11, 100%, $F$11)</f>
        <v>12.3925</v>
      </c>
      <c r="H448" s="4">
        <f>CHOOSE( CONTROL!$C$32, 13.286, 13.2857) * CHOOSE(CONTROL!$C$15, $D$11, 100%, $F$11)</f>
        <v>13.286</v>
      </c>
      <c r="I448" s="8">
        <f>CHOOSE( CONTROL!$C$32, 12.3233, 12.3231) * CHOOSE(CONTROL!$C$15, $D$11, 100%, $F$11)</f>
        <v>12.3233</v>
      </c>
      <c r="J448" s="4">
        <f>CHOOSE( CONTROL!$C$32, 12.1502, 12.15) * CHOOSE(CONTROL!$C$15, $D$11, 100%, $F$11)</f>
        <v>12.1502</v>
      </c>
      <c r="K448" s="4"/>
      <c r="L448" s="9">
        <v>29.306000000000001</v>
      </c>
      <c r="M448" s="9">
        <v>12.063700000000001</v>
      </c>
      <c r="N448" s="9">
        <v>4.9444999999999997</v>
      </c>
      <c r="O448" s="9">
        <v>0.37409999999999999</v>
      </c>
      <c r="P448" s="9">
        <v>1.2927</v>
      </c>
      <c r="Q448" s="9">
        <v>20.136399999999998</v>
      </c>
      <c r="R448" s="9"/>
      <c r="S448" s="11"/>
    </row>
    <row r="449" spans="1:19" ht="15.75">
      <c r="A449" s="13">
        <v>54819</v>
      </c>
      <c r="B449" s="8">
        <f>CHOOSE( CONTROL!$C$32, 12.8979, 12.8976) * CHOOSE(CONTROL!$C$15, $D$11, 100%, $F$11)</f>
        <v>12.8979</v>
      </c>
      <c r="C449" s="8">
        <f>CHOOSE( CONTROL!$C$32, 12.9029, 12.9027) * CHOOSE(CONTROL!$C$15, $D$11, 100%, $F$11)</f>
        <v>12.902900000000001</v>
      </c>
      <c r="D449" s="8">
        <f>CHOOSE( CONTROL!$C$32, 12.8934, 12.8931) * CHOOSE( CONTROL!$C$15, $D$11, 100%, $F$11)</f>
        <v>12.8934</v>
      </c>
      <c r="E449" s="12">
        <f>CHOOSE( CONTROL!$C$32, 12.8963, 12.8961) * CHOOSE( CONTROL!$C$15, $D$11, 100%, $F$11)</f>
        <v>12.8963</v>
      </c>
      <c r="F449" s="4">
        <f>CHOOSE( CONTROL!$C$32, 13.5631, 13.5629) * CHOOSE(CONTROL!$C$15, $D$11, 100%, $F$11)</f>
        <v>13.5631</v>
      </c>
      <c r="G449" s="8">
        <f>CHOOSE( CONTROL!$C$32, 12.7582, 12.7579) * CHOOSE( CONTROL!$C$15, $D$11, 100%, $F$11)</f>
        <v>12.7582</v>
      </c>
      <c r="H449" s="4">
        <f>CHOOSE( CONTROL!$C$32, 13.6509, 13.6507) * CHOOSE(CONTROL!$C$15, $D$11, 100%, $F$11)</f>
        <v>13.6509</v>
      </c>
      <c r="I449" s="8">
        <f>CHOOSE( CONTROL!$C$32, 12.6623, 12.6621) * CHOOSE(CONTROL!$C$15, $D$11, 100%, $F$11)</f>
        <v>12.6623</v>
      </c>
      <c r="J449" s="4">
        <f>CHOOSE( CONTROL!$C$32, 12.5086, 12.5084) * CHOOSE(CONTROL!$C$15, $D$11, 100%, $F$11)</f>
        <v>12.508599999999999</v>
      </c>
      <c r="K449" s="4"/>
      <c r="L449" s="9">
        <v>29.306000000000001</v>
      </c>
      <c r="M449" s="9">
        <v>12.063700000000001</v>
      </c>
      <c r="N449" s="9">
        <v>4.9444999999999997</v>
      </c>
      <c r="O449" s="9">
        <v>0.37409999999999999</v>
      </c>
      <c r="P449" s="9">
        <v>1.2927</v>
      </c>
      <c r="Q449" s="9">
        <v>20.071300000000001</v>
      </c>
      <c r="R449" s="9"/>
      <c r="S449" s="11"/>
    </row>
    <row r="450" spans="1:19" ht="15.75">
      <c r="A450" s="13">
        <v>54847</v>
      </c>
      <c r="B450" s="8">
        <f>CHOOSE( CONTROL!$C$32, 12.0646, 12.0644) * CHOOSE(CONTROL!$C$15, $D$11, 100%, $F$11)</f>
        <v>12.0646</v>
      </c>
      <c r="C450" s="8">
        <f>CHOOSE( CONTROL!$C$32, 12.0697, 12.0694) * CHOOSE(CONTROL!$C$15, $D$11, 100%, $F$11)</f>
        <v>12.069699999999999</v>
      </c>
      <c r="D450" s="8">
        <f>CHOOSE( CONTROL!$C$32, 12.0618, 12.0615) * CHOOSE( CONTROL!$C$15, $D$11, 100%, $F$11)</f>
        <v>12.0618</v>
      </c>
      <c r="E450" s="12">
        <f>CHOOSE( CONTROL!$C$32, 12.0641, 12.0639) * CHOOSE( CONTROL!$C$15, $D$11, 100%, $F$11)</f>
        <v>12.0641</v>
      </c>
      <c r="F450" s="4">
        <f>CHOOSE( CONTROL!$C$32, 12.7299, 12.7296) * CHOOSE(CONTROL!$C$15, $D$11, 100%, $F$11)</f>
        <v>12.729900000000001</v>
      </c>
      <c r="G450" s="8">
        <f>CHOOSE( CONTROL!$C$32, 11.9332, 11.933) * CHOOSE( CONTROL!$C$15, $D$11, 100%, $F$11)</f>
        <v>11.933199999999999</v>
      </c>
      <c r="H450" s="4">
        <f>CHOOSE( CONTROL!$C$32, 12.8275, 12.8272) * CHOOSE(CONTROL!$C$15, $D$11, 100%, $F$11)</f>
        <v>12.827500000000001</v>
      </c>
      <c r="I450" s="8">
        <f>CHOOSE( CONTROL!$C$32, 11.8379, 11.8377) * CHOOSE(CONTROL!$C$15, $D$11, 100%, $F$11)</f>
        <v>11.837899999999999</v>
      </c>
      <c r="J450" s="4">
        <f>CHOOSE( CONTROL!$C$32, 11.7, 11.6997) * CHOOSE(CONTROL!$C$15, $D$11, 100%, $F$11)</f>
        <v>11.7</v>
      </c>
      <c r="K450" s="4"/>
      <c r="L450" s="9">
        <v>26.469899999999999</v>
      </c>
      <c r="M450" s="9">
        <v>10.8962</v>
      </c>
      <c r="N450" s="9">
        <v>4.4660000000000002</v>
      </c>
      <c r="O450" s="9">
        <v>0.33789999999999998</v>
      </c>
      <c r="P450" s="9">
        <v>1.1676</v>
      </c>
      <c r="Q450" s="9">
        <v>18.128900000000002</v>
      </c>
      <c r="R450" s="9"/>
      <c r="S450" s="11"/>
    </row>
    <row r="451" spans="1:19" ht="15.75">
      <c r="A451" s="13">
        <v>54878</v>
      </c>
      <c r="B451" s="8">
        <f>CHOOSE( CONTROL!$C$32, 11.808, 11.8077) * CHOOSE(CONTROL!$C$15, $D$11, 100%, $F$11)</f>
        <v>11.808</v>
      </c>
      <c r="C451" s="8">
        <f>CHOOSE( CONTROL!$C$32, 11.8131, 11.8128) * CHOOSE(CONTROL!$C$15, $D$11, 100%, $F$11)</f>
        <v>11.8131</v>
      </c>
      <c r="D451" s="8">
        <f>CHOOSE( CONTROL!$C$32, 11.8004, 11.8001) * CHOOSE( CONTROL!$C$15, $D$11, 100%, $F$11)</f>
        <v>11.8004</v>
      </c>
      <c r="E451" s="12">
        <f>CHOOSE( CONTROL!$C$32, 11.8045, 11.8042) * CHOOSE( CONTROL!$C$15, $D$11, 100%, $F$11)</f>
        <v>11.804500000000001</v>
      </c>
      <c r="F451" s="4">
        <f>CHOOSE( CONTROL!$C$32, 12.4733, 12.473) * CHOOSE(CONTROL!$C$15, $D$11, 100%, $F$11)</f>
        <v>12.4733</v>
      </c>
      <c r="G451" s="8">
        <f>CHOOSE( CONTROL!$C$32, 11.6762, 11.6759) * CHOOSE( CONTROL!$C$15, $D$11, 100%, $F$11)</f>
        <v>11.6762</v>
      </c>
      <c r="H451" s="4">
        <f>CHOOSE( CONTROL!$C$32, 12.5739, 12.5736) * CHOOSE(CONTROL!$C$15, $D$11, 100%, $F$11)</f>
        <v>12.5739</v>
      </c>
      <c r="I451" s="8">
        <f>CHOOSE( CONTROL!$C$32, 11.5871, 11.5869) * CHOOSE(CONTROL!$C$15, $D$11, 100%, $F$11)</f>
        <v>11.5871</v>
      </c>
      <c r="J451" s="4">
        <f>CHOOSE( CONTROL!$C$32, 11.4509, 11.4506) * CHOOSE(CONTROL!$C$15, $D$11, 100%, $F$11)</f>
        <v>11.450900000000001</v>
      </c>
      <c r="K451" s="4"/>
      <c r="L451" s="9">
        <v>29.306000000000001</v>
      </c>
      <c r="M451" s="9">
        <v>12.063700000000001</v>
      </c>
      <c r="N451" s="9">
        <v>4.9444999999999997</v>
      </c>
      <c r="O451" s="9">
        <v>0.37409999999999999</v>
      </c>
      <c r="P451" s="9">
        <v>1.2927</v>
      </c>
      <c r="Q451" s="9">
        <v>20.071300000000001</v>
      </c>
      <c r="R451" s="9"/>
      <c r="S451" s="11"/>
    </row>
    <row r="452" spans="1:19" ht="15.75">
      <c r="A452" s="13">
        <v>54908</v>
      </c>
      <c r="B452" s="8">
        <f>CHOOSE( CONTROL!$C$32, 11.9881, 11.9878) * CHOOSE(CONTROL!$C$15, $D$11, 100%, $F$11)</f>
        <v>11.988099999999999</v>
      </c>
      <c r="C452" s="8">
        <f>CHOOSE( CONTROL!$C$32, 11.9926, 11.9923) * CHOOSE(CONTROL!$C$15, $D$11, 100%, $F$11)</f>
        <v>11.992599999999999</v>
      </c>
      <c r="D452" s="8">
        <f>CHOOSE( CONTROL!$C$32, 11.9975, 11.9972) * CHOOSE( CONTROL!$C$15, $D$11, 100%, $F$11)</f>
        <v>11.9975</v>
      </c>
      <c r="E452" s="12">
        <f>CHOOSE( CONTROL!$C$32, 11.9954, 11.9951) * CHOOSE( CONTROL!$C$15, $D$11, 100%, $F$11)</f>
        <v>11.9954</v>
      </c>
      <c r="F452" s="4">
        <f>CHOOSE( CONTROL!$C$32, 12.6923, 12.692) * CHOOSE(CONTROL!$C$15, $D$11, 100%, $F$11)</f>
        <v>12.692299999999999</v>
      </c>
      <c r="G452" s="8">
        <f>CHOOSE( CONTROL!$C$32, 11.8591, 11.8589) * CHOOSE( CONTROL!$C$15, $D$11, 100%, $F$11)</f>
        <v>11.8591</v>
      </c>
      <c r="H452" s="4">
        <f>CHOOSE( CONTROL!$C$32, 12.7903, 12.79) * CHOOSE(CONTROL!$C$15, $D$11, 100%, $F$11)</f>
        <v>12.7903</v>
      </c>
      <c r="I452" s="8">
        <f>CHOOSE( CONTROL!$C$32, 11.7355, 11.7352) * CHOOSE(CONTROL!$C$15, $D$11, 100%, $F$11)</f>
        <v>11.7355</v>
      </c>
      <c r="J452" s="4">
        <f>CHOOSE( CONTROL!$C$32, 11.625, 11.6247) * CHOOSE(CONTROL!$C$15, $D$11, 100%, $F$11)</f>
        <v>11.625</v>
      </c>
      <c r="K452" s="4"/>
      <c r="L452" s="9">
        <v>30.092199999999998</v>
      </c>
      <c r="M452" s="9">
        <v>11.6745</v>
      </c>
      <c r="N452" s="9">
        <v>4.7850000000000001</v>
      </c>
      <c r="O452" s="9">
        <v>0.36199999999999999</v>
      </c>
      <c r="P452" s="9">
        <v>1.2509999999999999</v>
      </c>
      <c r="Q452" s="9">
        <v>19.4238</v>
      </c>
      <c r="R452" s="9"/>
      <c r="S452" s="11"/>
    </row>
    <row r="453" spans="1:19" ht="15.75">
      <c r="A453" s="13">
        <v>54939</v>
      </c>
      <c r="B453" s="8">
        <f>CHOOSE( CONTROL!$C$32, 12.3088, 12.3083) * CHOOSE(CONTROL!$C$15, $D$11, 100%, $F$11)</f>
        <v>12.3088</v>
      </c>
      <c r="C453" s="8">
        <f>CHOOSE( CONTROL!$C$32, 12.3168, 12.3163) * CHOOSE(CONTROL!$C$15, $D$11, 100%, $F$11)</f>
        <v>12.316800000000001</v>
      </c>
      <c r="D453" s="8">
        <f>CHOOSE( CONTROL!$C$32, 12.3156, 12.3151) * CHOOSE( CONTROL!$C$15, $D$11, 100%, $F$11)</f>
        <v>12.3156</v>
      </c>
      <c r="E453" s="12">
        <f>CHOOSE( CONTROL!$C$32, 12.3148, 12.3143) * CHOOSE( CONTROL!$C$15, $D$11, 100%, $F$11)</f>
        <v>12.3148</v>
      </c>
      <c r="F453" s="4">
        <f>CHOOSE( CONTROL!$C$32, 13.0116, 13.0112) * CHOOSE(CONTROL!$C$15, $D$11, 100%, $F$11)</f>
        <v>13.0116</v>
      </c>
      <c r="G453" s="8">
        <f>CHOOSE( CONTROL!$C$32, 12.1746, 12.1741) * CHOOSE( CONTROL!$C$15, $D$11, 100%, $F$11)</f>
        <v>12.1746</v>
      </c>
      <c r="H453" s="4">
        <f>CHOOSE( CONTROL!$C$32, 13.1059, 13.1054) * CHOOSE(CONTROL!$C$15, $D$11, 100%, $F$11)</f>
        <v>13.1059</v>
      </c>
      <c r="I453" s="8">
        <f>CHOOSE( CONTROL!$C$32, 12.0447, 12.0443) * CHOOSE(CONTROL!$C$15, $D$11, 100%, $F$11)</f>
        <v>12.044700000000001</v>
      </c>
      <c r="J453" s="4">
        <f>CHOOSE( CONTROL!$C$32, 11.9349, 11.9344) * CHOOSE(CONTROL!$C$15, $D$11, 100%, $F$11)</f>
        <v>11.934900000000001</v>
      </c>
      <c r="K453" s="4"/>
      <c r="L453" s="9">
        <v>30.7165</v>
      </c>
      <c r="M453" s="9">
        <v>12.063700000000001</v>
      </c>
      <c r="N453" s="9">
        <v>4.9444999999999997</v>
      </c>
      <c r="O453" s="9">
        <v>0.37409999999999999</v>
      </c>
      <c r="P453" s="9">
        <v>1.2927</v>
      </c>
      <c r="Q453" s="9">
        <v>20.071300000000001</v>
      </c>
      <c r="R453" s="9"/>
      <c r="S453" s="11"/>
    </row>
    <row r="454" spans="1:19" ht="15.75">
      <c r="A454" s="13">
        <v>54969</v>
      </c>
      <c r="B454" s="8">
        <f>CHOOSE( CONTROL!$C$32, 12.1111, 12.1106) * CHOOSE(CONTROL!$C$15, $D$11, 100%, $F$11)</f>
        <v>12.1111</v>
      </c>
      <c r="C454" s="8">
        <f>CHOOSE( CONTROL!$C$32, 12.1191, 12.1186) * CHOOSE(CONTROL!$C$15, $D$11, 100%, $F$11)</f>
        <v>12.1191</v>
      </c>
      <c r="D454" s="8">
        <f>CHOOSE( CONTROL!$C$32, 12.118, 12.1176) * CHOOSE( CONTROL!$C$15, $D$11, 100%, $F$11)</f>
        <v>12.118</v>
      </c>
      <c r="E454" s="12">
        <f>CHOOSE( CONTROL!$C$32, 12.1172, 12.1167) * CHOOSE( CONTROL!$C$15, $D$11, 100%, $F$11)</f>
        <v>12.1172</v>
      </c>
      <c r="F454" s="4">
        <f>CHOOSE( CONTROL!$C$32, 12.8139, 12.8135) * CHOOSE(CONTROL!$C$15, $D$11, 100%, $F$11)</f>
        <v>12.8139</v>
      </c>
      <c r="G454" s="8">
        <f>CHOOSE( CONTROL!$C$32, 11.9793, 11.9789) * CHOOSE( CONTROL!$C$15, $D$11, 100%, $F$11)</f>
        <v>11.9793</v>
      </c>
      <c r="H454" s="4">
        <f>CHOOSE( CONTROL!$C$32, 12.9105, 12.91) * CHOOSE(CONTROL!$C$15, $D$11, 100%, $F$11)</f>
        <v>12.910500000000001</v>
      </c>
      <c r="I454" s="8">
        <f>CHOOSE( CONTROL!$C$32, 11.8534, 11.853) * CHOOSE(CONTROL!$C$15, $D$11, 100%, $F$11)</f>
        <v>11.853400000000001</v>
      </c>
      <c r="J454" s="4">
        <f>CHOOSE( CONTROL!$C$32, 11.743, 11.7426) * CHOOSE(CONTROL!$C$15, $D$11, 100%, $F$11)</f>
        <v>11.743</v>
      </c>
      <c r="K454" s="4"/>
      <c r="L454" s="9">
        <v>29.7257</v>
      </c>
      <c r="M454" s="9">
        <v>11.6745</v>
      </c>
      <c r="N454" s="9">
        <v>4.7850000000000001</v>
      </c>
      <c r="O454" s="9">
        <v>0.36199999999999999</v>
      </c>
      <c r="P454" s="9">
        <v>1.2509999999999999</v>
      </c>
      <c r="Q454" s="9">
        <v>19.4238</v>
      </c>
      <c r="R454" s="9"/>
      <c r="S454" s="11"/>
    </row>
    <row r="455" spans="1:19" ht="15.75">
      <c r="A455" s="13">
        <v>55000</v>
      </c>
      <c r="B455" s="8">
        <f>CHOOSE( CONTROL!$C$32, 12.6317, 12.6313) * CHOOSE(CONTROL!$C$15, $D$11, 100%, $F$11)</f>
        <v>12.6317</v>
      </c>
      <c r="C455" s="8">
        <f>CHOOSE( CONTROL!$C$32, 12.6397, 12.6393) * CHOOSE(CONTROL!$C$15, $D$11, 100%, $F$11)</f>
        <v>12.639699999999999</v>
      </c>
      <c r="D455" s="8">
        <f>CHOOSE( CONTROL!$C$32, 12.6389, 12.6385) * CHOOSE( CONTROL!$C$15, $D$11, 100%, $F$11)</f>
        <v>12.6389</v>
      </c>
      <c r="E455" s="12">
        <f>CHOOSE( CONTROL!$C$32, 12.638, 12.6376) * CHOOSE( CONTROL!$C$15, $D$11, 100%, $F$11)</f>
        <v>12.638</v>
      </c>
      <c r="F455" s="4">
        <f>CHOOSE( CONTROL!$C$32, 13.3346, 13.3341) * CHOOSE(CONTROL!$C$15, $D$11, 100%, $F$11)</f>
        <v>13.3346</v>
      </c>
      <c r="G455" s="8">
        <f>CHOOSE( CONTROL!$C$32, 12.4941, 12.4936) * CHOOSE( CONTROL!$C$15, $D$11, 100%, $F$11)</f>
        <v>12.4941</v>
      </c>
      <c r="H455" s="4">
        <f>CHOOSE( CONTROL!$C$32, 13.425, 13.4246) * CHOOSE(CONTROL!$C$15, $D$11, 100%, $F$11)</f>
        <v>13.425000000000001</v>
      </c>
      <c r="I455" s="8">
        <f>CHOOSE( CONTROL!$C$32, 12.3597, 12.3593) * CHOOSE(CONTROL!$C$15, $D$11, 100%, $F$11)</f>
        <v>12.3597</v>
      </c>
      <c r="J455" s="4">
        <f>CHOOSE( CONTROL!$C$32, 12.2483, 12.2478) * CHOOSE(CONTROL!$C$15, $D$11, 100%, $F$11)</f>
        <v>12.2483</v>
      </c>
      <c r="K455" s="4"/>
      <c r="L455" s="9">
        <v>30.7165</v>
      </c>
      <c r="M455" s="9">
        <v>12.063700000000001</v>
      </c>
      <c r="N455" s="9">
        <v>4.9444999999999997</v>
      </c>
      <c r="O455" s="9">
        <v>0.37409999999999999</v>
      </c>
      <c r="P455" s="9">
        <v>1.2927</v>
      </c>
      <c r="Q455" s="9">
        <v>20.071300000000001</v>
      </c>
      <c r="R455" s="9"/>
      <c r="S455" s="11"/>
    </row>
    <row r="456" spans="1:19" ht="15.75">
      <c r="A456" s="13">
        <v>55031</v>
      </c>
      <c r="B456" s="8">
        <f>CHOOSE( CONTROL!$C$32, 11.6576, 11.6571) * CHOOSE(CONTROL!$C$15, $D$11, 100%, $F$11)</f>
        <v>11.6576</v>
      </c>
      <c r="C456" s="8">
        <f>CHOOSE( CONTROL!$C$32, 11.6655, 11.6651) * CHOOSE(CONTROL!$C$15, $D$11, 100%, $F$11)</f>
        <v>11.6655</v>
      </c>
      <c r="D456" s="8">
        <f>CHOOSE( CONTROL!$C$32, 11.6648, 11.6643) * CHOOSE( CONTROL!$C$15, $D$11, 100%, $F$11)</f>
        <v>11.6648</v>
      </c>
      <c r="E456" s="12">
        <f>CHOOSE( CONTROL!$C$32, 11.6638, 11.6634) * CHOOSE( CONTROL!$C$15, $D$11, 100%, $F$11)</f>
        <v>11.6638</v>
      </c>
      <c r="F456" s="4">
        <f>CHOOSE( CONTROL!$C$32, 12.3604, 12.3599) * CHOOSE(CONTROL!$C$15, $D$11, 100%, $F$11)</f>
        <v>12.3604</v>
      </c>
      <c r="G456" s="8">
        <f>CHOOSE( CONTROL!$C$32, 11.5313, 11.5309) * CHOOSE( CONTROL!$C$15, $D$11, 100%, $F$11)</f>
        <v>11.5313</v>
      </c>
      <c r="H456" s="4">
        <f>CHOOSE( CONTROL!$C$32, 12.4623, 12.4618) * CHOOSE(CONTROL!$C$15, $D$11, 100%, $F$11)</f>
        <v>12.462300000000001</v>
      </c>
      <c r="I456" s="8">
        <f>CHOOSE( CONTROL!$C$32, 11.414, 11.4136) * CHOOSE(CONTROL!$C$15, $D$11, 100%, $F$11)</f>
        <v>11.414</v>
      </c>
      <c r="J456" s="4">
        <f>CHOOSE( CONTROL!$C$32, 11.3028, 11.3024) * CHOOSE(CONTROL!$C$15, $D$11, 100%, $F$11)</f>
        <v>11.3028</v>
      </c>
      <c r="K456" s="4"/>
      <c r="L456" s="9">
        <v>30.7165</v>
      </c>
      <c r="M456" s="9">
        <v>12.063700000000001</v>
      </c>
      <c r="N456" s="9">
        <v>4.9444999999999997</v>
      </c>
      <c r="O456" s="9">
        <v>0.37409999999999999</v>
      </c>
      <c r="P456" s="9">
        <v>1.2927</v>
      </c>
      <c r="Q456" s="9">
        <v>20.071300000000001</v>
      </c>
      <c r="R456" s="9"/>
      <c r="S456" s="11"/>
    </row>
    <row r="457" spans="1:19" ht="15.75">
      <c r="A457" s="13">
        <v>55061</v>
      </c>
      <c r="B457" s="8">
        <f>CHOOSE( CONTROL!$C$32, 11.4136, 11.4132) * CHOOSE(CONTROL!$C$15, $D$11, 100%, $F$11)</f>
        <v>11.413600000000001</v>
      </c>
      <c r="C457" s="8">
        <f>CHOOSE( CONTROL!$C$32, 11.4216, 11.4211) * CHOOSE(CONTROL!$C$15, $D$11, 100%, $F$11)</f>
        <v>11.4216</v>
      </c>
      <c r="D457" s="8">
        <f>CHOOSE( CONTROL!$C$32, 11.4207, 11.4202) * CHOOSE( CONTROL!$C$15, $D$11, 100%, $F$11)</f>
        <v>11.4207</v>
      </c>
      <c r="E457" s="12">
        <f>CHOOSE( CONTROL!$C$32, 11.4198, 11.4193) * CHOOSE( CONTROL!$C$15, $D$11, 100%, $F$11)</f>
        <v>11.4198</v>
      </c>
      <c r="F457" s="4">
        <f>CHOOSE( CONTROL!$C$32, 12.1164, 12.116) * CHOOSE(CONTROL!$C$15, $D$11, 100%, $F$11)</f>
        <v>12.116400000000001</v>
      </c>
      <c r="G457" s="8">
        <f>CHOOSE( CONTROL!$C$32, 11.2901, 11.2897) * CHOOSE( CONTROL!$C$15, $D$11, 100%, $F$11)</f>
        <v>11.290100000000001</v>
      </c>
      <c r="H457" s="4">
        <f>CHOOSE( CONTROL!$C$32, 12.2212, 12.2207) * CHOOSE(CONTROL!$C$15, $D$11, 100%, $F$11)</f>
        <v>12.2212</v>
      </c>
      <c r="I457" s="8">
        <f>CHOOSE( CONTROL!$C$32, 11.1766, 11.1762) * CHOOSE(CONTROL!$C$15, $D$11, 100%, $F$11)</f>
        <v>11.176600000000001</v>
      </c>
      <c r="J457" s="4">
        <f>CHOOSE( CONTROL!$C$32, 11.0661, 11.0656) * CHOOSE(CONTROL!$C$15, $D$11, 100%, $F$11)</f>
        <v>11.0661</v>
      </c>
      <c r="K457" s="4"/>
      <c r="L457" s="9">
        <v>29.7257</v>
      </c>
      <c r="M457" s="9">
        <v>11.6745</v>
      </c>
      <c r="N457" s="9">
        <v>4.7850000000000001</v>
      </c>
      <c r="O457" s="9">
        <v>0.36199999999999999</v>
      </c>
      <c r="P457" s="9">
        <v>1.2509999999999999</v>
      </c>
      <c r="Q457" s="9">
        <v>19.4238</v>
      </c>
      <c r="R457" s="9"/>
      <c r="S457" s="11"/>
    </row>
    <row r="458" spans="1:19" ht="15.75">
      <c r="A458" s="13">
        <v>55092</v>
      </c>
      <c r="B458" s="8">
        <f>CHOOSE( CONTROL!$C$32, 11.9182, 11.9179) * CHOOSE(CONTROL!$C$15, $D$11, 100%, $F$11)</f>
        <v>11.918200000000001</v>
      </c>
      <c r="C458" s="8">
        <f>CHOOSE( CONTROL!$C$32, 11.9235, 11.9233) * CHOOSE(CONTROL!$C$15, $D$11, 100%, $F$11)</f>
        <v>11.923500000000001</v>
      </c>
      <c r="D458" s="8">
        <f>CHOOSE( CONTROL!$C$32, 11.9283, 11.928) * CHOOSE( CONTROL!$C$15, $D$11, 100%, $F$11)</f>
        <v>11.9283</v>
      </c>
      <c r="E458" s="12">
        <f>CHOOSE( CONTROL!$C$32, 11.9262, 11.9259) * CHOOSE( CONTROL!$C$15, $D$11, 100%, $F$11)</f>
        <v>11.9262</v>
      </c>
      <c r="F458" s="4">
        <f>CHOOSE( CONTROL!$C$32, 12.6228, 12.6225) * CHOOSE(CONTROL!$C$15, $D$11, 100%, $F$11)</f>
        <v>12.6228</v>
      </c>
      <c r="G458" s="8">
        <f>CHOOSE( CONTROL!$C$32, 11.7907, 11.7904) * CHOOSE( CONTROL!$C$15, $D$11, 100%, $F$11)</f>
        <v>11.790699999999999</v>
      </c>
      <c r="H458" s="4">
        <f>CHOOSE( CONTROL!$C$32, 12.7216, 12.7213) * CHOOSE(CONTROL!$C$15, $D$11, 100%, $F$11)</f>
        <v>12.7216</v>
      </c>
      <c r="I458" s="8">
        <f>CHOOSE( CONTROL!$C$32, 11.6691, 11.6688) * CHOOSE(CONTROL!$C$15, $D$11, 100%, $F$11)</f>
        <v>11.6691</v>
      </c>
      <c r="J458" s="4">
        <f>CHOOSE( CONTROL!$C$32, 11.5575, 11.5572) * CHOOSE(CONTROL!$C$15, $D$11, 100%, $F$11)</f>
        <v>11.557499999999999</v>
      </c>
      <c r="K458" s="4"/>
      <c r="L458" s="9">
        <v>31.095300000000002</v>
      </c>
      <c r="M458" s="9">
        <v>12.063700000000001</v>
      </c>
      <c r="N458" s="9">
        <v>4.9444999999999997</v>
      </c>
      <c r="O458" s="9">
        <v>0.37409999999999999</v>
      </c>
      <c r="P458" s="9">
        <v>1.2927</v>
      </c>
      <c r="Q458" s="9">
        <v>20.071300000000001</v>
      </c>
      <c r="R458" s="9"/>
      <c r="S458" s="11"/>
    </row>
    <row r="459" spans="1:19" ht="15.75">
      <c r="A459" s="13">
        <v>55122</v>
      </c>
      <c r="B459" s="8">
        <f>CHOOSE( CONTROL!$C$32, 12.8527, 12.8525) * CHOOSE(CONTROL!$C$15, $D$11, 100%, $F$11)</f>
        <v>12.8527</v>
      </c>
      <c r="C459" s="8">
        <f>CHOOSE( CONTROL!$C$32, 12.8578, 12.8575) * CHOOSE(CONTROL!$C$15, $D$11, 100%, $F$11)</f>
        <v>12.857799999999999</v>
      </c>
      <c r="D459" s="8">
        <f>CHOOSE( CONTROL!$C$32, 12.8405, 12.8403) * CHOOSE( CONTROL!$C$15, $D$11, 100%, $F$11)</f>
        <v>12.8405</v>
      </c>
      <c r="E459" s="12">
        <f>CHOOSE( CONTROL!$C$32, 12.8463, 12.8461) * CHOOSE( CONTROL!$C$15, $D$11, 100%, $F$11)</f>
        <v>12.846299999999999</v>
      </c>
      <c r="F459" s="4">
        <f>CHOOSE( CONTROL!$C$32, 13.518, 13.5178) * CHOOSE(CONTROL!$C$15, $D$11, 100%, $F$11)</f>
        <v>13.518000000000001</v>
      </c>
      <c r="G459" s="8">
        <f>CHOOSE( CONTROL!$C$32, 12.7116, 12.7113) * CHOOSE( CONTROL!$C$15, $D$11, 100%, $F$11)</f>
        <v>12.711600000000001</v>
      </c>
      <c r="H459" s="4">
        <f>CHOOSE( CONTROL!$C$32, 13.6064, 13.6061) * CHOOSE(CONTROL!$C$15, $D$11, 100%, $F$11)</f>
        <v>13.606400000000001</v>
      </c>
      <c r="I459" s="8">
        <f>CHOOSE( CONTROL!$C$32, 12.6325, 12.6322) * CHOOSE(CONTROL!$C$15, $D$11, 100%, $F$11)</f>
        <v>12.6325</v>
      </c>
      <c r="J459" s="4">
        <f>CHOOSE( CONTROL!$C$32, 12.4648, 12.4646) * CHOOSE(CONTROL!$C$15, $D$11, 100%, $F$11)</f>
        <v>12.4648</v>
      </c>
      <c r="K459" s="4"/>
      <c r="L459" s="9">
        <v>28.360600000000002</v>
      </c>
      <c r="M459" s="9">
        <v>11.6745</v>
      </c>
      <c r="N459" s="9">
        <v>4.7850000000000001</v>
      </c>
      <c r="O459" s="9">
        <v>0.36199999999999999</v>
      </c>
      <c r="P459" s="9">
        <v>1.2509999999999999</v>
      </c>
      <c r="Q459" s="9">
        <v>19.4238</v>
      </c>
      <c r="R459" s="9"/>
      <c r="S459" s="11"/>
    </row>
    <row r="460" spans="1:19" ht="15.75">
      <c r="A460" s="13">
        <v>55153</v>
      </c>
      <c r="B460" s="8">
        <f>CHOOSE( CONTROL!$C$32, 12.8294, 12.8291) * CHOOSE(CONTROL!$C$15, $D$11, 100%, $F$11)</f>
        <v>12.8294</v>
      </c>
      <c r="C460" s="8">
        <f>CHOOSE( CONTROL!$C$32, 12.8345, 12.8342) * CHOOSE(CONTROL!$C$15, $D$11, 100%, $F$11)</f>
        <v>12.8345</v>
      </c>
      <c r="D460" s="8">
        <f>CHOOSE( CONTROL!$C$32, 12.819, 12.8187) * CHOOSE( CONTROL!$C$15, $D$11, 100%, $F$11)</f>
        <v>12.819000000000001</v>
      </c>
      <c r="E460" s="12">
        <f>CHOOSE( CONTROL!$C$32, 12.8241, 12.8238) * CHOOSE( CONTROL!$C$15, $D$11, 100%, $F$11)</f>
        <v>12.8241</v>
      </c>
      <c r="F460" s="4">
        <f>CHOOSE( CONTROL!$C$32, 13.4947, 13.4944) * CHOOSE(CONTROL!$C$15, $D$11, 100%, $F$11)</f>
        <v>13.4947</v>
      </c>
      <c r="G460" s="8">
        <f>CHOOSE( CONTROL!$C$32, 12.6898, 12.6895) * CHOOSE( CONTROL!$C$15, $D$11, 100%, $F$11)</f>
        <v>12.6898</v>
      </c>
      <c r="H460" s="4">
        <f>CHOOSE( CONTROL!$C$32, 13.5833, 13.583) * CHOOSE(CONTROL!$C$15, $D$11, 100%, $F$11)</f>
        <v>13.583299999999999</v>
      </c>
      <c r="I460" s="8">
        <f>CHOOSE( CONTROL!$C$32, 12.6154, 12.6151) * CHOOSE(CONTROL!$C$15, $D$11, 100%, $F$11)</f>
        <v>12.615399999999999</v>
      </c>
      <c r="J460" s="4">
        <f>CHOOSE( CONTROL!$C$32, 12.4422, 12.4419) * CHOOSE(CONTROL!$C$15, $D$11, 100%, $F$11)</f>
        <v>12.4422</v>
      </c>
      <c r="K460" s="4"/>
      <c r="L460" s="9">
        <v>29.306000000000001</v>
      </c>
      <c r="M460" s="9">
        <v>12.063700000000001</v>
      </c>
      <c r="N460" s="9">
        <v>4.9444999999999997</v>
      </c>
      <c r="O460" s="9">
        <v>0.37409999999999999</v>
      </c>
      <c r="P460" s="9">
        <v>1.2927</v>
      </c>
      <c r="Q460" s="9">
        <v>20.071300000000001</v>
      </c>
      <c r="R460" s="9"/>
      <c r="S460" s="11"/>
    </row>
    <row r="461" spans="1:19" ht="15.75">
      <c r="A461" s="13">
        <v>55184</v>
      </c>
      <c r="B461" s="8">
        <f>CHOOSE( CONTROL!$C$32, 13.2075, 13.2073) * CHOOSE(CONTROL!$C$15, $D$11, 100%, $F$11)</f>
        <v>13.2075</v>
      </c>
      <c r="C461" s="8">
        <f>CHOOSE( CONTROL!$C$32, 13.2126, 13.2123) * CHOOSE(CONTROL!$C$15, $D$11, 100%, $F$11)</f>
        <v>13.2126</v>
      </c>
      <c r="D461" s="8">
        <f>CHOOSE( CONTROL!$C$32, 13.203, 13.2028) * CHOOSE( CONTROL!$C$15, $D$11, 100%, $F$11)</f>
        <v>13.202999999999999</v>
      </c>
      <c r="E461" s="12">
        <f>CHOOSE( CONTROL!$C$32, 13.206, 13.2057) * CHOOSE( CONTROL!$C$15, $D$11, 100%, $F$11)</f>
        <v>13.206</v>
      </c>
      <c r="F461" s="4">
        <f>CHOOSE( CONTROL!$C$32, 13.8728, 13.8725) * CHOOSE(CONTROL!$C$15, $D$11, 100%, $F$11)</f>
        <v>13.8728</v>
      </c>
      <c r="G461" s="8">
        <f>CHOOSE( CONTROL!$C$32, 13.0642, 13.064) * CHOOSE( CONTROL!$C$15, $D$11, 100%, $F$11)</f>
        <v>13.0642</v>
      </c>
      <c r="H461" s="4">
        <f>CHOOSE( CONTROL!$C$32, 13.957, 13.9567) * CHOOSE(CONTROL!$C$15, $D$11, 100%, $F$11)</f>
        <v>13.957000000000001</v>
      </c>
      <c r="I461" s="8">
        <f>CHOOSE( CONTROL!$C$32, 12.963, 12.9628) * CHOOSE(CONTROL!$C$15, $D$11, 100%, $F$11)</f>
        <v>12.962999999999999</v>
      </c>
      <c r="J461" s="4">
        <f>CHOOSE( CONTROL!$C$32, 12.8092, 12.8089) * CHOOSE(CONTROL!$C$15, $D$11, 100%, $F$11)</f>
        <v>12.809200000000001</v>
      </c>
      <c r="K461" s="4"/>
      <c r="L461" s="9">
        <v>29.306000000000001</v>
      </c>
      <c r="M461" s="9">
        <v>12.063700000000001</v>
      </c>
      <c r="N461" s="9">
        <v>4.9444999999999997</v>
      </c>
      <c r="O461" s="9">
        <v>0.37409999999999999</v>
      </c>
      <c r="P461" s="9">
        <v>1.2927</v>
      </c>
      <c r="Q461" s="9">
        <v>20.007999999999999</v>
      </c>
      <c r="R461" s="9"/>
      <c r="S461" s="11"/>
    </row>
    <row r="462" spans="1:19" ht="15.75">
      <c r="A462" s="13">
        <v>55212</v>
      </c>
      <c r="B462" s="8">
        <f>CHOOSE( CONTROL!$C$32, 12.3543, 12.354) * CHOOSE(CONTROL!$C$15, $D$11, 100%, $F$11)</f>
        <v>12.3543</v>
      </c>
      <c r="C462" s="8">
        <f>CHOOSE( CONTROL!$C$32, 12.3594, 12.3591) * CHOOSE(CONTROL!$C$15, $D$11, 100%, $F$11)</f>
        <v>12.359400000000001</v>
      </c>
      <c r="D462" s="8">
        <f>CHOOSE( CONTROL!$C$32, 12.3515, 12.3512) * CHOOSE( CONTROL!$C$15, $D$11, 100%, $F$11)</f>
        <v>12.3515</v>
      </c>
      <c r="E462" s="12">
        <f>CHOOSE( CONTROL!$C$32, 12.3538, 12.3535) * CHOOSE( CONTROL!$C$15, $D$11, 100%, $F$11)</f>
        <v>12.3538</v>
      </c>
      <c r="F462" s="4">
        <f>CHOOSE( CONTROL!$C$32, 13.0196, 13.0193) * CHOOSE(CONTROL!$C$15, $D$11, 100%, $F$11)</f>
        <v>13.019600000000001</v>
      </c>
      <c r="G462" s="8">
        <f>CHOOSE( CONTROL!$C$32, 12.2195, 12.2192) * CHOOSE( CONTROL!$C$15, $D$11, 100%, $F$11)</f>
        <v>12.2195</v>
      </c>
      <c r="H462" s="4">
        <f>CHOOSE( CONTROL!$C$32, 13.1137, 13.1135) * CHOOSE(CONTROL!$C$15, $D$11, 100%, $F$11)</f>
        <v>13.1137</v>
      </c>
      <c r="I462" s="8">
        <f>CHOOSE( CONTROL!$C$32, 12.1192, 12.1189) * CHOOSE(CONTROL!$C$15, $D$11, 100%, $F$11)</f>
        <v>12.119199999999999</v>
      </c>
      <c r="J462" s="4">
        <f>CHOOSE( CONTROL!$C$32, 11.9811, 11.9808) * CHOOSE(CONTROL!$C$15, $D$11, 100%, $F$11)</f>
        <v>11.9811</v>
      </c>
      <c r="K462" s="4"/>
      <c r="L462" s="9">
        <v>26.469899999999999</v>
      </c>
      <c r="M462" s="9">
        <v>10.8962</v>
      </c>
      <c r="N462" s="9">
        <v>4.4660000000000002</v>
      </c>
      <c r="O462" s="9">
        <v>0.33789999999999998</v>
      </c>
      <c r="P462" s="9">
        <v>1.1676</v>
      </c>
      <c r="Q462" s="9">
        <v>18.0718</v>
      </c>
      <c r="R462" s="9"/>
      <c r="S462" s="11"/>
    </row>
    <row r="463" spans="1:19" ht="15.75">
      <c r="A463" s="13">
        <v>55243</v>
      </c>
      <c r="B463" s="8">
        <f>CHOOSE( CONTROL!$C$32, 12.0915, 12.0912) * CHOOSE(CONTROL!$C$15, $D$11, 100%, $F$11)</f>
        <v>12.0915</v>
      </c>
      <c r="C463" s="8">
        <f>CHOOSE( CONTROL!$C$32, 12.0966, 12.0963) * CHOOSE(CONTROL!$C$15, $D$11, 100%, $F$11)</f>
        <v>12.0966</v>
      </c>
      <c r="D463" s="8">
        <f>CHOOSE( CONTROL!$C$32, 12.0839, 12.0836) * CHOOSE( CONTROL!$C$15, $D$11, 100%, $F$11)</f>
        <v>12.0839</v>
      </c>
      <c r="E463" s="12">
        <f>CHOOSE( CONTROL!$C$32, 12.088, 12.0877) * CHOOSE( CONTROL!$C$15, $D$11, 100%, $F$11)</f>
        <v>12.087999999999999</v>
      </c>
      <c r="F463" s="4">
        <f>CHOOSE( CONTROL!$C$32, 12.7568, 12.7565) * CHOOSE(CONTROL!$C$15, $D$11, 100%, $F$11)</f>
        <v>12.7568</v>
      </c>
      <c r="G463" s="8">
        <f>CHOOSE( CONTROL!$C$32, 11.9563, 11.9561) * CHOOSE( CONTROL!$C$15, $D$11, 100%, $F$11)</f>
        <v>11.956300000000001</v>
      </c>
      <c r="H463" s="4">
        <f>CHOOSE( CONTROL!$C$32, 12.854, 12.8538) * CHOOSE(CONTROL!$C$15, $D$11, 100%, $F$11)</f>
        <v>12.853999999999999</v>
      </c>
      <c r="I463" s="8">
        <f>CHOOSE( CONTROL!$C$32, 11.8624, 11.8621) * CHOOSE(CONTROL!$C$15, $D$11, 100%, $F$11)</f>
        <v>11.862399999999999</v>
      </c>
      <c r="J463" s="4">
        <f>CHOOSE( CONTROL!$C$32, 11.726, 11.7258) * CHOOSE(CONTROL!$C$15, $D$11, 100%, $F$11)</f>
        <v>11.726000000000001</v>
      </c>
      <c r="K463" s="4"/>
      <c r="L463" s="9">
        <v>29.306000000000001</v>
      </c>
      <c r="M463" s="9">
        <v>12.063700000000001</v>
      </c>
      <c r="N463" s="9">
        <v>4.9444999999999997</v>
      </c>
      <c r="O463" s="9">
        <v>0.37409999999999999</v>
      </c>
      <c r="P463" s="9">
        <v>1.2927</v>
      </c>
      <c r="Q463" s="9">
        <v>20.007999999999999</v>
      </c>
      <c r="R463" s="9"/>
      <c r="S463" s="11"/>
    </row>
    <row r="464" spans="1:19" ht="15.75">
      <c r="A464" s="13">
        <v>55273</v>
      </c>
      <c r="B464" s="8">
        <f>CHOOSE( CONTROL!$C$32, 12.2759, 12.2756) * CHOOSE(CONTROL!$C$15, $D$11, 100%, $F$11)</f>
        <v>12.2759</v>
      </c>
      <c r="C464" s="8">
        <f>CHOOSE( CONTROL!$C$32, 12.2804, 12.2801) * CHOOSE(CONTROL!$C$15, $D$11, 100%, $F$11)</f>
        <v>12.2804</v>
      </c>
      <c r="D464" s="8">
        <f>CHOOSE( CONTROL!$C$32, 12.2853, 12.285) * CHOOSE( CONTROL!$C$15, $D$11, 100%, $F$11)</f>
        <v>12.285299999999999</v>
      </c>
      <c r="E464" s="12">
        <f>CHOOSE( CONTROL!$C$32, 12.2832, 12.2829) * CHOOSE( CONTROL!$C$15, $D$11, 100%, $F$11)</f>
        <v>12.283200000000001</v>
      </c>
      <c r="F464" s="4">
        <f>CHOOSE( CONTROL!$C$32, 12.9801, 12.9798) * CHOOSE(CONTROL!$C$15, $D$11, 100%, $F$11)</f>
        <v>12.9801</v>
      </c>
      <c r="G464" s="8">
        <f>CHOOSE( CONTROL!$C$32, 12.1436, 12.1433) * CHOOSE( CONTROL!$C$15, $D$11, 100%, $F$11)</f>
        <v>12.143599999999999</v>
      </c>
      <c r="H464" s="4">
        <f>CHOOSE( CONTROL!$C$32, 13.0747, 13.0744) * CHOOSE(CONTROL!$C$15, $D$11, 100%, $F$11)</f>
        <v>13.0747</v>
      </c>
      <c r="I464" s="8">
        <f>CHOOSE( CONTROL!$C$32, 12.0149, 12.0147) * CHOOSE(CONTROL!$C$15, $D$11, 100%, $F$11)</f>
        <v>12.014900000000001</v>
      </c>
      <c r="J464" s="4">
        <f>CHOOSE( CONTROL!$C$32, 11.9043, 11.904) * CHOOSE(CONTROL!$C$15, $D$11, 100%, $F$11)</f>
        <v>11.904299999999999</v>
      </c>
      <c r="K464" s="4"/>
      <c r="L464" s="9">
        <v>30.092199999999998</v>
      </c>
      <c r="M464" s="9">
        <v>11.6745</v>
      </c>
      <c r="N464" s="9">
        <v>4.7850000000000001</v>
      </c>
      <c r="O464" s="9">
        <v>0.36199999999999999</v>
      </c>
      <c r="P464" s="9">
        <v>1.2509999999999999</v>
      </c>
      <c r="Q464" s="9">
        <v>19.3626</v>
      </c>
      <c r="R464" s="9"/>
      <c r="S464" s="11"/>
    </row>
    <row r="465" spans="1:19" ht="15.75">
      <c r="A465" s="13">
        <v>55304</v>
      </c>
      <c r="B465" s="8">
        <f>CHOOSE( CONTROL!$C$32, 12.6043, 12.6038) * CHOOSE(CONTROL!$C$15, $D$11, 100%, $F$11)</f>
        <v>12.6043</v>
      </c>
      <c r="C465" s="8">
        <f>CHOOSE( CONTROL!$C$32, 12.6122, 12.6118) * CHOOSE(CONTROL!$C$15, $D$11, 100%, $F$11)</f>
        <v>12.6122</v>
      </c>
      <c r="D465" s="8">
        <f>CHOOSE( CONTROL!$C$32, 12.611, 12.6106) * CHOOSE( CONTROL!$C$15, $D$11, 100%, $F$11)</f>
        <v>12.611000000000001</v>
      </c>
      <c r="E465" s="12">
        <f>CHOOSE( CONTROL!$C$32, 12.6102, 12.6098) * CHOOSE( CONTROL!$C$15, $D$11, 100%, $F$11)</f>
        <v>12.610200000000001</v>
      </c>
      <c r="F465" s="4">
        <f>CHOOSE( CONTROL!$C$32, 13.3071, 13.3066) * CHOOSE(CONTROL!$C$15, $D$11, 100%, $F$11)</f>
        <v>13.3071</v>
      </c>
      <c r="G465" s="8">
        <f>CHOOSE( CONTROL!$C$32, 12.4666, 12.4661) * CHOOSE( CONTROL!$C$15, $D$11, 100%, $F$11)</f>
        <v>12.4666</v>
      </c>
      <c r="H465" s="4">
        <f>CHOOSE( CONTROL!$C$32, 13.3979, 13.3975) * CHOOSE(CONTROL!$C$15, $D$11, 100%, $F$11)</f>
        <v>13.3979</v>
      </c>
      <c r="I465" s="8">
        <f>CHOOSE( CONTROL!$C$32, 12.3316, 12.3312) * CHOOSE(CONTROL!$C$15, $D$11, 100%, $F$11)</f>
        <v>12.3316</v>
      </c>
      <c r="J465" s="4">
        <f>CHOOSE( CONTROL!$C$32, 12.2216, 12.2212) * CHOOSE(CONTROL!$C$15, $D$11, 100%, $F$11)</f>
        <v>12.2216</v>
      </c>
      <c r="K465" s="4"/>
      <c r="L465" s="9">
        <v>30.7165</v>
      </c>
      <c r="M465" s="9">
        <v>12.063700000000001</v>
      </c>
      <c r="N465" s="9">
        <v>4.9444999999999997</v>
      </c>
      <c r="O465" s="9">
        <v>0.37409999999999999</v>
      </c>
      <c r="P465" s="9">
        <v>1.2927</v>
      </c>
      <c r="Q465" s="9">
        <v>20.007999999999999</v>
      </c>
      <c r="R465" s="9"/>
      <c r="S465" s="11"/>
    </row>
    <row r="466" spans="1:19" ht="15.75">
      <c r="A466" s="13">
        <v>55334</v>
      </c>
      <c r="B466" s="8">
        <f>CHOOSE( CONTROL!$C$32, 12.4018, 12.4014) * CHOOSE(CONTROL!$C$15, $D$11, 100%, $F$11)</f>
        <v>12.4018</v>
      </c>
      <c r="C466" s="8">
        <f>CHOOSE( CONTROL!$C$32, 12.4098, 12.4093) * CHOOSE(CONTROL!$C$15, $D$11, 100%, $F$11)</f>
        <v>12.409800000000001</v>
      </c>
      <c r="D466" s="8">
        <f>CHOOSE( CONTROL!$C$32, 12.4088, 12.4083) * CHOOSE( CONTROL!$C$15, $D$11, 100%, $F$11)</f>
        <v>12.408799999999999</v>
      </c>
      <c r="E466" s="12">
        <f>CHOOSE( CONTROL!$C$32, 12.4079, 12.4075) * CHOOSE( CONTROL!$C$15, $D$11, 100%, $F$11)</f>
        <v>12.4079</v>
      </c>
      <c r="F466" s="4">
        <f>CHOOSE( CONTROL!$C$32, 13.1046, 13.1042) * CHOOSE(CONTROL!$C$15, $D$11, 100%, $F$11)</f>
        <v>13.1046</v>
      </c>
      <c r="G466" s="8">
        <f>CHOOSE( CONTROL!$C$32, 12.2666, 12.2662) * CHOOSE( CONTROL!$C$15, $D$11, 100%, $F$11)</f>
        <v>12.2666</v>
      </c>
      <c r="H466" s="4">
        <f>CHOOSE( CONTROL!$C$32, 13.1978, 13.1974) * CHOOSE(CONTROL!$C$15, $D$11, 100%, $F$11)</f>
        <v>13.197800000000001</v>
      </c>
      <c r="I466" s="8">
        <f>CHOOSE( CONTROL!$C$32, 12.1357, 12.1352) * CHOOSE(CONTROL!$C$15, $D$11, 100%, $F$11)</f>
        <v>12.1357</v>
      </c>
      <c r="J466" s="4">
        <f>CHOOSE( CONTROL!$C$32, 12.0251, 12.0247) * CHOOSE(CONTROL!$C$15, $D$11, 100%, $F$11)</f>
        <v>12.0251</v>
      </c>
      <c r="K466" s="4"/>
      <c r="L466" s="9">
        <v>29.7257</v>
      </c>
      <c r="M466" s="9">
        <v>11.6745</v>
      </c>
      <c r="N466" s="9">
        <v>4.7850000000000001</v>
      </c>
      <c r="O466" s="9">
        <v>0.36199999999999999</v>
      </c>
      <c r="P466" s="9">
        <v>1.2509999999999999</v>
      </c>
      <c r="Q466" s="9">
        <v>19.3626</v>
      </c>
      <c r="R466" s="9"/>
      <c r="S466" s="11"/>
    </row>
    <row r="467" spans="1:19" ht="15.75">
      <c r="A467" s="13">
        <v>55365</v>
      </c>
      <c r="B467" s="8">
        <f>CHOOSE( CONTROL!$C$32, 12.935, 12.9345) * CHOOSE(CONTROL!$C$15, $D$11, 100%, $F$11)</f>
        <v>12.935</v>
      </c>
      <c r="C467" s="8">
        <f>CHOOSE( CONTROL!$C$32, 12.9429, 12.9425) * CHOOSE(CONTROL!$C$15, $D$11, 100%, $F$11)</f>
        <v>12.9429</v>
      </c>
      <c r="D467" s="8">
        <f>CHOOSE( CONTROL!$C$32, 12.9421, 12.9417) * CHOOSE( CONTROL!$C$15, $D$11, 100%, $F$11)</f>
        <v>12.9421</v>
      </c>
      <c r="E467" s="12">
        <f>CHOOSE( CONTROL!$C$32, 12.9412, 12.9408) * CHOOSE( CONTROL!$C$15, $D$11, 100%, $F$11)</f>
        <v>12.9412</v>
      </c>
      <c r="F467" s="4">
        <f>CHOOSE( CONTROL!$C$32, 13.6378, 13.6373) * CHOOSE(CONTROL!$C$15, $D$11, 100%, $F$11)</f>
        <v>13.6378</v>
      </c>
      <c r="G467" s="8">
        <f>CHOOSE( CONTROL!$C$32, 12.7937, 12.7933) * CHOOSE( CONTROL!$C$15, $D$11, 100%, $F$11)</f>
        <v>12.793699999999999</v>
      </c>
      <c r="H467" s="4">
        <f>CHOOSE( CONTROL!$C$32, 13.7247, 13.7243) * CHOOSE(CONTROL!$C$15, $D$11, 100%, $F$11)</f>
        <v>13.7247</v>
      </c>
      <c r="I467" s="8">
        <f>CHOOSE( CONTROL!$C$32, 12.6541, 12.6537) * CHOOSE(CONTROL!$C$15, $D$11, 100%, $F$11)</f>
        <v>12.6541</v>
      </c>
      <c r="J467" s="4">
        <f>CHOOSE( CONTROL!$C$32, 12.5426, 12.5421) * CHOOSE(CONTROL!$C$15, $D$11, 100%, $F$11)</f>
        <v>12.5426</v>
      </c>
      <c r="K467" s="4"/>
      <c r="L467" s="9">
        <v>30.7165</v>
      </c>
      <c r="M467" s="9">
        <v>12.063700000000001</v>
      </c>
      <c r="N467" s="9">
        <v>4.9444999999999997</v>
      </c>
      <c r="O467" s="9">
        <v>0.37409999999999999</v>
      </c>
      <c r="P467" s="9">
        <v>1.2927</v>
      </c>
      <c r="Q467" s="9">
        <v>20.007999999999999</v>
      </c>
      <c r="R467" s="9"/>
      <c r="S467" s="11"/>
    </row>
    <row r="468" spans="1:19" ht="15.75">
      <c r="A468" s="13">
        <v>55396</v>
      </c>
      <c r="B468" s="8">
        <f>CHOOSE( CONTROL!$C$32, 11.9374, 11.9369) * CHOOSE(CONTROL!$C$15, $D$11, 100%, $F$11)</f>
        <v>11.9374</v>
      </c>
      <c r="C468" s="8">
        <f>CHOOSE( CONTROL!$C$32, 11.9454, 11.9449) * CHOOSE(CONTROL!$C$15, $D$11, 100%, $F$11)</f>
        <v>11.945399999999999</v>
      </c>
      <c r="D468" s="8">
        <f>CHOOSE( CONTROL!$C$32, 11.9446, 11.9442) * CHOOSE( CONTROL!$C$15, $D$11, 100%, $F$11)</f>
        <v>11.944599999999999</v>
      </c>
      <c r="E468" s="12">
        <f>CHOOSE( CONTROL!$C$32, 11.9437, 11.9432) * CHOOSE( CONTROL!$C$15, $D$11, 100%, $F$11)</f>
        <v>11.9437</v>
      </c>
      <c r="F468" s="4">
        <f>CHOOSE( CONTROL!$C$32, 12.6402, 12.6397) * CHOOSE(CONTROL!$C$15, $D$11, 100%, $F$11)</f>
        <v>12.6402</v>
      </c>
      <c r="G468" s="8">
        <f>CHOOSE( CONTROL!$C$32, 11.8079, 11.8074) * CHOOSE( CONTROL!$C$15, $D$11, 100%, $F$11)</f>
        <v>11.8079</v>
      </c>
      <c r="H468" s="4">
        <f>CHOOSE( CONTROL!$C$32, 12.7388, 12.7384) * CHOOSE(CONTROL!$C$15, $D$11, 100%, $F$11)</f>
        <v>12.738799999999999</v>
      </c>
      <c r="I468" s="8">
        <f>CHOOSE( CONTROL!$C$32, 11.6857, 11.6853) * CHOOSE(CONTROL!$C$15, $D$11, 100%, $F$11)</f>
        <v>11.685700000000001</v>
      </c>
      <c r="J468" s="4">
        <f>CHOOSE( CONTROL!$C$32, 11.5744, 11.574) * CHOOSE(CONTROL!$C$15, $D$11, 100%, $F$11)</f>
        <v>11.574400000000001</v>
      </c>
      <c r="K468" s="4"/>
      <c r="L468" s="9">
        <v>30.7165</v>
      </c>
      <c r="M468" s="9">
        <v>12.063700000000001</v>
      </c>
      <c r="N468" s="9">
        <v>4.9444999999999997</v>
      </c>
      <c r="O468" s="9">
        <v>0.37409999999999999</v>
      </c>
      <c r="P468" s="9">
        <v>1.2927</v>
      </c>
      <c r="Q468" s="9">
        <v>20.007999999999999</v>
      </c>
      <c r="R468" s="9"/>
      <c r="S468" s="11"/>
    </row>
    <row r="469" spans="1:19" ht="15.75">
      <c r="A469" s="13">
        <v>55426</v>
      </c>
      <c r="B469" s="8">
        <f>CHOOSE( CONTROL!$C$32, 11.6876, 11.6871) * CHOOSE(CONTROL!$C$15, $D$11, 100%, $F$11)</f>
        <v>11.6876</v>
      </c>
      <c r="C469" s="8">
        <f>CHOOSE( CONTROL!$C$32, 11.6955, 11.6951) * CHOOSE(CONTROL!$C$15, $D$11, 100%, $F$11)</f>
        <v>11.695499999999999</v>
      </c>
      <c r="D469" s="8">
        <f>CHOOSE( CONTROL!$C$32, 11.6947, 11.6942) * CHOOSE( CONTROL!$C$15, $D$11, 100%, $F$11)</f>
        <v>11.694699999999999</v>
      </c>
      <c r="E469" s="12">
        <f>CHOOSE( CONTROL!$C$32, 11.6938, 11.6933) * CHOOSE( CONTROL!$C$15, $D$11, 100%, $F$11)</f>
        <v>11.6938</v>
      </c>
      <c r="F469" s="4">
        <f>CHOOSE( CONTROL!$C$32, 12.3904, 12.3899) * CHOOSE(CONTROL!$C$15, $D$11, 100%, $F$11)</f>
        <v>12.3904</v>
      </c>
      <c r="G469" s="8">
        <f>CHOOSE( CONTROL!$C$32, 11.5609, 11.5604) * CHOOSE( CONTROL!$C$15, $D$11, 100%, $F$11)</f>
        <v>11.5609</v>
      </c>
      <c r="H469" s="4">
        <f>CHOOSE( CONTROL!$C$32, 12.4919, 12.4915) * CHOOSE(CONTROL!$C$15, $D$11, 100%, $F$11)</f>
        <v>12.491899999999999</v>
      </c>
      <c r="I469" s="8">
        <f>CHOOSE( CONTROL!$C$32, 11.4426, 11.4422) * CHOOSE(CONTROL!$C$15, $D$11, 100%, $F$11)</f>
        <v>11.442600000000001</v>
      </c>
      <c r="J469" s="4">
        <f>CHOOSE( CONTROL!$C$32, 11.332, 11.3315) * CHOOSE(CONTROL!$C$15, $D$11, 100%, $F$11)</f>
        <v>11.332000000000001</v>
      </c>
      <c r="K469" s="4"/>
      <c r="L469" s="9">
        <v>29.7257</v>
      </c>
      <c r="M469" s="9">
        <v>11.6745</v>
      </c>
      <c r="N469" s="9">
        <v>4.7850000000000001</v>
      </c>
      <c r="O469" s="9">
        <v>0.36199999999999999</v>
      </c>
      <c r="P469" s="9">
        <v>1.2509999999999999</v>
      </c>
      <c r="Q469" s="9">
        <v>19.3626</v>
      </c>
      <c r="R469" s="9"/>
      <c r="S469" s="11"/>
    </row>
    <row r="470" spans="1:19" ht="15.75">
      <c r="A470" s="13">
        <v>55457</v>
      </c>
      <c r="B470" s="8">
        <f>CHOOSE( CONTROL!$C$32, 12.2044, 12.2041) * CHOOSE(CONTROL!$C$15, $D$11, 100%, $F$11)</f>
        <v>12.2044</v>
      </c>
      <c r="C470" s="8">
        <f>CHOOSE( CONTROL!$C$32, 12.2097, 12.2094) * CHOOSE(CONTROL!$C$15, $D$11, 100%, $F$11)</f>
        <v>12.2097</v>
      </c>
      <c r="D470" s="8">
        <f>CHOOSE( CONTROL!$C$32, 12.2144, 12.2141) * CHOOSE( CONTROL!$C$15, $D$11, 100%, $F$11)</f>
        <v>12.214399999999999</v>
      </c>
      <c r="E470" s="12">
        <f>CHOOSE( CONTROL!$C$32, 12.2123, 12.212) * CHOOSE( CONTROL!$C$15, $D$11, 100%, $F$11)</f>
        <v>12.212300000000001</v>
      </c>
      <c r="F470" s="4">
        <f>CHOOSE( CONTROL!$C$32, 12.9089, 12.9086) * CHOOSE(CONTROL!$C$15, $D$11, 100%, $F$11)</f>
        <v>12.908899999999999</v>
      </c>
      <c r="G470" s="8">
        <f>CHOOSE( CONTROL!$C$32, 12.0735, 12.0732) * CHOOSE( CONTROL!$C$15, $D$11, 100%, $F$11)</f>
        <v>12.073499999999999</v>
      </c>
      <c r="H470" s="4">
        <f>CHOOSE( CONTROL!$C$32, 13.0044, 13.0041) * CHOOSE(CONTROL!$C$15, $D$11, 100%, $F$11)</f>
        <v>13.0044</v>
      </c>
      <c r="I470" s="8">
        <f>CHOOSE( CONTROL!$C$32, 11.9469, 11.9466) * CHOOSE(CONTROL!$C$15, $D$11, 100%, $F$11)</f>
        <v>11.946899999999999</v>
      </c>
      <c r="J470" s="4">
        <f>CHOOSE( CONTROL!$C$32, 11.8352, 11.8349) * CHOOSE(CONTROL!$C$15, $D$11, 100%, $F$11)</f>
        <v>11.8352</v>
      </c>
      <c r="K470" s="4"/>
      <c r="L470" s="9">
        <v>31.095300000000002</v>
      </c>
      <c r="M470" s="9">
        <v>12.063700000000001</v>
      </c>
      <c r="N470" s="9">
        <v>4.9444999999999997</v>
      </c>
      <c r="O470" s="9">
        <v>0.37409999999999999</v>
      </c>
      <c r="P470" s="9">
        <v>1.2927</v>
      </c>
      <c r="Q470" s="9">
        <v>20.007999999999999</v>
      </c>
      <c r="R470" s="9"/>
      <c r="S470" s="11"/>
    </row>
    <row r="471" spans="1:19" ht="15.75">
      <c r="A471" s="13">
        <v>55487</v>
      </c>
      <c r="B471" s="8">
        <f>CHOOSE( CONTROL!$C$32, 13.1613, 13.1611) * CHOOSE(CONTROL!$C$15, $D$11, 100%, $F$11)</f>
        <v>13.161300000000001</v>
      </c>
      <c r="C471" s="8">
        <f>CHOOSE( CONTROL!$C$32, 13.1664, 13.1661) * CHOOSE(CONTROL!$C$15, $D$11, 100%, $F$11)</f>
        <v>13.166399999999999</v>
      </c>
      <c r="D471" s="8">
        <f>CHOOSE( CONTROL!$C$32, 13.1491, 13.1488) * CHOOSE( CONTROL!$C$15, $D$11, 100%, $F$11)</f>
        <v>13.149100000000001</v>
      </c>
      <c r="E471" s="12">
        <f>CHOOSE( CONTROL!$C$32, 13.1549, 13.1546) * CHOOSE( CONTROL!$C$15, $D$11, 100%, $F$11)</f>
        <v>13.1549</v>
      </c>
      <c r="F471" s="4">
        <f>CHOOSE( CONTROL!$C$32, 13.8266, 13.8263) * CHOOSE(CONTROL!$C$15, $D$11, 100%, $F$11)</f>
        <v>13.826599999999999</v>
      </c>
      <c r="G471" s="8">
        <f>CHOOSE( CONTROL!$C$32, 13.0166, 13.0163) * CHOOSE( CONTROL!$C$15, $D$11, 100%, $F$11)</f>
        <v>13.0166</v>
      </c>
      <c r="H471" s="4">
        <f>CHOOSE( CONTROL!$C$32, 13.9113, 13.9111) * CHOOSE(CONTROL!$C$15, $D$11, 100%, $F$11)</f>
        <v>13.911300000000001</v>
      </c>
      <c r="I471" s="8">
        <f>CHOOSE( CONTROL!$C$32, 12.9321, 12.9319) * CHOOSE(CONTROL!$C$15, $D$11, 100%, $F$11)</f>
        <v>12.9321</v>
      </c>
      <c r="J471" s="4">
        <f>CHOOSE( CONTROL!$C$32, 12.7643, 12.7641) * CHOOSE(CONTROL!$C$15, $D$11, 100%, $F$11)</f>
        <v>12.7643</v>
      </c>
      <c r="K471" s="4"/>
      <c r="L471" s="9">
        <v>28.360600000000002</v>
      </c>
      <c r="M471" s="9">
        <v>11.6745</v>
      </c>
      <c r="N471" s="9">
        <v>4.7850000000000001</v>
      </c>
      <c r="O471" s="9">
        <v>0.36199999999999999</v>
      </c>
      <c r="P471" s="9">
        <v>1.2509999999999999</v>
      </c>
      <c r="Q471" s="9">
        <v>19.3626</v>
      </c>
      <c r="R471" s="9"/>
      <c r="S471" s="11"/>
    </row>
    <row r="472" spans="1:19" ht="15.75">
      <c r="A472" s="13">
        <v>55518</v>
      </c>
      <c r="B472" s="8">
        <f>CHOOSE( CONTROL!$C$32, 13.1374, 13.1371) * CHOOSE(CONTROL!$C$15, $D$11, 100%, $F$11)</f>
        <v>13.1374</v>
      </c>
      <c r="C472" s="8">
        <f>CHOOSE( CONTROL!$C$32, 13.1425, 13.1422) * CHOOSE(CONTROL!$C$15, $D$11, 100%, $F$11)</f>
        <v>13.1425</v>
      </c>
      <c r="D472" s="8">
        <f>CHOOSE( CONTROL!$C$32, 13.127, 13.1267) * CHOOSE( CONTROL!$C$15, $D$11, 100%, $F$11)</f>
        <v>13.127000000000001</v>
      </c>
      <c r="E472" s="12">
        <f>CHOOSE( CONTROL!$C$32, 13.1321, 13.1318) * CHOOSE( CONTROL!$C$15, $D$11, 100%, $F$11)</f>
        <v>13.132099999999999</v>
      </c>
      <c r="F472" s="4">
        <f>CHOOSE( CONTROL!$C$32, 13.8027, 13.8024) * CHOOSE(CONTROL!$C$15, $D$11, 100%, $F$11)</f>
        <v>13.8027</v>
      </c>
      <c r="G472" s="8">
        <f>CHOOSE( CONTROL!$C$32, 12.9942, 12.994) * CHOOSE( CONTROL!$C$15, $D$11, 100%, $F$11)</f>
        <v>12.994199999999999</v>
      </c>
      <c r="H472" s="4">
        <f>CHOOSE( CONTROL!$C$32, 13.8877, 13.8874) * CHOOSE(CONTROL!$C$15, $D$11, 100%, $F$11)</f>
        <v>13.887700000000001</v>
      </c>
      <c r="I472" s="8">
        <f>CHOOSE( CONTROL!$C$32, 12.9145, 12.9142) * CHOOSE(CONTROL!$C$15, $D$11, 100%, $F$11)</f>
        <v>12.9145</v>
      </c>
      <c r="J472" s="4">
        <f>CHOOSE( CONTROL!$C$32, 12.7411, 12.7408) * CHOOSE(CONTROL!$C$15, $D$11, 100%, $F$11)</f>
        <v>12.741099999999999</v>
      </c>
      <c r="K472" s="4"/>
      <c r="L472" s="9">
        <v>29.306000000000001</v>
      </c>
      <c r="M472" s="9">
        <v>12.063700000000001</v>
      </c>
      <c r="N472" s="9">
        <v>4.9444999999999997</v>
      </c>
      <c r="O472" s="9">
        <v>0.37409999999999999</v>
      </c>
      <c r="P472" s="9">
        <v>1.2927</v>
      </c>
      <c r="Q472" s="9">
        <v>20.007999999999999</v>
      </c>
      <c r="R472" s="9"/>
      <c r="S472" s="11"/>
    </row>
    <row r="473" spans="1:19" ht="15.75">
      <c r="A473" s="13">
        <v>55549</v>
      </c>
      <c r="B473" s="8">
        <f>CHOOSE( CONTROL!$C$32, 13.5247, 13.5244) * CHOOSE(CONTROL!$C$15, $D$11, 100%, $F$11)</f>
        <v>13.524699999999999</v>
      </c>
      <c r="C473" s="8">
        <f>CHOOSE( CONTROL!$C$32, 13.5297, 13.5295) * CHOOSE(CONTROL!$C$15, $D$11, 100%, $F$11)</f>
        <v>13.5297</v>
      </c>
      <c r="D473" s="8">
        <f>CHOOSE( CONTROL!$C$32, 13.5202, 13.5199) * CHOOSE( CONTROL!$C$15, $D$11, 100%, $F$11)</f>
        <v>13.520200000000001</v>
      </c>
      <c r="E473" s="12">
        <f>CHOOSE( CONTROL!$C$32, 13.5231, 13.5229) * CHOOSE( CONTROL!$C$15, $D$11, 100%, $F$11)</f>
        <v>13.523099999999999</v>
      </c>
      <c r="F473" s="4">
        <f>CHOOSE( CONTROL!$C$32, 14.1899, 14.1897) * CHOOSE(CONTROL!$C$15, $D$11, 100%, $F$11)</f>
        <v>14.1899</v>
      </c>
      <c r="G473" s="8">
        <f>CHOOSE( CONTROL!$C$32, 13.3776, 13.3774) * CHOOSE( CONTROL!$C$15, $D$11, 100%, $F$11)</f>
        <v>13.377599999999999</v>
      </c>
      <c r="H473" s="4">
        <f>CHOOSE( CONTROL!$C$32, 14.2704, 14.2701) * CHOOSE(CONTROL!$C$15, $D$11, 100%, $F$11)</f>
        <v>14.2704</v>
      </c>
      <c r="I473" s="8">
        <f>CHOOSE( CONTROL!$C$32, 13.271, 13.2707) * CHOOSE(CONTROL!$C$15, $D$11, 100%, $F$11)</f>
        <v>13.271000000000001</v>
      </c>
      <c r="J473" s="4">
        <f>CHOOSE( CONTROL!$C$32, 13.1169, 13.1167) * CHOOSE(CONTROL!$C$15, $D$11, 100%, $F$11)</f>
        <v>13.116899999999999</v>
      </c>
      <c r="K473" s="4"/>
      <c r="L473" s="9">
        <v>29.306000000000001</v>
      </c>
      <c r="M473" s="9">
        <v>12.063700000000001</v>
      </c>
      <c r="N473" s="9">
        <v>4.9444999999999997</v>
      </c>
      <c r="O473" s="9">
        <v>0.37409999999999999</v>
      </c>
      <c r="P473" s="9">
        <v>1.2927</v>
      </c>
      <c r="Q473" s="9">
        <v>19.942900000000002</v>
      </c>
      <c r="R473" s="9"/>
      <c r="S473" s="11"/>
    </row>
    <row r="474" spans="1:19" ht="15.75">
      <c r="A474" s="13">
        <v>55577</v>
      </c>
      <c r="B474" s="8">
        <f>CHOOSE( CONTROL!$C$32, 12.6509, 12.6506) * CHOOSE(CONTROL!$C$15, $D$11, 100%, $F$11)</f>
        <v>12.6509</v>
      </c>
      <c r="C474" s="8">
        <f>CHOOSE( CONTROL!$C$32, 12.656, 12.6557) * CHOOSE(CONTROL!$C$15, $D$11, 100%, $F$11)</f>
        <v>12.656000000000001</v>
      </c>
      <c r="D474" s="8">
        <f>CHOOSE( CONTROL!$C$32, 12.6481, 12.6478) * CHOOSE( CONTROL!$C$15, $D$11, 100%, $F$11)</f>
        <v>12.648099999999999</v>
      </c>
      <c r="E474" s="12">
        <f>CHOOSE( CONTROL!$C$32, 12.6504, 12.6501) * CHOOSE( CONTROL!$C$15, $D$11, 100%, $F$11)</f>
        <v>12.650399999999999</v>
      </c>
      <c r="F474" s="4">
        <f>CHOOSE( CONTROL!$C$32, 13.3162, 13.3159) * CHOOSE(CONTROL!$C$15, $D$11, 100%, $F$11)</f>
        <v>13.3162</v>
      </c>
      <c r="G474" s="8">
        <f>CHOOSE( CONTROL!$C$32, 12.5127, 12.5124) * CHOOSE( CONTROL!$C$15, $D$11, 100%, $F$11)</f>
        <v>12.512700000000001</v>
      </c>
      <c r="H474" s="4">
        <f>CHOOSE( CONTROL!$C$32, 13.4069, 13.4066) * CHOOSE(CONTROL!$C$15, $D$11, 100%, $F$11)</f>
        <v>13.4069</v>
      </c>
      <c r="I474" s="8">
        <f>CHOOSE( CONTROL!$C$32, 12.4072, 12.4069) * CHOOSE(CONTROL!$C$15, $D$11, 100%, $F$11)</f>
        <v>12.4072</v>
      </c>
      <c r="J474" s="4">
        <f>CHOOSE( CONTROL!$C$32, 12.269, 12.2687) * CHOOSE(CONTROL!$C$15, $D$11, 100%, $F$11)</f>
        <v>12.269</v>
      </c>
      <c r="K474" s="4"/>
      <c r="L474" s="9">
        <v>27.415299999999998</v>
      </c>
      <c r="M474" s="9">
        <v>11.285299999999999</v>
      </c>
      <c r="N474" s="9">
        <v>4.6254999999999997</v>
      </c>
      <c r="O474" s="9">
        <v>0.34989999999999999</v>
      </c>
      <c r="P474" s="9">
        <v>1.2093</v>
      </c>
      <c r="Q474" s="9">
        <v>18.656300000000002</v>
      </c>
      <c r="R474" s="9"/>
      <c r="S474" s="11"/>
    </row>
    <row r="475" spans="1:19" ht="15.75">
      <c r="A475" s="13">
        <v>55609</v>
      </c>
      <c r="B475" s="8">
        <f>CHOOSE( CONTROL!$C$32, 12.3818, 12.3815) * CHOOSE(CONTROL!$C$15, $D$11, 100%, $F$11)</f>
        <v>12.3818</v>
      </c>
      <c r="C475" s="8">
        <f>CHOOSE( CONTROL!$C$32, 12.3869, 12.3866) * CHOOSE(CONTROL!$C$15, $D$11, 100%, $F$11)</f>
        <v>12.386900000000001</v>
      </c>
      <c r="D475" s="8">
        <f>CHOOSE( CONTROL!$C$32, 12.3742, 12.3739) * CHOOSE( CONTROL!$C$15, $D$11, 100%, $F$11)</f>
        <v>12.3742</v>
      </c>
      <c r="E475" s="12">
        <f>CHOOSE( CONTROL!$C$32, 12.3783, 12.378) * CHOOSE( CONTROL!$C$15, $D$11, 100%, $F$11)</f>
        <v>12.378299999999999</v>
      </c>
      <c r="F475" s="4">
        <f>CHOOSE( CONTROL!$C$32, 13.0471, 13.0468) * CHOOSE(CONTROL!$C$15, $D$11, 100%, $F$11)</f>
        <v>13.0471</v>
      </c>
      <c r="G475" s="8">
        <f>CHOOSE( CONTROL!$C$32, 12.2432, 12.243) * CHOOSE( CONTROL!$C$15, $D$11, 100%, $F$11)</f>
        <v>12.2432</v>
      </c>
      <c r="H475" s="4">
        <f>CHOOSE( CONTROL!$C$32, 13.1409, 13.1407) * CHOOSE(CONTROL!$C$15, $D$11, 100%, $F$11)</f>
        <v>13.1409</v>
      </c>
      <c r="I475" s="8">
        <f>CHOOSE( CONTROL!$C$32, 12.1443, 12.144) * CHOOSE(CONTROL!$C$15, $D$11, 100%, $F$11)</f>
        <v>12.144299999999999</v>
      </c>
      <c r="J475" s="4">
        <f>CHOOSE( CONTROL!$C$32, 12.0078, 12.0075) * CHOOSE(CONTROL!$C$15, $D$11, 100%, $F$11)</f>
        <v>12.0078</v>
      </c>
      <c r="K475" s="4"/>
      <c r="L475" s="9">
        <v>29.306000000000001</v>
      </c>
      <c r="M475" s="9">
        <v>12.063700000000001</v>
      </c>
      <c r="N475" s="9">
        <v>4.9444999999999997</v>
      </c>
      <c r="O475" s="9">
        <v>0.37409999999999999</v>
      </c>
      <c r="P475" s="9">
        <v>1.2927</v>
      </c>
      <c r="Q475" s="9">
        <v>19.942900000000002</v>
      </c>
      <c r="R475" s="9"/>
      <c r="S475" s="11"/>
    </row>
    <row r="476" spans="1:19" ht="15.75">
      <c r="A476" s="13">
        <v>55639</v>
      </c>
      <c r="B476" s="8">
        <f>CHOOSE( CONTROL!$C$32, 12.5706, 12.5703) * CHOOSE(CONTROL!$C$15, $D$11, 100%, $F$11)</f>
        <v>12.570600000000001</v>
      </c>
      <c r="C476" s="8">
        <f>CHOOSE( CONTROL!$C$32, 12.5751, 12.5748) * CHOOSE(CONTROL!$C$15, $D$11, 100%, $F$11)</f>
        <v>12.575100000000001</v>
      </c>
      <c r="D476" s="8">
        <f>CHOOSE( CONTROL!$C$32, 12.58, 12.5797) * CHOOSE( CONTROL!$C$15, $D$11, 100%, $F$11)</f>
        <v>12.58</v>
      </c>
      <c r="E476" s="12">
        <f>CHOOSE( CONTROL!$C$32, 12.5779, 12.5776) * CHOOSE( CONTROL!$C$15, $D$11, 100%, $F$11)</f>
        <v>12.5779</v>
      </c>
      <c r="F476" s="4">
        <f>CHOOSE( CONTROL!$C$32, 13.2748, 13.2745) * CHOOSE(CONTROL!$C$15, $D$11, 100%, $F$11)</f>
        <v>13.274800000000001</v>
      </c>
      <c r="G476" s="8">
        <f>CHOOSE( CONTROL!$C$32, 12.4348, 12.4346) * CHOOSE( CONTROL!$C$15, $D$11, 100%, $F$11)</f>
        <v>12.434799999999999</v>
      </c>
      <c r="H476" s="4">
        <f>CHOOSE( CONTROL!$C$32, 13.366, 13.3657) * CHOOSE(CONTROL!$C$15, $D$11, 100%, $F$11)</f>
        <v>13.366</v>
      </c>
      <c r="I476" s="8">
        <f>CHOOSE( CONTROL!$C$32, 12.3011, 12.3008) * CHOOSE(CONTROL!$C$15, $D$11, 100%, $F$11)</f>
        <v>12.3011</v>
      </c>
      <c r="J476" s="4">
        <f>CHOOSE( CONTROL!$C$32, 12.1903, 12.19) * CHOOSE(CONTROL!$C$15, $D$11, 100%, $F$11)</f>
        <v>12.190300000000001</v>
      </c>
      <c r="K476" s="4"/>
      <c r="L476" s="9">
        <v>30.092199999999998</v>
      </c>
      <c r="M476" s="9">
        <v>11.6745</v>
      </c>
      <c r="N476" s="9">
        <v>4.7850000000000001</v>
      </c>
      <c r="O476" s="9">
        <v>0.36199999999999999</v>
      </c>
      <c r="P476" s="9">
        <v>1.2509999999999999</v>
      </c>
      <c r="Q476" s="9">
        <v>19.299600000000002</v>
      </c>
      <c r="R476" s="9"/>
      <c r="S476" s="11"/>
    </row>
    <row r="477" spans="1:19" ht="15.75">
      <c r="A477" s="13">
        <v>55670</v>
      </c>
      <c r="B477" s="8">
        <f>CHOOSE( CONTROL!$C$32, 12.9068, 12.9064) * CHOOSE(CONTROL!$C$15, $D$11, 100%, $F$11)</f>
        <v>12.9068</v>
      </c>
      <c r="C477" s="8">
        <f>CHOOSE( CONTROL!$C$32, 12.9148, 12.9144) * CHOOSE(CONTROL!$C$15, $D$11, 100%, $F$11)</f>
        <v>12.9148</v>
      </c>
      <c r="D477" s="8">
        <f>CHOOSE( CONTROL!$C$32, 12.9136, 12.9131) * CHOOSE( CONTROL!$C$15, $D$11, 100%, $F$11)</f>
        <v>12.913600000000001</v>
      </c>
      <c r="E477" s="12">
        <f>CHOOSE( CONTROL!$C$32, 12.9128, 12.9124) * CHOOSE( CONTROL!$C$15, $D$11, 100%, $F$11)</f>
        <v>12.912800000000001</v>
      </c>
      <c r="F477" s="4">
        <f>CHOOSE( CONTROL!$C$32, 13.6097, 13.6092) * CHOOSE(CONTROL!$C$15, $D$11, 100%, $F$11)</f>
        <v>13.6097</v>
      </c>
      <c r="G477" s="8">
        <f>CHOOSE( CONTROL!$C$32, 12.7656, 12.7652) * CHOOSE( CONTROL!$C$15, $D$11, 100%, $F$11)</f>
        <v>12.765599999999999</v>
      </c>
      <c r="H477" s="4">
        <f>CHOOSE( CONTROL!$C$32, 13.6969, 13.6965) * CHOOSE(CONTROL!$C$15, $D$11, 100%, $F$11)</f>
        <v>13.696899999999999</v>
      </c>
      <c r="I477" s="8">
        <f>CHOOSE( CONTROL!$C$32, 12.6254, 12.625) * CHOOSE(CONTROL!$C$15, $D$11, 100%, $F$11)</f>
        <v>12.625400000000001</v>
      </c>
      <c r="J477" s="4">
        <f>CHOOSE( CONTROL!$C$32, 12.5153, 12.5148) * CHOOSE(CONTROL!$C$15, $D$11, 100%, $F$11)</f>
        <v>12.5153</v>
      </c>
      <c r="K477" s="4"/>
      <c r="L477" s="9">
        <v>30.7165</v>
      </c>
      <c r="M477" s="9">
        <v>12.063700000000001</v>
      </c>
      <c r="N477" s="9">
        <v>4.9444999999999997</v>
      </c>
      <c r="O477" s="9">
        <v>0.37409999999999999</v>
      </c>
      <c r="P477" s="9">
        <v>1.2927</v>
      </c>
      <c r="Q477" s="9">
        <v>19.942900000000002</v>
      </c>
      <c r="R477" s="9"/>
      <c r="S477" s="11"/>
    </row>
    <row r="478" spans="1:19" ht="15.75">
      <c r="A478" s="13">
        <v>55700</v>
      </c>
      <c r="B478" s="8">
        <f>CHOOSE( CONTROL!$C$32, 12.6995, 12.6991) * CHOOSE(CONTROL!$C$15, $D$11, 100%, $F$11)</f>
        <v>12.6995</v>
      </c>
      <c r="C478" s="8">
        <f>CHOOSE( CONTROL!$C$32, 12.7075, 12.707) * CHOOSE(CONTROL!$C$15, $D$11, 100%, $F$11)</f>
        <v>12.7075</v>
      </c>
      <c r="D478" s="8">
        <f>CHOOSE( CONTROL!$C$32, 12.7065, 12.706) * CHOOSE( CONTROL!$C$15, $D$11, 100%, $F$11)</f>
        <v>12.7065</v>
      </c>
      <c r="E478" s="12">
        <f>CHOOSE( CONTROL!$C$32, 12.7056, 12.7052) * CHOOSE( CONTROL!$C$15, $D$11, 100%, $F$11)</f>
        <v>12.7056</v>
      </c>
      <c r="F478" s="4">
        <f>CHOOSE( CONTROL!$C$32, 13.4023, 13.4019) * CHOOSE(CONTROL!$C$15, $D$11, 100%, $F$11)</f>
        <v>13.4023</v>
      </c>
      <c r="G478" s="8">
        <f>CHOOSE( CONTROL!$C$32, 12.5609, 12.5604) * CHOOSE( CONTROL!$C$15, $D$11, 100%, $F$11)</f>
        <v>12.5609</v>
      </c>
      <c r="H478" s="4">
        <f>CHOOSE( CONTROL!$C$32, 13.492, 13.4916) * CHOOSE(CONTROL!$C$15, $D$11, 100%, $F$11)</f>
        <v>13.492000000000001</v>
      </c>
      <c r="I478" s="8">
        <f>CHOOSE( CONTROL!$C$32, 12.4248, 12.4243) * CHOOSE(CONTROL!$C$15, $D$11, 100%, $F$11)</f>
        <v>12.424799999999999</v>
      </c>
      <c r="J478" s="4">
        <f>CHOOSE( CONTROL!$C$32, 12.3141, 12.3136) * CHOOSE(CONTROL!$C$15, $D$11, 100%, $F$11)</f>
        <v>12.3141</v>
      </c>
      <c r="K478" s="4"/>
      <c r="L478" s="9">
        <v>29.7257</v>
      </c>
      <c r="M478" s="9">
        <v>11.6745</v>
      </c>
      <c r="N478" s="9">
        <v>4.7850000000000001</v>
      </c>
      <c r="O478" s="9">
        <v>0.36199999999999999</v>
      </c>
      <c r="P478" s="9">
        <v>1.2509999999999999</v>
      </c>
      <c r="Q478" s="9">
        <v>19.299600000000002</v>
      </c>
      <c r="R478" s="9"/>
      <c r="S478" s="11"/>
    </row>
    <row r="479" spans="1:19" ht="15.75">
      <c r="A479" s="13">
        <v>55731</v>
      </c>
      <c r="B479" s="8">
        <f>CHOOSE( CONTROL!$C$32, 13.2455, 13.245) * CHOOSE(CONTROL!$C$15, $D$11, 100%, $F$11)</f>
        <v>13.2455</v>
      </c>
      <c r="C479" s="8">
        <f>CHOOSE( CONTROL!$C$32, 13.2535, 13.253) * CHOOSE(CONTROL!$C$15, $D$11, 100%, $F$11)</f>
        <v>13.253500000000001</v>
      </c>
      <c r="D479" s="8">
        <f>CHOOSE( CONTROL!$C$32, 13.2527, 13.2522) * CHOOSE( CONTROL!$C$15, $D$11, 100%, $F$11)</f>
        <v>13.252700000000001</v>
      </c>
      <c r="E479" s="12">
        <f>CHOOSE( CONTROL!$C$32, 13.2518, 13.2513) * CHOOSE( CONTROL!$C$15, $D$11, 100%, $F$11)</f>
        <v>13.251799999999999</v>
      </c>
      <c r="F479" s="4">
        <f>CHOOSE( CONTROL!$C$32, 13.9483, 13.9478) * CHOOSE(CONTROL!$C$15, $D$11, 100%, $F$11)</f>
        <v>13.9483</v>
      </c>
      <c r="G479" s="8">
        <f>CHOOSE( CONTROL!$C$32, 13.1006, 13.1002) * CHOOSE( CONTROL!$C$15, $D$11, 100%, $F$11)</f>
        <v>13.1006</v>
      </c>
      <c r="H479" s="4">
        <f>CHOOSE( CONTROL!$C$32, 14.0316, 14.0312) * CHOOSE(CONTROL!$C$15, $D$11, 100%, $F$11)</f>
        <v>14.031599999999999</v>
      </c>
      <c r="I479" s="8">
        <f>CHOOSE( CONTROL!$C$32, 12.9557, 12.9552) * CHOOSE(CONTROL!$C$15, $D$11, 100%, $F$11)</f>
        <v>12.9557</v>
      </c>
      <c r="J479" s="4">
        <f>CHOOSE( CONTROL!$C$32, 12.8439, 12.8435) * CHOOSE(CONTROL!$C$15, $D$11, 100%, $F$11)</f>
        <v>12.8439</v>
      </c>
      <c r="K479" s="4"/>
      <c r="L479" s="9">
        <v>30.7165</v>
      </c>
      <c r="M479" s="9">
        <v>12.063700000000001</v>
      </c>
      <c r="N479" s="9">
        <v>4.9444999999999997</v>
      </c>
      <c r="O479" s="9">
        <v>0.37409999999999999</v>
      </c>
      <c r="P479" s="9">
        <v>1.2927</v>
      </c>
      <c r="Q479" s="9">
        <v>19.942900000000002</v>
      </c>
      <c r="R479" s="9"/>
      <c r="S479" s="11"/>
    </row>
    <row r="480" spans="1:19" ht="15.75">
      <c r="A480" s="13">
        <v>55762</v>
      </c>
      <c r="B480" s="8">
        <f>CHOOSE( CONTROL!$C$32, 12.2239, 12.2235) * CHOOSE(CONTROL!$C$15, $D$11, 100%, $F$11)</f>
        <v>12.2239</v>
      </c>
      <c r="C480" s="8">
        <f>CHOOSE( CONTROL!$C$32, 12.2319, 12.2314) * CHOOSE(CONTROL!$C$15, $D$11, 100%, $F$11)</f>
        <v>12.2319</v>
      </c>
      <c r="D480" s="8">
        <f>CHOOSE( CONTROL!$C$32, 12.2312, 12.2307) * CHOOSE( CONTROL!$C$15, $D$11, 100%, $F$11)</f>
        <v>12.231199999999999</v>
      </c>
      <c r="E480" s="12">
        <f>CHOOSE( CONTROL!$C$32, 12.2302, 12.2297) * CHOOSE( CONTROL!$C$15, $D$11, 100%, $F$11)</f>
        <v>12.2302</v>
      </c>
      <c r="F480" s="4">
        <f>CHOOSE( CONTROL!$C$32, 12.9267, 12.9263) * CHOOSE(CONTROL!$C$15, $D$11, 100%, $F$11)</f>
        <v>12.9267</v>
      </c>
      <c r="G480" s="8">
        <f>CHOOSE( CONTROL!$C$32, 12.0911, 12.0906) * CHOOSE( CONTROL!$C$15, $D$11, 100%, $F$11)</f>
        <v>12.091100000000001</v>
      </c>
      <c r="H480" s="4">
        <f>CHOOSE( CONTROL!$C$32, 13.022, 13.0216) * CHOOSE(CONTROL!$C$15, $D$11, 100%, $F$11)</f>
        <v>13.022</v>
      </c>
      <c r="I480" s="8">
        <f>CHOOSE( CONTROL!$C$32, 11.9639, 11.9635) * CHOOSE(CONTROL!$C$15, $D$11, 100%, $F$11)</f>
        <v>11.963900000000001</v>
      </c>
      <c r="J480" s="4">
        <f>CHOOSE( CONTROL!$C$32, 11.8525, 11.8521) * CHOOSE(CONTROL!$C$15, $D$11, 100%, $F$11)</f>
        <v>11.852499999999999</v>
      </c>
      <c r="K480" s="4"/>
      <c r="L480" s="9">
        <v>30.7165</v>
      </c>
      <c r="M480" s="9">
        <v>12.063700000000001</v>
      </c>
      <c r="N480" s="9">
        <v>4.9444999999999997</v>
      </c>
      <c r="O480" s="9">
        <v>0.37409999999999999</v>
      </c>
      <c r="P480" s="9">
        <v>1.2927</v>
      </c>
      <c r="Q480" s="9">
        <v>19.942900000000002</v>
      </c>
      <c r="R480" s="9"/>
      <c r="S480" s="11"/>
    </row>
    <row r="481" spans="1:19" ht="15.75">
      <c r="A481" s="13">
        <v>55792</v>
      </c>
      <c r="B481" s="8">
        <f>CHOOSE( CONTROL!$C$32, 11.9681, 11.9677) * CHOOSE(CONTROL!$C$15, $D$11, 100%, $F$11)</f>
        <v>11.9681</v>
      </c>
      <c r="C481" s="8">
        <f>CHOOSE( CONTROL!$C$32, 11.9761, 11.9756) * CHOOSE(CONTROL!$C$15, $D$11, 100%, $F$11)</f>
        <v>11.976100000000001</v>
      </c>
      <c r="D481" s="8">
        <f>CHOOSE( CONTROL!$C$32, 11.9752, 11.9747) * CHOOSE( CONTROL!$C$15, $D$11, 100%, $F$11)</f>
        <v>11.975199999999999</v>
      </c>
      <c r="E481" s="12">
        <f>CHOOSE( CONTROL!$C$32, 11.9743, 11.9738) * CHOOSE( CONTROL!$C$15, $D$11, 100%, $F$11)</f>
        <v>11.974299999999999</v>
      </c>
      <c r="F481" s="4">
        <f>CHOOSE( CONTROL!$C$32, 12.6709, 12.6705) * CHOOSE(CONTROL!$C$15, $D$11, 100%, $F$11)</f>
        <v>12.6709</v>
      </c>
      <c r="G481" s="8">
        <f>CHOOSE( CONTROL!$C$32, 11.8381, 11.8377) * CHOOSE( CONTROL!$C$15, $D$11, 100%, $F$11)</f>
        <v>11.838100000000001</v>
      </c>
      <c r="H481" s="4">
        <f>CHOOSE( CONTROL!$C$32, 12.7692, 12.7687) * CHOOSE(CONTROL!$C$15, $D$11, 100%, $F$11)</f>
        <v>12.7692</v>
      </c>
      <c r="I481" s="8">
        <f>CHOOSE( CONTROL!$C$32, 11.715, 11.7146) * CHOOSE(CONTROL!$C$15, $D$11, 100%, $F$11)</f>
        <v>11.715</v>
      </c>
      <c r="J481" s="4">
        <f>CHOOSE( CONTROL!$C$32, 11.6042, 11.6038) * CHOOSE(CONTROL!$C$15, $D$11, 100%, $F$11)</f>
        <v>11.604200000000001</v>
      </c>
      <c r="K481" s="4"/>
      <c r="L481" s="9">
        <v>29.7257</v>
      </c>
      <c r="M481" s="9">
        <v>11.6745</v>
      </c>
      <c r="N481" s="9">
        <v>4.7850000000000001</v>
      </c>
      <c r="O481" s="9">
        <v>0.36199999999999999</v>
      </c>
      <c r="P481" s="9">
        <v>1.2509999999999999</v>
      </c>
      <c r="Q481" s="9">
        <v>19.299600000000002</v>
      </c>
      <c r="R481" s="9"/>
      <c r="S481" s="11"/>
    </row>
    <row r="482" spans="1:19" ht="15.75">
      <c r="A482" s="13">
        <v>55823</v>
      </c>
      <c r="B482" s="8">
        <f>CHOOSE( CONTROL!$C$32, 12.4974, 12.4971) * CHOOSE(CONTROL!$C$15, $D$11, 100%, $F$11)</f>
        <v>12.497400000000001</v>
      </c>
      <c r="C482" s="8">
        <f>CHOOSE( CONTROL!$C$32, 12.5027, 12.5024) * CHOOSE(CONTROL!$C$15, $D$11, 100%, $F$11)</f>
        <v>12.502700000000001</v>
      </c>
      <c r="D482" s="8">
        <f>CHOOSE( CONTROL!$C$32, 12.5074, 12.5071) * CHOOSE( CONTROL!$C$15, $D$11, 100%, $F$11)</f>
        <v>12.507400000000001</v>
      </c>
      <c r="E482" s="12">
        <f>CHOOSE( CONTROL!$C$32, 12.5053, 12.505) * CHOOSE( CONTROL!$C$15, $D$11, 100%, $F$11)</f>
        <v>12.5053</v>
      </c>
      <c r="F482" s="4">
        <f>CHOOSE( CONTROL!$C$32, 13.2019, 13.2016) * CHOOSE(CONTROL!$C$15, $D$11, 100%, $F$11)</f>
        <v>13.2019</v>
      </c>
      <c r="G482" s="8">
        <f>CHOOSE( CONTROL!$C$32, 12.3631, 12.3628) * CHOOSE( CONTROL!$C$15, $D$11, 100%, $F$11)</f>
        <v>12.363099999999999</v>
      </c>
      <c r="H482" s="4">
        <f>CHOOSE( CONTROL!$C$32, 13.2939, 13.2937) * CHOOSE(CONTROL!$C$15, $D$11, 100%, $F$11)</f>
        <v>13.293900000000001</v>
      </c>
      <c r="I482" s="8">
        <f>CHOOSE( CONTROL!$C$32, 12.2314, 12.2311) * CHOOSE(CONTROL!$C$15, $D$11, 100%, $F$11)</f>
        <v>12.231400000000001</v>
      </c>
      <c r="J482" s="4">
        <f>CHOOSE( CONTROL!$C$32, 12.1195, 12.1193) * CHOOSE(CONTROL!$C$15, $D$11, 100%, $F$11)</f>
        <v>12.1195</v>
      </c>
      <c r="K482" s="4"/>
      <c r="L482" s="9">
        <v>31.095300000000002</v>
      </c>
      <c r="M482" s="9">
        <v>12.063700000000001</v>
      </c>
      <c r="N482" s="9">
        <v>4.9444999999999997</v>
      </c>
      <c r="O482" s="9">
        <v>0.37409999999999999</v>
      </c>
      <c r="P482" s="9">
        <v>1.2927</v>
      </c>
      <c r="Q482" s="9">
        <v>19.942900000000002</v>
      </c>
      <c r="R482" s="9"/>
      <c r="S482" s="11"/>
    </row>
    <row r="483" spans="1:19" ht="15.75">
      <c r="A483" s="13">
        <v>55853</v>
      </c>
      <c r="B483" s="8">
        <f>CHOOSE( CONTROL!$C$32, 13.4773, 13.4771) * CHOOSE(CONTROL!$C$15, $D$11, 100%, $F$11)</f>
        <v>13.4773</v>
      </c>
      <c r="C483" s="8">
        <f>CHOOSE( CONTROL!$C$32, 13.4824, 13.4822) * CHOOSE(CONTROL!$C$15, $D$11, 100%, $F$11)</f>
        <v>13.4824</v>
      </c>
      <c r="D483" s="8">
        <f>CHOOSE( CONTROL!$C$32, 13.4651, 13.4649) * CHOOSE( CONTROL!$C$15, $D$11, 100%, $F$11)</f>
        <v>13.4651</v>
      </c>
      <c r="E483" s="12">
        <f>CHOOSE( CONTROL!$C$32, 13.4709, 13.4707) * CHOOSE( CONTROL!$C$15, $D$11, 100%, $F$11)</f>
        <v>13.4709</v>
      </c>
      <c r="F483" s="4">
        <f>CHOOSE( CONTROL!$C$32, 14.1426, 14.1424) * CHOOSE(CONTROL!$C$15, $D$11, 100%, $F$11)</f>
        <v>14.1426</v>
      </c>
      <c r="G483" s="8">
        <f>CHOOSE( CONTROL!$C$32, 13.3289, 13.3286) * CHOOSE( CONTROL!$C$15, $D$11, 100%, $F$11)</f>
        <v>13.328900000000001</v>
      </c>
      <c r="H483" s="4">
        <f>CHOOSE( CONTROL!$C$32, 14.2237, 14.2234) * CHOOSE(CONTROL!$C$15, $D$11, 100%, $F$11)</f>
        <v>14.223699999999999</v>
      </c>
      <c r="I483" s="8">
        <f>CHOOSE( CONTROL!$C$32, 13.239, 13.2387) * CHOOSE(CONTROL!$C$15, $D$11, 100%, $F$11)</f>
        <v>13.239000000000001</v>
      </c>
      <c r="J483" s="4">
        <f>CHOOSE( CONTROL!$C$32, 13.071, 13.0707) * CHOOSE(CONTROL!$C$15, $D$11, 100%, $F$11)</f>
        <v>13.071</v>
      </c>
      <c r="K483" s="4"/>
      <c r="L483" s="9">
        <v>28.360600000000002</v>
      </c>
      <c r="M483" s="9">
        <v>11.6745</v>
      </c>
      <c r="N483" s="9">
        <v>4.7850000000000001</v>
      </c>
      <c r="O483" s="9">
        <v>0.36199999999999999</v>
      </c>
      <c r="P483" s="9">
        <v>1.2509999999999999</v>
      </c>
      <c r="Q483" s="9">
        <v>19.299600000000002</v>
      </c>
      <c r="R483" s="9"/>
      <c r="S483" s="11"/>
    </row>
    <row r="484" spans="1:19" ht="15.75">
      <c r="A484" s="13">
        <v>55884</v>
      </c>
      <c r="B484" s="8">
        <f>CHOOSE( CONTROL!$C$32, 13.4529, 13.4526) * CHOOSE(CONTROL!$C$15, $D$11, 100%, $F$11)</f>
        <v>13.4529</v>
      </c>
      <c r="C484" s="8">
        <f>CHOOSE( CONTROL!$C$32, 13.4579, 13.4577) * CHOOSE(CONTROL!$C$15, $D$11, 100%, $F$11)</f>
        <v>13.4579</v>
      </c>
      <c r="D484" s="8">
        <f>CHOOSE( CONTROL!$C$32, 13.4424, 13.4422) * CHOOSE( CONTROL!$C$15, $D$11, 100%, $F$11)</f>
        <v>13.442399999999999</v>
      </c>
      <c r="E484" s="12">
        <f>CHOOSE( CONTROL!$C$32, 13.4475, 13.4473) * CHOOSE( CONTROL!$C$15, $D$11, 100%, $F$11)</f>
        <v>13.4475</v>
      </c>
      <c r="F484" s="4">
        <f>CHOOSE( CONTROL!$C$32, 14.1181, 14.1179) * CHOOSE(CONTROL!$C$15, $D$11, 100%, $F$11)</f>
        <v>14.1181</v>
      </c>
      <c r="G484" s="8">
        <f>CHOOSE( CONTROL!$C$32, 13.306, 13.3057) * CHOOSE( CONTROL!$C$15, $D$11, 100%, $F$11)</f>
        <v>13.305999999999999</v>
      </c>
      <c r="H484" s="4">
        <f>CHOOSE( CONTROL!$C$32, 14.1994, 14.1992) * CHOOSE(CONTROL!$C$15, $D$11, 100%, $F$11)</f>
        <v>14.199400000000001</v>
      </c>
      <c r="I484" s="8">
        <f>CHOOSE( CONTROL!$C$32, 13.2208, 13.2205) * CHOOSE(CONTROL!$C$15, $D$11, 100%, $F$11)</f>
        <v>13.220800000000001</v>
      </c>
      <c r="J484" s="4">
        <f>CHOOSE( CONTROL!$C$32, 13.0472, 13.047) * CHOOSE(CONTROL!$C$15, $D$11, 100%, $F$11)</f>
        <v>13.0472</v>
      </c>
      <c r="K484" s="4"/>
      <c r="L484" s="9">
        <v>29.306000000000001</v>
      </c>
      <c r="M484" s="9">
        <v>12.063700000000001</v>
      </c>
      <c r="N484" s="9">
        <v>4.9444999999999997</v>
      </c>
      <c r="O484" s="9">
        <v>0.37409999999999999</v>
      </c>
      <c r="P484" s="9">
        <v>1.2927</v>
      </c>
      <c r="Q484" s="9">
        <v>19.942900000000002</v>
      </c>
      <c r="R484" s="9"/>
      <c r="S484" s="11"/>
    </row>
    <row r="485" spans="1:19" ht="15.75">
      <c r="A485" s="13">
        <v>55915</v>
      </c>
      <c r="B485" s="8">
        <f>CHOOSE( CONTROL!$C$32, 13.8494, 13.8491) * CHOOSE(CONTROL!$C$15, $D$11, 100%, $F$11)</f>
        <v>13.849399999999999</v>
      </c>
      <c r="C485" s="8">
        <f>CHOOSE( CONTROL!$C$32, 13.8545, 13.8542) * CHOOSE(CONTROL!$C$15, $D$11, 100%, $F$11)</f>
        <v>13.8545</v>
      </c>
      <c r="D485" s="8">
        <f>CHOOSE( CONTROL!$C$32, 13.8449, 13.8446) * CHOOSE( CONTROL!$C$15, $D$11, 100%, $F$11)</f>
        <v>13.844900000000001</v>
      </c>
      <c r="E485" s="12">
        <f>CHOOSE( CONTROL!$C$32, 13.8479, 13.8476) * CHOOSE( CONTROL!$C$15, $D$11, 100%, $F$11)</f>
        <v>13.847899999999999</v>
      </c>
      <c r="F485" s="4">
        <f>CHOOSE( CONTROL!$C$32, 14.5147, 14.5144) * CHOOSE(CONTROL!$C$15, $D$11, 100%, $F$11)</f>
        <v>14.514699999999999</v>
      </c>
      <c r="G485" s="8">
        <f>CHOOSE( CONTROL!$C$32, 13.6986, 13.6983) * CHOOSE( CONTROL!$C$15, $D$11, 100%, $F$11)</f>
        <v>13.698600000000001</v>
      </c>
      <c r="H485" s="4">
        <f>CHOOSE( CONTROL!$C$32, 14.5913, 14.5911) * CHOOSE(CONTROL!$C$15, $D$11, 100%, $F$11)</f>
        <v>14.5913</v>
      </c>
      <c r="I485" s="8">
        <f>CHOOSE( CONTROL!$C$32, 13.5863, 13.586) * CHOOSE(CONTROL!$C$15, $D$11, 100%, $F$11)</f>
        <v>13.5863</v>
      </c>
      <c r="J485" s="4">
        <f>CHOOSE( CONTROL!$C$32, 13.4321, 13.4318) * CHOOSE(CONTROL!$C$15, $D$11, 100%, $F$11)</f>
        <v>13.4321</v>
      </c>
      <c r="K485" s="4"/>
      <c r="L485" s="9">
        <v>29.306000000000001</v>
      </c>
      <c r="M485" s="9">
        <v>12.063700000000001</v>
      </c>
      <c r="N485" s="9">
        <v>4.9444999999999997</v>
      </c>
      <c r="O485" s="9">
        <v>0.37409999999999999</v>
      </c>
      <c r="P485" s="9">
        <v>1.2927</v>
      </c>
      <c r="Q485" s="9">
        <v>19.877800000000001</v>
      </c>
      <c r="R485" s="9"/>
      <c r="S485" s="11"/>
    </row>
    <row r="486" spans="1:19" ht="15.75">
      <c r="A486" s="13">
        <v>55943</v>
      </c>
      <c r="B486" s="8">
        <f>CHOOSE( CONTROL!$C$32, 12.9547, 12.9544) * CHOOSE(CONTROL!$C$15, $D$11, 100%, $F$11)</f>
        <v>12.954700000000001</v>
      </c>
      <c r="C486" s="8">
        <f>CHOOSE( CONTROL!$C$32, 12.9597, 12.9595) * CHOOSE(CONTROL!$C$15, $D$11, 100%, $F$11)</f>
        <v>12.9597</v>
      </c>
      <c r="D486" s="8">
        <f>CHOOSE( CONTROL!$C$32, 12.9518, 12.9516) * CHOOSE( CONTROL!$C$15, $D$11, 100%, $F$11)</f>
        <v>12.9518</v>
      </c>
      <c r="E486" s="12">
        <f>CHOOSE( CONTROL!$C$32, 12.9542, 12.9539) * CHOOSE( CONTROL!$C$15, $D$11, 100%, $F$11)</f>
        <v>12.9542</v>
      </c>
      <c r="F486" s="4">
        <f>CHOOSE( CONTROL!$C$32, 13.6199, 13.6197) * CHOOSE(CONTROL!$C$15, $D$11, 100%, $F$11)</f>
        <v>13.619899999999999</v>
      </c>
      <c r="G486" s="8">
        <f>CHOOSE( CONTROL!$C$32, 12.8128, 12.8126) * CHOOSE( CONTROL!$C$15, $D$11, 100%, $F$11)</f>
        <v>12.812799999999999</v>
      </c>
      <c r="H486" s="4">
        <f>CHOOSE( CONTROL!$C$32, 13.7071, 13.7068) * CHOOSE(CONTROL!$C$15, $D$11, 100%, $F$11)</f>
        <v>13.707100000000001</v>
      </c>
      <c r="I486" s="8">
        <f>CHOOSE( CONTROL!$C$32, 12.7021, 12.7019) * CHOOSE(CONTROL!$C$15, $D$11, 100%, $F$11)</f>
        <v>12.7021</v>
      </c>
      <c r="J486" s="4">
        <f>CHOOSE( CONTROL!$C$32, 12.5637, 12.5635) * CHOOSE(CONTROL!$C$15, $D$11, 100%, $F$11)</f>
        <v>12.563700000000001</v>
      </c>
      <c r="K486" s="4"/>
      <c r="L486" s="9">
        <v>26.469899999999999</v>
      </c>
      <c r="M486" s="9">
        <v>10.8962</v>
      </c>
      <c r="N486" s="9">
        <v>4.4660000000000002</v>
      </c>
      <c r="O486" s="9">
        <v>0.33789999999999998</v>
      </c>
      <c r="P486" s="9">
        <v>1.1676</v>
      </c>
      <c r="Q486" s="9">
        <v>17.9542</v>
      </c>
      <c r="R486" s="9"/>
      <c r="S486" s="11"/>
    </row>
    <row r="487" spans="1:19" ht="15.75">
      <c r="A487" s="13">
        <v>55974</v>
      </c>
      <c r="B487" s="8">
        <f>CHOOSE( CONTROL!$C$32, 12.6791, 12.6788) * CHOOSE(CONTROL!$C$15, $D$11, 100%, $F$11)</f>
        <v>12.6791</v>
      </c>
      <c r="C487" s="8">
        <f>CHOOSE( CONTROL!$C$32, 12.6842, 12.6839) * CHOOSE(CONTROL!$C$15, $D$11, 100%, $F$11)</f>
        <v>12.684200000000001</v>
      </c>
      <c r="D487" s="8">
        <f>CHOOSE( CONTROL!$C$32, 12.6715, 12.6712) * CHOOSE( CONTROL!$C$15, $D$11, 100%, $F$11)</f>
        <v>12.6715</v>
      </c>
      <c r="E487" s="12">
        <f>CHOOSE( CONTROL!$C$32, 12.6756, 12.6753) * CHOOSE( CONTROL!$C$15, $D$11, 100%, $F$11)</f>
        <v>12.675599999999999</v>
      </c>
      <c r="F487" s="4">
        <f>CHOOSE( CONTROL!$C$32, 13.3444, 13.3441) * CHOOSE(CONTROL!$C$15, $D$11, 100%, $F$11)</f>
        <v>13.3444</v>
      </c>
      <c r="G487" s="8">
        <f>CHOOSE( CONTROL!$C$32, 12.537, 12.5368) * CHOOSE( CONTROL!$C$15, $D$11, 100%, $F$11)</f>
        <v>12.537000000000001</v>
      </c>
      <c r="H487" s="4">
        <f>CHOOSE( CONTROL!$C$32, 13.4347, 13.4345) * CHOOSE(CONTROL!$C$15, $D$11, 100%, $F$11)</f>
        <v>13.434699999999999</v>
      </c>
      <c r="I487" s="8">
        <f>CHOOSE( CONTROL!$C$32, 12.4329, 12.4327) * CHOOSE(CONTROL!$C$15, $D$11, 100%, $F$11)</f>
        <v>12.4329</v>
      </c>
      <c r="J487" s="4">
        <f>CHOOSE( CONTROL!$C$32, 12.2963, 12.296) * CHOOSE(CONTROL!$C$15, $D$11, 100%, $F$11)</f>
        <v>12.2963</v>
      </c>
      <c r="K487" s="4"/>
      <c r="L487" s="9">
        <v>29.306000000000001</v>
      </c>
      <c r="M487" s="9">
        <v>12.063700000000001</v>
      </c>
      <c r="N487" s="9">
        <v>4.9444999999999997</v>
      </c>
      <c r="O487" s="9">
        <v>0.37409999999999999</v>
      </c>
      <c r="P487" s="9">
        <v>1.2927</v>
      </c>
      <c r="Q487" s="9">
        <v>19.877800000000001</v>
      </c>
      <c r="R487" s="9"/>
      <c r="S487" s="11"/>
    </row>
    <row r="488" spans="1:19" ht="15.75">
      <c r="A488" s="13">
        <v>56004</v>
      </c>
      <c r="B488" s="8">
        <f>CHOOSE( CONTROL!$C$32, 12.8724, 12.8721) * CHOOSE(CONTROL!$C$15, $D$11, 100%, $F$11)</f>
        <v>12.872400000000001</v>
      </c>
      <c r="C488" s="8">
        <f>CHOOSE( CONTROL!$C$32, 12.8769, 12.8766) * CHOOSE(CONTROL!$C$15, $D$11, 100%, $F$11)</f>
        <v>12.876899999999999</v>
      </c>
      <c r="D488" s="8">
        <f>CHOOSE( CONTROL!$C$32, 12.8818, 12.8815) * CHOOSE( CONTROL!$C$15, $D$11, 100%, $F$11)</f>
        <v>12.8818</v>
      </c>
      <c r="E488" s="12">
        <f>CHOOSE( CONTROL!$C$32, 12.8797, 12.8794) * CHOOSE( CONTROL!$C$15, $D$11, 100%, $F$11)</f>
        <v>12.8797</v>
      </c>
      <c r="F488" s="4">
        <f>CHOOSE( CONTROL!$C$32, 13.5766, 13.5763) * CHOOSE(CONTROL!$C$15, $D$11, 100%, $F$11)</f>
        <v>13.576599999999999</v>
      </c>
      <c r="G488" s="8">
        <f>CHOOSE( CONTROL!$C$32, 12.7331, 12.7328) * CHOOSE( CONTROL!$C$15, $D$11, 100%, $F$11)</f>
        <v>12.7331</v>
      </c>
      <c r="H488" s="4">
        <f>CHOOSE( CONTROL!$C$32, 13.6642, 13.664) * CHOOSE(CONTROL!$C$15, $D$11, 100%, $F$11)</f>
        <v>13.664199999999999</v>
      </c>
      <c r="I488" s="8">
        <f>CHOOSE( CONTROL!$C$32, 12.5941, 12.5939) * CHOOSE(CONTROL!$C$15, $D$11, 100%, $F$11)</f>
        <v>12.594099999999999</v>
      </c>
      <c r="J488" s="4">
        <f>CHOOSE( CONTROL!$C$32, 12.4832, 12.4829) * CHOOSE(CONTROL!$C$15, $D$11, 100%, $F$11)</f>
        <v>12.4832</v>
      </c>
      <c r="K488" s="4"/>
      <c r="L488" s="9">
        <v>30.092199999999998</v>
      </c>
      <c r="M488" s="9">
        <v>11.6745</v>
      </c>
      <c r="N488" s="9">
        <v>4.7850000000000001</v>
      </c>
      <c r="O488" s="9">
        <v>0.36199999999999999</v>
      </c>
      <c r="P488" s="9">
        <v>1.2509999999999999</v>
      </c>
      <c r="Q488" s="9">
        <v>19.236599999999999</v>
      </c>
      <c r="R488" s="9"/>
      <c r="S488" s="11"/>
    </row>
    <row r="489" spans="1:19" ht="15.75">
      <c r="A489" s="13">
        <v>56035</v>
      </c>
      <c r="B489" s="8">
        <f>CHOOSE( CONTROL!$C$32, 13.2167, 13.2162) * CHOOSE(CONTROL!$C$15, $D$11, 100%, $F$11)</f>
        <v>13.216699999999999</v>
      </c>
      <c r="C489" s="8">
        <f>CHOOSE( CONTROL!$C$32, 13.2247, 13.2242) * CHOOSE(CONTROL!$C$15, $D$11, 100%, $F$11)</f>
        <v>13.2247</v>
      </c>
      <c r="D489" s="8">
        <f>CHOOSE( CONTROL!$C$32, 13.2234, 13.223) * CHOOSE( CONTROL!$C$15, $D$11, 100%, $F$11)</f>
        <v>13.2234</v>
      </c>
      <c r="E489" s="12">
        <f>CHOOSE( CONTROL!$C$32, 13.2227, 13.2222) * CHOOSE( CONTROL!$C$15, $D$11, 100%, $F$11)</f>
        <v>13.2227</v>
      </c>
      <c r="F489" s="4">
        <f>CHOOSE( CONTROL!$C$32, 13.9195, 13.919) * CHOOSE(CONTROL!$C$15, $D$11, 100%, $F$11)</f>
        <v>13.919499999999999</v>
      </c>
      <c r="G489" s="8">
        <f>CHOOSE( CONTROL!$C$32, 13.0718, 13.0714) * CHOOSE( CONTROL!$C$15, $D$11, 100%, $F$11)</f>
        <v>13.0718</v>
      </c>
      <c r="H489" s="4">
        <f>CHOOSE( CONTROL!$C$32, 14.0031, 14.0027) * CHOOSE(CONTROL!$C$15, $D$11, 100%, $F$11)</f>
        <v>14.0031</v>
      </c>
      <c r="I489" s="8">
        <f>CHOOSE( CONTROL!$C$32, 12.9262, 12.9258) * CHOOSE(CONTROL!$C$15, $D$11, 100%, $F$11)</f>
        <v>12.9262</v>
      </c>
      <c r="J489" s="4">
        <f>CHOOSE( CONTROL!$C$32, 12.816, 12.8155) * CHOOSE(CONTROL!$C$15, $D$11, 100%, $F$11)</f>
        <v>12.816000000000001</v>
      </c>
      <c r="K489" s="4"/>
      <c r="L489" s="9">
        <v>30.7165</v>
      </c>
      <c r="M489" s="9">
        <v>12.063700000000001</v>
      </c>
      <c r="N489" s="9">
        <v>4.9444999999999997</v>
      </c>
      <c r="O489" s="9">
        <v>0.37409999999999999</v>
      </c>
      <c r="P489" s="9">
        <v>1.2927</v>
      </c>
      <c r="Q489" s="9">
        <v>19.877800000000001</v>
      </c>
      <c r="R489" s="9"/>
      <c r="S489" s="11"/>
    </row>
    <row r="490" spans="1:19" ht="15.75">
      <c r="A490" s="13">
        <v>56065</v>
      </c>
      <c r="B490" s="8">
        <f>CHOOSE( CONTROL!$C$32, 13.0044, 13.0039) * CHOOSE(CONTROL!$C$15, $D$11, 100%, $F$11)</f>
        <v>13.0044</v>
      </c>
      <c r="C490" s="8">
        <f>CHOOSE( CONTROL!$C$32, 13.0124, 13.0119) * CHOOSE(CONTROL!$C$15, $D$11, 100%, $F$11)</f>
        <v>13.0124</v>
      </c>
      <c r="D490" s="8">
        <f>CHOOSE( CONTROL!$C$32, 13.0113, 13.0109) * CHOOSE( CONTROL!$C$15, $D$11, 100%, $F$11)</f>
        <v>13.0113</v>
      </c>
      <c r="E490" s="12">
        <f>CHOOSE( CONTROL!$C$32, 13.0105, 13.01) * CHOOSE( CONTROL!$C$15, $D$11, 100%, $F$11)</f>
        <v>13.0105</v>
      </c>
      <c r="F490" s="4">
        <f>CHOOSE( CONTROL!$C$32, 13.7072, 13.7067) * CHOOSE(CONTROL!$C$15, $D$11, 100%, $F$11)</f>
        <v>13.7072</v>
      </c>
      <c r="G490" s="8">
        <f>CHOOSE( CONTROL!$C$32, 12.8622, 12.8617) * CHOOSE( CONTROL!$C$15, $D$11, 100%, $F$11)</f>
        <v>12.8622</v>
      </c>
      <c r="H490" s="4">
        <f>CHOOSE( CONTROL!$C$32, 13.7933, 13.7929) * CHOOSE(CONTROL!$C$15, $D$11, 100%, $F$11)</f>
        <v>13.7933</v>
      </c>
      <c r="I490" s="8">
        <f>CHOOSE( CONTROL!$C$32, 12.7208, 12.7203) * CHOOSE(CONTROL!$C$15, $D$11, 100%, $F$11)</f>
        <v>12.720800000000001</v>
      </c>
      <c r="J490" s="4">
        <f>CHOOSE( CONTROL!$C$32, 12.6099, 12.6095) * CHOOSE(CONTROL!$C$15, $D$11, 100%, $F$11)</f>
        <v>12.6099</v>
      </c>
      <c r="K490" s="4"/>
      <c r="L490" s="9">
        <v>29.7257</v>
      </c>
      <c r="M490" s="9">
        <v>11.6745</v>
      </c>
      <c r="N490" s="9">
        <v>4.7850000000000001</v>
      </c>
      <c r="O490" s="9">
        <v>0.36199999999999999</v>
      </c>
      <c r="P490" s="9">
        <v>1.2509999999999999</v>
      </c>
      <c r="Q490" s="9">
        <v>19.236599999999999</v>
      </c>
      <c r="R490" s="9"/>
      <c r="S490" s="11"/>
    </row>
    <row r="491" spans="1:19" ht="15.75">
      <c r="A491" s="13">
        <v>56096</v>
      </c>
      <c r="B491" s="8">
        <f>CHOOSE( CONTROL!$C$32, 13.5635, 13.563) * CHOOSE(CONTROL!$C$15, $D$11, 100%, $F$11)</f>
        <v>13.563499999999999</v>
      </c>
      <c r="C491" s="8">
        <f>CHOOSE( CONTROL!$C$32, 13.5714, 13.571) * CHOOSE(CONTROL!$C$15, $D$11, 100%, $F$11)</f>
        <v>13.571400000000001</v>
      </c>
      <c r="D491" s="8">
        <f>CHOOSE( CONTROL!$C$32, 13.5706, 13.5702) * CHOOSE( CONTROL!$C$15, $D$11, 100%, $F$11)</f>
        <v>13.570600000000001</v>
      </c>
      <c r="E491" s="12">
        <f>CHOOSE( CONTROL!$C$32, 13.5697, 13.5693) * CHOOSE( CONTROL!$C$15, $D$11, 100%, $F$11)</f>
        <v>13.569699999999999</v>
      </c>
      <c r="F491" s="4">
        <f>CHOOSE( CONTROL!$C$32, 14.2663, 14.2658) * CHOOSE(CONTROL!$C$15, $D$11, 100%, $F$11)</f>
        <v>14.266299999999999</v>
      </c>
      <c r="G491" s="8">
        <f>CHOOSE( CONTROL!$C$32, 13.4149, 13.4144) * CHOOSE( CONTROL!$C$15, $D$11, 100%, $F$11)</f>
        <v>13.414899999999999</v>
      </c>
      <c r="H491" s="4">
        <f>CHOOSE( CONTROL!$C$32, 14.3459, 14.3454) * CHOOSE(CONTROL!$C$15, $D$11, 100%, $F$11)</f>
        <v>14.3459</v>
      </c>
      <c r="I491" s="8">
        <f>CHOOSE( CONTROL!$C$32, 13.2644, 13.264) * CHOOSE(CONTROL!$C$15, $D$11, 100%, $F$11)</f>
        <v>13.2644</v>
      </c>
      <c r="J491" s="4">
        <f>CHOOSE( CONTROL!$C$32, 13.1525, 13.1521) * CHOOSE(CONTROL!$C$15, $D$11, 100%, $F$11)</f>
        <v>13.1525</v>
      </c>
      <c r="K491" s="4"/>
      <c r="L491" s="9">
        <v>30.7165</v>
      </c>
      <c r="M491" s="9">
        <v>12.063700000000001</v>
      </c>
      <c r="N491" s="9">
        <v>4.9444999999999997</v>
      </c>
      <c r="O491" s="9">
        <v>0.37409999999999999</v>
      </c>
      <c r="P491" s="9">
        <v>1.2927</v>
      </c>
      <c r="Q491" s="9">
        <v>19.877800000000001</v>
      </c>
      <c r="R491" s="9"/>
      <c r="S491" s="11"/>
    </row>
    <row r="492" spans="1:19" ht="15.75">
      <c r="A492" s="13">
        <v>56127</v>
      </c>
      <c r="B492" s="8">
        <f>CHOOSE( CONTROL!$C$32, 12.5174, 12.5169) * CHOOSE(CONTROL!$C$15, $D$11, 100%, $F$11)</f>
        <v>12.5174</v>
      </c>
      <c r="C492" s="8">
        <f>CHOOSE( CONTROL!$C$32, 12.5253, 12.5249) * CHOOSE(CONTROL!$C$15, $D$11, 100%, $F$11)</f>
        <v>12.5253</v>
      </c>
      <c r="D492" s="8">
        <f>CHOOSE( CONTROL!$C$32, 12.5246, 12.5241) * CHOOSE( CONTROL!$C$15, $D$11, 100%, $F$11)</f>
        <v>12.5246</v>
      </c>
      <c r="E492" s="12">
        <f>CHOOSE( CONTROL!$C$32, 12.5236, 12.5232) * CHOOSE( CONTROL!$C$15, $D$11, 100%, $F$11)</f>
        <v>12.5236</v>
      </c>
      <c r="F492" s="4">
        <f>CHOOSE( CONTROL!$C$32, 13.2202, 13.2197) * CHOOSE(CONTROL!$C$15, $D$11, 100%, $F$11)</f>
        <v>13.2202</v>
      </c>
      <c r="G492" s="8">
        <f>CHOOSE( CONTROL!$C$32, 12.3811, 12.3806) * CHOOSE( CONTROL!$C$15, $D$11, 100%, $F$11)</f>
        <v>12.3811</v>
      </c>
      <c r="H492" s="4">
        <f>CHOOSE( CONTROL!$C$32, 13.312, 13.3116) * CHOOSE(CONTROL!$C$15, $D$11, 100%, $F$11)</f>
        <v>13.311999999999999</v>
      </c>
      <c r="I492" s="8">
        <f>CHOOSE( CONTROL!$C$32, 12.2489, 12.2484) * CHOOSE(CONTROL!$C$15, $D$11, 100%, $F$11)</f>
        <v>12.248900000000001</v>
      </c>
      <c r="J492" s="4">
        <f>CHOOSE( CONTROL!$C$32, 12.1373, 12.1368) * CHOOSE(CONTROL!$C$15, $D$11, 100%, $F$11)</f>
        <v>12.1373</v>
      </c>
      <c r="K492" s="4"/>
      <c r="L492" s="9">
        <v>30.7165</v>
      </c>
      <c r="M492" s="9">
        <v>12.063700000000001</v>
      </c>
      <c r="N492" s="9">
        <v>4.9444999999999997</v>
      </c>
      <c r="O492" s="9">
        <v>0.37409999999999999</v>
      </c>
      <c r="P492" s="9">
        <v>1.2927</v>
      </c>
      <c r="Q492" s="9">
        <v>19.877800000000001</v>
      </c>
      <c r="R492" s="9"/>
      <c r="S492" s="11"/>
    </row>
    <row r="493" spans="1:19" ht="15.75">
      <c r="A493" s="13">
        <v>56157</v>
      </c>
      <c r="B493" s="8">
        <f>CHOOSE( CONTROL!$C$32, 12.2554, 12.2549) * CHOOSE(CONTROL!$C$15, $D$11, 100%, $F$11)</f>
        <v>12.2554</v>
      </c>
      <c r="C493" s="8">
        <f>CHOOSE( CONTROL!$C$32, 12.2634, 12.2629) * CHOOSE(CONTROL!$C$15, $D$11, 100%, $F$11)</f>
        <v>12.263400000000001</v>
      </c>
      <c r="D493" s="8">
        <f>CHOOSE( CONTROL!$C$32, 12.2625, 12.262) * CHOOSE( CONTROL!$C$15, $D$11, 100%, $F$11)</f>
        <v>12.262499999999999</v>
      </c>
      <c r="E493" s="12">
        <f>CHOOSE( CONTROL!$C$32, 12.2616, 12.2611) * CHOOSE( CONTROL!$C$15, $D$11, 100%, $F$11)</f>
        <v>12.2616</v>
      </c>
      <c r="F493" s="4">
        <f>CHOOSE( CONTROL!$C$32, 12.9582, 12.9578) * CHOOSE(CONTROL!$C$15, $D$11, 100%, $F$11)</f>
        <v>12.9582</v>
      </c>
      <c r="G493" s="8">
        <f>CHOOSE( CONTROL!$C$32, 12.122, 12.1216) * CHOOSE( CONTROL!$C$15, $D$11, 100%, $F$11)</f>
        <v>12.122</v>
      </c>
      <c r="H493" s="4">
        <f>CHOOSE( CONTROL!$C$32, 13.0531, 13.0527) * CHOOSE(CONTROL!$C$15, $D$11, 100%, $F$11)</f>
        <v>13.053100000000001</v>
      </c>
      <c r="I493" s="8">
        <f>CHOOSE( CONTROL!$C$32, 11.994, 11.9935) * CHOOSE(CONTROL!$C$15, $D$11, 100%, $F$11)</f>
        <v>11.994</v>
      </c>
      <c r="J493" s="4">
        <f>CHOOSE( CONTROL!$C$32, 11.883, 11.8826) * CHOOSE(CONTROL!$C$15, $D$11, 100%, $F$11)</f>
        <v>11.882999999999999</v>
      </c>
      <c r="K493" s="4"/>
      <c r="L493" s="9">
        <v>29.7257</v>
      </c>
      <c r="M493" s="9">
        <v>11.6745</v>
      </c>
      <c r="N493" s="9">
        <v>4.7850000000000001</v>
      </c>
      <c r="O493" s="9">
        <v>0.36199999999999999</v>
      </c>
      <c r="P493" s="9">
        <v>1.2509999999999999</v>
      </c>
      <c r="Q493" s="9">
        <v>19.236599999999999</v>
      </c>
      <c r="R493" s="9"/>
      <c r="S493" s="11"/>
    </row>
    <row r="494" spans="1:19" ht="15.75">
      <c r="A494" s="13">
        <v>56188</v>
      </c>
      <c r="B494" s="8">
        <f>CHOOSE( CONTROL!$C$32, 12.7974, 12.7971) * CHOOSE(CONTROL!$C$15, $D$11, 100%, $F$11)</f>
        <v>12.7974</v>
      </c>
      <c r="C494" s="8">
        <f>CHOOSE( CONTROL!$C$32, 12.8027, 12.8025) * CHOOSE(CONTROL!$C$15, $D$11, 100%, $F$11)</f>
        <v>12.8027</v>
      </c>
      <c r="D494" s="8">
        <f>CHOOSE( CONTROL!$C$32, 12.8074, 12.8072) * CHOOSE( CONTROL!$C$15, $D$11, 100%, $F$11)</f>
        <v>12.807399999999999</v>
      </c>
      <c r="E494" s="12">
        <f>CHOOSE( CONTROL!$C$32, 12.8053, 12.8051) * CHOOSE( CONTROL!$C$15, $D$11, 100%, $F$11)</f>
        <v>12.805300000000001</v>
      </c>
      <c r="F494" s="4">
        <f>CHOOSE( CONTROL!$C$32, 13.5019, 13.5017) * CHOOSE(CONTROL!$C$15, $D$11, 100%, $F$11)</f>
        <v>13.501899999999999</v>
      </c>
      <c r="G494" s="8">
        <f>CHOOSE( CONTROL!$C$32, 12.6596, 12.6593) * CHOOSE( CONTROL!$C$15, $D$11, 100%, $F$11)</f>
        <v>12.659599999999999</v>
      </c>
      <c r="H494" s="4">
        <f>CHOOSE( CONTROL!$C$32, 13.5905, 13.5902) * CHOOSE(CONTROL!$C$15, $D$11, 100%, $F$11)</f>
        <v>13.5905</v>
      </c>
      <c r="I494" s="8">
        <f>CHOOSE( CONTROL!$C$32, 12.5227, 12.5225) * CHOOSE(CONTROL!$C$15, $D$11, 100%, $F$11)</f>
        <v>12.5227</v>
      </c>
      <c r="J494" s="4">
        <f>CHOOSE( CONTROL!$C$32, 12.4107, 12.4105) * CHOOSE(CONTROL!$C$15, $D$11, 100%, $F$11)</f>
        <v>12.4107</v>
      </c>
      <c r="K494" s="4"/>
      <c r="L494" s="9">
        <v>31.095300000000002</v>
      </c>
      <c r="M494" s="9">
        <v>12.063700000000001</v>
      </c>
      <c r="N494" s="9">
        <v>4.9444999999999997</v>
      </c>
      <c r="O494" s="9">
        <v>0.37409999999999999</v>
      </c>
      <c r="P494" s="9">
        <v>1.2927</v>
      </c>
      <c r="Q494" s="9">
        <v>19.877800000000001</v>
      </c>
      <c r="R494" s="9"/>
      <c r="S494" s="11"/>
    </row>
    <row r="495" spans="1:19" ht="15.75">
      <c r="A495" s="13">
        <v>56218</v>
      </c>
      <c r="B495" s="8">
        <f>CHOOSE( CONTROL!$C$32, 13.801, 13.8007) * CHOOSE(CONTROL!$C$15, $D$11, 100%, $F$11)</f>
        <v>13.801</v>
      </c>
      <c r="C495" s="8">
        <f>CHOOSE( CONTROL!$C$32, 13.806, 13.8058) * CHOOSE(CONTROL!$C$15, $D$11, 100%, $F$11)</f>
        <v>13.805999999999999</v>
      </c>
      <c r="D495" s="8">
        <f>CHOOSE( CONTROL!$C$32, 13.7887, 13.7885) * CHOOSE( CONTROL!$C$15, $D$11, 100%, $F$11)</f>
        <v>13.7887</v>
      </c>
      <c r="E495" s="12">
        <f>CHOOSE( CONTROL!$C$32, 13.7945, 13.7943) * CHOOSE( CONTROL!$C$15, $D$11, 100%, $F$11)</f>
        <v>13.794499999999999</v>
      </c>
      <c r="F495" s="4">
        <f>CHOOSE( CONTROL!$C$32, 14.4662, 14.466) * CHOOSE(CONTROL!$C$15, $D$11, 100%, $F$11)</f>
        <v>14.466200000000001</v>
      </c>
      <c r="G495" s="8">
        <f>CHOOSE( CONTROL!$C$32, 13.6487, 13.6484) * CHOOSE( CONTROL!$C$15, $D$11, 100%, $F$11)</f>
        <v>13.6487</v>
      </c>
      <c r="H495" s="4">
        <f>CHOOSE( CONTROL!$C$32, 14.5435, 14.5432) * CHOOSE(CONTROL!$C$15, $D$11, 100%, $F$11)</f>
        <v>14.5435</v>
      </c>
      <c r="I495" s="8">
        <f>CHOOSE( CONTROL!$C$32, 13.5532, 13.5529) * CHOOSE(CONTROL!$C$15, $D$11, 100%, $F$11)</f>
        <v>13.5532</v>
      </c>
      <c r="J495" s="4">
        <f>CHOOSE( CONTROL!$C$32, 13.3851, 13.3848) * CHOOSE(CONTROL!$C$15, $D$11, 100%, $F$11)</f>
        <v>13.3851</v>
      </c>
      <c r="K495" s="4"/>
      <c r="L495" s="9">
        <v>28.360600000000002</v>
      </c>
      <c r="M495" s="9">
        <v>11.6745</v>
      </c>
      <c r="N495" s="9">
        <v>4.7850000000000001</v>
      </c>
      <c r="O495" s="9">
        <v>0.36199999999999999</v>
      </c>
      <c r="P495" s="9">
        <v>1.2509999999999999</v>
      </c>
      <c r="Q495" s="9">
        <v>19.236599999999999</v>
      </c>
      <c r="R495" s="9"/>
      <c r="S495" s="11"/>
    </row>
    <row r="496" spans="1:19" ht="15.75">
      <c r="A496" s="13">
        <v>56249</v>
      </c>
      <c r="B496" s="8">
        <f>CHOOSE( CONTROL!$C$32, 13.7759, 13.7756) * CHOOSE(CONTROL!$C$15, $D$11, 100%, $F$11)</f>
        <v>13.7759</v>
      </c>
      <c r="C496" s="8">
        <f>CHOOSE( CONTROL!$C$32, 13.7809, 13.7807) * CHOOSE(CONTROL!$C$15, $D$11, 100%, $F$11)</f>
        <v>13.780900000000001</v>
      </c>
      <c r="D496" s="8">
        <f>CHOOSE( CONTROL!$C$32, 13.7654, 13.7652) * CHOOSE( CONTROL!$C$15, $D$11, 100%, $F$11)</f>
        <v>13.7654</v>
      </c>
      <c r="E496" s="12">
        <f>CHOOSE( CONTROL!$C$32, 13.7705, 13.7703) * CHOOSE( CONTROL!$C$15, $D$11, 100%, $F$11)</f>
        <v>13.7705</v>
      </c>
      <c r="F496" s="4">
        <f>CHOOSE( CONTROL!$C$32, 14.4411, 14.4409) * CHOOSE(CONTROL!$C$15, $D$11, 100%, $F$11)</f>
        <v>14.4411</v>
      </c>
      <c r="G496" s="8">
        <f>CHOOSE( CONTROL!$C$32, 13.6252, 13.6249) * CHOOSE( CONTROL!$C$15, $D$11, 100%, $F$11)</f>
        <v>13.6252</v>
      </c>
      <c r="H496" s="4">
        <f>CHOOSE( CONTROL!$C$32, 14.5187, 14.5184) * CHOOSE(CONTROL!$C$15, $D$11, 100%, $F$11)</f>
        <v>14.518700000000001</v>
      </c>
      <c r="I496" s="8">
        <f>CHOOSE( CONTROL!$C$32, 13.5344, 13.5342) * CHOOSE(CONTROL!$C$15, $D$11, 100%, $F$11)</f>
        <v>13.5344</v>
      </c>
      <c r="J496" s="4">
        <f>CHOOSE( CONTROL!$C$32, 13.3607, 13.3605) * CHOOSE(CONTROL!$C$15, $D$11, 100%, $F$11)</f>
        <v>13.3607</v>
      </c>
      <c r="K496" s="4"/>
      <c r="L496" s="9">
        <v>29.306000000000001</v>
      </c>
      <c r="M496" s="9">
        <v>12.063700000000001</v>
      </c>
      <c r="N496" s="9">
        <v>4.9444999999999997</v>
      </c>
      <c r="O496" s="9">
        <v>0.37409999999999999</v>
      </c>
      <c r="P496" s="9">
        <v>1.2927</v>
      </c>
      <c r="Q496" s="9">
        <v>19.877800000000001</v>
      </c>
      <c r="R496" s="9"/>
      <c r="S496" s="11"/>
    </row>
    <row r="497" spans="1:19" ht="15.75">
      <c r="A497" s="13">
        <v>56280</v>
      </c>
      <c r="B497" s="8">
        <f>CHOOSE( CONTROL!$C$32, 14.1819, 14.1817) * CHOOSE(CONTROL!$C$15, $D$11, 100%, $F$11)</f>
        <v>14.181900000000001</v>
      </c>
      <c r="C497" s="8">
        <f>CHOOSE( CONTROL!$C$32, 14.187, 14.1867) * CHOOSE(CONTROL!$C$15, $D$11, 100%, $F$11)</f>
        <v>14.186999999999999</v>
      </c>
      <c r="D497" s="8">
        <f>CHOOSE( CONTROL!$C$32, 14.1775, 14.1772) * CHOOSE( CONTROL!$C$15, $D$11, 100%, $F$11)</f>
        <v>14.1775</v>
      </c>
      <c r="E497" s="12">
        <f>CHOOSE( CONTROL!$C$32, 14.1804, 14.1801) * CHOOSE( CONTROL!$C$15, $D$11, 100%, $F$11)</f>
        <v>14.180400000000001</v>
      </c>
      <c r="F497" s="4">
        <f>CHOOSE( CONTROL!$C$32, 14.8472, 14.8469) * CHOOSE(CONTROL!$C$15, $D$11, 100%, $F$11)</f>
        <v>14.847200000000001</v>
      </c>
      <c r="G497" s="8">
        <f>CHOOSE( CONTROL!$C$32, 14.0272, 14.027) * CHOOSE( CONTROL!$C$15, $D$11, 100%, $F$11)</f>
        <v>14.027200000000001</v>
      </c>
      <c r="H497" s="4">
        <f>CHOOSE( CONTROL!$C$32, 14.92, 14.9197) * CHOOSE(CONTROL!$C$15, $D$11, 100%, $F$11)</f>
        <v>14.92</v>
      </c>
      <c r="I497" s="8">
        <f>CHOOSE( CONTROL!$C$32, 13.9092, 13.9089) * CHOOSE(CONTROL!$C$15, $D$11, 100%, $F$11)</f>
        <v>13.9092</v>
      </c>
      <c r="J497" s="4">
        <f>CHOOSE( CONTROL!$C$32, 13.7548, 13.7546) * CHOOSE(CONTROL!$C$15, $D$11, 100%, $F$11)</f>
        <v>13.754799999999999</v>
      </c>
      <c r="K497" s="4"/>
      <c r="L497" s="9">
        <v>29.306000000000001</v>
      </c>
      <c r="M497" s="9">
        <v>12.063700000000001</v>
      </c>
      <c r="N497" s="9">
        <v>4.9444999999999997</v>
      </c>
      <c r="O497" s="9">
        <v>0.37409999999999999</v>
      </c>
      <c r="P497" s="9">
        <v>1.2927</v>
      </c>
      <c r="Q497" s="9">
        <v>19.814599999999999</v>
      </c>
      <c r="R497" s="9"/>
      <c r="S497" s="11"/>
    </row>
    <row r="498" spans="1:19" ht="15.75">
      <c r="A498" s="13">
        <v>56308</v>
      </c>
      <c r="B498" s="8">
        <f>CHOOSE( CONTROL!$C$32, 13.2657, 13.2654) * CHOOSE(CONTROL!$C$15, $D$11, 100%, $F$11)</f>
        <v>13.265700000000001</v>
      </c>
      <c r="C498" s="8">
        <f>CHOOSE( CONTROL!$C$32, 13.2708, 13.2705) * CHOOSE(CONTROL!$C$15, $D$11, 100%, $F$11)</f>
        <v>13.270799999999999</v>
      </c>
      <c r="D498" s="8">
        <f>CHOOSE( CONTROL!$C$32, 13.2629, 13.2626) * CHOOSE( CONTROL!$C$15, $D$11, 100%, $F$11)</f>
        <v>13.2629</v>
      </c>
      <c r="E498" s="12">
        <f>CHOOSE( CONTROL!$C$32, 13.2652, 13.2649) * CHOOSE( CONTROL!$C$15, $D$11, 100%, $F$11)</f>
        <v>13.2652</v>
      </c>
      <c r="F498" s="4">
        <f>CHOOSE( CONTROL!$C$32, 13.931, 13.9307) * CHOOSE(CONTROL!$C$15, $D$11, 100%, $F$11)</f>
        <v>13.930999999999999</v>
      </c>
      <c r="G498" s="8">
        <f>CHOOSE( CONTROL!$C$32, 13.1202, 13.12) * CHOOSE( CONTROL!$C$15, $D$11, 100%, $F$11)</f>
        <v>13.120200000000001</v>
      </c>
      <c r="H498" s="4">
        <f>CHOOSE( CONTROL!$C$32, 14.0145, 14.0142) * CHOOSE(CONTROL!$C$15, $D$11, 100%, $F$11)</f>
        <v>14.0145</v>
      </c>
      <c r="I498" s="8">
        <f>CHOOSE( CONTROL!$C$32, 13.0041, 13.0039) * CHOOSE(CONTROL!$C$15, $D$11, 100%, $F$11)</f>
        <v>13.004099999999999</v>
      </c>
      <c r="J498" s="4">
        <f>CHOOSE( CONTROL!$C$32, 12.8656, 12.8653) * CHOOSE(CONTROL!$C$15, $D$11, 100%, $F$11)</f>
        <v>12.865600000000001</v>
      </c>
      <c r="K498" s="4"/>
      <c r="L498" s="9">
        <v>26.469899999999999</v>
      </c>
      <c r="M498" s="9">
        <v>10.8962</v>
      </c>
      <c r="N498" s="9">
        <v>4.4660000000000002</v>
      </c>
      <c r="O498" s="9">
        <v>0.33789999999999998</v>
      </c>
      <c r="P498" s="9">
        <v>1.1676</v>
      </c>
      <c r="Q498" s="9">
        <v>17.896999999999998</v>
      </c>
      <c r="R498" s="9"/>
      <c r="S498" s="11"/>
    </row>
    <row r="499" spans="1:19" ht="15.75">
      <c r="A499" s="13">
        <v>56339</v>
      </c>
      <c r="B499" s="8">
        <f>CHOOSE( CONTROL!$C$32, 12.9835, 12.9832) * CHOOSE(CONTROL!$C$15, $D$11, 100%, $F$11)</f>
        <v>12.983499999999999</v>
      </c>
      <c r="C499" s="8">
        <f>CHOOSE( CONTROL!$C$32, 12.9886, 12.9883) * CHOOSE(CONTROL!$C$15, $D$11, 100%, $F$11)</f>
        <v>12.9886</v>
      </c>
      <c r="D499" s="8">
        <f>CHOOSE( CONTROL!$C$32, 12.9759, 12.9756) * CHOOSE( CONTROL!$C$15, $D$11, 100%, $F$11)</f>
        <v>12.975899999999999</v>
      </c>
      <c r="E499" s="12">
        <f>CHOOSE( CONTROL!$C$32, 12.98, 12.9797) * CHOOSE( CONTROL!$C$15, $D$11, 100%, $F$11)</f>
        <v>12.98</v>
      </c>
      <c r="F499" s="4">
        <f>CHOOSE( CONTROL!$C$32, 13.6488, 13.6485) * CHOOSE(CONTROL!$C$15, $D$11, 100%, $F$11)</f>
        <v>13.6488</v>
      </c>
      <c r="G499" s="8">
        <f>CHOOSE( CONTROL!$C$32, 12.8379, 12.8376) * CHOOSE( CONTROL!$C$15, $D$11, 100%, $F$11)</f>
        <v>12.837899999999999</v>
      </c>
      <c r="H499" s="4">
        <f>CHOOSE( CONTROL!$C$32, 13.7356, 13.7353) * CHOOSE(CONTROL!$C$15, $D$11, 100%, $F$11)</f>
        <v>13.7356</v>
      </c>
      <c r="I499" s="8">
        <f>CHOOSE( CONTROL!$C$32, 12.7285, 12.7282) * CHOOSE(CONTROL!$C$15, $D$11, 100%, $F$11)</f>
        <v>12.7285</v>
      </c>
      <c r="J499" s="4">
        <f>CHOOSE( CONTROL!$C$32, 12.5917, 12.5915) * CHOOSE(CONTROL!$C$15, $D$11, 100%, $F$11)</f>
        <v>12.591699999999999</v>
      </c>
      <c r="K499" s="4"/>
      <c r="L499" s="9">
        <v>29.306000000000001</v>
      </c>
      <c r="M499" s="9">
        <v>12.063700000000001</v>
      </c>
      <c r="N499" s="9">
        <v>4.9444999999999997</v>
      </c>
      <c r="O499" s="9">
        <v>0.37409999999999999</v>
      </c>
      <c r="P499" s="9">
        <v>1.2927</v>
      </c>
      <c r="Q499" s="9">
        <v>19.814599999999999</v>
      </c>
      <c r="R499" s="9"/>
      <c r="S499" s="11"/>
    </row>
    <row r="500" spans="1:19" ht="15.75">
      <c r="A500" s="13">
        <v>56369</v>
      </c>
      <c r="B500" s="8">
        <f>CHOOSE( CONTROL!$C$32, 13.1815, 13.1812) * CHOOSE(CONTROL!$C$15, $D$11, 100%, $F$11)</f>
        <v>13.1815</v>
      </c>
      <c r="C500" s="8">
        <f>CHOOSE( CONTROL!$C$32, 13.186, 13.1857) * CHOOSE(CONTROL!$C$15, $D$11, 100%, $F$11)</f>
        <v>13.186</v>
      </c>
      <c r="D500" s="8">
        <f>CHOOSE( CONTROL!$C$32, 13.1908, 13.1906) * CHOOSE( CONTROL!$C$15, $D$11, 100%, $F$11)</f>
        <v>13.190799999999999</v>
      </c>
      <c r="E500" s="12">
        <f>CHOOSE( CONTROL!$C$32, 13.1887, 13.1885) * CHOOSE( CONTROL!$C$15, $D$11, 100%, $F$11)</f>
        <v>13.188700000000001</v>
      </c>
      <c r="F500" s="4">
        <f>CHOOSE( CONTROL!$C$32, 13.8856, 13.8854) * CHOOSE(CONTROL!$C$15, $D$11, 100%, $F$11)</f>
        <v>13.8856</v>
      </c>
      <c r="G500" s="8">
        <f>CHOOSE( CONTROL!$C$32, 13.0385, 13.0383) * CHOOSE( CONTROL!$C$15, $D$11, 100%, $F$11)</f>
        <v>13.038500000000001</v>
      </c>
      <c r="H500" s="4">
        <f>CHOOSE( CONTROL!$C$32, 13.9697, 13.9694) * CHOOSE(CONTROL!$C$15, $D$11, 100%, $F$11)</f>
        <v>13.9697</v>
      </c>
      <c r="I500" s="8">
        <f>CHOOSE( CONTROL!$C$32, 12.8942, 12.8939) * CHOOSE(CONTROL!$C$15, $D$11, 100%, $F$11)</f>
        <v>12.8942</v>
      </c>
      <c r="J500" s="4">
        <f>CHOOSE( CONTROL!$C$32, 12.7831, 12.7828) * CHOOSE(CONTROL!$C$15, $D$11, 100%, $F$11)</f>
        <v>12.783099999999999</v>
      </c>
      <c r="K500" s="4"/>
      <c r="L500" s="9">
        <v>30.092199999999998</v>
      </c>
      <c r="M500" s="9">
        <v>11.6745</v>
      </c>
      <c r="N500" s="9">
        <v>4.7850000000000001</v>
      </c>
      <c r="O500" s="9">
        <v>0.36199999999999999</v>
      </c>
      <c r="P500" s="9">
        <v>1.2509999999999999</v>
      </c>
      <c r="Q500" s="9">
        <v>19.1754</v>
      </c>
      <c r="R500" s="9"/>
      <c r="S500" s="11"/>
    </row>
    <row r="501" spans="1:19" ht="15.75">
      <c r="A501" s="13">
        <v>56400</v>
      </c>
      <c r="B501" s="8">
        <f>CHOOSE( CONTROL!$C$32, 13.534, 13.5335) * CHOOSE(CONTROL!$C$15, $D$11, 100%, $F$11)</f>
        <v>13.534000000000001</v>
      </c>
      <c r="C501" s="8">
        <f>CHOOSE( CONTROL!$C$32, 13.5419, 13.5415) * CHOOSE(CONTROL!$C$15, $D$11, 100%, $F$11)</f>
        <v>13.5419</v>
      </c>
      <c r="D501" s="8">
        <f>CHOOSE( CONTROL!$C$32, 13.5407, 13.5403) * CHOOSE( CONTROL!$C$15, $D$11, 100%, $F$11)</f>
        <v>13.540699999999999</v>
      </c>
      <c r="E501" s="12">
        <f>CHOOSE( CONTROL!$C$32, 13.5399, 13.5395) * CHOOSE( CONTROL!$C$15, $D$11, 100%, $F$11)</f>
        <v>13.539899999999999</v>
      </c>
      <c r="F501" s="4">
        <f>CHOOSE( CONTROL!$C$32, 14.2368, 14.2363) * CHOOSE(CONTROL!$C$15, $D$11, 100%, $F$11)</f>
        <v>14.236800000000001</v>
      </c>
      <c r="G501" s="8">
        <f>CHOOSE( CONTROL!$C$32, 13.3854, 13.3849) * CHOOSE( CONTROL!$C$15, $D$11, 100%, $F$11)</f>
        <v>13.385400000000001</v>
      </c>
      <c r="H501" s="4">
        <f>CHOOSE( CONTROL!$C$32, 14.3167, 14.3163) * CHOOSE(CONTROL!$C$15, $D$11, 100%, $F$11)</f>
        <v>14.316700000000001</v>
      </c>
      <c r="I501" s="8">
        <f>CHOOSE( CONTROL!$C$32, 13.2343, 13.2339) * CHOOSE(CONTROL!$C$15, $D$11, 100%, $F$11)</f>
        <v>13.234299999999999</v>
      </c>
      <c r="J501" s="4">
        <f>CHOOSE( CONTROL!$C$32, 13.1239, 13.1235) * CHOOSE(CONTROL!$C$15, $D$11, 100%, $F$11)</f>
        <v>13.123900000000001</v>
      </c>
      <c r="K501" s="4"/>
      <c r="L501" s="9">
        <v>30.7165</v>
      </c>
      <c r="M501" s="9">
        <v>12.063700000000001</v>
      </c>
      <c r="N501" s="9">
        <v>4.9444999999999997</v>
      </c>
      <c r="O501" s="9">
        <v>0.37409999999999999</v>
      </c>
      <c r="P501" s="9">
        <v>1.2927</v>
      </c>
      <c r="Q501" s="9">
        <v>19.814599999999999</v>
      </c>
      <c r="R501" s="9"/>
      <c r="S501" s="11"/>
    </row>
    <row r="502" spans="1:19" ht="15.75">
      <c r="A502" s="13">
        <v>56430</v>
      </c>
      <c r="B502" s="8">
        <f>CHOOSE( CONTROL!$C$32, 13.3166, 13.3161) * CHOOSE(CONTROL!$C$15, $D$11, 100%, $F$11)</f>
        <v>13.316599999999999</v>
      </c>
      <c r="C502" s="8">
        <f>CHOOSE( CONTROL!$C$32, 13.3245, 13.3241) * CHOOSE(CONTROL!$C$15, $D$11, 100%, $F$11)</f>
        <v>13.3245</v>
      </c>
      <c r="D502" s="8">
        <f>CHOOSE( CONTROL!$C$32, 13.3235, 13.3231) * CHOOSE( CONTROL!$C$15, $D$11, 100%, $F$11)</f>
        <v>13.323499999999999</v>
      </c>
      <c r="E502" s="12">
        <f>CHOOSE( CONTROL!$C$32, 13.3227, 13.3222) * CHOOSE( CONTROL!$C$15, $D$11, 100%, $F$11)</f>
        <v>13.322699999999999</v>
      </c>
      <c r="F502" s="4">
        <f>CHOOSE( CONTROL!$C$32, 14.0194, 14.0189) * CHOOSE(CONTROL!$C$15, $D$11, 100%, $F$11)</f>
        <v>14.019399999999999</v>
      </c>
      <c r="G502" s="8">
        <f>CHOOSE( CONTROL!$C$32, 13.1707, 13.1702) * CHOOSE( CONTROL!$C$15, $D$11, 100%, $F$11)</f>
        <v>13.1707</v>
      </c>
      <c r="H502" s="4">
        <f>CHOOSE( CONTROL!$C$32, 14.1018, 14.1014) * CHOOSE(CONTROL!$C$15, $D$11, 100%, $F$11)</f>
        <v>14.101800000000001</v>
      </c>
      <c r="I502" s="8">
        <f>CHOOSE( CONTROL!$C$32, 13.0239, 13.0234) * CHOOSE(CONTROL!$C$15, $D$11, 100%, $F$11)</f>
        <v>13.023899999999999</v>
      </c>
      <c r="J502" s="4">
        <f>CHOOSE( CONTROL!$C$32, 12.9129, 12.9125) * CHOOSE(CONTROL!$C$15, $D$11, 100%, $F$11)</f>
        <v>12.9129</v>
      </c>
      <c r="K502" s="4"/>
      <c r="L502" s="9">
        <v>29.7257</v>
      </c>
      <c r="M502" s="9">
        <v>11.6745</v>
      </c>
      <c r="N502" s="9">
        <v>4.7850000000000001</v>
      </c>
      <c r="O502" s="9">
        <v>0.36199999999999999</v>
      </c>
      <c r="P502" s="9">
        <v>1.2509999999999999</v>
      </c>
      <c r="Q502" s="9">
        <v>19.1754</v>
      </c>
      <c r="R502" s="9"/>
      <c r="S502" s="11"/>
    </row>
    <row r="503" spans="1:19" ht="15.75">
      <c r="A503" s="13">
        <v>56461</v>
      </c>
      <c r="B503" s="8">
        <f>CHOOSE( CONTROL!$C$32, 13.8891, 13.8886) * CHOOSE(CONTROL!$C$15, $D$11, 100%, $F$11)</f>
        <v>13.889099999999999</v>
      </c>
      <c r="C503" s="8">
        <f>CHOOSE( CONTROL!$C$32, 13.8971, 13.8966) * CHOOSE(CONTROL!$C$15, $D$11, 100%, $F$11)</f>
        <v>13.8971</v>
      </c>
      <c r="D503" s="8">
        <f>CHOOSE( CONTROL!$C$32, 13.8963, 13.8958) * CHOOSE( CONTROL!$C$15, $D$11, 100%, $F$11)</f>
        <v>13.8963</v>
      </c>
      <c r="E503" s="12">
        <f>CHOOSE( CONTROL!$C$32, 13.8954, 13.8949) * CHOOSE( CONTROL!$C$15, $D$11, 100%, $F$11)</f>
        <v>13.8954</v>
      </c>
      <c r="F503" s="4">
        <f>CHOOSE( CONTROL!$C$32, 14.5919, 14.5914) * CHOOSE(CONTROL!$C$15, $D$11, 100%, $F$11)</f>
        <v>14.591900000000001</v>
      </c>
      <c r="G503" s="8">
        <f>CHOOSE( CONTROL!$C$32, 13.7367, 13.7362) * CHOOSE( CONTROL!$C$15, $D$11, 100%, $F$11)</f>
        <v>13.736700000000001</v>
      </c>
      <c r="H503" s="4">
        <f>CHOOSE( CONTROL!$C$32, 14.6677, 14.6672) * CHOOSE(CONTROL!$C$15, $D$11, 100%, $F$11)</f>
        <v>14.6677</v>
      </c>
      <c r="I503" s="8">
        <f>CHOOSE( CONTROL!$C$32, 13.5806, 13.5801) * CHOOSE(CONTROL!$C$15, $D$11, 100%, $F$11)</f>
        <v>13.5806</v>
      </c>
      <c r="J503" s="4">
        <f>CHOOSE( CONTROL!$C$32, 13.4685, 13.4681) * CHOOSE(CONTROL!$C$15, $D$11, 100%, $F$11)</f>
        <v>13.468500000000001</v>
      </c>
      <c r="K503" s="4"/>
      <c r="L503" s="9">
        <v>30.7165</v>
      </c>
      <c r="M503" s="9">
        <v>12.063700000000001</v>
      </c>
      <c r="N503" s="9">
        <v>4.9444999999999997</v>
      </c>
      <c r="O503" s="9">
        <v>0.37409999999999999</v>
      </c>
      <c r="P503" s="9">
        <v>1.2927</v>
      </c>
      <c r="Q503" s="9">
        <v>19.814599999999999</v>
      </c>
      <c r="R503" s="9"/>
      <c r="S503" s="11"/>
    </row>
    <row r="504" spans="1:19" ht="15.75">
      <c r="A504" s="13">
        <v>56492</v>
      </c>
      <c r="B504" s="8">
        <f>CHOOSE( CONTROL!$C$32, 12.8178, 12.8174) * CHOOSE(CONTROL!$C$15, $D$11, 100%, $F$11)</f>
        <v>12.8178</v>
      </c>
      <c r="C504" s="8">
        <f>CHOOSE( CONTROL!$C$32, 12.8258, 12.8254) * CHOOSE(CONTROL!$C$15, $D$11, 100%, $F$11)</f>
        <v>12.825799999999999</v>
      </c>
      <c r="D504" s="8">
        <f>CHOOSE( CONTROL!$C$32, 12.8251, 12.8246) * CHOOSE( CONTROL!$C$15, $D$11, 100%, $F$11)</f>
        <v>12.825100000000001</v>
      </c>
      <c r="E504" s="12">
        <f>CHOOSE( CONTROL!$C$32, 12.8241, 12.8237) * CHOOSE( CONTROL!$C$15, $D$11, 100%, $F$11)</f>
        <v>12.8241</v>
      </c>
      <c r="F504" s="4">
        <f>CHOOSE( CONTROL!$C$32, 13.5207, 13.5202) * CHOOSE(CONTROL!$C$15, $D$11, 100%, $F$11)</f>
        <v>13.5207</v>
      </c>
      <c r="G504" s="8">
        <f>CHOOSE( CONTROL!$C$32, 12.678, 12.6776) * CHOOSE( CONTROL!$C$15, $D$11, 100%, $F$11)</f>
        <v>12.678000000000001</v>
      </c>
      <c r="H504" s="4">
        <f>CHOOSE( CONTROL!$C$32, 13.609, 13.6085) * CHOOSE(CONTROL!$C$15, $D$11, 100%, $F$11)</f>
        <v>13.609</v>
      </c>
      <c r="I504" s="8">
        <f>CHOOSE( CONTROL!$C$32, 12.5406, 12.5402) * CHOOSE(CONTROL!$C$15, $D$11, 100%, $F$11)</f>
        <v>12.5406</v>
      </c>
      <c r="J504" s="4">
        <f>CHOOSE( CONTROL!$C$32, 12.4289, 12.4284) * CHOOSE(CONTROL!$C$15, $D$11, 100%, $F$11)</f>
        <v>12.428900000000001</v>
      </c>
      <c r="K504" s="4"/>
      <c r="L504" s="9">
        <v>30.7165</v>
      </c>
      <c r="M504" s="9">
        <v>12.063700000000001</v>
      </c>
      <c r="N504" s="9">
        <v>4.9444999999999997</v>
      </c>
      <c r="O504" s="9">
        <v>0.37409999999999999</v>
      </c>
      <c r="P504" s="9">
        <v>1.2927</v>
      </c>
      <c r="Q504" s="9">
        <v>19.814599999999999</v>
      </c>
      <c r="R504" s="9"/>
      <c r="S504" s="11"/>
    </row>
    <row r="505" spans="1:19" ht="15.75">
      <c r="A505" s="13">
        <v>56522</v>
      </c>
      <c r="B505" s="8">
        <f>CHOOSE( CONTROL!$C$32, 12.5496, 12.5491) * CHOOSE(CONTROL!$C$15, $D$11, 100%, $F$11)</f>
        <v>12.5496</v>
      </c>
      <c r="C505" s="8">
        <f>CHOOSE( CONTROL!$C$32, 12.5576, 12.5571) * CHOOSE(CONTROL!$C$15, $D$11, 100%, $F$11)</f>
        <v>12.557600000000001</v>
      </c>
      <c r="D505" s="8">
        <f>CHOOSE( CONTROL!$C$32, 12.5567, 12.5562) * CHOOSE( CONTROL!$C$15, $D$11, 100%, $F$11)</f>
        <v>12.556699999999999</v>
      </c>
      <c r="E505" s="12">
        <f>CHOOSE( CONTROL!$C$32, 12.5558, 12.5553) * CHOOSE( CONTROL!$C$15, $D$11, 100%, $F$11)</f>
        <v>12.5558</v>
      </c>
      <c r="F505" s="4">
        <f>CHOOSE( CONTROL!$C$32, 13.2524, 13.252) * CHOOSE(CONTROL!$C$15, $D$11, 100%, $F$11)</f>
        <v>13.2524</v>
      </c>
      <c r="G505" s="8">
        <f>CHOOSE( CONTROL!$C$32, 12.4128, 12.4123) * CHOOSE( CONTROL!$C$15, $D$11, 100%, $F$11)</f>
        <v>12.412800000000001</v>
      </c>
      <c r="H505" s="4">
        <f>CHOOSE( CONTROL!$C$32, 13.3439, 13.3434) * CHOOSE(CONTROL!$C$15, $D$11, 100%, $F$11)</f>
        <v>13.3439</v>
      </c>
      <c r="I505" s="8">
        <f>CHOOSE( CONTROL!$C$32, 12.2796, 12.2792) * CHOOSE(CONTROL!$C$15, $D$11, 100%, $F$11)</f>
        <v>12.2796</v>
      </c>
      <c r="J505" s="4">
        <f>CHOOSE( CONTROL!$C$32, 12.1686, 12.1681) * CHOOSE(CONTROL!$C$15, $D$11, 100%, $F$11)</f>
        <v>12.1686</v>
      </c>
      <c r="K505" s="4"/>
      <c r="L505" s="9">
        <v>29.7257</v>
      </c>
      <c r="M505" s="9">
        <v>11.6745</v>
      </c>
      <c r="N505" s="9">
        <v>4.7850000000000001</v>
      </c>
      <c r="O505" s="9">
        <v>0.36199999999999999</v>
      </c>
      <c r="P505" s="9">
        <v>1.2509999999999999</v>
      </c>
      <c r="Q505" s="9">
        <v>19.1754</v>
      </c>
      <c r="R505" s="9"/>
      <c r="S505" s="11"/>
    </row>
    <row r="506" spans="1:19" ht="15.75">
      <c r="A506" s="13">
        <v>56553</v>
      </c>
      <c r="B506" s="8">
        <f>CHOOSE( CONTROL!$C$32, 13.1047, 13.1044) * CHOOSE(CONTROL!$C$15, $D$11, 100%, $F$11)</f>
        <v>13.104699999999999</v>
      </c>
      <c r="C506" s="8">
        <f>CHOOSE( CONTROL!$C$32, 13.11, 13.1097) * CHOOSE(CONTROL!$C$15, $D$11, 100%, $F$11)</f>
        <v>13.11</v>
      </c>
      <c r="D506" s="8">
        <f>CHOOSE( CONTROL!$C$32, 13.1147, 13.1144) * CHOOSE( CONTROL!$C$15, $D$11, 100%, $F$11)</f>
        <v>13.114699999999999</v>
      </c>
      <c r="E506" s="12">
        <f>CHOOSE( CONTROL!$C$32, 13.1126, 13.1123) * CHOOSE( CONTROL!$C$15, $D$11, 100%, $F$11)</f>
        <v>13.1126</v>
      </c>
      <c r="F506" s="4">
        <f>CHOOSE( CONTROL!$C$32, 13.8092, 13.8089) * CHOOSE(CONTROL!$C$15, $D$11, 100%, $F$11)</f>
        <v>13.809200000000001</v>
      </c>
      <c r="G506" s="8">
        <f>CHOOSE( CONTROL!$C$32, 12.9632, 12.963) * CHOOSE( CONTROL!$C$15, $D$11, 100%, $F$11)</f>
        <v>12.963200000000001</v>
      </c>
      <c r="H506" s="4">
        <f>CHOOSE( CONTROL!$C$32, 13.8941, 13.8939) * CHOOSE(CONTROL!$C$15, $D$11, 100%, $F$11)</f>
        <v>13.8941</v>
      </c>
      <c r="I506" s="8">
        <f>CHOOSE( CONTROL!$C$32, 12.8211, 12.8208) * CHOOSE(CONTROL!$C$15, $D$11, 100%, $F$11)</f>
        <v>12.821099999999999</v>
      </c>
      <c r="J506" s="4">
        <f>CHOOSE( CONTROL!$C$32, 12.7089, 12.7087) * CHOOSE(CONTROL!$C$15, $D$11, 100%, $F$11)</f>
        <v>12.7089</v>
      </c>
      <c r="K506" s="4"/>
      <c r="L506" s="9">
        <v>31.095300000000002</v>
      </c>
      <c r="M506" s="9">
        <v>12.063700000000001</v>
      </c>
      <c r="N506" s="9">
        <v>4.9444999999999997</v>
      </c>
      <c r="O506" s="9">
        <v>0.37409999999999999</v>
      </c>
      <c r="P506" s="9">
        <v>1.2927</v>
      </c>
      <c r="Q506" s="9">
        <v>19.814599999999999</v>
      </c>
      <c r="R506" s="9"/>
      <c r="S506" s="11"/>
    </row>
    <row r="507" spans="1:19" ht="15.75">
      <c r="A507" s="13">
        <v>56583</v>
      </c>
      <c r="B507" s="8">
        <f>CHOOSE( CONTROL!$C$32, 14.1323, 14.1321) * CHOOSE(CONTROL!$C$15, $D$11, 100%, $F$11)</f>
        <v>14.132300000000001</v>
      </c>
      <c r="C507" s="8">
        <f>CHOOSE( CONTROL!$C$32, 14.1374, 14.1371) * CHOOSE(CONTROL!$C$15, $D$11, 100%, $F$11)</f>
        <v>14.1374</v>
      </c>
      <c r="D507" s="8">
        <f>CHOOSE( CONTROL!$C$32, 14.1201, 14.1198) * CHOOSE( CONTROL!$C$15, $D$11, 100%, $F$11)</f>
        <v>14.120100000000001</v>
      </c>
      <c r="E507" s="12">
        <f>CHOOSE( CONTROL!$C$32, 14.1259, 14.1256) * CHOOSE( CONTROL!$C$15, $D$11, 100%, $F$11)</f>
        <v>14.1259</v>
      </c>
      <c r="F507" s="4">
        <f>CHOOSE( CONTROL!$C$32, 14.7976, 14.7973) * CHOOSE(CONTROL!$C$15, $D$11, 100%, $F$11)</f>
        <v>14.797599999999999</v>
      </c>
      <c r="G507" s="8">
        <f>CHOOSE( CONTROL!$C$32, 13.9762, 13.9759) * CHOOSE( CONTROL!$C$15, $D$11, 100%, $F$11)</f>
        <v>13.9762</v>
      </c>
      <c r="H507" s="4">
        <f>CHOOSE( CONTROL!$C$32, 14.871, 14.8707) * CHOOSE(CONTROL!$C$15, $D$11, 100%, $F$11)</f>
        <v>14.871</v>
      </c>
      <c r="I507" s="8">
        <f>CHOOSE( CONTROL!$C$32, 13.875, 13.8747) * CHOOSE(CONTROL!$C$15, $D$11, 100%, $F$11)</f>
        <v>13.875</v>
      </c>
      <c r="J507" s="4">
        <f>CHOOSE( CONTROL!$C$32, 13.7067, 13.7064) * CHOOSE(CONTROL!$C$15, $D$11, 100%, $F$11)</f>
        <v>13.7067</v>
      </c>
      <c r="K507" s="4"/>
      <c r="L507" s="9">
        <v>28.360600000000002</v>
      </c>
      <c r="M507" s="9">
        <v>11.6745</v>
      </c>
      <c r="N507" s="9">
        <v>4.7850000000000001</v>
      </c>
      <c r="O507" s="9">
        <v>0.36199999999999999</v>
      </c>
      <c r="P507" s="9">
        <v>1.2509999999999999</v>
      </c>
      <c r="Q507" s="9">
        <v>19.1754</v>
      </c>
      <c r="R507" s="9"/>
      <c r="S507" s="11"/>
    </row>
    <row r="508" spans="1:19" ht="15.75">
      <c r="A508" s="13">
        <v>56614</v>
      </c>
      <c r="B508" s="8">
        <f>CHOOSE( CONTROL!$C$32, 14.1066, 14.1064) * CHOOSE(CONTROL!$C$15, $D$11, 100%, $F$11)</f>
        <v>14.1066</v>
      </c>
      <c r="C508" s="8">
        <f>CHOOSE( CONTROL!$C$32, 14.1117, 14.1114) * CHOOSE(CONTROL!$C$15, $D$11, 100%, $F$11)</f>
        <v>14.111700000000001</v>
      </c>
      <c r="D508" s="8">
        <f>CHOOSE( CONTROL!$C$32, 14.0962, 14.0959) * CHOOSE( CONTROL!$C$15, $D$11, 100%, $F$11)</f>
        <v>14.0962</v>
      </c>
      <c r="E508" s="12">
        <f>CHOOSE( CONTROL!$C$32, 14.1013, 14.101) * CHOOSE( CONTROL!$C$15, $D$11, 100%, $F$11)</f>
        <v>14.1013</v>
      </c>
      <c r="F508" s="4">
        <f>CHOOSE( CONTROL!$C$32, 14.7719, 14.7717) * CHOOSE(CONTROL!$C$15, $D$11, 100%, $F$11)</f>
        <v>14.7719</v>
      </c>
      <c r="G508" s="8">
        <f>CHOOSE( CONTROL!$C$32, 13.9521, 13.9518) * CHOOSE( CONTROL!$C$15, $D$11, 100%, $F$11)</f>
        <v>13.9521</v>
      </c>
      <c r="H508" s="4">
        <f>CHOOSE( CONTROL!$C$32, 14.8456, 14.8453) * CHOOSE(CONTROL!$C$15, $D$11, 100%, $F$11)</f>
        <v>14.845599999999999</v>
      </c>
      <c r="I508" s="8">
        <f>CHOOSE( CONTROL!$C$32, 13.8556, 13.8553) * CHOOSE(CONTROL!$C$15, $D$11, 100%, $F$11)</f>
        <v>13.855600000000001</v>
      </c>
      <c r="J508" s="4">
        <f>CHOOSE( CONTROL!$C$32, 13.6817, 13.6815) * CHOOSE(CONTROL!$C$15, $D$11, 100%, $F$11)</f>
        <v>13.681699999999999</v>
      </c>
      <c r="K508" s="4"/>
      <c r="L508" s="9">
        <v>29.306000000000001</v>
      </c>
      <c r="M508" s="9">
        <v>12.063700000000001</v>
      </c>
      <c r="N508" s="9">
        <v>4.9444999999999997</v>
      </c>
      <c r="O508" s="9">
        <v>0.37409999999999999</v>
      </c>
      <c r="P508" s="9">
        <v>1.2927</v>
      </c>
      <c r="Q508" s="9">
        <v>19.814599999999999</v>
      </c>
      <c r="R508" s="9"/>
      <c r="S508" s="11"/>
    </row>
    <row r="509" spans="1:19" ht="15.75">
      <c r="A509" s="13">
        <v>56645</v>
      </c>
      <c r="B509" s="8">
        <f>CHOOSE( CONTROL!$C$32, 14.5225, 14.5222) * CHOOSE(CONTROL!$C$15, $D$11, 100%, $F$11)</f>
        <v>14.522500000000001</v>
      </c>
      <c r="C509" s="8">
        <f>CHOOSE( CONTROL!$C$32, 14.5275, 14.5273) * CHOOSE(CONTROL!$C$15, $D$11, 100%, $F$11)</f>
        <v>14.5275</v>
      </c>
      <c r="D509" s="8">
        <f>CHOOSE( CONTROL!$C$32, 14.518, 14.5177) * CHOOSE( CONTROL!$C$15, $D$11, 100%, $F$11)</f>
        <v>14.518000000000001</v>
      </c>
      <c r="E509" s="12">
        <f>CHOOSE( CONTROL!$C$32, 14.5209, 14.5207) * CHOOSE( CONTROL!$C$15, $D$11, 100%, $F$11)</f>
        <v>14.520899999999999</v>
      </c>
      <c r="F509" s="4">
        <f>CHOOSE( CONTROL!$C$32, 15.1878, 15.1875) * CHOOSE(CONTROL!$C$15, $D$11, 100%, $F$11)</f>
        <v>15.187799999999999</v>
      </c>
      <c r="G509" s="8">
        <f>CHOOSE( CONTROL!$C$32, 14.3638, 14.3635) * CHOOSE( CONTROL!$C$15, $D$11, 100%, $F$11)</f>
        <v>14.363799999999999</v>
      </c>
      <c r="H509" s="4">
        <f>CHOOSE( CONTROL!$C$32, 15.2565, 15.2563) * CHOOSE(CONTROL!$C$15, $D$11, 100%, $F$11)</f>
        <v>15.256500000000001</v>
      </c>
      <c r="I509" s="8">
        <f>CHOOSE( CONTROL!$C$32, 14.2398, 14.2396) * CHOOSE(CONTROL!$C$15, $D$11, 100%, $F$11)</f>
        <v>14.239800000000001</v>
      </c>
      <c r="J509" s="4">
        <f>CHOOSE( CONTROL!$C$32, 14.0853, 14.085) * CHOOSE(CONTROL!$C$15, $D$11, 100%, $F$11)</f>
        <v>14.0853</v>
      </c>
      <c r="K509" s="4"/>
      <c r="L509" s="9">
        <v>29.306000000000001</v>
      </c>
      <c r="M509" s="9">
        <v>12.063700000000001</v>
      </c>
      <c r="N509" s="9">
        <v>4.9444999999999997</v>
      </c>
      <c r="O509" s="9">
        <v>0.37409999999999999</v>
      </c>
      <c r="P509" s="9">
        <v>1.2927</v>
      </c>
      <c r="Q509" s="9">
        <v>19.751300000000001</v>
      </c>
      <c r="R509" s="9"/>
      <c r="S509" s="11"/>
    </row>
    <row r="510" spans="1:19" ht="15.75">
      <c r="A510" s="13">
        <v>56673</v>
      </c>
      <c r="B510" s="8">
        <f>CHOOSE( CONTROL!$C$32, 13.5842, 13.5839) * CHOOSE(CONTROL!$C$15, $D$11, 100%, $F$11)</f>
        <v>13.584199999999999</v>
      </c>
      <c r="C510" s="8">
        <f>CHOOSE( CONTROL!$C$32, 13.5893, 13.589) * CHOOSE(CONTROL!$C$15, $D$11, 100%, $F$11)</f>
        <v>13.5893</v>
      </c>
      <c r="D510" s="8">
        <f>CHOOSE( CONTROL!$C$32, 13.5814, 13.5811) * CHOOSE( CONTROL!$C$15, $D$11, 100%, $F$11)</f>
        <v>13.5814</v>
      </c>
      <c r="E510" s="12">
        <f>CHOOSE( CONTROL!$C$32, 13.5837, 13.5834) * CHOOSE( CONTROL!$C$15, $D$11, 100%, $F$11)</f>
        <v>13.5837</v>
      </c>
      <c r="F510" s="4">
        <f>CHOOSE( CONTROL!$C$32, 14.2495, 14.2492) * CHOOSE(CONTROL!$C$15, $D$11, 100%, $F$11)</f>
        <v>14.249499999999999</v>
      </c>
      <c r="G510" s="8">
        <f>CHOOSE( CONTROL!$C$32, 13.435, 13.4348) * CHOOSE( CONTROL!$C$15, $D$11, 100%, $F$11)</f>
        <v>13.435</v>
      </c>
      <c r="H510" s="4">
        <f>CHOOSE( CONTROL!$C$32, 14.3293, 14.329) * CHOOSE(CONTROL!$C$15, $D$11, 100%, $F$11)</f>
        <v>14.3293</v>
      </c>
      <c r="I510" s="8">
        <f>CHOOSE( CONTROL!$C$32, 13.3134, 13.3131) * CHOOSE(CONTROL!$C$15, $D$11, 100%, $F$11)</f>
        <v>13.3134</v>
      </c>
      <c r="J510" s="4">
        <f>CHOOSE( CONTROL!$C$32, 13.1747, 13.1745) * CHOOSE(CONTROL!$C$15, $D$11, 100%, $F$11)</f>
        <v>13.1747</v>
      </c>
      <c r="K510" s="4"/>
      <c r="L510" s="9">
        <v>26.469899999999999</v>
      </c>
      <c r="M510" s="9">
        <v>10.8962</v>
      </c>
      <c r="N510" s="9">
        <v>4.4660000000000002</v>
      </c>
      <c r="O510" s="9">
        <v>0.33789999999999998</v>
      </c>
      <c r="P510" s="9">
        <v>1.1676</v>
      </c>
      <c r="Q510" s="9">
        <v>17.8399</v>
      </c>
      <c r="R510" s="9"/>
      <c r="S510" s="11"/>
    </row>
    <row r="511" spans="1:19" ht="15.75">
      <c r="A511" s="13">
        <v>56704</v>
      </c>
      <c r="B511" s="8">
        <f>CHOOSE( CONTROL!$C$32, 13.2952, 13.295) * CHOOSE(CONTROL!$C$15, $D$11, 100%, $F$11)</f>
        <v>13.295199999999999</v>
      </c>
      <c r="C511" s="8">
        <f>CHOOSE( CONTROL!$C$32, 13.3003, 13.3) * CHOOSE(CONTROL!$C$15, $D$11, 100%, $F$11)</f>
        <v>13.3003</v>
      </c>
      <c r="D511" s="8">
        <f>CHOOSE( CONTROL!$C$32, 13.2876, 13.2873) * CHOOSE( CONTROL!$C$15, $D$11, 100%, $F$11)</f>
        <v>13.287599999999999</v>
      </c>
      <c r="E511" s="12">
        <f>CHOOSE( CONTROL!$C$32, 13.2917, 13.2914) * CHOOSE( CONTROL!$C$15, $D$11, 100%, $F$11)</f>
        <v>13.291700000000001</v>
      </c>
      <c r="F511" s="4">
        <f>CHOOSE( CONTROL!$C$32, 13.9605, 13.9602) * CHOOSE(CONTROL!$C$15, $D$11, 100%, $F$11)</f>
        <v>13.9605</v>
      </c>
      <c r="G511" s="8">
        <f>CHOOSE( CONTROL!$C$32, 13.146, 13.1457) * CHOOSE( CONTROL!$C$15, $D$11, 100%, $F$11)</f>
        <v>13.146000000000001</v>
      </c>
      <c r="H511" s="4">
        <f>CHOOSE( CONTROL!$C$32, 14.0437, 14.0434) * CHOOSE(CONTROL!$C$15, $D$11, 100%, $F$11)</f>
        <v>14.043699999999999</v>
      </c>
      <c r="I511" s="8">
        <f>CHOOSE( CONTROL!$C$32, 13.0312, 13.0309) * CHOOSE(CONTROL!$C$15, $D$11, 100%, $F$11)</f>
        <v>13.0312</v>
      </c>
      <c r="J511" s="4">
        <f>CHOOSE( CONTROL!$C$32, 12.8943, 12.894) * CHOOSE(CONTROL!$C$15, $D$11, 100%, $F$11)</f>
        <v>12.894299999999999</v>
      </c>
      <c r="K511" s="4"/>
      <c r="L511" s="9">
        <v>29.306000000000001</v>
      </c>
      <c r="M511" s="9">
        <v>12.063700000000001</v>
      </c>
      <c r="N511" s="9">
        <v>4.9444999999999997</v>
      </c>
      <c r="O511" s="9">
        <v>0.37409999999999999</v>
      </c>
      <c r="P511" s="9">
        <v>1.2927</v>
      </c>
      <c r="Q511" s="9">
        <v>19.751300000000001</v>
      </c>
      <c r="R511" s="9"/>
      <c r="S511" s="11"/>
    </row>
    <row r="512" spans="1:19" ht="15.75">
      <c r="A512" s="13">
        <v>56734</v>
      </c>
      <c r="B512" s="8">
        <f>CHOOSE( CONTROL!$C$32, 13.4979, 13.4977) * CHOOSE(CONTROL!$C$15, $D$11, 100%, $F$11)</f>
        <v>13.4979</v>
      </c>
      <c r="C512" s="8">
        <f>CHOOSE( CONTROL!$C$32, 13.5024, 13.5022) * CHOOSE(CONTROL!$C$15, $D$11, 100%, $F$11)</f>
        <v>13.5024</v>
      </c>
      <c r="D512" s="8">
        <f>CHOOSE( CONTROL!$C$32, 13.5073, 13.507) * CHOOSE( CONTROL!$C$15, $D$11, 100%, $F$11)</f>
        <v>13.507300000000001</v>
      </c>
      <c r="E512" s="12">
        <f>CHOOSE( CONTROL!$C$32, 13.5052, 13.5049) * CHOOSE( CONTROL!$C$15, $D$11, 100%, $F$11)</f>
        <v>13.5052</v>
      </c>
      <c r="F512" s="4">
        <f>CHOOSE( CONTROL!$C$32, 14.2021, 14.2018) * CHOOSE(CONTROL!$C$15, $D$11, 100%, $F$11)</f>
        <v>14.2021</v>
      </c>
      <c r="G512" s="8">
        <f>CHOOSE( CONTROL!$C$32, 13.3513, 13.351) * CHOOSE( CONTROL!$C$15, $D$11, 100%, $F$11)</f>
        <v>13.3513</v>
      </c>
      <c r="H512" s="4">
        <f>CHOOSE( CONTROL!$C$32, 14.2824, 14.2822) * CHOOSE(CONTROL!$C$15, $D$11, 100%, $F$11)</f>
        <v>14.282400000000001</v>
      </c>
      <c r="I512" s="8">
        <f>CHOOSE( CONTROL!$C$32, 13.2015, 13.2012) * CHOOSE(CONTROL!$C$15, $D$11, 100%, $F$11)</f>
        <v>13.201499999999999</v>
      </c>
      <c r="J512" s="4">
        <f>CHOOSE( CONTROL!$C$32, 13.0903, 13.09) * CHOOSE(CONTROL!$C$15, $D$11, 100%, $F$11)</f>
        <v>13.090299999999999</v>
      </c>
      <c r="K512" s="4"/>
      <c r="L512" s="9">
        <v>30.092199999999998</v>
      </c>
      <c r="M512" s="9">
        <v>11.6745</v>
      </c>
      <c r="N512" s="9">
        <v>4.7850000000000001</v>
      </c>
      <c r="O512" s="9">
        <v>0.36199999999999999</v>
      </c>
      <c r="P512" s="9">
        <v>1.2509999999999999</v>
      </c>
      <c r="Q512" s="9">
        <v>19.1142</v>
      </c>
      <c r="R512" s="9"/>
      <c r="S512" s="11"/>
    </row>
    <row r="513" spans="1:19" ht="15.75">
      <c r="A513" s="13">
        <v>56765</v>
      </c>
      <c r="B513" s="8">
        <f>CHOOSE( CONTROL!$C$32, 13.8589, 13.8584) * CHOOSE(CONTROL!$C$15, $D$11, 100%, $F$11)</f>
        <v>13.8589</v>
      </c>
      <c r="C513" s="8">
        <f>CHOOSE( CONTROL!$C$32, 13.8669, 13.8664) * CHOOSE(CONTROL!$C$15, $D$11, 100%, $F$11)</f>
        <v>13.866899999999999</v>
      </c>
      <c r="D513" s="8">
        <f>CHOOSE( CONTROL!$C$32, 13.8656, 13.8652) * CHOOSE( CONTROL!$C$15, $D$11, 100%, $F$11)</f>
        <v>13.865600000000001</v>
      </c>
      <c r="E513" s="12">
        <f>CHOOSE( CONTROL!$C$32, 13.8649, 13.8644) * CHOOSE( CONTROL!$C$15, $D$11, 100%, $F$11)</f>
        <v>13.8649</v>
      </c>
      <c r="F513" s="4">
        <f>CHOOSE( CONTROL!$C$32, 14.5617, 14.5612) * CHOOSE(CONTROL!$C$15, $D$11, 100%, $F$11)</f>
        <v>14.5617</v>
      </c>
      <c r="G513" s="8">
        <f>CHOOSE( CONTROL!$C$32, 13.7065, 13.706) * CHOOSE( CONTROL!$C$15, $D$11, 100%, $F$11)</f>
        <v>13.7065</v>
      </c>
      <c r="H513" s="4">
        <f>CHOOSE( CONTROL!$C$32, 14.6378, 14.6374) * CHOOSE(CONTROL!$C$15, $D$11, 100%, $F$11)</f>
        <v>14.6378</v>
      </c>
      <c r="I513" s="8">
        <f>CHOOSE( CONTROL!$C$32, 13.5498, 13.5494) * CHOOSE(CONTROL!$C$15, $D$11, 100%, $F$11)</f>
        <v>13.549799999999999</v>
      </c>
      <c r="J513" s="4">
        <f>CHOOSE( CONTROL!$C$32, 13.4392, 13.4388) * CHOOSE(CONTROL!$C$15, $D$11, 100%, $F$11)</f>
        <v>13.4392</v>
      </c>
      <c r="K513" s="4"/>
      <c r="L513" s="9">
        <v>30.7165</v>
      </c>
      <c r="M513" s="9">
        <v>12.063700000000001</v>
      </c>
      <c r="N513" s="9">
        <v>4.9444999999999997</v>
      </c>
      <c r="O513" s="9">
        <v>0.37409999999999999</v>
      </c>
      <c r="P513" s="9">
        <v>1.2927</v>
      </c>
      <c r="Q513" s="9">
        <v>19.751300000000001</v>
      </c>
      <c r="R513" s="9"/>
      <c r="S513" s="11"/>
    </row>
    <row r="514" spans="1:19" ht="15.75">
      <c r="A514" s="13">
        <v>56795</v>
      </c>
      <c r="B514" s="8">
        <f>CHOOSE( CONTROL!$C$32, 13.6362, 13.6358) * CHOOSE(CONTROL!$C$15, $D$11, 100%, $F$11)</f>
        <v>13.636200000000001</v>
      </c>
      <c r="C514" s="8">
        <f>CHOOSE( CONTROL!$C$32, 13.6442, 13.6438) * CHOOSE(CONTROL!$C$15, $D$11, 100%, $F$11)</f>
        <v>13.6442</v>
      </c>
      <c r="D514" s="8">
        <f>CHOOSE( CONTROL!$C$32, 13.6432, 13.6427) * CHOOSE( CONTROL!$C$15, $D$11, 100%, $F$11)</f>
        <v>13.6432</v>
      </c>
      <c r="E514" s="12">
        <f>CHOOSE( CONTROL!$C$32, 13.6423, 13.6419) * CHOOSE( CONTROL!$C$15, $D$11, 100%, $F$11)</f>
        <v>13.642300000000001</v>
      </c>
      <c r="F514" s="4">
        <f>CHOOSE( CONTROL!$C$32, 14.3391, 14.3386) * CHOOSE(CONTROL!$C$15, $D$11, 100%, $F$11)</f>
        <v>14.3391</v>
      </c>
      <c r="G514" s="8">
        <f>CHOOSE( CONTROL!$C$32, 13.4866, 13.4862) * CHOOSE( CONTROL!$C$15, $D$11, 100%, $F$11)</f>
        <v>13.486599999999999</v>
      </c>
      <c r="H514" s="4">
        <f>CHOOSE( CONTROL!$C$32, 14.4178, 14.4173) * CHOOSE(CONTROL!$C$15, $D$11, 100%, $F$11)</f>
        <v>14.4178</v>
      </c>
      <c r="I514" s="8">
        <f>CHOOSE( CONTROL!$C$32, 13.3343, 13.3339) * CHOOSE(CONTROL!$C$15, $D$11, 100%, $F$11)</f>
        <v>13.334300000000001</v>
      </c>
      <c r="J514" s="4">
        <f>CHOOSE( CONTROL!$C$32, 13.2232, 13.2227) * CHOOSE(CONTROL!$C$15, $D$11, 100%, $F$11)</f>
        <v>13.2232</v>
      </c>
      <c r="K514" s="4"/>
      <c r="L514" s="9">
        <v>29.7257</v>
      </c>
      <c r="M514" s="9">
        <v>11.6745</v>
      </c>
      <c r="N514" s="9">
        <v>4.7850000000000001</v>
      </c>
      <c r="O514" s="9">
        <v>0.36199999999999999</v>
      </c>
      <c r="P514" s="9">
        <v>1.2509999999999999</v>
      </c>
      <c r="Q514" s="9">
        <v>19.1142</v>
      </c>
      <c r="R514" s="9"/>
      <c r="S514" s="11"/>
    </row>
    <row r="515" spans="1:19" ht="15.75">
      <c r="A515" s="13">
        <v>56826</v>
      </c>
      <c r="B515" s="8">
        <f>CHOOSE( CONTROL!$C$32, 14.2225, 14.2221) * CHOOSE(CONTROL!$C$15, $D$11, 100%, $F$11)</f>
        <v>14.2225</v>
      </c>
      <c r="C515" s="8">
        <f>CHOOSE( CONTROL!$C$32, 14.2305, 14.23) * CHOOSE(CONTROL!$C$15, $D$11, 100%, $F$11)</f>
        <v>14.230499999999999</v>
      </c>
      <c r="D515" s="8">
        <f>CHOOSE( CONTROL!$C$32, 14.2297, 14.2292) * CHOOSE( CONTROL!$C$15, $D$11, 100%, $F$11)</f>
        <v>14.229699999999999</v>
      </c>
      <c r="E515" s="12">
        <f>CHOOSE( CONTROL!$C$32, 14.2288, 14.2283) * CHOOSE( CONTROL!$C$15, $D$11, 100%, $F$11)</f>
        <v>14.2288</v>
      </c>
      <c r="F515" s="4">
        <f>CHOOSE( CONTROL!$C$32, 14.9253, 14.9249) * CHOOSE(CONTROL!$C$15, $D$11, 100%, $F$11)</f>
        <v>14.9253</v>
      </c>
      <c r="G515" s="8">
        <f>CHOOSE( CONTROL!$C$32, 14.0662, 14.0658) * CHOOSE( CONTROL!$C$15, $D$11, 100%, $F$11)</f>
        <v>14.0662</v>
      </c>
      <c r="H515" s="4">
        <f>CHOOSE( CONTROL!$C$32, 14.9972, 14.9967) * CHOOSE(CONTROL!$C$15, $D$11, 100%, $F$11)</f>
        <v>14.997199999999999</v>
      </c>
      <c r="I515" s="8">
        <f>CHOOSE( CONTROL!$C$32, 13.9043, 13.9039) * CHOOSE(CONTROL!$C$15, $D$11, 100%, $F$11)</f>
        <v>13.904299999999999</v>
      </c>
      <c r="J515" s="4">
        <f>CHOOSE( CONTROL!$C$32, 13.7921, 13.7917) * CHOOSE(CONTROL!$C$15, $D$11, 100%, $F$11)</f>
        <v>13.7921</v>
      </c>
      <c r="K515" s="4"/>
      <c r="L515" s="9">
        <v>30.7165</v>
      </c>
      <c r="M515" s="9">
        <v>12.063700000000001</v>
      </c>
      <c r="N515" s="9">
        <v>4.9444999999999997</v>
      </c>
      <c r="O515" s="9">
        <v>0.37409999999999999</v>
      </c>
      <c r="P515" s="9">
        <v>1.2927</v>
      </c>
      <c r="Q515" s="9">
        <v>19.751300000000001</v>
      </c>
      <c r="R515" s="9"/>
      <c r="S515" s="11"/>
    </row>
    <row r="516" spans="1:19" ht="15.75">
      <c r="A516" s="13">
        <v>56857</v>
      </c>
      <c r="B516" s="8">
        <f>CHOOSE( CONTROL!$C$32, 13.1255, 13.1251) * CHOOSE(CONTROL!$C$15, $D$11, 100%, $F$11)</f>
        <v>13.125500000000001</v>
      </c>
      <c r="C516" s="8">
        <f>CHOOSE( CONTROL!$C$32, 13.1335, 13.1331) * CHOOSE(CONTROL!$C$15, $D$11, 100%, $F$11)</f>
        <v>13.1335</v>
      </c>
      <c r="D516" s="8">
        <f>CHOOSE( CONTROL!$C$32, 13.1328, 13.1323) * CHOOSE( CONTROL!$C$15, $D$11, 100%, $F$11)</f>
        <v>13.1328</v>
      </c>
      <c r="E516" s="12">
        <f>CHOOSE( CONTROL!$C$32, 13.1318, 13.1314) * CHOOSE( CONTROL!$C$15, $D$11, 100%, $F$11)</f>
        <v>13.1318</v>
      </c>
      <c r="F516" s="4">
        <f>CHOOSE( CONTROL!$C$32, 13.8284, 13.8279) * CHOOSE(CONTROL!$C$15, $D$11, 100%, $F$11)</f>
        <v>13.8284</v>
      </c>
      <c r="G516" s="8">
        <f>CHOOSE( CONTROL!$C$32, 12.9821, 12.9817) * CHOOSE( CONTROL!$C$15, $D$11, 100%, $F$11)</f>
        <v>12.982100000000001</v>
      </c>
      <c r="H516" s="4">
        <f>CHOOSE( CONTROL!$C$32, 13.9131, 13.9126) * CHOOSE(CONTROL!$C$15, $D$11, 100%, $F$11)</f>
        <v>13.9131</v>
      </c>
      <c r="I516" s="8">
        <f>CHOOSE( CONTROL!$C$32, 12.8394, 12.8389) * CHOOSE(CONTROL!$C$15, $D$11, 100%, $F$11)</f>
        <v>12.839399999999999</v>
      </c>
      <c r="J516" s="4">
        <f>CHOOSE( CONTROL!$C$32, 12.7275, 12.7271) * CHOOSE(CONTROL!$C$15, $D$11, 100%, $F$11)</f>
        <v>12.727499999999999</v>
      </c>
      <c r="K516" s="4"/>
      <c r="L516" s="9">
        <v>30.7165</v>
      </c>
      <c r="M516" s="9">
        <v>12.063700000000001</v>
      </c>
      <c r="N516" s="9">
        <v>4.9444999999999997</v>
      </c>
      <c r="O516" s="9">
        <v>0.37409999999999999</v>
      </c>
      <c r="P516" s="9">
        <v>1.2927</v>
      </c>
      <c r="Q516" s="9">
        <v>19.751300000000001</v>
      </c>
      <c r="R516" s="9"/>
      <c r="S516" s="11"/>
    </row>
    <row r="517" spans="1:19" ht="15.75">
      <c r="A517" s="13">
        <v>56887</v>
      </c>
      <c r="B517" s="8">
        <f>CHOOSE( CONTROL!$C$32, 12.8508, 12.8504) * CHOOSE(CONTROL!$C$15, $D$11, 100%, $F$11)</f>
        <v>12.8508</v>
      </c>
      <c r="C517" s="8">
        <f>CHOOSE( CONTROL!$C$32, 12.8588, 12.8584) * CHOOSE(CONTROL!$C$15, $D$11, 100%, $F$11)</f>
        <v>12.8588</v>
      </c>
      <c r="D517" s="8">
        <f>CHOOSE( CONTROL!$C$32, 12.8579, 12.8575) * CHOOSE( CONTROL!$C$15, $D$11, 100%, $F$11)</f>
        <v>12.857900000000001</v>
      </c>
      <c r="E517" s="12">
        <f>CHOOSE( CONTROL!$C$32, 12.857, 12.8566) * CHOOSE( CONTROL!$C$15, $D$11, 100%, $F$11)</f>
        <v>12.856999999999999</v>
      </c>
      <c r="F517" s="4">
        <f>CHOOSE( CONTROL!$C$32, 13.5537, 13.5532) * CHOOSE(CONTROL!$C$15, $D$11, 100%, $F$11)</f>
        <v>13.553699999999999</v>
      </c>
      <c r="G517" s="8">
        <f>CHOOSE( CONTROL!$C$32, 12.7105, 12.7101) * CHOOSE( CONTROL!$C$15, $D$11, 100%, $F$11)</f>
        <v>12.7105</v>
      </c>
      <c r="H517" s="4">
        <f>CHOOSE( CONTROL!$C$32, 13.6416, 13.6411) * CHOOSE(CONTROL!$C$15, $D$11, 100%, $F$11)</f>
        <v>13.6416</v>
      </c>
      <c r="I517" s="8">
        <f>CHOOSE( CONTROL!$C$32, 12.5721, 12.5717) * CHOOSE(CONTROL!$C$15, $D$11, 100%, $F$11)</f>
        <v>12.572100000000001</v>
      </c>
      <c r="J517" s="4">
        <f>CHOOSE( CONTROL!$C$32, 12.4609, 12.4605) * CHOOSE(CONTROL!$C$15, $D$11, 100%, $F$11)</f>
        <v>12.460900000000001</v>
      </c>
      <c r="K517" s="4"/>
      <c r="L517" s="9">
        <v>29.7257</v>
      </c>
      <c r="M517" s="9">
        <v>11.6745</v>
      </c>
      <c r="N517" s="9">
        <v>4.7850000000000001</v>
      </c>
      <c r="O517" s="9">
        <v>0.36199999999999999</v>
      </c>
      <c r="P517" s="9">
        <v>1.2509999999999999</v>
      </c>
      <c r="Q517" s="9">
        <v>19.1142</v>
      </c>
      <c r="R517" s="9"/>
      <c r="S517" s="11"/>
    </row>
    <row r="518" spans="1:19" ht="15.75">
      <c r="A518" s="13">
        <v>56918</v>
      </c>
      <c r="B518" s="8">
        <f>CHOOSE( CONTROL!$C$32, 13.4193, 13.419) * CHOOSE(CONTROL!$C$15, $D$11, 100%, $F$11)</f>
        <v>13.4193</v>
      </c>
      <c r="C518" s="8">
        <f>CHOOSE( CONTROL!$C$32, 13.4246, 13.4244) * CHOOSE(CONTROL!$C$15, $D$11, 100%, $F$11)</f>
        <v>13.4246</v>
      </c>
      <c r="D518" s="8">
        <f>CHOOSE( CONTROL!$C$32, 13.4293, 13.4291) * CHOOSE( CONTROL!$C$15, $D$11, 100%, $F$11)</f>
        <v>13.4293</v>
      </c>
      <c r="E518" s="12">
        <f>CHOOSE( CONTROL!$C$32, 13.4272, 13.427) * CHOOSE( CONTROL!$C$15, $D$11, 100%, $F$11)</f>
        <v>13.427199999999999</v>
      </c>
      <c r="F518" s="4">
        <f>CHOOSE( CONTROL!$C$32, 14.1238, 14.1236) * CHOOSE(CONTROL!$C$15, $D$11, 100%, $F$11)</f>
        <v>14.123799999999999</v>
      </c>
      <c r="G518" s="8">
        <f>CHOOSE( CONTROL!$C$32, 13.2742, 13.2739) * CHOOSE( CONTROL!$C$15, $D$11, 100%, $F$11)</f>
        <v>13.2742</v>
      </c>
      <c r="H518" s="4">
        <f>CHOOSE( CONTROL!$C$32, 14.2051, 14.2048) * CHOOSE(CONTROL!$C$15, $D$11, 100%, $F$11)</f>
        <v>14.2051</v>
      </c>
      <c r="I518" s="8">
        <f>CHOOSE( CONTROL!$C$32, 13.1266, 13.1263) * CHOOSE(CONTROL!$C$15, $D$11, 100%, $F$11)</f>
        <v>13.1266</v>
      </c>
      <c r="J518" s="4">
        <f>CHOOSE( CONTROL!$C$32, 13.0143, 13.014) * CHOOSE(CONTROL!$C$15, $D$11, 100%, $F$11)</f>
        <v>13.0143</v>
      </c>
      <c r="K518" s="4"/>
      <c r="L518" s="9">
        <v>31.095300000000002</v>
      </c>
      <c r="M518" s="9">
        <v>12.063700000000001</v>
      </c>
      <c r="N518" s="9">
        <v>4.9444999999999997</v>
      </c>
      <c r="O518" s="9">
        <v>0.37409999999999999</v>
      </c>
      <c r="P518" s="9">
        <v>1.2927</v>
      </c>
      <c r="Q518" s="9">
        <v>19.751300000000001</v>
      </c>
      <c r="R518" s="9"/>
      <c r="S518" s="11"/>
    </row>
    <row r="519" spans="1:19" ht="15.75">
      <c r="A519" s="13">
        <v>56948</v>
      </c>
      <c r="B519" s="8">
        <f>CHOOSE( CONTROL!$C$32, 14.4717, 14.4714) * CHOOSE(CONTROL!$C$15, $D$11, 100%, $F$11)</f>
        <v>14.4717</v>
      </c>
      <c r="C519" s="8">
        <f>CHOOSE( CONTROL!$C$32, 14.4767, 14.4765) * CHOOSE(CONTROL!$C$15, $D$11, 100%, $F$11)</f>
        <v>14.476699999999999</v>
      </c>
      <c r="D519" s="8">
        <f>CHOOSE( CONTROL!$C$32, 14.4595, 14.4592) * CHOOSE( CONTROL!$C$15, $D$11, 100%, $F$11)</f>
        <v>14.4595</v>
      </c>
      <c r="E519" s="12">
        <f>CHOOSE( CONTROL!$C$32, 14.4653, 14.465) * CHOOSE( CONTROL!$C$15, $D$11, 100%, $F$11)</f>
        <v>14.465299999999999</v>
      </c>
      <c r="F519" s="4">
        <f>CHOOSE( CONTROL!$C$32, 15.137, 15.1367) * CHOOSE(CONTROL!$C$15, $D$11, 100%, $F$11)</f>
        <v>15.137</v>
      </c>
      <c r="G519" s="8">
        <f>CHOOSE( CONTROL!$C$32, 14.3116, 14.3113) * CHOOSE( CONTROL!$C$15, $D$11, 100%, $F$11)</f>
        <v>14.3116</v>
      </c>
      <c r="H519" s="4">
        <f>CHOOSE( CONTROL!$C$32, 15.2063, 15.2061) * CHOOSE(CONTROL!$C$15, $D$11, 100%, $F$11)</f>
        <v>15.206300000000001</v>
      </c>
      <c r="I519" s="8">
        <f>CHOOSE( CONTROL!$C$32, 14.2045, 14.2042) * CHOOSE(CONTROL!$C$15, $D$11, 100%, $F$11)</f>
        <v>14.204499999999999</v>
      </c>
      <c r="J519" s="4">
        <f>CHOOSE( CONTROL!$C$32, 14.036, 14.0357) * CHOOSE(CONTROL!$C$15, $D$11, 100%, $F$11)</f>
        <v>14.036</v>
      </c>
      <c r="K519" s="4"/>
      <c r="L519" s="9">
        <v>28.360600000000002</v>
      </c>
      <c r="M519" s="9">
        <v>11.6745</v>
      </c>
      <c r="N519" s="9">
        <v>4.7850000000000001</v>
      </c>
      <c r="O519" s="9">
        <v>0.36199999999999999</v>
      </c>
      <c r="P519" s="9">
        <v>1.2509999999999999</v>
      </c>
      <c r="Q519" s="9">
        <v>19.1142</v>
      </c>
      <c r="R519" s="9"/>
      <c r="S519" s="11"/>
    </row>
    <row r="520" spans="1:19" ht="15.75">
      <c r="A520" s="13">
        <v>56979</v>
      </c>
      <c r="B520" s="8">
        <f>CHOOSE( CONTROL!$C$32, 14.4454, 14.4451) * CHOOSE(CONTROL!$C$15, $D$11, 100%, $F$11)</f>
        <v>14.445399999999999</v>
      </c>
      <c r="C520" s="8">
        <f>CHOOSE( CONTROL!$C$32, 14.4504, 14.4502) * CHOOSE(CONTROL!$C$15, $D$11, 100%, $F$11)</f>
        <v>14.4504</v>
      </c>
      <c r="D520" s="8">
        <f>CHOOSE( CONTROL!$C$32, 14.4349, 14.4347) * CHOOSE( CONTROL!$C$15, $D$11, 100%, $F$11)</f>
        <v>14.434900000000001</v>
      </c>
      <c r="E520" s="12">
        <f>CHOOSE( CONTROL!$C$32, 14.44, 14.4398) * CHOOSE( CONTROL!$C$15, $D$11, 100%, $F$11)</f>
        <v>14.44</v>
      </c>
      <c r="F520" s="4">
        <f>CHOOSE( CONTROL!$C$32, 15.1106, 15.1104) * CHOOSE(CONTROL!$C$15, $D$11, 100%, $F$11)</f>
        <v>15.1106</v>
      </c>
      <c r="G520" s="8">
        <f>CHOOSE( CONTROL!$C$32, 14.2869, 14.2866) * CHOOSE( CONTROL!$C$15, $D$11, 100%, $F$11)</f>
        <v>14.286899999999999</v>
      </c>
      <c r="H520" s="4">
        <f>CHOOSE( CONTROL!$C$32, 15.1803, 15.1801) * CHOOSE(CONTROL!$C$15, $D$11, 100%, $F$11)</f>
        <v>15.180300000000001</v>
      </c>
      <c r="I520" s="8">
        <f>CHOOSE( CONTROL!$C$32, 14.1845, 14.1842) * CHOOSE(CONTROL!$C$15, $D$11, 100%, $F$11)</f>
        <v>14.1845</v>
      </c>
      <c r="J520" s="4">
        <f>CHOOSE( CONTROL!$C$32, 14.0105, 14.0102) * CHOOSE(CONTROL!$C$15, $D$11, 100%, $F$11)</f>
        <v>14.0105</v>
      </c>
      <c r="K520" s="4"/>
      <c r="L520" s="9">
        <v>29.306000000000001</v>
      </c>
      <c r="M520" s="9">
        <v>12.063700000000001</v>
      </c>
      <c r="N520" s="9">
        <v>4.9444999999999997</v>
      </c>
      <c r="O520" s="9">
        <v>0.37409999999999999</v>
      </c>
      <c r="P520" s="9">
        <v>1.2927</v>
      </c>
      <c r="Q520" s="9">
        <v>19.751300000000001</v>
      </c>
      <c r="R520" s="9"/>
      <c r="S520" s="11"/>
    </row>
    <row r="521" spans="1:19" ht="15.75">
      <c r="A521" s="13">
        <v>57010</v>
      </c>
      <c r="B521" s="8">
        <f>CHOOSE( CONTROL!$C$32, 14.8712, 14.8709) * CHOOSE(CONTROL!$C$15, $D$11, 100%, $F$11)</f>
        <v>14.8712</v>
      </c>
      <c r="C521" s="8">
        <f>CHOOSE( CONTROL!$C$32, 14.8763, 14.876) * CHOOSE(CONTROL!$C$15, $D$11, 100%, $F$11)</f>
        <v>14.876300000000001</v>
      </c>
      <c r="D521" s="8">
        <f>CHOOSE( CONTROL!$C$32, 14.8667, 14.8664) * CHOOSE( CONTROL!$C$15, $D$11, 100%, $F$11)</f>
        <v>14.8667</v>
      </c>
      <c r="E521" s="12">
        <f>CHOOSE( CONTROL!$C$32, 14.8697, 14.8694) * CHOOSE( CONTROL!$C$15, $D$11, 100%, $F$11)</f>
        <v>14.8697</v>
      </c>
      <c r="F521" s="4">
        <f>CHOOSE( CONTROL!$C$32, 15.5365, 15.5362) * CHOOSE(CONTROL!$C$15, $D$11, 100%, $F$11)</f>
        <v>15.5365</v>
      </c>
      <c r="G521" s="8">
        <f>CHOOSE( CONTROL!$C$32, 14.7084, 14.7081) * CHOOSE( CONTROL!$C$15, $D$11, 100%, $F$11)</f>
        <v>14.708399999999999</v>
      </c>
      <c r="H521" s="4">
        <f>CHOOSE( CONTROL!$C$32, 15.6012, 15.6009) * CHOOSE(CONTROL!$C$15, $D$11, 100%, $F$11)</f>
        <v>15.6012</v>
      </c>
      <c r="I521" s="8">
        <f>CHOOSE( CONTROL!$C$32, 14.5784, 14.5782) * CHOOSE(CONTROL!$C$15, $D$11, 100%, $F$11)</f>
        <v>14.5784</v>
      </c>
      <c r="J521" s="4">
        <f>CHOOSE( CONTROL!$C$32, 14.4237, 14.4235) * CHOOSE(CONTROL!$C$15, $D$11, 100%, $F$11)</f>
        <v>14.4237</v>
      </c>
      <c r="K521" s="4"/>
      <c r="L521" s="9">
        <v>29.306000000000001</v>
      </c>
      <c r="M521" s="9">
        <v>12.063700000000001</v>
      </c>
      <c r="N521" s="9">
        <v>4.9444999999999997</v>
      </c>
      <c r="O521" s="9">
        <v>0.37409999999999999</v>
      </c>
      <c r="P521" s="9">
        <v>1.2927</v>
      </c>
      <c r="Q521" s="9">
        <v>19.688099999999999</v>
      </c>
      <c r="R521" s="9"/>
      <c r="S521" s="11"/>
    </row>
    <row r="522" spans="1:19" ht="15.75">
      <c r="A522" s="13">
        <v>57038</v>
      </c>
      <c r="B522" s="8">
        <f>CHOOSE( CONTROL!$C$32, 13.9104, 13.9101) * CHOOSE(CONTROL!$C$15, $D$11, 100%, $F$11)</f>
        <v>13.910399999999999</v>
      </c>
      <c r="C522" s="8">
        <f>CHOOSE( CONTROL!$C$32, 13.9155, 13.9152) * CHOOSE(CONTROL!$C$15, $D$11, 100%, $F$11)</f>
        <v>13.9155</v>
      </c>
      <c r="D522" s="8">
        <f>CHOOSE( CONTROL!$C$32, 13.9076, 13.9073) * CHOOSE( CONTROL!$C$15, $D$11, 100%, $F$11)</f>
        <v>13.9076</v>
      </c>
      <c r="E522" s="12">
        <f>CHOOSE( CONTROL!$C$32, 13.9099, 13.9096) * CHOOSE( CONTROL!$C$15, $D$11, 100%, $F$11)</f>
        <v>13.9099</v>
      </c>
      <c r="F522" s="4">
        <f>CHOOSE( CONTROL!$C$32, 14.5757, 14.5754) * CHOOSE(CONTROL!$C$15, $D$11, 100%, $F$11)</f>
        <v>14.575699999999999</v>
      </c>
      <c r="G522" s="8">
        <f>CHOOSE( CONTROL!$C$32, 13.7574, 13.7571) * CHOOSE( CONTROL!$C$15, $D$11, 100%, $F$11)</f>
        <v>13.757400000000001</v>
      </c>
      <c r="H522" s="4">
        <f>CHOOSE( CONTROL!$C$32, 14.6516, 14.6513) * CHOOSE(CONTROL!$C$15, $D$11, 100%, $F$11)</f>
        <v>14.6516</v>
      </c>
      <c r="I522" s="8">
        <f>CHOOSE( CONTROL!$C$32, 13.6301, 13.6299) * CHOOSE(CONTROL!$C$15, $D$11, 100%, $F$11)</f>
        <v>13.630100000000001</v>
      </c>
      <c r="J522" s="4">
        <f>CHOOSE( CONTROL!$C$32, 13.4913, 13.491) * CHOOSE(CONTROL!$C$15, $D$11, 100%, $F$11)</f>
        <v>13.491300000000001</v>
      </c>
      <c r="K522" s="4"/>
      <c r="L522" s="9">
        <v>27.415299999999998</v>
      </c>
      <c r="M522" s="9">
        <v>11.285299999999999</v>
      </c>
      <c r="N522" s="9">
        <v>4.6254999999999997</v>
      </c>
      <c r="O522" s="9">
        <v>0.34989999999999999</v>
      </c>
      <c r="P522" s="9">
        <v>1.2093</v>
      </c>
      <c r="Q522" s="9">
        <v>18.417899999999999</v>
      </c>
      <c r="R522" s="9"/>
      <c r="S522" s="11"/>
    </row>
    <row r="523" spans="1:19" ht="15.75">
      <c r="A523" s="13">
        <v>57070</v>
      </c>
      <c r="B523" s="8">
        <f>CHOOSE( CONTROL!$C$32, 13.6145, 13.6142) * CHOOSE(CONTROL!$C$15, $D$11, 100%, $F$11)</f>
        <v>13.6145</v>
      </c>
      <c r="C523" s="8">
        <f>CHOOSE( CONTROL!$C$32, 13.6195, 13.6193) * CHOOSE(CONTROL!$C$15, $D$11, 100%, $F$11)</f>
        <v>13.6195</v>
      </c>
      <c r="D523" s="8">
        <f>CHOOSE( CONTROL!$C$32, 13.6068, 13.6066) * CHOOSE( CONTROL!$C$15, $D$11, 100%, $F$11)</f>
        <v>13.6068</v>
      </c>
      <c r="E523" s="12">
        <f>CHOOSE( CONTROL!$C$32, 13.6109, 13.6107) * CHOOSE( CONTROL!$C$15, $D$11, 100%, $F$11)</f>
        <v>13.610900000000001</v>
      </c>
      <c r="F523" s="4">
        <f>CHOOSE( CONTROL!$C$32, 14.2797, 14.2795) * CHOOSE(CONTROL!$C$15, $D$11, 100%, $F$11)</f>
        <v>14.2797</v>
      </c>
      <c r="G523" s="8">
        <f>CHOOSE( CONTROL!$C$32, 13.4615, 13.4612) * CHOOSE( CONTROL!$C$15, $D$11, 100%, $F$11)</f>
        <v>13.461499999999999</v>
      </c>
      <c r="H523" s="4">
        <f>CHOOSE( CONTROL!$C$32, 14.3592, 14.3589) * CHOOSE(CONTROL!$C$15, $D$11, 100%, $F$11)</f>
        <v>14.3592</v>
      </c>
      <c r="I523" s="8">
        <f>CHOOSE( CONTROL!$C$32, 13.3412, 13.3409) * CHOOSE(CONTROL!$C$15, $D$11, 100%, $F$11)</f>
        <v>13.341200000000001</v>
      </c>
      <c r="J523" s="4">
        <f>CHOOSE( CONTROL!$C$32, 13.2041, 13.2038) * CHOOSE(CONTROL!$C$15, $D$11, 100%, $F$11)</f>
        <v>13.2041</v>
      </c>
      <c r="K523" s="4"/>
      <c r="L523" s="9">
        <v>29.306000000000001</v>
      </c>
      <c r="M523" s="9">
        <v>12.063700000000001</v>
      </c>
      <c r="N523" s="9">
        <v>4.9444999999999997</v>
      </c>
      <c r="O523" s="9">
        <v>0.37409999999999999</v>
      </c>
      <c r="P523" s="9">
        <v>1.2927</v>
      </c>
      <c r="Q523" s="9">
        <v>19.688099999999999</v>
      </c>
      <c r="R523" s="9"/>
      <c r="S523" s="11"/>
    </row>
    <row r="524" spans="1:19" ht="15.75">
      <c r="A524" s="13">
        <v>57100</v>
      </c>
      <c r="B524" s="8">
        <f>CHOOSE( CONTROL!$C$32, 13.822, 13.8217) * CHOOSE(CONTROL!$C$15, $D$11, 100%, $F$11)</f>
        <v>13.821999999999999</v>
      </c>
      <c r="C524" s="8">
        <f>CHOOSE( CONTROL!$C$32, 13.8265, 13.8262) * CHOOSE(CONTROL!$C$15, $D$11, 100%, $F$11)</f>
        <v>13.826499999999999</v>
      </c>
      <c r="D524" s="8">
        <f>CHOOSE( CONTROL!$C$32, 13.8314, 13.8311) * CHOOSE( CONTROL!$C$15, $D$11, 100%, $F$11)</f>
        <v>13.8314</v>
      </c>
      <c r="E524" s="12">
        <f>CHOOSE( CONTROL!$C$32, 13.8293, 13.829) * CHOOSE( CONTROL!$C$15, $D$11, 100%, $F$11)</f>
        <v>13.8293</v>
      </c>
      <c r="F524" s="4">
        <f>CHOOSE( CONTROL!$C$32, 14.5262, 14.5259) * CHOOSE(CONTROL!$C$15, $D$11, 100%, $F$11)</f>
        <v>14.526199999999999</v>
      </c>
      <c r="G524" s="8">
        <f>CHOOSE( CONTROL!$C$32, 13.6716, 13.6713) * CHOOSE( CONTROL!$C$15, $D$11, 100%, $F$11)</f>
        <v>13.6716</v>
      </c>
      <c r="H524" s="4">
        <f>CHOOSE( CONTROL!$C$32, 14.6027, 14.6025) * CHOOSE(CONTROL!$C$15, $D$11, 100%, $F$11)</f>
        <v>14.6027</v>
      </c>
      <c r="I524" s="8">
        <f>CHOOSE( CONTROL!$C$32, 13.5162, 13.5159) * CHOOSE(CONTROL!$C$15, $D$11, 100%, $F$11)</f>
        <v>13.5162</v>
      </c>
      <c r="J524" s="4">
        <f>CHOOSE( CONTROL!$C$32, 13.4048, 13.4045) * CHOOSE(CONTROL!$C$15, $D$11, 100%, $F$11)</f>
        <v>13.4048</v>
      </c>
      <c r="K524" s="4"/>
      <c r="L524" s="9">
        <v>30.092199999999998</v>
      </c>
      <c r="M524" s="9">
        <v>11.6745</v>
      </c>
      <c r="N524" s="9">
        <v>4.7850000000000001</v>
      </c>
      <c r="O524" s="9">
        <v>0.36199999999999999</v>
      </c>
      <c r="P524" s="9">
        <v>1.2509999999999999</v>
      </c>
      <c r="Q524" s="9">
        <v>19.053000000000001</v>
      </c>
      <c r="R524" s="9"/>
      <c r="S524" s="11"/>
    </row>
    <row r="525" spans="1:19" ht="15.75">
      <c r="A525" s="13">
        <v>57131</v>
      </c>
      <c r="B525" s="8">
        <f>CHOOSE( CONTROL!$C$32, 14.1916, 14.1911) * CHOOSE(CONTROL!$C$15, $D$11, 100%, $F$11)</f>
        <v>14.191599999999999</v>
      </c>
      <c r="C525" s="8">
        <f>CHOOSE( CONTROL!$C$32, 14.1996, 14.1991) * CHOOSE(CONTROL!$C$15, $D$11, 100%, $F$11)</f>
        <v>14.1996</v>
      </c>
      <c r="D525" s="8">
        <f>CHOOSE( CONTROL!$C$32, 14.1983, 14.1979) * CHOOSE( CONTROL!$C$15, $D$11, 100%, $F$11)</f>
        <v>14.1983</v>
      </c>
      <c r="E525" s="12">
        <f>CHOOSE( CONTROL!$C$32, 14.1976, 14.1971) * CHOOSE( CONTROL!$C$15, $D$11, 100%, $F$11)</f>
        <v>14.1976</v>
      </c>
      <c r="F525" s="4">
        <f>CHOOSE( CONTROL!$C$32, 14.8944, 14.894) * CHOOSE(CONTROL!$C$15, $D$11, 100%, $F$11)</f>
        <v>14.894399999999999</v>
      </c>
      <c r="G525" s="8">
        <f>CHOOSE( CONTROL!$C$32, 14.0353, 14.0349) * CHOOSE( CONTROL!$C$15, $D$11, 100%, $F$11)</f>
        <v>14.035299999999999</v>
      </c>
      <c r="H525" s="4">
        <f>CHOOSE( CONTROL!$C$32, 14.9666, 14.9662) * CHOOSE(CONTROL!$C$15, $D$11, 100%, $F$11)</f>
        <v>14.9666</v>
      </c>
      <c r="I525" s="8">
        <f>CHOOSE( CONTROL!$C$32, 13.8729, 13.8724) * CHOOSE(CONTROL!$C$15, $D$11, 100%, $F$11)</f>
        <v>13.8729</v>
      </c>
      <c r="J525" s="4">
        <f>CHOOSE( CONTROL!$C$32, 13.7621, 13.7617) * CHOOSE(CONTROL!$C$15, $D$11, 100%, $F$11)</f>
        <v>13.7621</v>
      </c>
      <c r="K525" s="4"/>
      <c r="L525" s="9">
        <v>30.7165</v>
      </c>
      <c r="M525" s="9">
        <v>12.063700000000001</v>
      </c>
      <c r="N525" s="9">
        <v>4.9444999999999997</v>
      </c>
      <c r="O525" s="9">
        <v>0.37409999999999999</v>
      </c>
      <c r="P525" s="9">
        <v>1.2927</v>
      </c>
      <c r="Q525" s="9">
        <v>19.688099999999999</v>
      </c>
      <c r="R525" s="9"/>
      <c r="S525" s="11"/>
    </row>
    <row r="526" spans="1:19" ht="15.75">
      <c r="A526" s="13">
        <v>57161</v>
      </c>
      <c r="B526" s="8">
        <f>CHOOSE( CONTROL!$C$32, 13.9636, 13.9632) * CHOOSE(CONTROL!$C$15, $D$11, 100%, $F$11)</f>
        <v>13.9636</v>
      </c>
      <c r="C526" s="8">
        <f>CHOOSE( CONTROL!$C$32, 13.9716, 13.9711) * CHOOSE(CONTROL!$C$15, $D$11, 100%, $F$11)</f>
        <v>13.9716</v>
      </c>
      <c r="D526" s="8">
        <f>CHOOSE( CONTROL!$C$32, 13.9706, 13.9701) * CHOOSE( CONTROL!$C$15, $D$11, 100%, $F$11)</f>
        <v>13.970599999999999</v>
      </c>
      <c r="E526" s="12">
        <f>CHOOSE( CONTROL!$C$32, 13.9697, 13.9693) * CHOOSE( CONTROL!$C$15, $D$11, 100%, $F$11)</f>
        <v>13.9697</v>
      </c>
      <c r="F526" s="4">
        <f>CHOOSE( CONTROL!$C$32, 14.6664, 14.666) * CHOOSE(CONTROL!$C$15, $D$11, 100%, $F$11)</f>
        <v>14.666399999999999</v>
      </c>
      <c r="G526" s="8">
        <f>CHOOSE( CONTROL!$C$32, 13.8101, 13.8097) * CHOOSE( CONTROL!$C$15, $D$11, 100%, $F$11)</f>
        <v>13.8101</v>
      </c>
      <c r="H526" s="4">
        <f>CHOOSE( CONTROL!$C$32, 14.7413, 14.7409) * CHOOSE(CONTROL!$C$15, $D$11, 100%, $F$11)</f>
        <v>14.741300000000001</v>
      </c>
      <c r="I526" s="8">
        <f>CHOOSE( CONTROL!$C$32, 13.6522, 13.6517) * CHOOSE(CONTROL!$C$15, $D$11, 100%, $F$11)</f>
        <v>13.652200000000001</v>
      </c>
      <c r="J526" s="4">
        <f>CHOOSE( CONTROL!$C$32, 13.5409, 13.5404) * CHOOSE(CONTROL!$C$15, $D$11, 100%, $F$11)</f>
        <v>13.540900000000001</v>
      </c>
      <c r="K526" s="4"/>
      <c r="L526" s="9">
        <v>29.7257</v>
      </c>
      <c r="M526" s="9">
        <v>11.6745</v>
      </c>
      <c r="N526" s="9">
        <v>4.7850000000000001</v>
      </c>
      <c r="O526" s="9">
        <v>0.36199999999999999</v>
      </c>
      <c r="P526" s="9">
        <v>1.2509999999999999</v>
      </c>
      <c r="Q526" s="9">
        <v>19.053000000000001</v>
      </c>
      <c r="R526" s="9"/>
      <c r="S526" s="11"/>
    </row>
    <row r="527" spans="1:19" ht="15.75">
      <c r="A527" s="13">
        <v>57192</v>
      </c>
      <c r="B527" s="8">
        <f>CHOOSE( CONTROL!$C$32, 14.564, 14.5635) * CHOOSE(CONTROL!$C$15, $D$11, 100%, $F$11)</f>
        <v>14.564</v>
      </c>
      <c r="C527" s="8">
        <f>CHOOSE( CONTROL!$C$32, 14.5719, 14.5715) * CHOOSE(CONTROL!$C$15, $D$11, 100%, $F$11)</f>
        <v>14.571899999999999</v>
      </c>
      <c r="D527" s="8">
        <f>CHOOSE( CONTROL!$C$32, 14.5711, 14.5707) * CHOOSE( CONTROL!$C$15, $D$11, 100%, $F$11)</f>
        <v>14.571099999999999</v>
      </c>
      <c r="E527" s="12">
        <f>CHOOSE( CONTROL!$C$32, 14.5702, 14.5698) * CHOOSE( CONTROL!$C$15, $D$11, 100%, $F$11)</f>
        <v>14.5702</v>
      </c>
      <c r="F527" s="4">
        <f>CHOOSE( CONTROL!$C$32, 15.2668, 15.2663) * CHOOSE(CONTROL!$C$15, $D$11, 100%, $F$11)</f>
        <v>15.2668</v>
      </c>
      <c r="G527" s="8">
        <f>CHOOSE( CONTROL!$C$32, 14.4037, 14.4032) * CHOOSE( CONTROL!$C$15, $D$11, 100%, $F$11)</f>
        <v>14.403700000000001</v>
      </c>
      <c r="H527" s="4">
        <f>CHOOSE( CONTROL!$C$32, 15.3346, 15.3342) * CHOOSE(CONTROL!$C$15, $D$11, 100%, $F$11)</f>
        <v>15.3346</v>
      </c>
      <c r="I527" s="8">
        <f>CHOOSE( CONTROL!$C$32, 14.2359, 14.2354) * CHOOSE(CONTROL!$C$15, $D$11, 100%, $F$11)</f>
        <v>14.235900000000001</v>
      </c>
      <c r="J527" s="4">
        <f>CHOOSE( CONTROL!$C$32, 14.1235, 14.1231) * CHOOSE(CONTROL!$C$15, $D$11, 100%, $F$11)</f>
        <v>14.1235</v>
      </c>
      <c r="K527" s="4"/>
      <c r="L527" s="9">
        <v>30.7165</v>
      </c>
      <c r="M527" s="9">
        <v>12.063700000000001</v>
      </c>
      <c r="N527" s="9">
        <v>4.9444999999999997</v>
      </c>
      <c r="O527" s="9">
        <v>0.37409999999999999</v>
      </c>
      <c r="P527" s="9">
        <v>1.2927</v>
      </c>
      <c r="Q527" s="9">
        <v>19.688099999999999</v>
      </c>
      <c r="R527" s="9"/>
      <c r="S527" s="11"/>
    </row>
    <row r="528" spans="1:19" ht="15.75">
      <c r="A528" s="13">
        <v>57223</v>
      </c>
      <c r="B528" s="8">
        <f>CHOOSE( CONTROL!$C$32, 13.4406, 13.4402) * CHOOSE(CONTROL!$C$15, $D$11, 100%, $F$11)</f>
        <v>13.4406</v>
      </c>
      <c r="C528" s="8">
        <f>CHOOSE( CONTROL!$C$32, 13.4486, 13.4482) * CHOOSE(CONTROL!$C$15, $D$11, 100%, $F$11)</f>
        <v>13.448600000000001</v>
      </c>
      <c r="D528" s="8">
        <f>CHOOSE( CONTROL!$C$32, 13.4479, 13.4474) * CHOOSE( CONTROL!$C$15, $D$11, 100%, $F$11)</f>
        <v>13.447900000000001</v>
      </c>
      <c r="E528" s="12">
        <f>CHOOSE( CONTROL!$C$32, 13.4469, 13.4465) * CHOOSE( CONTROL!$C$15, $D$11, 100%, $F$11)</f>
        <v>13.446899999999999</v>
      </c>
      <c r="F528" s="4">
        <f>CHOOSE( CONTROL!$C$32, 14.1435, 14.143) * CHOOSE(CONTROL!$C$15, $D$11, 100%, $F$11)</f>
        <v>14.1435</v>
      </c>
      <c r="G528" s="8">
        <f>CHOOSE( CONTROL!$C$32, 13.2935, 13.2931) * CHOOSE( CONTROL!$C$15, $D$11, 100%, $F$11)</f>
        <v>13.2935</v>
      </c>
      <c r="H528" s="4">
        <f>CHOOSE( CONTROL!$C$32, 14.2245, 14.224) * CHOOSE(CONTROL!$C$15, $D$11, 100%, $F$11)</f>
        <v>14.224500000000001</v>
      </c>
      <c r="I528" s="8">
        <f>CHOOSE( CONTROL!$C$32, 13.1453, 13.1449) * CHOOSE(CONTROL!$C$15, $D$11, 100%, $F$11)</f>
        <v>13.145300000000001</v>
      </c>
      <c r="J528" s="4">
        <f>CHOOSE( CONTROL!$C$32, 13.0333, 13.0329) * CHOOSE(CONTROL!$C$15, $D$11, 100%, $F$11)</f>
        <v>13.033300000000001</v>
      </c>
      <c r="K528" s="4"/>
      <c r="L528" s="9">
        <v>30.7165</v>
      </c>
      <c r="M528" s="9">
        <v>12.063700000000001</v>
      </c>
      <c r="N528" s="9">
        <v>4.9444999999999997</v>
      </c>
      <c r="O528" s="9">
        <v>0.37409999999999999</v>
      </c>
      <c r="P528" s="9">
        <v>1.2927</v>
      </c>
      <c r="Q528" s="9">
        <v>19.688099999999999</v>
      </c>
      <c r="R528" s="9"/>
      <c r="S528" s="11"/>
    </row>
    <row r="529" spans="1:19" ht="15.75">
      <c r="A529" s="13">
        <v>57253</v>
      </c>
      <c r="B529" s="8">
        <f>CHOOSE( CONTROL!$C$32, 13.1593, 13.1589) * CHOOSE(CONTROL!$C$15, $D$11, 100%, $F$11)</f>
        <v>13.1593</v>
      </c>
      <c r="C529" s="8">
        <f>CHOOSE( CONTROL!$C$32, 13.1673, 13.1669) * CHOOSE(CONTROL!$C$15, $D$11, 100%, $F$11)</f>
        <v>13.167299999999999</v>
      </c>
      <c r="D529" s="8">
        <f>CHOOSE( CONTROL!$C$32, 13.1664, 13.166) * CHOOSE( CONTROL!$C$15, $D$11, 100%, $F$11)</f>
        <v>13.166399999999999</v>
      </c>
      <c r="E529" s="12">
        <f>CHOOSE( CONTROL!$C$32, 13.1655, 13.1651) * CHOOSE( CONTROL!$C$15, $D$11, 100%, $F$11)</f>
        <v>13.1655</v>
      </c>
      <c r="F529" s="4">
        <f>CHOOSE( CONTROL!$C$32, 13.8622, 13.8617) * CHOOSE(CONTROL!$C$15, $D$11, 100%, $F$11)</f>
        <v>13.8622</v>
      </c>
      <c r="G529" s="8">
        <f>CHOOSE( CONTROL!$C$32, 13.0154, 13.015) * CHOOSE( CONTROL!$C$15, $D$11, 100%, $F$11)</f>
        <v>13.0154</v>
      </c>
      <c r="H529" s="4">
        <f>CHOOSE( CONTROL!$C$32, 13.9465, 13.946) * CHOOSE(CONTROL!$C$15, $D$11, 100%, $F$11)</f>
        <v>13.9465</v>
      </c>
      <c r="I529" s="8">
        <f>CHOOSE( CONTROL!$C$32, 12.8717, 12.8712) * CHOOSE(CONTROL!$C$15, $D$11, 100%, $F$11)</f>
        <v>12.871700000000001</v>
      </c>
      <c r="J529" s="4">
        <f>CHOOSE( CONTROL!$C$32, 12.7603, 12.7599) * CHOOSE(CONTROL!$C$15, $D$11, 100%, $F$11)</f>
        <v>12.760300000000001</v>
      </c>
      <c r="K529" s="4"/>
      <c r="L529" s="9">
        <v>29.7257</v>
      </c>
      <c r="M529" s="9">
        <v>11.6745</v>
      </c>
      <c r="N529" s="9">
        <v>4.7850000000000001</v>
      </c>
      <c r="O529" s="9">
        <v>0.36199999999999999</v>
      </c>
      <c r="P529" s="9">
        <v>1.2509999999999999</v>
      </c>
      <c r="Q529" s="9">
        <v>19.053000000000001</v>
      </c>
      <c r="R529" s="9"/>
      <c r="S529" s="11"/>
    </row>
    <row r="530" spans="1:19" ht="15.75">
      <c r="A530" s="13">
        <v>57284</v>
      </c>
      <c r="B530" s="8">
        <f>CHOOSE( CONTROL!$C$32, 13.7415, 13.7412) * CHOOSE(CONTROL!$C$15, $D$11, 100%, $F$11)</f>
        <v>13.7415</v>
      </c>
      <c r="C530" s="8">
        <f>CHOOSE( CONTROL!$C$32, 13.7468, 13.7466) * CHOOSE(CONTROL!$C$15, $D$11, 100%, $F$11)</f>
        <v>13.7468</v>
      </c>
      <c r="D530" s="8">
        <f>CHOOSE( CONTROL!$C$32, 13.7515, 13.7513) * CHOOSE( CONTROL!$C$15, $D$11, 100%, $F$11)</f>
        <v>13.7515</v>
      </c>
      <c r="E530" s="12">
        <f>CHOOSE( CONTROL!$C$32, 13.7494, 13.7492) * CHOOSE( CONTROL!$C$15, $D$11, 100%, $F$11)</f>
        <v>13.7494</v>
      </c>
      <c r="F530" s="4">
        <f>CHOOSE( CONTROL!$C$32, 14.446, 14.4458) * CHOOSE(CONTROL!$C$15, $D$11, 100%, $F$11)</f>
        <v>14.446</v>
      </c>
      <c r="G530" s="8">
        <f>CHOOSE( CONTROL!$C$32, 13.5926, 13.5924) * CHOOSE( CONTROL!$C$15, $D$11, 100%, $F$11)</f>
        <v>13.592599999999999</v>
      </c>
      <c r="H530" s="4">
        <f>CHOOSE( CONTROL!$C$32, 14.5235, 14.5232) * CHOOSE(CONTROL!$C$15, $D$11, 100%, $F$11)</f>
        <v>14.5235</v>
      </c>
      <c r="I530" s="8">
        <f>CHOOSE( CONTROL!$C$32, 13.4394, 13.4392) * CHOOSE(CONTROL!$C$15, $D$11, 100%, $F$11)</f>
        <v>13.439399999999999</v>
      </c>
      <c r="J530" s="4">
        <f>CHOOSE( CONTROL!$C$32, 13.327, 13.3267) * CHOOSE(CONTROL!$C$15, $D$11, 100%, $F$11)</f>
        <v>13.327</v>
      </c>
      <c r="K530" s="4"/>
      <c r="L530" s="9">
        <v>31.095300000000002</v>
      </c>
      <c r="M530" s="9">
        <v>12.063700000000001</v>
      </c>
      <c r="N530" s="9">
        <v>4.9444999999999997</v>
      </c>
      <c r="O530" s="9">
        <v>0.37409999999999999</v>
      </c>
      <c r="P530" s="9">
        <v>1.2927</v>
      </c>
      <c r="Q530" s="9">
        <v>19.688099999999999</v>
      </c>
      <c r="R530" s="9"/>
      <c r="S530" s="11"/>
    </row>
    <row r="531" spans="1:19" ht="15.75">
      <c r="A531" s="13">
        <v>57314</v>
      </c>
      <c r="B531" s="8">
        <f>CHOOSE( CONTROL!$C$32, 14.8192, 14.8189) * CHOOSE(CONTROL!$C$15, $D$11, 100%, $F$11)</f>
        <v>14.8192</v>
      </c>
      <c r="C531" s="8">
        <f>CHOOSE( CONTROL!$C$32, 14.8242, 14.824) * CHOOSE(CONTROL!$C$15, $D$11, 100%, $F$11)</f>
        <v>14.824199999999999</v>
      </c>
      <c r="D531" s="8">
        <f>CHOOSE( CONTROL!$C$32, 14.8069, 14.8067) * CHOOSE( CONTROL!$C$15, $D$11, 100%, $F$11)</f>
        <v>14.806900000000001</v>
      </c>
      <c r="E531" s="12">
        <f>CHOOSE( CONTROL!$C$32, 14.8127, 14.8125) * CHOOSE( CONTROL!$C$15, $D$11, 100%, $F$11)</f>
        <v>14.8127</v>
      </c>
      <c r="F531" s="4">
        <f>CHOOSE( CONTROL!$C$32, 15.4844, 15.4842) * CHOOSE(CONTROL!$C$15, $D$11, 100%, $F$11)</f>
        <v>15.484400000000001</v>
      </c>
      <c r="G531" s="8">
        <f>CHOOSE( CONTROL!$C$32, 14.655, 14.6547) * CHOOSE( CONTROL!$C$15, $D$11, 100%, $F$11)</f>
        <v>14.654999999999999</v>
      </c>
      <c r="H531" s="4">
        <f>CHOOSE( CONTROL!$C$32, 15.5498, 15.5495) * CHOOSE(CONTROL!$C$15, $D$11, 100%, $F$11)</f>
        <v>15.549799999999999</v>
      </c>
      <c r="I531" s="8">
        <f>CHOOSE( CONTROL!$C$32, 14.5419, 14.5416) * CHOOSE(CONTROL!$C$15, $D$11, 100%, $F$11)</f>
        <v>14.5419</v>
      </c>
      <c r="J531" s="4">
        <f>CHOOSE( CONTROL!$C$32, 14.3732, 14.373) * CHOOSE(CONTROL!$C$15, $D$11, 100%, $F$11)</f>
        <v>14.373200000000001</v>
      </c>
      <c r="K531" s="4"/>
      <c r="L531" s="9">
        <v>28.360600000000002</v>
      </c>
      <c r="M531" s="9">
        <v>11.6745</v>
      </c>
      <c r="N531" s="9">
        <v>4.7850000000000001</v>
      </c>
      <c r="O531" s="9">
        <v>0.36199999999999999</v>
      </c>
      <c r="P531" s="9">
        <v>1.2509999999999999</v>
      </c>
      <c r="Q531" s="9">
        <v>19.053000000000001</v>
      </c>
      <c r="R531" s="9"/>
      <c r="S531" s="11"/>
    </row>
    <row r="532" spans="1:19" ht="15.75">
      <c r="A532" s="13">
        <v>57345</v>
      </c>
      <c r="B532" s="8">
        <f>CHOOSE( CONTROL!$C$32, 14.7922, 14.792) * CHOOSE(CONTROL!$C$15, $D$11, 100%, $F$11)</f>
        <v>14.792199999999999</v>
      </c>
      <c r="C532" s="8">
        <f>CHOOSE( CONTROL!$C$32, 14.7973, 14.797) * CHOOSE(CONTROL!$C$15, $D$11, 100%, $F$11)</f>
        <v>14.7973</v>
      </c>
      <c r="D532" s="8">
        <f>CHOOSE( CONTROL!$C$32, 14.7818, 14.7815) * CHOOSE( CONTROL!$C$15, $D$11, 100%, $F$11)</f>
        <v>14.7818</v>
      </c>
      <c r="E532" s="12">
        <f>CHOOSE( CONTROL!$C$32, 14.7869, 14.7866) * CHOOSE( CONTROL!$C$15, $D$11, 100%, $F$11)</f>
        <v>14.786899999999999</v>
      </c>
      <c r="F532" s="4">
        <f>CHOOSE( CONTROL!$C$32, 15.4575, 15.4572) * CHOOSE(CONTROL!$C$15, $D$11, 100%, $F$11)</f>
        <v>15.4575</v>
      </c>
      <c r="G532" s="8">
        <f>CHOOSE( CONTROL!$C$32, 14.6297, 14.6294) * CHOOSE( CONTROL!$C$15, $D$11, 100%, $F$11)</f>
        <v>14.6297</v>
      </c>
      <c r="H532" s="4">
        <f>CHOOSE( CONTROL!$C$32, 15.5231, 15.5229) * CHOOSE(CONTROL!$C$15, $D$11, 100%, $F$11)</f>
        <v>15.523099999999999</v>
      </c>
      <c r="I532" s="8">
        <f>CHOOSE( CONTROL!$C$32, 14.5213, 14.521) * CHOOSE(CONTROL!$C$15, $D$11, 100%, $F$11)</f>
        <v>14.5213</v>
      </c>
      <c r="J532" s="4">
        <f>CHOOSE( CONTROL!$C$32, 14.3471, 14.3468) * CHOOSE(CONTROL!$C$15, $D$11, 100%, $F$11)</f>
        <v>14.347099999999999</v>
      </c>
      <c r="K532" s="4"/>
      <c r="L532" s="9">
        <v>29.306000000000001</v>
      </c>
      <c r="M532" s="9">
        <v>12.063700000000001</v>
      </c>
      <c r="N532" s="9">
        <v>4.9444999999999997</v>
      </c>
      <c r="O532" s="9">
        <v>0.37409999999999999</v>
      </c>
      <c r="P532" s="9">
        <v>1.2927</v>
      </c>
      <c r="Q532" s="9">
        <v>19.688099999999999</v>
      </c>
      <c r="R532" s="9"/>
      <c r="S532" s="11"/>
    </row>
    <row r="533" spans="1:19" ht="15.75">
      <c r="A533" s="13">
        <v>57376</v>
      </c>
      <c r="B533" s="8">
        <f>CHOOSE( CONTROL!$C$32, 15.2283, 15.228) * CHOOSE(CONTROL!$C$15, $D$11, 100%, $F$11)</f>
        <v>15.228300000000001</v>
      </c>
      <c r="C533" s="8">
        <f>CHOOSE( CONTROL!$C$32, 15.2334, 15.2331) * CHOOSE(CONTROL!$C$15, $D$11, 100%, $F$11)</f>
        <v>15.2334</v>
      </c>
      <c r="D533" s="8">
        <f>CHOOSE( CONTROL!$C$32, 15.2238, 15.2235) * CHOOSE( CONTROL!$C$15, $D$11, 100%, $F$11)</f>
        <v>15.223800000000001</v>
      </c>
      <c r="E533" s="12">
        <f>CHOOSE( CONTROL!$C$32, 15.2268, 15.2265) * CHOOSE( CONTROL!$C$15, $D$11, 100%, $F$11)</f>
        <v>15.226800000000001</v>
      </c>
      <c r="F533" s="4">
        <f>CHOOSE( CONTROL!$C$32, 15.8936, 15.8933) * CHOOSE(CONTROL!$C$15, $D$11, 100%, $F$11)</f>
        <v>15.893599999999999</v>
      </c>
      <c r="G533" s="8">
        <f>CHOOSE( CONTROL!$C$32, 15.0613, 15.061) * CHOOSE( CONTROL!$C$15, $D$11, 100%, $F$11)</f>
        <v>15.061299999999999</v>
      </c>
      <c r="H533" s="4">
        <f>CHOOSE( CONTROL!$C$32, 15.9541, 15.9538) * CHOOSE(CONTROL!$C$15, $D$11, 100%, $F$11)</f>
        <v>15.9541</v>
      </c>
      <c r="I533" s="8">
        <f>CHOOSE( CONTROL!$C$32, 14.9252, 14.9249) * CHOOSE(CONTROL!$C$15, $D$11, 100%, $F$11)</f>
        <v>14.9252</v>
      </c>
      <c r="J533" s="4">
        <f>CHOOSE( CONTROL!$C$32, 14.7703, 14.77) * CHOOSE(CONTROL!$C$15, $D$11, 100%, $F$11)</f>
        <v>14.770300000000001</v>
      </c>
      <c r="K533" s="4"/>
      <c r="L533" s="9">
        <v>29.306000000000001</v>
      </c>
      <c r="M533" s="9">
        <v>12.063700000000001</v>
      </c>
      <c r="N533" s="9">
        <v>4.9444999999999997</v>
      </c>
      <c r="O533" s="9">
        <v>0.37409999999999999</v>
      </c>
      <c r="P533" s="9">
        <v>1.2927</v>
      </c>
      <c r="Q533" s="9">
        <v>19.688099999999999</v>
      </c>
      <c r="R533" s="9"/>
      <c r="S533" s="11"/>
    </row>
    <row r="534" spans="1:19" ht="15.75">
      <c r="A534" s="13">
        <v>57404</v>
      </c>
      <c r="B534" s="8">
        <f>CHOOSE( CONTROL!$C$32, 14.2444, 14.2441) * CHOOSE(CONTROL!$C$15, $D$11, 100%, $F$11)</f>
        <v>14.244400000000001</v>
      </c>
      <c r="C534" s="8">
        <f>CHOOSE( CONTROL!$C$32, 14.2495, 14.2492) * CHOOSE(CONTROL!$C$15, $D$11, 100%, $F$11)</f>
        <v>14.249499999999999</v>
      </c>
      <c r="D534" s="8">
        <f>CHOOSE( CONTROL!$C$32, 14.2416, 14.2413) * CHOOSE( CONTROL!$C$15, $D$11, 100%, $F$11)</f>
        <v>14.2416</v>
      </c>
      <c r="E534" s="12">
        <f>CHOOSE( CONTROL!$C$32, 14.2439, 14.2436) * CHOOSE( CONTROL!$C$15, $D$11, 100%, $F$11)</f>
        <v>14.2439</v>
      </c>
      <c r="F534" s="4">
        <f>CHOOSE( CONTROL!$C$32, 14.9097, 14.9094) * CHOOSE(CONTROL!$C$15, $D$11, 100%, $F$11)</f>
        <v>14.909700000000001</v>
      </c>
      <c r="G534" s="8">
        <f>CHOOSE( CONTROL!$C$32, 14.0875, 14.0872) * CHOOSE( CONTROL!$C$15, $D$11, 100%, $F$11)</f>
        <v>14.0875</v>
      </c>
      <c r="H534" s="4">
        <f>CHOOSE( CONTROL!$C$32, 14.9817, 14.9814) * CHOOSE(CONTROL!$C$15, $D$11, 100%, $F$11)</f>
        <v>14.9817</v>
      </c>
      <c r="I534" s="8">
        <f>CHOOSE( CONTROL!$C$32, 13.9544, 13.9542) * CHOOSE(CONTROL!$C$15, $D$11, 100%, $F$11)</f>
        <v>13.9544</v>
      </c>
      <c r="J534" s="4">
        <f>CHOOSE( CONTROL!$C$32, 13.8154, 13.8152) * CHOOSE(CONTROL!$C$15, $D$11, 100%, $F$11)</f>
        <v>13.8154</v>
      </c>
      <c r="K534" s="4"/>
      <c r="L534" s="9">
        <v>26.469899999999999</v>
      </c>
      <c r="M534" s="9">
        <v>10.8962</v>
      </c>
      <c r="N534" s="9">
        <v>4.4660000000000002</v>
      </c>
      <c r="O534" s="9">
        <v>0.33789999999999998</v>
      </c>
      <c r="P534" s="9">
        <v>1.1676</v>
      </c>
      <c r="Q534" s="9">
        <v>17.782800000000002</v>
      </c>
      <c r="R534" s="9"/>
      <c r="S534" s="11"/>
    </row>
    <row r="535" spans="1:19" ht="15.75">
      <c r="A535" s="13">
        <v>57435</v>
      </c>
      <c r="B535" s="8">
        <f>CHOOSE( CONTROL!$C$32, 13.9414, 13.9411) * CHOOSE(CONTROL!$C$15, $D$11, 100%, $F$11)</f>
        <v>13.9414</v>
      </c>
      <c r="C535" s="8">
        <f>CHOOSE( CONTROL!$C$32, 13.9464, 13.9462) * CHOOSE(CONTROL!$C$15, $D$11, 100%, $F$11)</f>
        <v>13.946400000000001</v>
      </c>
      <c r="D535" s="8">
        <f>CHOOSE( CONTROL!$C$32, 13.9337, 13.9335) * CHOOSE( CONTROL!$C$15, $D$11, 100%, $F$11)</f>
        <v>13.9337</v>
      </c>
      <c r="E535" s="12">
        <f>CHOOSE( CONTROL!$C$32, 13.9378, 13.9376) * CHOOSE( CONTROL!$C$15, $D$11, 100%, $F$11)</f>
        <v>13.937799999999999</v>
      </c>
      <c r="F535" s="4">
        <f>CHOOSE( CONTROL!$C$32, 14.6066, 14.6064) * CHOOSE(CONTROL!$C$15, $D$11, 100%, $F$11)</f>
        <v>14.6066</v>
      </c>
      <c r="G535" s="8">
        <f>CHOOSE( CONTROL!$C$32, 13.7845, 13.7843) * CHOOSE( CONTROL!$C$15, $D$11, 100%, $F$11)</f>
        <v>13.7845</v>
      </c>
      <c r="H535" s="4">
        <f>CHOOSE( CONTROL!$C$32, 14.6822, 14.682) * CHOOSE(CONTROL!$C$15, $D$11, 100%, $F$11)</f>
        <v>14.6822</v>
      </c>
      <c r="I535" s="8">
        <f>CHOOSE( CONTROL!$C$32, 13.6586, 13.6583) * CHOOSE(CONTROL!$C$15, $D$11, 100%, $F$11)</f>
        <v>13.6586</v>
      </c>
      <c r="J535" s="4">
        <f>CHOOSE( CONTROL!$C$32, 13.5213, 13.5211) * CHOOSE(CONTROL!$C$15, $D$11, 100%, $F$11)</f>
        <v>13.5213</v>
      </c>
      <c r="K535" s="4"/>
      <c r="L535" s="9">
        <v>29.306000000000001</v>
      </c>
      <c r="M535" s="9">
        <v>12.063700000000001</v>
      </c>
      <c r="N535" s="9">
        <v>4.9444999999999997</v>
      </c>
      <c r="O535" s="9">
        <v>0.37409999999999999</v>
      </c>
      <c r="P535" s="9">
        <v>1.2927</v>
      </c>
      <c r="Q535" s="9">
        <v>19.688099999999999</v>
      </c>
      <c r="R535" s="9"/>
      <c r="S535" s="11"/>
    </row>
    <row r="536" spans="1:19" ht="15.75">
      <c r="A536" s="13">
        <v>57465</v>
      </c>
      <c r="B536" s="8">
        <f>CHOOSE( CONTROL!$C$32, 14.1539, 14.1536) * CHOOSE(CONTROL!$C$15, $D$11, 100%, $F$11)</f>
        <v>14.1539</v>
      </c>
      <c r="C536" s="8">
        <f>CHOOSE( CONTROL!$C$32, 14.1584, 14.1581) * CHOOSE(CONTROL!$C$15, $D$11, 100%, $F$11)</f>
        <v>14.1584</v>
      </c>
      <c r="D536" s="8">
        <f>CHOOSE( CONTROL!$C$32, 14.1633, 14.163) * CHOOSE( CONTROL!$C$15, $D$11, 100%, $F$11)</f>
        <v>14.1633</v>
      </c>
      <c r="E536" s="12">
        <f>CHOOSE( CONTROL!$C$32, 14.1612, 14.1609) * CHOOSE( CONTROL!$C$15, $D$11, 100%, $F$11)</f>
        <v>14.161199999999999</v>
      </c>
      <c r="F536" s="4">
        <f>CHOOSE( CONTROL!$C$32, 14.8581, 14.8578) * CHOOSE(CONTROL!$C$15, $D$11, 100%, $F$11)</f>
        <v>14.8581</v>
      </c>
      <c r="G536" s="8">
        <f>CHOOSE( CONTROL!$C$32, 13.9996, 13.9993) * CHOOSE( CONTROL!$C$15, $D$11, 100%, $F$11)</f>
        <v>13.999599999999999</v>
      </c>
      <c r="H536" s="4">
        <f>CHOOSE( CONTROL!$C$32, 14.9307, 14.9304) * CHOOSE(CONTROL!$C$15, $D$11, 100%, $F$11)</f>
        <v>14.9307</v>
      </c>
      <c r="I536" s="8">
        <f>CHOOSE( CONTROL!$C$32, 13.8384, 13.8382) * CHOOSE(CONTROL!$C$15, $D$11, 100%, $F$11)</f>
        <v>13.8384</v>
      </c>
      <c r="J536" s="4">
        <f>CHOOSE( CONTROL!$C$32, 13.7268, 13.7266) * CHOOSE(CONTROL!$C$15, $D$11, 100%, $F$11)</f>
        <v>13.726800000000001</v>
      </c>
      <c r="K536" s="4"/>
      <c r="L536" s="9">
        <v>30.092199999999998</v>
      </c>
      <c r="M536" s="9">
        <v>11.6745</v>
      </c>
      <c r="N536" s="9">
        <v>4.7850000000000001</v>
      </c>
      <c r="O536" s="9">
        <v>0.36199999999999999</v>
      </c>
      <c r="P536" s="9">
        <v>1.2509999999999999</v>
      </c>
      <c r="Q536" s="9">
        <v>19.053000000000001</v>
      </c>
      <c r="R536" s="9"/>
      <c r="S536" s="11"/>
    </row>
    <row r="537" spans="1:19" ht="15.75">
      <c r="A537" s="13">
        <v>57496</v>
      </c>
      <c r="B537" s="8">
        <f>CHOOSE( CONTROL!$C$32, 14.5323, 14.5318) * CHOOSE(CONTROL!$C$15, $D$11, 100%, $F$11)</f>
        <v>14.532299999999999</v>
      </c>
      <c r="C537" s="8">
        <f>CHOOSE( CONTROL!$C$32, 14.5403, 14.5398) * CHOOSE(CONTROL!$C$15, $D$11, 100%, $F$11)</f>
        <v>14.5403</v>
      </c>
      <c r="D537" s="8">
        <f>CHOOSE( CONTROL!$C$32, 14.5391, 14.5386) * CHOOSE( CONTROL!$C$15, $D$11, 100%, $F$11)</f>
        <v>14.539099999999999</v>
      </c>
      <c r="E537" s="12">
        <f>CHOOSE( CONTROL!$C$32, 14.5383, 14.5378) * CHOOSE( CONTROL!$C$15, $D$11, 100%, $F$11)</f>
        <v>14.5383</v>
      </c>
      <c r="F537" s="4">
        <f>CHOOSE( CONTROL!$C$32, 15.2351, 15.2347) * CHOOSE(CONTROL!$C$15, $D$11, 100%, $F$11)</f>
        <v>15.235099999999999</v>
      </c>
      <c r="G537" s="8">
        <f>CHOOSE( CONTROL!$C$32, 14.372, 14.3716) * CHOOSE( CONTROL!$C$15, $D$11, 100%, $F$11)</f>
        <v>14.372</v>
      </c>
      <c r="H537" s="4">
        <f>CHOOSE( CONTROL!$C$32, 15.3033, 15.3029) * CHOOSE(CONTROL!$C$15, $D$11, 100%, $F$11)</f>
        <v>15.3033</v>
      </c>
      <c r="I537" s="8">
        <f>CHOOSE( CONTROL!$C$32, 14.2037, 14.2033) * CHOOSE(CONTROL!$C$15, $D$11, 100%, $F$11)</f>
        <v>14.2037</v>
      </c>
      <c r="J537" s="4">
        <f>CHOOSE( CONTROL!$C$32, 14.0928, 14.0923) * CHOOSE(CONTROL!$C$15, $D$11, 100%, $F$11)</f>
        <v>14.0928</v>
      </c>
      <c r="K537" s="4"/>
      <c r="L537" s="9">
        <v>30.7165</v>
      </c>
      <c r="M537" s="9">
        <v>12.063700000000001</v>
      </c>
      <c r="N537" s="9">
        <v>4.9444999999999997</v>
      </c>
      <c r="O537" s="9">
        <v>0.37409999999999999</v>
      </c>
      <c r="P537" s="9">
        <v>1.2927</v>
      </c>
      <c r="Q537" s="9">
        <v>19.688099999999999</v>
      </c>
      <c r="R537" s="9"/>
      <c r="S537" s="11"/>
    </row>
    <row r="538" spans="1:19" ht="15.75">
      <c r="A538" s="13">
        <v>57526</v>
      </c>
      <c r="B538" s="8">
        <f>CHOOSE( CONTROL!$C$32, 14.2988, 14.2984) * CHOOSE(CONTROL!$C$15, $D$11, 100%, $F$11)</f>
        <v>14.2988</v>
      </c>
      <c r="C538" s="8">
        <f>CHOOSE( CONTROL!$C$32, 14.3068, 14.3064) * CHOOSE(CONTROL!$C$15, $D$11, 100%, $F$11)</f>
        <v>14.306800000000001</v>
      </c>
      <c r="D538" s="8">
        <f>CHOOSE( CONTROL!$C$32, 14.3058, 14.3053) * CHOOSE( CONTROL!$C$15, $D$11, 100%, $F$11)</f>
        <v>14.3058</v>
      </c>
      <c r="E538" s="12">
        <f>CHOOSE( CONTROL!$C$32, 14.3049, 14.3045) * CHOOSE( CONTROL!$C$15, $D$11, 100%, $F$11)</f>
        <v>14.3049</v>
      </c>
      <c r="F538" s="4">
        <f>CHOOSE( CONTROL!$C$32, 15.0017, 15.0012) * CHOOSE(CONTROL!$C$15, $D$11, 100%, $F$11)</f>
        <v>15.0017</v>
      </c>
      <c r="G538" s="8">
        <f>CHOOSE( CONTROL!$C$32, 14.1415, 14.141) * CHOOSE( CONTROL!$C$15, $D$11, 100%, $F$11)</f>
        <v>14.141500000000001</v>
      </c>
      <c r="H538" s="4">
        <f>CHOOSE( CONTROL!$C$32, 15.0726, 15.0722) * CHOOSE(CONTROL!$C$15, $D$11, 100%, $F$11)</f>
        <v>15.0726</v>
      </c>
      <c r="I538" s="8">
        <f>CHOOSE( CONTROL!$C$32, 13.9777, 13.9772) * CHOOSE(CONTROL!$C$15, $D$11, 100%, $F$11)</f>
        <v>13.9777</v>
      </c>
      <c r="J538" s="4">
        <f>CHOOSE( CONTROL!$C$32, 13.8662, 13.8658) * CHOOSE(CONTROL!$C$15, $D$11, 100%, $F$11)</f>
        <v>13.866199999999999</v>
      </c>
      <c r="K538" s="4"/>
      <c r="L538" s="9">
        <v>29.7257</v>
      </c>
      <c r="M538" s="9">
        <v>11.6745</v>
      </c>
      <c r="N538" s="9">
        <v>4.7850000000000001</v>
      </c>
      <c r="O538" s="9">
        <v>0.36199999999999999</v>
      </c>
      <c r="P538" s="9">
        <v>1.2509999999999999</v>
      </c>
      <c r="Q538" s="9">
        <v>19.053000000000001</v>
      </c>
      <c r="R538" s="9"/>
      <c r="S538" s="11"/>
    </row>
    <row r="539" spans="1:19" ht="15.75">
      <c r="A539" s="13">
        <v>57557</v>
      </c>
      <c r="B539" s="8">
        <f>CHOOSE( CONTROL!$C$32, 14.9136, 14.9132) * CHOOSE(CONTROL!$C$15, $D$11, 100%, $F$11)</f>
        <v>14.913600000000001</v>
      </c>
      <c r="C539" s="8">
        <f>CHOOSE( CONTROL!$C$32, 14.9216, 14.9211) * CHOOSE(CONTROL!$C$15, $D$11, 100%, $F$11)</f>
        <v>14.9216</v>
      </c>
      <c r="D539" s="8">
        <f>CHOOSE( CONTROL!$C$32, 14.9208, 14.9203) * CHOOSE( CONTROL!$C$15, $D$11, 100%, $F$11)</f>
        <v>14.9208</v>
      </c>
      <c r="E539" s="12">
        <f>CHOOSE( CONTROL!$C$32, 14.9199, 14.9194) * CHOOSE( CONTROL!$C$15, $D$11, 100%, $F$11)</f>
        <v>14.9199</v>
      </c>
      <c r="F539" s="4">
        <f>CHOOSE( CONTROL!$C$32, 15.6164, 15.616) * CHOOSE(CONTROL!$C$15, $D$11, 100%, $F$11)</f>
        <v>15.616400000000001</v>
      </c>
      <c r="G539" s="8">
        <f>CHOOSE( CONTROL!$C$32, 14.7492, 14.7488) * CHOOSE( CONTROL!$C$15, $D$11, 100%, $F$11)</f>
        <v>14.7492</v>
      </c>
      <c r="H539" s="4">
        <f>CHOOSE( CONTROL!$C$32, 15.6802, 15.6798) * CHOOSE(CONTROL!$C$15, $D$11, 100%, $F$11)</f>
        <v>15.680199999999999</v>
      </c>
      <c r="I539" s="8">
        <f>CHOOSE( CONTROL!$C$32, 14.5754, 14.575) * CHOOSE(CONTROL!$C$15, $D$11, 100%, $F$11)</f>
        <v>14.5754</v>
      </c>
      <c r="J539" s="4">
        <f>CHOOSE( CONTROL!$C$32, 14.4629, 14.4624) * CHOOSE(CONTROL!$C$15, $D$11, 100%, $F$11)</f>
        <v>14.462899999999999</v>
      </c>
      <c r="K539" s="4"/>
      <c r="L539" s="9">
        <v>30.7165</v>
      </c>
      <c r="M539" s="9">
        <v>12.063700000000001</v>
      </c>
      <c r="N539" s="9">
        <v>4.9444999999999997</v>
      </c>
      <c r="O539" s="9">
        <v>0.37409999999999999</v>
      </c>
      <c r="P539" s="9">
        <v>1.2927</v>
      </c>
      <c r="Q539" s="9">
        <v>19.688099999999999</v>
      </c>
      <c r="R539" s="9"/>
      <c r="S539" s="11"/>
    </row>
    <row r="540" spans="1:19" ht="15.75">
      <c r="A540" s="13">
        <v>57588</v>
      </c>
      <c r="B540" s="8">
        <f>CHOOSE( CONTROL!$C$32, 13.7633, 13.7628) * CHOOSE(CONTROL!$C$15, $D$11, 100%, $F$11)</f>
        <v>13.763299999999999</v>
      </c>
      <c r="C540" s="8">
        <f>CHOOSE( CONTROL!$C$32, 13.7713, 13.7708) * CHOOSE(CONTROL!$C$15, $D$11, 100%, $F$11)</f>
        <v>13.7713</v>
      </c>
      <c r="D540" s="8">
        <f>CHOOSE( CONTROL!$C$32, 13.7705, 13.7701) * CHOOSE( CONTROL!$C$15, $D$11, 100%, $F$11)</f>
        <v>13.7705</v>
      </c>
      <c r="E540" s="12">
        <f>CHOOSE( CONTROL!$C$32, 13.7696, 13.7691) * CHOOSE( CONTROL!$C$15, $D$11, 100%, $F$11)</f>
        <v>13.769600000000001</v>
      </c>
      <c r="F540" s="4">
        <f>CHOOSE( CONTROL!$C$32, 14.4661, 14.4657) * CHOOSE(CONTROL!$C$15, $D$11, 100%, $F$11)</f>
        <v>14.466100000000001</v>
      </c>
      <c r="G540" s="8">
        <f>CHOOSE( CONTROL!$C$32, 13.6124, 13.612) * CHOOSE( CONTROL!$C$15, $D$11, 100%, $F$11)</f>
        <v>13.612399999999999</v>
      </c>
      <c r="H540" s="4">
        <f>CHOOSE( CONTROL!$C$32, 14.5434, 14.5429) * CHOOSE(CONTROL!$C$15, $D$11, 100%, $F$11)</f>
        <v>14.5434</v>
      </c>
      <c r="I540" s="8">
        <f>CHOOSE( CONTROL!$C$32, 13.4586, 13.4582) * CHOOSE(CONTROL!$C$15, $D$11, 100%, $F$11)</f>
        <v>13.458600000000001</v>
      </c>
      <c r="J540" s="4">
        <f>CHOOSE( CONTROL!$C$32, 13.3465, 13.346) * CHOOSE(CONTROL!$C$15, $D$11, 100%, $F$11)</f>
        <v>13.346500000000001</v>
      </c>
      <c r="K540" s="4"/>
      <c r="L540" s="9">
        <v>30.7165</v>
      </c>
      <c r="M540" s="9">
        <v>12.063700000000001</v>
      </c>
      <c r="N540" s="9">
        <v>4.9444999999999997</v>
      </c>
      <c r="O540" s="9">
        <v>0.37409999999999999</v>
      </c>
      <c r="P540" s="9">
        <v>1.2927</v>
      </c>
      <c r="Q540" s="9">
        <v>19.688099999999999</v>
      </c>
      <c r="R540" s="9"/>
      <c r="S540" s="11"/>
    </row>
    <row r="541" spans="1:19" ht="15.75">
      <c r="A541" s="13">
        <v>57618</v>
      </c>
      <c r="B541" s="8">
        <f>CHOOSE( CONTROL!$C$32, 13.4752, 13.4748) * CHOOSE(CONTROL!$C$15, $D$11, 100%, $F$11)</f>
        <v>13.475199999999999</v>
      </c>
      <c r="C541" s="8">
        <f>CHOOSE( CONTROL!$C$32, 13.4832, 13.4828) * CHOOSE(CONTROL!$C$15, $D$11, 100%, $F$11)</f>
        <v>13.4832</v>
      </c>
      <c r="D541" s="8">
        <f>CHOOSE( CONTROL!$C$32, 13.4823, 13.4819) * CHOOSE( CONTROL!$C$15, $D$11, 100%, $F$11)</f>
        <v>13.4823</v>
      </c>
      <c r="E541" s="12">
        <f>CHOOSE( CONTROL!$C$32, 13.4814, 13.481) * CHOOSE( CONTROL!$C$15, $D$11, 100%, $F$11)</f>
        <v>13.481400000000001</v>
      </c>
      <c r="F541" s="4">
        <f>CHOOSE( CONTROL!$C$32, 14.1781, 14.1776) * CHOOSE(CONTROL!$C$15, $D$11, 100%, $F$11)</f>
        <v>14.178100000000001</v>
      </c>
      <c r="G541" s="8">
        <f>CHOOSE( CONTROL!$C$32, 13.3276, 13.3272) * CHOOSE( CONTROL!$C$15, $D$11, 100%, $F$11)</f>
        <v>13.3276</v>
      </c>
      <c r="H541" s="4">
        <f>CHOOSE( CONTROL!$C$32, 14.2587, 14.2582) * CHOOSE(CONTROL!$C$15, $D$11, 100%, $F$11)</f>
        <v>14.258699999999999</v>
      </c>
      <c r="I541" s="8">
        <f>CHOOSE( CONTROL!$C$32, 13.1784, 13.178) * CHOOSE(CONTROL!$C$15, $D$11, 100%, $F$11)</f>
        <v>13.1784</v>
      </c>
      <c r="J541" s="4">
        <f>CHOOSE( CONTROL!$C$32, 13.0669, 13.0665) * CHOOSE(CONTROL!$C$15, $D$11, 100%, $F$11)</f>
        <v>13.0669</v>
      </c>
      <c r="K541" s="4"/>
      <c r="L541" s="9">
        <v>29.7257</v>
      </c>
      <c r="M541" s="9">
        <v>11.6745</v>
      </c>
      <c r="N541" s="9">
        <v>4.7850000000000001</v>
      </c>
      <c r="O541" s="9">
        <v>0.36199999999999999</v>
      </c>
      <c r="P541" s="9">
        <v>1.2509999999999999</v>
      </c>
      <c r="Q541" s="9">
        <v>19.053000000000001</v>
      </c>
      <c r="R541" s="9"/>
      <c r="S541" s="11"/>
    </row>
    <row r="542" spans="1:19" ht="15.75">
      <c r="A542" s="13">
        <v>57649</v>
      </c>
      <c r="B542" s="8">
        <f>CHOOSE( CONTROL!$C$32, 14.0714, 14.0712) * CHOOSE(CONTROL!$C$15, $D$11, 100%, $F$11)</f>
        <v>14.071400000000001</v>
      </c>
      <c r="C542" s="8">
        <f>CHOOSE( CONTROL!$C$32, 14.0768, 14.0765) * CHOOSE(CONTROL!$C$15, $D$11, 100%, $F$11)</f>
        <v>14.0768</v>
      </c>
      <c r="D542" s="8">
        <f>CHOOSE( CONTROL!$C$32, 14.0815, 14.0812) * CHOOSE( CONTROL!$C$15, $D$11, 100%, $F$11)</f>
        <v>14.0815</v>
      </c>
      <c r="E542" s="12">
        <f>CHOOSE( CONTROL!$C$32, 14.0794, 14.0791) * CHOOSE( CONTROL!$C$15, $D$11, 100%, $F$11)</f>
        <v>14.0794</v>
      </c>
      <c r="F542" s="4">
        <f>CHOOSE( CONTROL!$C$32, 14.776, 14.7757) * CHOOSE(CONTROL!$C$15, $D$11, 100%, $F$11)</f>
        <v>14.776</v>
      </c>
      <c r="G542" s="8">
        <f>CHOOSE( CONTROL!$C$32, 13.9187, 13.9184) * CHOOSE( CONTROL!$C$15, $D$11, 100%, $F$11)</f>
        <v>13.918699999999999</v>
      </c>
      <c r="H542" s="4">
        <f>CHOOSE( CONTROL!$C$32, 14.8496, 14.8493) * CHOOSE(CONTROL!$C$15, $D$11, 100%, $F$11)</f>
        <v>14.849600000000001</v>
      </c>
      <c r="I542" s="8">
        <f>CHOOSE( CONTROL!$C$32, 13.7598, 13.7595) * CHOOSE(CONTROL!$C$15, $D$11, 100%, $F$11)</f>
        <v>13.7598</v>
      </c>
      <c r="J542" s="4">
        <f>CHOOSE( CONTROL!$C$32, 13.6472, 13.6469) * CHOOSE(CONTROL!$C$15, $D$11, 100%, $F$11)</f>
        <v>13.6472</v>
      </c>
      <c r="K542" s="4"/>
      <c r="L542" s="9">
        <v>31.095300000000002</v>
      </c>
      <c r="M542" s="9">
        <v>12.063700000000001</v>
      </c>
      <c r="N542" s="9">
        <v>4.9444999999999997</v>
      </c>
      <c r="O542" s="9">
        <v>0.37409999999999999</v>
      </c>
      <c r="P542" s="9">
        <v>1.2927</v>
      </c>
      <c r="Q542" s="9">
        <v>19.688099999999999</v>
      </c>
      <c r="R542" s="9"/>
      <c r="S542" s="11"/>
    </row>
    <row r="543" spans="1:19" ht="15.75">
      <c r="A543" s="13">
        <v>57679</v>
      </c>
      <c r="B543" s="8">
        <f>CHOOSE( CONTROL!$C$32, 15.175, 15.1747) * CHOOSE(CONTROL!$C$15, $D$11, 100%, $F$11)</f>
        <v>15.175000000000001</v>
      </c>
      <c r="C543" s="8">
        <f>CHOOSE( CONTROL!$C$32, 15.1801, 15.1798) * CHOOSE(CONTROL!$C$15, $D$11, 100%, $F$11)</f>
        <v>15.180099999999999</v>
      </c>
      <c r="D543" s="8">
        <f>CHOOSE( CONTROL!$C$32, 15.1628, 15.1625) * CHOOSE( CONTROL!$C$15, $D$11, 100%, $F$11)</f>
        <v>15.162800000000001</v>
      </c>
      <c r="E543" s="12">
        <f>CHOOSE( CONTROL!$C$32, 15.1686, 15.1683) * CHOOSE( CONTROL!$C$15, $D$11, 100%, $F$11)</f>
        <v>15.1686</v>
      </c>
      <c r="F543" s="4">
        <f>CHOOSE( CONTROL!$C$32, 15.8403, 15.84) * CHOOSE(CONTROL!$C$15, $D$11, 100%, $F$11)</f>
        <v>15.840299999999999</v>
      </c>
      <c r="G543" s="8">
        <f>CHOOSE( CONTROL!$C$32, 15.0067, 15.0064) * CHOOSE( CONTROL!$C$15, $D$11, 100%, $F$11)</f>
        <v>15.0067</v>
      </c>
      <c r="H543" s="4">
        <f>CHOOSE( CONTROL!$C$32, 15.9014, 15.9012) * CHOOSE(CONTROL!$C$15, $D$11, 100%, $F$11)</f>
        <v>15.901400000000001</v>
      </c>
      <c r="I543" s="8">
        <f>CHOOSE( CONTROL!$C$32, 14.8874, 14.8871) * CHOOSE(CONTROL!$C$15, $D$11, 100%, $F$11)</f>
        <v>14.8874</v>
      </c>
      <c r="J543" s="4">
        <f>CHOOSE( CONTROL!$C$32, 14.7186, 14.7183) * CHOOSE(CONTROL!$C$15, $D$11, 100%, $F$11)</f>
        <v>14.7186</v>
      </c>
      <c r="K543" s="4"/>
      <c r="L543" s="9">
        <v>28.360600000000002</v>
      </c>
      <c r="M543" s="9">
        <v>11.6745</v>
      </c>
      <c r="N543" s="9">
        <v>4.7850000000000001</v>
      </c>
      <c r="O543" s="9">
        <v>0.36199999999999999</v>
      </c>
      <c r="P543" s="9">
        <v>1.2509999999999999</v>
      </c>
      <c r="Q543" s="9">
        <v>19.053000000000001</v>
      </c>
      <c r="R543" s="9"/>
      <c r="S543" s="11"/>
    </row>
    <row r="544" spans="1:19" ht="15.75">
      <c r="A544" s="13">
        <v>57710</v>
      </c>
      <c r="B544" s="8">
        <f>CHOOSE( CONTROL!$C$32, 15.1474, 15.1472) * CHOOSE(CONTROL!$C$15, $D$11, 100%, $F$11)</f>
        <v>15.147399999999999</v>
      </c>
      <c r="C544" s="8">
        <f>CHOOSE( CONTROL!$C$32, 15.1525, 15.1522) * CHOOSE(CONTROL!$C$15, $D$11, 100%, $F$11)</f>
        <v>15.1525</v>
      </c>
      <c r="D544" s="8">
        <f>CHOOSE( CONTROL!$C$32, 15.137, 15.1367) * CHOOSE( CONTROL!$C$15, $D$11, 100%, $F$11)</f>
        <v>15.137</v>
      </c>
      <c r="E544" s="12">
        <f>CHOOSE( CONTROL!$C$32, 15.1421, 15.1418) * CHOOSE( CONTROL!$C$15, $D$11, 100%, $F$11)</f>
        <v>15.142099999999999</v>
      </c>
      <c r="F544" s="4">
        <f>CHOOSE( CONTROL!$C$32, 15.8127, 15.8124) * CHOOSE(CONTROL!$C$15, $D$11, 100%, $F$11)</f>
        <v>15.8127</v>
      </c>
      <c r="G544" s="8">
        <f>CHOOSE( CONTROL!$C$32, 14.9807, 14.9804) * CHOOSE( CONTROL!$C$15, $D$11, 100%, $F$11)</f>
        <v>14.980700000000001</v>
      </c>
      <c r="H544" s="4">
        <f>CHOOSE( CONTROL!$C$32, 15.8742, 15.8739) * CHOOSE(CONTROL!$C$15, $D$11, 100%, $F$11)</f>
        <v>15.8742</v>
      </c>
      <c r="I544" s="8">
        <f>CHOOSE( CONTROL!$C$32, 14.8662, 14.8659) * CHOOSE(CONTROL!$C$15, $D$11, 100%, $F$11)</f>
        <v>14.866199999999999</v>
      </c>
      <c r="J544" s="4">
        <f>CHOOSE( CONTROL!$C$32, 14.6918, 14.6916) * CHOOSE(CONTROL!$C$15, $D$11, 100%, $F$11)</f>
        <v>14.691800000000001</v>
      </c>
      <c r="K544" s="4"/>
      <c r="L544" s="9">
        <v>29.306000000000001</v>
      </c>
      <c r="M544" s="9">
        <v>12.063700000000001</v>
      </c>
      <c r="N544" s="9">
        <v>4.9444999999999997</v>
      </c>
      <c r="O544" s="9">
        <v>0.37409999999999999</v>
      </c>
      <c r="P544" s="9">
        <v>1.2927</v>
      </c>
      <c r="Q544" s="9">
        <v>19.688099999999999</v>
      </c>
      <c r="R544" s="9"/>
      <c r="S544" s="11"/>
    </row>
    <row r="545" spans="1:19" ht="15.75">
      <c r="A545" s="13">
        <v>57741</v>
      </c>
      <c r="B545" s="8">
        <f>CHOOSE( CONTROL!$C$32, 15.594, 15.5937) * CHOOSE(CONTROL!$C$15, $D$11, 100%, $F$11)</f>
        <v>15.593999999999999</v>
      </c>
      <c r="C545" s="8">
        <f>CHOOSE( CONTROL!$C$32, 15.599, 15.5988) * CHOOSE(CONTROL!$C$15, $D$11, 100%, $F$11)</f>
        <v>15.599</v>
      </c>
      <c r="D545" s="8">
        <f>CHOOSE( CONTROL!$C$32, 15.5895, 15.5892) * CHOOSE( CONTROL!$C$15, $D$11, 100%, $F$11)</f>
        <v>15.589499999999999</v>
      </c>
      <c r="E545" s="12">
        <f>CHOOSE( CONTROL!$C$32, 15.5924, 15.5922) * CHOOSE( CONTROL!$C$15, $D$11, 100%, $F$11)</f>
        <v>15.5924</v>
      </c>
      <c r="F545" s="4">
        <f>CHOOSE( CONTROL!$C$32, 16.2592, 16.259) * CHOOSE(CONTROL!$C$15, $D$11, 100%, $F$11)</f>
        <v>16.2592</v>
      </c>
      <c r="G545" s="8">
        <f>CHOOSE( CONTROL!$C$32, 15.4227, 15.4224) * CHOOSE( CONTROL!$C$15, $D$11, 100%, $F$11)</f>
        <v>15.422700000000001</v>
      </c>
      <c r="H545" s="4">
        <f>CHOOSE( CONTROL!$C$32, 16.3155, 16.3152) * CHOOSE(CONTROL!$C$15, $D$11, 100%, $F$11)</f>
        <v>16.3155</v>
      </c>
      <c r="I545" s="8">
        <f>CHOOSE( CONTROL!$C$32, 15.2802, 15.28) * CHOOSE(CONTROL!$C$15, $D$11, 100%, $F$11)</f>
        <v>15.280200000000001</v>
      </c>
      <c r="J545" s="4">
        <f>CHOOSE( CONTROL!$C$32, 15.1252, 15.1249) * CHOOSE(CONTROL!$C$15, $D$11, 100%, $F$11)</f>
        <v>15.1252</v>
      </c>
      <c r="K545" s="4"/>
      <c r="L545" s="9">
        <v>29.306000000000001</v>
      </c>
      <c r="M545" s="9">
        <v>12.063700000000001</v>
      </c>
      <c r="N545" s="9">
        <v>4.9444999999999997</v>
      </c>
      <c r="O545" s="9">
        <v>0.37409999999999999</v>
      </c>
      <c r="P545" s="9">
        <v>1.2927</v>
      </c>
      <c r="Q545" s="9">
        <v>19.688099999999999</v>
      </c>
      <c r="R545" s="9"/>
      <c r="S545" s="11"/>
    </row>
    <row r="546" spans="1:19" ht="15.75">
      <c r="A546" s="13">
        <v>57769</v>
      </c>
      <c r="B546" s="8">
        <f>CHOOSE( CONTROL!$C$32, 14.5864, 14.5862) * CHOOSE(CONTROL!$C$15, $D$11, 100%, $F$11)</f>
        <v>14.586399999999999</v>
      </c>
      <c r="C546" s="8">
        <f>CHOOSE( CONTROL!$C$32, 14.5915, 14.5912) * CHOOSE(CONTROL!$C$15, $D$11, 100%, $F$11)</f>
        <v>14.5915</v>
      </c>
      <c r="D546" s="8">
        <f>CHOOSE( CONTROL!$C$32, 14.5836, 14.5833) * CHOOSE( CONTROL!$C$15, $D$11, 100%, $F$11)</f>
        <v>14.583600000000001</v>
      </c>
      <c r="E546" s="12">
        <f>CHOOSE( CONTROL!$C$32, 14.5859, 14.5857) * CHOOSE( CONTROL!$C$15, $D$11, 100%, $F$11)</f>
        <v>14.585900000000001</v>
      </c>
      <c r="F546" s="4">
        <f>CHOOSE( CONTROL!$C$32, 15.2517, 15.2514) * CHOOSE(CONTROL!$C$15, $D$11, 100%, $F$11)</f>
        <v>15.2517</v>
      </c>
      <c r="G546" s="8">
        <f>CHOOSE( CONTROL!$C$32, 14.4255, 14.4252) * CHOOSE( CONTROL!$C$15, $D$11, 100%, $F$11)</f>
        <v>14.4255</v>
      </c>
      <c r="H546" s="4">
        <f>CHOOSE( CONTROL!$C$32, 15.3197, 15.3195) * CHOOSE(CONTROL!$C$15, $D$11, 100%, $F$11)</f>
        <v>15.319699999999999</v>
      </c>
      <c r="I546" s="8">
        <f>CHOOSE( CONTROL!$C$32, 14.2865, 14.2863) * CHOOSE(CONTROL!$C$15, $D$11, 100%, $F$11)</f>
        <v>14.2865</v>
      </c>
      <c r="J546" s="4">
        <f>CHOOSE( CONTROL!$C$32, 14.1474, 14.1471) * CHOOSE(CONTROL!$C$15, $D$11, 100%, $F$11)</f>
        <v>14.147399999999999</v>
      </c>
      <c r="K546" s="4"/>
      <c r="L546" s="9">
        <v>26.469899999999999</v>
      </c>
      <c r="M546" s="9">
        <v>10.8962</v>
      </c>
      <c r="N546" s="9">
        <v>4.4660000000000002</v>
      </c>
      <c r="O546" s="9">
        <v>0.33789999999999998</v>
      </c>
      <c r="P546" s="9">
        <v>1.1676</v>
      </c>
      <c r="Q546" s="9">
        <v>17.782800000000002</v>
      </c>
      <c r="R546" s="9"/>
      <c r="S546" s="11"/>
    </row>
    <row r="547" spans="1:19" ht="15.75">
      <c r="A547" s="13">
        <v>57800</v>
      </c>
      <c r="B547" s="8">
        <f>CHOOSE( CONTROL!$C$32, 14.2761, 14.2758) * CHOOSE(CONTROL!$C$15, $D$11, 100%, $F$11)</f>
        <v>14.2761</v>
      </c>
      <c r="C547" s="8">
        <f>CHOOSE( CONTROL!$C$32, 14.2812, 14.2809) * CHOOSE(CONTROL!$C$15, $D$11, 100%, $F$11)</f>
        <v>14.2812</v>
      </c>
      <c r="D547" s="8">
        <f>CHOOSE( CONTROL!$C$32, 14.2685, 14.2682) * CHOOSE( CONTROL!$C$15, $D$11, 100%, $F$11)</f>
        <v>14.2685</v>
      </c>
      <c r="E547" s="12">
        <f>CHOOSE( CONTROL!$C$32, 14.2726, 14.2723) * CHOOSE( CONTROL!$C$15, $D$11, 100%, $F$11)</f>
        <v>14.272600000000001</v>
      </c>
      <c r="F547" s="4">
        <f>CHOOSE( CONTROL!$C$32, 14.9414, 14.9411) * CHOOSE(CONTROL!$C$15, $D$11, 100%, $F$11)</f>
        <v>14.9414</v>
      </c>
      <c r="G547" s="8">
        <f>CHOOSE( CONTROL!$C$32, 14.1154, 14.1151) * CHOOSE( CONTROL!$C$15, $D$11, 100%, $F$11)</f>
        <v>14.115399999999999</v>
      </c>
      <c r="H547" s="4">
        <f>CHOOSE( CONTROL!$C$32, 15.0131, 15.0128) * CHOOSE(CONTROL!$C$15, $D$11, 100%, $F$11)</f>
        <v>15.0131</v>
      </c>
      <c r="I547" s="8">
        <f>CHOOSE( CONTROL!$C$32, 13.9836, 13.9834) * CHOOSE(CONTROL!$C$15, $D$11, 100%, $F$11)</f>
        <v>13.983599999999999</v>
      </c>
      <c r="J547" s="4">
        <f>CHOOSE( CONTROL!$C$32, 13.8462, 13.846) * CHOOSE(CONTROL!$C$15, $D$11, 100%, $F$11)</f>
        <v>13.8462</v>
      </c>
      <c r="K547" s="4"/>
      <c r="L547" s="9">
        <v>29.306000000000001</v>
      </c>
      <c r="M547" s="9">
        <v>12.063700000000001</v>
      </c>
      <c r="N547" s="9">
        <v>4.9444999999999997</v>
      </c>
      <c r="O547" s="9">
        <v>0.37409999999999999</v>
      </c>
      <c r="P547" s="9">
        <v>1.2927</v>
      </c>
      <c r="Q547" s="9">
        <v>19.688099999999999</v>
      </c>
      <c r="R547" s="9"/>
      <c r="S547" s="11"/>
    </row>
    <row r="548" spans="1:19" ht="15.75">
      <c r="A548" s="13">
        <v>57830</v>
      </c>
      <c r="B548" s="8">
        <f>CHOOSE( CONTROL!$C$32, 14.4937, 14.4934) * CHOOSE(CONTROL!$C$15, $D$11, 100%, $F$11)</f>
        <v>14.4937</v>
      </c>
      <c r="C548" s="8">
        <f>CHOOSE( CONTROL!$C$32, 14.4982, 14.498) * CHOOSE(CONTROL!$C$15, $D$11, 100%, $F$11)</f>
        <v>14.498200000000001</v>
      </c>
      <c r="D548" s="8">
        <f>CHOOSE( CONTROL!$C$32, 14.5031, 14.5028) * CHOOSE( CONTROL!$C$15, $D$11, 100%, $F$11)</f>
        <v>14.5031</v>
      </c>
      <c r="E548" s="12">
        <f>CHOOSE( CONTROL!$C$32, 14.501, 14.5007) * CHOOSE( CONTROL!$C$15, $D$11, 100%, $F$11)</f>
        <v>14.500999999999999</v>
      </c>
      <c r="F548" s="4">
        <f>CHOOSE( CONTROL!$C$32, 15.1979, 15.1976) * CHOOSE(CONTROL!$C$15, $D$11, 100%, $F$11)</f>
        <v>15.197900000000001</v>
      </c>
      <c r="G548" s="8">
        <f>CHOOSE( CONTROL!$C$32, 14.3354, 14.3352) * CHOOSE( CONTROL!$C$15, $D$11, 100%, $F$11)</f>
        <v>14.3354</v>
      </c>
      <c r="H548" s="4">
        <f>CHOOSE( CONTROL!$C$32, 15.2666, 15.2663) * CHOOSE(CONTROL!$C$15, $D$11, 100%, $F$11)</f>
        <v>15.2666</v>
      </c>
      <c r="I548" s="8">
        <f>CHOOSE( CONTROL!$C$32, 14.1684, 14.1681) * CHOOSE(CONTROL!$C$15, $D$11, 100%, $F$11)</f>
        <v>14.1684</v>
      </c>
      <c r="J548" s="4">
        <f>CHOOSE( CONTROL!$C$32, 14.0567, 14.0564) * CHOOSE(CONTROL!$C$15, $D$11, 100%, $F$11)</f>
        <v>14.056699999999999</v>
      </c>
      <c r="K548" s="4"/>
      <c r="L548" s="9">
        <v>30.092199999999998</v>
      </c>
      <c r="M548" s="9">
        <v>11.6745</v>
      </c>
      <c r="N548" s="9">
        <v>4.7850000000000001</v>
      </c>
      <c r="O548" s="9">
        <v>0.36199999999999999</v>
      </c>
      <c r="P548" s="9">
        <v>1.2509999999999999</v>
      </c>
      <c r="Q548" s="9">
        <v>19.053000000000001</v>
      </c>
      <c r="R548" s="9"/>
      <c r="S548" s="11"/>
    </row>
    <row r="549" spans="1:19" ht="15.75">
      <c r="A549" s="13">
        <v>57861</v>
      </c>
      <c r="B549" s="8">
        <f>CHOOSE( CONTROL!$C$32, 14.8812, 14.8807) * CHOOSE(CONTROL!$C$15, $D$11, 100%, $F$11)</f>
        <v>14.8812</v>
      </c>
      <c r="C549" s="8">
        <f>CHOOSE( CONTROL!$C$32, 14.8892, 14.8887) * CHOOSE(CONTROL!$C$15, $D$11, 100%, $F$11)</f>
        <v>14.889200000000001</v>
      </c>
      <c r="D549" s="8">
        <f>CHOOSE( CONTROL!$C$32, 14.888, 14.8875) * CHOOSE( CONTROL!$C$15, $D$11, 100%, $F$11)</f>
        <v>14.888</v>
      </c>
      <c r="E549" s="12">
        <f>CHOOSE( CONTROL!$C$32, 14.8872, 14.8867) * CHOOSE( CONTROL!$C$15, $D$11, 100%, $F$11)</f>
        <v>14.8872</v>
      </c>
      <c r="F549" s="4">
        <f>CHOOSE( CONTROL!$C$32, 15.584, 15.5836) * CHOOSE(CONTROL!$C$15, $D$11, 100%, $F$11)</f>
        <v>15.584</v>
      </c>
      <c r="G549" s="8">
        <f>CHOOSE( CONTROL!$C$32, 14.7168, 14.7164) * CHOOSE( CONTROL!$C$15, $D$11, 100%, $F$11)</f>
        <v>14.716799999999999</v>
      </c>
      <c r="H549" s="4">
        <f>CHOOSE( CONTROL!$C$32, 15.6482, 15.6477) * CHOOSE(CONTROL!$C$15, $D$11, 100%, $F$11)</f>
        <v>15.648199999999999</v>
      </c>
      <c r="I549" s="8">
        <f>CHOOSE( CONTROL!$C$32, 14.5425, 14.542) * CHOOSE(CONTROL!$C$15, $D$11, 100%, $F$11)</f>
        <v>14.5425</v>
      </c>
      <c r="J549" s="4">
        <f>CHOOSE( CONTROL!$C$32, 14.4314, 14.4309) * CHOOSE(CONTROL!$C$15, $D$11, 100%, $F$11)</f>
        <v>14.4314</v>
      </c>
      <c r="K549" s="4"/>
      <c r="L549" s="9">
        <v>30.7165</v>
      </c>
      <c r="M549" s="9">
        <v>12.063700000000001</v>
      </c>
      <c r="N549" s="9">
        <v>4.9444999999999997</v>
      </c>
      <c r="O549" s="9">
        <v>0.37409999999999999</v>
      </c>
      <c r="P549" s="9">
        <v>1.2927</v>
      </c>
      <c r="Q549" s="9">
        <v>19.688099999999999</v>
      </c>
      <c r="R549" s="9"/>
      <c r="S549" s="11"/>
    </row>
    <row r="550" spans="1:19" ht="15.75">
      <c r="A550" s="13">
        <v>57891</v>
      </c>
      <c r="B550" s="8">
        <f>CHOOSE( CONTROL!$C$32, 14.6421, 14.6417) * CHOOSE(CONTROL!$C$15, $D$11, 100%, $F$11)</f>
        <v>14.642099999999999</v>
      </c>
      <c r="C550" s="8">
        <f>CHOOSE( CONTROL!$C$32, 14.6501, 14.6496) * CHOOSE(CONTROL!$C$15, $D$11, 100%, $F$11)</f>
        <v>14.6501</v>
      </c>
      <c r="D550" s="8">
        <f>CHOOSE( CONTROL!$C$32, 14.6491, 14.6486) * CHOOSE( CONTROL!$C$15, $D$11, 100%, $F$11)</f>
        <v>14.649100000000001</v>
      </c>
      <c r="E550" s="12">
        <f>CHOOSE( CONTROL!$C$32, 14.6482, 14.6478) * CHOOSE( CONTROL!$C$15, $D$11, 100%, $F$11)</f>
        <v>14.648199999999999</v>
      </c>
      <c r="F550" s="4">
        <f>CHOOSE( CONTROL!$C$32, 15.3449, 15.3445) * CHOOSE(CONTROL!$C$15, $D$11, 100%, $F$11)</f>
        <v>15.344900000000001</v>
      </c>
      <c r="G550" s="8">
        <f>CHOOSE( CONTROL!$C$32, 14.4807, 14.4803) * CHOOSE( CONTROL!$C$15, $D$11, 100%, $F$11)</f>
        <v>14.480700000000001</v>
      </c>
      <c r="H550" s="4">
        <f>CHOOSE( CONTROL!$C$32, 15.4119, 15.4114) * CHOOSE(CONTROL!$C$15, $D$11, 100%, $F$11)</f>
        <v>15.411899999999999</v>
      </c>
      <c r="I550" s="8">
        <f>CHOOSE( CONTROL!$C$32, 14.311, 14.3106) * CHOOSE(CONTROL!$C$15, $D$11, 100%, $F$11)</f>
        <v>14.311</v>
      </c>
      <c r="J550" s="4">
        <f>CHOOSE( CONTROL!$C$32, 14.1994, 14.1989) * CHOOSE(CONTROL!$C$15, $D$11, 100%, $F$11)</f>
        <v>14.199400000000001</v>
      </c>
      <c r="K550" s="4"/>
      <c r="L550" s="9">
        <v>29.7257</v>
      </c>
      <c r="M550" s="9">
        <v>11.6745</v>
      </c>
      <c r="N550" s="9">
        <v>4.7850000000000001</v>
      </c>
      <c r="O550" s="9">
        <v>0.36199999999999999</v>
      </c>
      <c r="P550" s="9">
        <v>1.2509999999999999</v>
      </c>
      <c r="Q550" s="9">
        <v>19.053000000000001</v>
      </c>
      <c r="R550" s="9"/>
      <c r="S550" s="11"/>
    </row>
    <row r="551" spans="1:19" ht="15.75">
      <c r="A551" s="13">
        <v>57922</v>
      </c>
      <c r="B551" s="8">
        <f>CHOOSE( CONTROL!$C$32, 15.2717, 15.2712) * CHOOSE(CONTROL!$C$15, $D$11, 100%, $F$11)</f>
        <v>15.271699999999999</v>
      </c>
      <c r="C551" s="8">
        <f>CHOOSE( CONTROL!$C$32, 15.2797, 15.2792) * CHOOSE(CONTROL!$C$15, $D$11, 100%, $F$11)</f>
        <v>15.2797</v>
      </c>
      <c r="D551" s="8">
        <f>CHOOSE( CONTROL!$C$32, 15.2789, 15.2784) * CHOOSE( CONTROL!$C$15, $D$11, 100%, $F$11)</f>
        <v>15.2789</v>
      </c>
      <c r="E551" s="12">
        <f>CHOOSE( CONTROL!$C$32, 15.278, 15.2775) * CHOOSE( CONTROL!$C$15, $D$11, 100%, $F$11)</f>
        <v>15.278</v>
      </c>
      <c r="F551" s="4">
        <f>CHOOSE( CONTROL!$C$32, 15.9745, 15.974) * CHOOSE(CONTROL!$C$15, $D$11, 100%, $F$11)</f>
        <v>15.974500000000001</v>
      </c>
      <c r="G551" s="8">
        <f>CHOOSE( CONTROL!$C$32, 15.1031, 15.1026) * CHOOSE( CONTROL!$C$15, $D$11, 100%, $F$11)</f>
        <v>15.1031</v>
      </c>
      <c r="H551" s="4">
        <f>CHOOSE( CONTROL!$C$32, 16.0341, 16.0336) * CHOOSE(CONTROL!$C$15, $D$11, 100%, $F$11)</f>
        <v>16.034099999999999</v>
      </c>
      <c r="I551" s="8">
        <f>CHOOSE( CONTROL!$C$32, 14.9231, 14.9226) * CHOOSE(CONTROL!$C$15, $D$11, 100%, $F$11)</f>
        <v>14.9231</v>
      </c>
      <c r="J551" s="4">
        <f>CHOOSE( CONTROL!$C$32, 14.8103, 14.8099) * CHOOSE(CONTROL!$C$15, $D$11, 100%, $F$11)</f>
        <v>14.8103</v>
      </c>
      <c r="K551" s="4"/>
      <c r="L551" s="9">
        <v>30.7165</v>
      </c>
      <c r="M551" s="9">
        <v>12.063700000000001</v>
      </c>
      <c r="N551" s="9">
        <v>4.9444999999999997</v>
      </c>
      <c r="O551" s="9">
        <v>0.37409999999999999</v>
      </c>
      <c r="P551" s="9">
        <v>1.2927</v>
      </c>
      <c r="Q551" s="9">
        <v>19.688099999999999</v>
      </c>
      <c r="R551" s="9"/>
      <c r="S551" s="11"/>
    </row>
    <row r="552" spans="1:19" ht="15.75">
      <c r="A552" s="13">
        <v>57953</v>
      </c>
      <c r="B552" s="8">
        <f>CHOOSE( CONTROL!$C$32, 14.0937, 14.0933) * CHOOSE(CONTROL!$C$15, $D$11, 100%, $F$11)</f>
        <v>14.0937</v>
      </c>
      <c r="C552" s="8">
        <f>CHOOSE( CONTROL!$C$32, 14.1017, 14.1012) * CHOOSE(CONTROL!$C$15, $D$11, 100%, $F$11)</f>
        <v>14.101699999999999</v>
      </c>
      <c r="D552" s="8">
        <f>CHOOSE( CONTROL!$C$32, 14.1009, 14.1005) * CHOOSE( CONTROL!$C$15, $D$11, 100%, $F$11)</f>
        <v>14.100899999999999</v>
      </c>
      <c r="E552" s="12">
        <f>CHOOSE( CONTROL!$C$32, 14.1, 14.0995) * CHOOSE( CONTROL!$C$15, $D$11, 100%, $F$11)</f>
        <v>14.1</v>
      </c>
      <c r="F552" s="4">
        <f>CHOOSE( CONTROL!$C$32, 14.7965, 14.7961) * CHOOSE(CONTROL!$C$15, $D$11, 100%, $F$11)</f>
        <v>14.7965</v>
      </c>
      <c r="G552" s="8">
        <f>CHOOSE( CONTROL!$C$32, 13.939, 13.9385) * CHOOSE( CONTROL!$C$15, $D$11, 100%, $F$11)</f>
        <v>13.939</v>
      </c>
      <c r="H552" s="4">
        <f>CHOOSE( CONTROL!$C$32, 14.8699, 14.8695) * CHOOSE(CONTROL!$C$15, $D$11, 100%, $F$11)</f>
        <v>14.869899999999999</v>
      </c>
      <c r="I552" s="8">
        <f>CHOOSE( CONTROL!$C$32, 13.7795, 13.779) * CHOOSE(CONTROL!$C$15, $D$11, 100%, $F$11)</f>
        <v>13.779500000000001</v>
      </c>
      <c r="J552" s="4">
        <f>CHOOSE( CONTROL!$C$32, 13.6671, 13.6667) * CHOOSE(CONTROL!$C$15, $D$11, 100%, $F$11)</f>
        <v>13.6671</v>
      </c>
      <c r="K552" s="4"/>
      <c r="L552" s="9">
        <v>30.7165</v>
      </c>
      <c r="M552" s="9">
        <v>12.063700000000001</v>
      </c>
      <c r="N552" s="9">
        <v>4.9444999999999997</v>
      </c>
      <c r="O552" s="9">
        <v>0.37409999999999999</v>
      </c>
      <c r="P552" s="9">
        <v>1.2927</v>
      </c>
      <c r="Q552" s="9">
        <v>19.688099999999999</v>
      </c>
      <c r="R552" s="9"/>
      <c r="S552" s="11"/>
    </row>
    <row r="553" spans="1:19" ht="15.75">
      <c r="A553" s="13">
        <v>57983</v>
      </c>
      <c r="B553" s="8">
        <f>CHOOSE( CONTROL!$C$32, 13.7987, 13.7983) * CHOOSE(CONTROL!$C$15, $D$11, 100%, $F$11)</f>
        <v>13.7987</v>
      </c>
      <c r="C553" s="8">
        <f>CHOOSE( CONTROL!$C$32, 13.8067, 13.8063) * CHOOSE(CONTROL!$C$15, $D$11, 100%, $F$11)</f>
        <v>13.806699999999999</v>
      </c>
      <c r="D553" s="8">
        <f>CHOOSE( CONTROL!$C$32, 13.8058, 13.8054) * CHOOSE( CONTROL!$C$15, $D$11, 100%, $F$11)</f>
        <v>13.8058</v>
      </c>
      <c r="E553" s="12">
        <f>CHOOSE( CONTROL!$C$32, 13.8049, 13.8045) * CHOOSE( CONTROL!$C$15, $D$11, 100%, $F$11)</f>
        <v>13.8049</v>
      </c>
      <c r="F553" s="4">
        <f>CHOOSE( CONTROL!$C$32, 14.5016, 14.5011) * CHOOSE(CONTROL!$C$15, $D$11, 100%, $F$11)</f>
        <v>14.5016</v>
      </c>
      <c r="G553" s="8">
        <f>CHOOSE( CONTROL!$C$32, 13.6473, 13.6469) * CHOOSE( CONTROL!$C$15, $D$11, 100%, $F$11)</f>
        <v>13.6473</v>
      </c>
      <c r="H553" s="4">
        <f>CHOOSE( CONTROL!$C$32, 14.5784, 14.5779) * CHOOSE(CONTROL!$C$15, $D$11, 100%, $F$11)</f>
        <v>14.5784</v>
      </c>
      <c r="I553" s="8">
        <f>CHOOSE( CONTROL!$C$32, 13.4925, 13.4921) * CHOOSE(CONTROL!$C$15, $D$11, 100%, $F$11)</f>
        <v>13.4925</v>
      </c>
      <c r="J553" s="4">
        <f>CHOOSE( CONTROL!$C$32, 13.3809, 13.3804) * CHOOSE(CONTROL!$C$15, $D$11, 100%, $F$11)</f>
        <v>13.3809</v>
      </c>
      <c r="K553" s="4"/>
      <c r="L553" s="9">
        <v>29.7257</v>
      </c>
      <c r="M553" s="9">
        <v>11.6745</v>
      </c>
      <c r="N553" s="9">
        <v>4.7850000000000001</v>
      </c>
      <c r="O553" s="9">
        <v>0.36199999999999999</v>
      </c>
      <c r="P553" s="9">
        <v>1.2509999999999999</v>
      </c>
      <c r="Q553" s="9">
        <v>19.053000000000001</v>
      </c>
      <c r="R553" s="9"/>
      <c r="S553" s="11"/>
    </row>
    <row r="554" spans="1:19" ht="15.75">
      <c r="A554" s="13">
        <v>58014</v>
      </c>
      <c r="B554" s="8">
        <f>CHOOSE( CONTROL!$C$32, 14.4093, 14.409) * CHOOSE(CONTROL!$C$15, $D$11, 100%, $F$11)</f>
        <v>14.4093</v>
      </c>
      <c r="C554" s="8">
        <f>CHOOSE( CONTROL!$C$32, 14.4146, 14.4144) * CHOOSE(CONTROL!$C$15, $D$11, 100%, $F$11)</f>
        <v>14.4146</v>
      </c>
      <c r="D554" s="8">
        <f>CHOOSE( CONTROL!$C$32, 14.4193, 14.4191) * CHOOSE( CONTROL!$C$15, $D$11, 100%, $F$11)</f>
        <v>14.4193</v>
      </c>
      <c r="E554" s="12">
        <f>CHOOSE( CONTROL!$C$32, 14.4172, 14.417) * CHOOSE( CONTROL!$C$15, $D$11, 100%, $F$11)</f>
        <v>14.417199999999999</v>
      </c>
      <c r="F554" s="4">
        <f>CHOOSE( CONTROL!$C$32, 15.1139, 15.1136) * CHOOSE(CONTROL!$C$15, $D$11, 100%, $F$11)</f>
        <v>15.113899999999999</v>
      </c>
      <c r="G554" s="8">
        <f>CHOOSE( CONTROL!$C$32, 14.2526, 14.2523) * CHOOSE( CONTROL!$C$15, $D$11, 100%, $F$11)</f>
        <v>14.252599999999999</v>
      </c>
      <c r="H554" s="4">
        <f>CHOOSE( CONTROL!$C$32, 15.1835, 15.1832) * CHOOSE(CONTROL!$C$15, $D$11, 100%, $F$11)</f>
        <v>15.1835</v>
      </c>
      <c r="I554" s="8">
        <f>CHOOSE( CONTROL!$C$32, 14.0879, 14.0876) * CHOOSE(CONTROL!$C$15, $D$11, 100%, $F$11)</f>
        <v>14.087899999999999</v>
      </c>
      <c r="J554" s="4">
        <f>CHOOSE( CONTROL!$C$32, 13.9751, 13.9748) * CHOOSE(CONTROL!$C$15, $D$11, 100%, $F$11)</f>
        <v>13.975099999999999</v>
      </c>
      <c r="K554" s="4"/>
      <c r="L554" s="9">
        <v>31.095300000000002</v>
      </c>
      <c r="M554" s="9">
        <v>12.063700000000001</v>
      </c>
      <c r="N554" s="9">
        <v>4.9444999999999997</v>
      </c>
      <c r="O554" s="9">
        <v>0.37409999999999999</v>
      </c>
      <c r="P554" s="9">
        <v>1.2927</v>
      </c>
      <c r="Q554" s="9">
        <v>19.688099999999999</v>
      </c>
      <c r="R554" s="9"/>
      <c r="S554" s="11"/>
    </row>
    <row r="555" spans="1:19" ht="15.75">
      <c r="A555" s="13">
        <v>58044</v>
      </c>
      <c r="B555" s="8">
        <f>CHOOSE( CONTROL!$C$32, 15.5394, 15.5391) * CHOOSE(CONTROL!$C$15, $D$11, 100%, $F$11)</f>
        <v>15.539400000000001</v>
      </c>
      <c r="C555" s="8">
        <f>CHOOSE( CONTROL!$C$32, 15.5445, 15.5442) * CHOOSE(CONTROL!$C$15, $D$11, 100%, $F$11)</f>
        <v>15.544499999999999</v>
      </c>
      <c r="D555" s="8">
        <f>CHOOSE( CONTROL!$C$32, 15.5272, 15.5269) * CHOOSE( CONTROL!$C$15, $D$11, 100%, $F$11)</f>
        <v>15.527200000000001</v>
      </c>
      <c r="E555" s="12">
        <f>CHOOSE( CONTROL!$C$32, 15.533, 15.5327) * CHOOSE( CONTROL!$C$15, $D$11, 100%, $F$11)</f>
        <v>15.532999999999999</v>
      </c>
      <c r="F555" s="4">
        <f>CHOOSE( CONTROL!$C$32, 16.2047, 16.2044) * CHOOSE(CONTROL!$C$15, $D$11, 100%, $F$11)</f>
        <v>16.204699999999999</v>
      </c>
      <c r="G555" s="8">
        <f>CHOOSE( CONTROL!$C$32, 15.3668, 15.3665) * CHOOSE( CONTROL!$C$15, $D$11, 100%, $F$11)</f>
        <v>15.3668</v>
      </c>
      <c r="H555" s="4">
        <f>CHOOSE( CONTROL!$C$32, 16.2616, 16.2613) * CHOOSE(CONTROL!$C$15, $D$11, 100%, $F$11)</f>
        <v>16.261600000000001</v>
      </c>
      <c r="I555" s="8">
        <f>CHOOSE( CONTROL!$C$32, 15.2412, 15.2409) * CHOOSE(CONTROL!$C$15, $D$11, 100%, $F$11)</f>
        <v>15.241199999999999</v>
      </c>
      <c r="J555" s="4">
        <f>CHOOSE( CONTROL!$C$32, 15.0722, 15.072) * CHOOSE(CONTROL!$C$15, $D$11, 100%, $F$11)</f>
        <v>15.0722</v>
      </c>
      <c r="K555" s="4"/>
      <c r="L555" s="9">
        <v>28.360600000000002</v>
      </c>
      <c r="M555" s="9">
        <v>11.6745</v>
      </c>
      <c r="N555" s="9">
        <v>4.7850000000000001</v>
      </c>
      <c r="O555" s="9">
        <v>0.36199999999999999</v>
      </c>
      <c r="P555" s="9">
        <v>1.2509999999999999</v>
      </c>
      <c r="Q555" s="9">
        <v>19.053000000000001</v>
      </c>
      <c r="R555" s="9"/>
      <c r="S555" s="11"/>
    </row>
    <row r="556" spans="1:19" ht="15.75">
      <c r="A556" s="13">
        <v>58075</v>
      </c>
      <c r="B556" s="8">
        <f>CHOOSE( CONTROL!$C$32, 15.5112, 15.5109) * CHOOSE(CONTROL!$C$15, $D$11, 100%, $F$11)</f>
        <v>15.511200000000001</v>
      </c>
      <c r="C556" s="8">
        <f>CHOOSE( CONTROL!$C$32, 15.5162, 15.516) * CHOOSE(CONTROL!$C$15, $D$11, 100%, $F$11)</f>
        <v>15.5162</v>
      </c>
      <c r="D556" s="8">
        <f>CHOOSE( CONTROL!$C$32, 15.5007, 15.5005) * CHOOSE( CONTROL!$C$15, $D$11, 100%, $F$11)</f>
        <v>15.5007</v>
      </c>
      <c r="E556" s="12">
        <f>CHOOSE( CONTROL!$C$32, 15.5058, 15.5056) * CHOOSE( CONTROL!$C$15, $D$11, 100%, $F$11)</f>
        <v>15.505800000000001</v>
      </c>
      <c r="F556" s="4">
        <f>CHOOSE( CONTROL!$C$32, 16.1764, 16.1762) * CHOOSE(CONTROL!$C$15, $D$11, 100%, $F$11)</f>
        <v>16.176400000000001</v>
      </c>
      <c r="G556" s="8">
        <f>CHOOSE( CONTROL!$C$32, 15.3402, 15.3399) * CHOOSE( CONTROL!$C$15, $D$11, 100%, $F$11)</f>
        <v>15.340199999999999</v>
      </c>
      <c r="H556" s="4">
        <f>CHOOSE( CONTROL!$C$32, 16.2336, 16.2334) * CHOOSE(CONTROL!$C$15, $D$11, 100%, $F$11)</f>
        <v>16.233599999999999</v>
      </c>
      <c r="I556" s="8">
        <f>CHOOSE( CONTROL!$C$32, 15.2194, 15.2191) * CHOOSE(CONTROL!$C$15, $D$11, 100%, $F$11)</f>
        <v>15.2194</v>
      </c>
      <c r="J556" s="4">
        <f>CHOOSE( CONTROL!$C$32, 15.0448, 15.0446) * CHOOSE(CONTROL!$C$15, $D$11, 100%, $F$11)</f>
        <v>15.0448</v>
      </c>
      <c r="K556" s="4"/>
      <c r="L556" s="9">
        <v>29.306000000000001</v>
      </c>
      <c r="M556" s="9">
        <v>12.063700000000001</v>
      </c>
      <c r="N556" s="9">
        <v>4.9444999999999997</v>
      </c>
      <c r="O556" s="9">
        <v>0.37409999999999999</v>
      </c>
      <c r="P556" s="9">
        <v>1.2927</v>
      </c>
      <c r="Q556" s="9">
        <v>19.688099999999999</v>
      </c>
      <c r="R556" s="9"/>
      <c r="S556" s="11"/>
    </row>
    <row r="557" spans="1:19" ht="15.75">
      <c r="A557" s="13">
        <v>58106</v>
      </c>
      <c r="B557" s="8">
        <f>CHOOSE( CONTROL!$C$32, 15.9684, 15.9681) * CHOOSE(CONTROL!$C$15, $D$11, 100%, $F$11)</f>
        <v>15.968400000000001</v>
      </c>
      <c r="C557" s="8">
        <f>CHOOSE( CONTROL!$C$32, 15.9735, 15.9732) * CHOOSE(CONTROL!$C$15, $D$11, 100%, $F$11)</f>
        <v>15.9735</v>
      </c>
      <c r="D557" s="8">
        <f>CHOOSE( CONTROL!$C$32, 15.9639, 15.9637) * CHOOSE( CONTROL!$C$15, $D$11, 100%, $F$11)</f>
        <v>15.963900000000001</v>
      </c>
      <c r="E557" s="12">
        <f>CHOOSE( CONTROL!$C$32, 15.9669, 15.9666) * CHOOSE( CONTROL!$C$15, $D$11, 100%, $F$11)</f>
        <v>15.966900000000001</v>
      </c>
      <c r="F557" s="4">
        <f>CHOOSE( CONTROL!$C$32, 16.6337, 16.6334) * CHOOSE(CONTROL!$C$15, $D$11, 100%, $F$11)</f>
        <v>16.633700000000001</v>
      </c>
      <c r="G557" s="8">
        <f>CHOOSE( CONTROL!$C$32, 15.7928, 15.7925) * CHOOSE( CONTROL!$C$15, $D$11, 100%, $F$11)</f>
        <v>15.7928</v>
      </c>
      <c r="H557" s="4">
        <f>CHOOSE( CONTROL!$C$32, 16.6855, 16.6853) * CHOOSE(CONTROL!$C$15, $D$11, 100%, $F$11)</f>
        <v>16.685500000000001</v>
      </c>
      <c r="I557" s="8">
        <f>CHOOSE( CONTROL!$C$32, 15.6438, 15.6435) * CHOOSE(CONTROL!$C$15, $D$11, 100%, $F$11)</f>
        <v>15.643800000000001</v>
      </c>
      <c r="J557" s="4">
        <f>CHOOSE( CONTROL!$C$32, 15.4886, 15.4883) * CHOOSE(CONTROL!$C$15, $D$11, 100%, $F$11)</f>
        <v>15.4886</v>
      </c>
      <c r="K557" s="4"/>
      <c r="L557" s="9">
        <v>29.306000000000001</v>
      </c>
      <c r="M557" s="9">
        <v>12.063700000000001</v>
      </c>
      <c r="N557" s="9">
        <v>4.9444999999999997</v>
      </c>
      <c r="O557" s="9">
        <v>0.37409999999999999</v>
      </c>
      <c r="P557" s="9">
        <v>1.2927</v>
      </c>
      <c r="Q557" s="9">
        <v>19.688099999999999</v>
      </c>
      <c r="R557" s="9"/>
      <c r="S557" s="11"/>
    </row>
    <row r="558" spans="1:19" ht="15.75">
      <c r="A558" s="13">
        <v>58134</v>
      </c>
      <c r="B558" s="8">
        <f>CHOOSE( CONTROL!$C$32, 14.9367, 14.9364) * CHOOSE(CONTROL!$C$15, $D$11, 100%, $F$11)</f>
        <v>14.9367</v>
      </c>
      <c r="C558" s="8">
        <f>CHOOSE( CONTROL!$C$32, 14.9418, 14.9415) * CHOOSE(CONTROL!$C$15, $D$11, 100%, $F$11)</f>
        <v>14.941800000000001</v>
      </c>
      <c r="D558" s="8">
        <f>CHOOSE( CONTROL!$C$32, 14.9339, 14.9336) * CHOOSE( CONTROL!$C$15, $D$11, 100%, $F$11)</f>
        <v>14.9339</v>
      </c>
      <c r="E558" s="12">
        <f>CHOOSE( CONTROL!$C$32, 14.9362, 14.9359) * CHOOSE( CONTROL!$C$15, $D$11, 100%, $F$11)</f>
        <v>14.936199999999999</v>
      </c>
      <c r="F558" s="4">
        <f>CHOOSE( CONTROL!$C$32, 15.602, 15.6017) * CHOOSE(CONTROL!$C$15, $D$11, 100%, $F$11)</f>
        <v>15.602</v>
      </c>
      <c r="G558" s="8">
        <f>CHOOSE( CONTROL!$C$32, 14.7717, 14.7714) * CHOOSE( CONTROL!$C$15, $D$11, 100%, $F$11)</f>
        <v>14.771699999999999</v>
      </c>
      <c r="H558" s="4">
        <f>CHOOSE( CONTROL!$C$32, 15.6659, 15.6656) * CHOOSE(CONTROL!$C$15, $D$11, 100%, $F$11)</f>
        <v>15.665900000000001</v>
      </c>
      <c r="I558" s="8">
        <f>CHOOSE( CONTROL!$C$32, 14.6266, 14.6264) * CHOOSE(CONTROL!$C$15, $D$11, 100%, $F$11)</f>
        <v>14.6266</v>
      </c>
      <c r="J558" s="4">
        <f>CHOOSE( CONTROL!$C$32, 14.4873, 14.487) * CHOOSE(CONTROL!$C$15, $D$11, 100%, $F$11)</f>
        <v>14.487299999999999</v>
      </c>
      <c r="K558" s="4"/>
      <c r="L558" s="9">
        <v>26.469899999999999</v>
      </c>
      <c r="M558" s="9">
        <v>10.8962</v>
      </c>
      <c r="N558" s="9">
        <v>4.4660000000000002</v>
      </c>
      <c r="O558" s="9">
        <v>0.33789999999999998</v>
      </c>
      <c r="P558" s="9">
        <v>1.1676</v>
      </c>
      <c r="Q558" s="9">
        <v>17.782800000000002</v>
      </c>
      <c r="R558" s="9"/>
      <c r="S558" s="11"/>
    </row>
    <row r="559" spans="1:19" ht="15.75">
      <c r="A559" s="13">
        <v>58165</v>
      </c>
      <c r="B559" s="8">
        <f>CHOOSE( CONTROL!$C$32, 14.6189, 14.6186) * CHOOSE(CONTROL!$C$15, $D$11, 100%, $F$11)</f>
        <v>14.6189</v>
      </c>
      <c r="C559" s="8">
        <f>CHOOSE( CONTROL!$C$32, 14.624, 14.6237) * CHOOSE(CONTROL!$C$15, $D$11, 100%, $F$11)</f>
        <v>14.624000000000001</v>
      </c>
      <c r="D559" s="8">
        <f>CHOOSE( CONTROL!$C$32, 14.6113, 14.611) * CHOOSE( CONTROL!$C$15, $D$11, 100%, $F$11)</f>
        <v>14.6113</v>
      </c>
      <c r="E559" s="12">
        <f>CHOOSE( CONTROL!$C$32, 14.6154, 14.6151) * CHOOSE( CONTROL!$C$15, $D$11, 100%, $F$11)</f>
        <v>14.615399999999999</v>
      </c>
      <c r="F559" s="4">
        <f>CHOOSE( CONTROL!$C$32, 15.2842, 15.2839) * CHOOSE(CONTROL!$C$15, $D$11, 100%, $F$11)</f>
        <v>15.2842</v>
      </c>
      <c r="G559" s="8">
        <f>CHOOSE( CONTROL!$C$32, 14.4542, 14.4539) * CHOOSE( CONTROL!$C$15, $D$11, 100%, $F$11)</f>
        <v>14.4542</v>
      </c>
      <c r="H559" s="4">
        <f>CHOOSE( CONTROL!$C$32, 15.3518, 15.3516) * CHOOSE(CONTROL!$C$15, $D$11, 100%, $F$11)</f>
        <v>15.351800000000001</v>
      </c>
      <c r="I559" s="8">
        <f>CHOOSE( CONTROL!$C$32, 14.3165, 14.3162) * CHOOSE(CONTROL!$C$15, $D$11, 100%, $F$11)</f>
        <v>14.3165</v>
      </c>
      <c r="J559" s="4">
        <f>CHOOSE( CONTROL!$C$32, 14.1789, 14.1786) * CHOOSE(CONTROL!$C$15, $D$11, 100%, $F$11)</f>
        <v>14.178900000000001</v>
      </c>
      <c r="K559" s="4"/>
      <c r="L559" s="9">
        <v>29.306000000000001</v>
      </c>
      <c r="M559" s="9">
        <v>12.063700000000001</v>
      </c>
      <c r="N559" s="9">
        <v>4.9444999999999997</v>
      </c>
      <c r="O559" s="9">
        <v>0.37409999999999999</v>
      </c>
      <c r="P559" s="9">
        <v>1.2927</v>
      </c>
      <c r="Q559" s="9">
        <v>19.688099999999999</v>
      </c>
      <c r="R559" s="9"/>
      <c r="S559" s="11"/>
    </row>
    <row r="560" spans="1:19" ht="15.75">
      <c r="A560" s="13">
        <v>58195</v>
      </c>
      <c r="B560" s="8">
        <f>CHOOSE( CONTROL!$C$32, 14.8417, 14.8415) * CHOOSE(CONTROL!$C$15, $D$11, 100%, $F$11)</f>
        <v>14.841699999999999</v>
      </c>
      <c r="C560" s="8">
        <f>CHOOSE( CONTROL!$C$32, 14.8462, 14.846) * CHOOSE(CONTROL!$C$15, $D$11, 100%, $F$11)</f>
        <v>14.8462</v>
      </c>
      <c r="D560" s="8">
        <f>CHOOSE( CONTROL!$C$32, 14.8511, 14.8508) * CHOOSE( CONTROL!$C$15, $D$11, 100%, $F$11)</f>
        <v>14.851100000000001</v>
      </c>
      <c r="E560" s="12">
        <f>CHOOSE( CONTROL!$C$32, 14.849, 14.8487) * CHOOSE( CONTROL!$C$15, $D$11, 100%, $F$11)</f>
        <v>14.849</v>
      </c>
      <c r="F560" s="4">
        <f>CHOOSE( CONTROL!$C$32, 15.5459, 15.5456) * CHOOSE(CONTROL!$C$15, $D$11, 100%, $F$11)</f>
        <v>15.5459</v>
      </c>
      <c r="G560" s="8">
        <f>CHOOSE( CONTROL!$C$32, 14.6794, 14.6791) * CHOOSE( CONTROL!$C$15, $D$11, 100%, $F$11)</f>
        <v>14.679399999999999</v>
      </c>
      <c r="H560" s="4">
        <f>CHOOSE( CONTROL!$C$32, 15.6105, 15.6102) * CHOOSE(CONTROL!$C$15, $D$11, 100%, $F$11)</f>
        <v>15.6105</v>
      </c>
      <c r="I560" s="8">
        <f>CHOOSE( CONTROL!$C$32, 14.5063, 14.506) * CHOOSE(CONTROL!$C$15, $D$11, 100%, $F$11)</f>
        <v>14.5063</v>
      </c>
      <c r="J560" s="4">
        <f>CHOOSE( CONTROL!$C$32, 14.3944, 14.3941) * CHOOSE(CONTROL!$C$15, $D$11, 100%, $F$11)</f>
        <v>14.394399999999999</v>
      </c>
      <c r="K560" s="4"/>
      <c r="L560" s="9">
        <v>30.092199999999998</v>
      </c>
      <c r="M560" s="9">
        <v>11.6745</v>
      </c>
      <c r="N560" s="9">
        <v>4.7850000000000001</v>
      </c>
      <c r="O560" s="9">
        <v>0.36199999999999999</v>
      </c>
      <c r="P560" s="9">
        <v>1.2509999999999999</v>
      </c>
      <c r="Q560" s="9">
        <v>19.053000000000001</v>
      </c>
      <c r="R560" s="9"/>
      <c r="S560" s="11"/>
    </row>
    <row r="561" spans="1:19" ht="15.75">
      <c r="A561" s="13">
        <v>58226</v>
      </c>
      <c r="B561" s="8">
        <f>CHOOSE( CONTROL!$C$32, 15.2385, 15.238) * CHOOSE(CONTROL!$C$15, $D$11, 100%, $F$11)</f>
        <v>15.2385</v>
      </c>
      <c r="C561" s="8">
        <f>CHOOSE( CONTROL!$C$32, 15.2464, 15.246) * CHOOSE(CONTROL!$C$15, $D$11, 100%, $F$11)</f>
        <v>15.2464</v>
      </c>
      <c r="D561" s="8">
        <f>CHOOSE( CONTROL!$C$32, 15.2452, 15.2448) * CHOOSE( CONTROL!$C$15, $D$11, 100%, $F$11)</f>
        <v>15.245200000000001</v>
      </c>
      <c r="E561" s="12">
        <f>CHOOSE( CONTROL!$C$32, 15.2444, 15.244) * CHOOSE( CONTROL!$C$15, $D$11, 100%, $F$11)</f>
        <v>15.244400000000001</v>
      </c>
      <c r="F561" s="4">
        <f>CHOOSE( CONTROL!$C$32, 15.9413, 15.9408) * CHOOSE(CONTROL!$C$15, $D$11, 100%, $F$11)</f>
        <v>15.9413</v>
      </c>
      <c r="G561" s="8">
        <f>CHOOSE( CONTROL!$C$32, 15.0699, 15.0695) * CHOOSE( CONTROL!$C$15, $D$11, 100%, $F$11)</f>
        <v>15.069900000000001</v>
      </c>
      <c r="H561" s="4">
        <f>CHOOSE( CONTROL!$C$32, 16.0013, 16.0008) * CHOOSE(CONTROL!$C$15, $D$11, 100%, $F$11)</f>
        <v>16.001300000000001</v>
      </c>
      <c r="I561" s="8">
        <f>CHOOSE( CONTROL!$C$32, 14.8894, 14.8889) * CHOOSE(CONTROL!$C$15, $D$11, 100%, $F$11)</f>
        <v>14.8894</v>
      </c>
      <c r="J561" s="4">
        <f>CHOOSE( CONTROL!$C$32, 14.7781, 14.7777) * CHOOSE(CONTROL!$C$15, $D$11, 100%, $F$11)</f>
        <v>14.7781</v>
      </c>
      <c r="K561" s="4"/>
      <c r="L561" s="9">
        <v>30.7165</v>
      </c>
      <c r="M561" s="9">
        <v>12.063700000000001</v>
      </c>
      <c r="N561" s="9">
        <v>4.9444999999999997</v>
      </c>
      <c r="O561" s="9">
        <v>0.37409999999999999</v>
      </c>
      <c r="P561" s="9">
        <v>1.2927</v>
      </c>
      <c r="Q561" s="9">
        <v>19.688099999999999</v>
      </c>
      <c r="R561" s="9"/>
      <c r="S561" s="11"/>
    </row>
    <row r="562" spans="1:19" ht="15.75">
      <c r="A562" s="13">
        <v>58256</v>
      </c>
      <c r="B562" s="8">
        <f>CHOOSE( CONTROL!$C$32, 14.9937, 14.9932) * CHOOSE(CONTROL!$C$15, $D$11, 100%, $F$11)</f>
        <v>14.9937</v>
      </c>
      <c r="C562" s="8">
        <f>CHOOSE( CONTROL!$C$32, 15.0016, 15.0012) * CHOOSE(CONTROL!$C$15, $D$11, 100%, $F$11)</f>
        <v>15.0016</v>
      </c>
      <c r="D562" s="8">
        <f>CHOOSE( CONTROL!$C$32, 15.0006, 15.0002) * CHOOSE( CONTROL!$C$15, $D$11, 100%, $F$11)</f>
        <v>15.0006</v>
      </c>
      <c r="E562" s="12">
        <f>CHOOSE( CONTROL!$C$32, 14.9998, 14.9993) * CHOOSE( CONTROL!$C$15, $D$11, 100%, $F$11)</f>
        <v>14.9998</v>
      </c>
      <c r="F562" s="4">
        <f>CHOOSE( CONTROL!$C$32, 15.6965, 15.696) * CHOOSE(CONTROL!$C$15, $D$11, 100%, $F$11)</f>
        <v>15.6965</v>
      </c>
      <c r="G562" s="8">
        <f>CHOOSE( CONTROL!$C$32, 14.8281, 14.8277) * CHOOSE( CONTROL!$C$15, $D$11, 100%, $F$11)</f>
        <v>14.828099999999999</v>
      </c>
      <c r="H562" s="4">
        <f>CHOOSE( CONTROL!$C$32, 15.7593, 15.7589) * CHOOSE(CONTROL!$C$15, $D$11, 100%, $F$11)</f>
        <v>15.7593</v>
      </c>
      <c r="I562" s="8">
        <f>CHOOSE( CONTROL!$C$32, 14.6523, 14.6519) * CHOOSE(CONTROL!$C$15, $D$11, 100%, $F$11)</f>
        <v>14.6523</v>
      </c>
      <c r="J562" s="4">
        <f>CHOOSE( CONTROL!$C$32, 14.5405, 14.5401) * CHOOSE(CONTROL!$C$15, $D$11, 100%, $F$11)</f>
        <v>14.5405</v>
      </c>
      <c r="K562" s="4"/>
      <c r="L562" s="9">
        <v>29.7257</v>
      </c>
      <c r="M562" s="9">
        <v>11.6745</v>
      </c>
      <c r="N562" s="9">
        <v>4.7850000000000001</v>
      </c>
      <c r="O562" s="9">
        <v>0.36199999999999999</v>
      </c>
      <c r="P562" s="9">
        <v>1.2509999999999999</v>
      </c>
      <c r="Q562" s="9">
        <v>19.053000000000001</v>
      </c>
      <c r="R562" s="9"/>
      <c r="S562" s="11"/>
    </row>
    <row r="563" spans="1:19" ht="15.75">
      <c r="A563" s="13">
        <v>58287</v>
      </c>
      <c r="B563" s="8">
        <f>CHOOSE( CONTROL!$C$32, 15.6383, 15.6379) * CHOOSE(CONTROL!$C$15, $D$11, 100%, $F$11)</f>
        <v>15.638299999999999</v>
      </c>
      <c r="C563" s="8">
        <f>CHOOSE( CONTROL!$C$32, 15.6463, 15.6459) * CHOOSE(CONTROL!$C$15, $D$11, 100%, $F$11)</f>
        <v>15.6463</v>
      </c>
      <c r="D563" s="8">
        <f>CHOOSE( CONTROL!$C$32, 15.6455, 15.6451) * CHOOSE( CONTROL!$C$15, $D$11, 100%, $F$11)</f>
        <v>15.6455</v>
      </c>
      <c r="E563" s="12">
        <f>CHOOSE( CONTROL!$C$32, 15.6446, 15.6442) * CHOOSE( CONTROL!$C$15, $D$11, 100%, $F$11)</f>
        <v>15.644600000000001</v>
      </c>
      <c r="F563" s="4">
        <f>CHOOSE( CONTROL!$C$32, 16.3412, 16.3407) * CHOOSE(CONTROL!$C$15, $D$11, 100%, $F$11)</f>
        <v>16.341200000000001</v>
      </c>
      <c r="G563" s="8">
        <f>CHOOSE( CONTROL!$C$32, 15.4655, 15.465) * CHOOSE( CONTROL!$C$15, $D$11, 100%, $F$11)</f>
        <v>15.4655</v>
      </c>
      <c r="H563" s="4">
        <f>CHOOSE( CONTROL!$C$32, 16.3964, 16.396) * CHOOSE(CONTROL!$C$15, $D$11, 100%, $F$11)</f>
        <v>16.3964</v>
      </c>
      <c r="I563" s="8">
        <f>CHOOSE( CONTROL!$C$32, 15.2791, 15.2786) * CHOOSE(CONTROL!$C$15, $D$11, 100%, $F$11)</f>
        <v>15.2791</v>
      </c>
      <c r="J563" s="4">
        <f>CHOOSE( CONTROL!$C$32, 15.1662, 15.1658) * CHOOSE(CONTROL!$C$15, $D$11, 100%, $F$11)</f>
        <v>15.1662</v>
      </c>
      <c r="K563" s="4"/>
      <c r="L563" s="9">
        <v>30.7165</v>
      </c>
      <c r="M563" s="9">
        <v>12.063700000000001</v>
      </c>
      <c r="N563" s="9">
        <v>4.9444999999999997</v>
      </c>
      <c r="O563" s="9">
        <v>0.37409999999999999</v>
      </c>
      <c r="P563" s="9">
        <v>1.2927</v>
      </c>
      <c r="Q563" s="9">
        <v>19.688099999999999</v>
      </c>
      <c r="R563" s="9"/>
      <c r="S563" s="11"/>
    </row>
    <row r="564" spans="1:19" ht="15.75">
      <c r="A564" s="13">
        <v>58318</v>
      </c>
      <c r="B564" s="8">
        <f>CHOOSE( CONTROL!$C$32, 14.4321, 14.4316) * CHOOSE(CONTROL!$C$15, $D$11, 100%, $F$11)</f>
        <v>14.4321</v>
      </c>
      <c r="C564" s="8">
        <f>CHOOSE( CONTROL!$C$32, 14.44, 14.4396) * CHOOSE(CONTROL!$C$15, $D$11, 100%, $F$11)</f>
        <v>14.44</v>
      </c>
      <c r="D564" s="8">
        <f>CHOOSE( CONTROL!$C$32, 14.4393, 14.4389) * CHOOSE( CONTROL!$C$15, $D$11, 100%, $F$11)</f>
        <v>14.439299999999999</v>
      </c>
      <c r="E564" s="12">
        <f>CHOOSE( CONTROL!$C$32, 14.4383, 14.4379) * CHOOSE( CONTROL!$C$15, $D$11, 100%, $F$11)</f>
        <v>14.4383</v>
      </c>
      <c r="F564" s="4">
        <f>CHOOSE( CONTROL!$C$32, 15.1349, 15.1344) * CHOOSE(CONTROL!$C$15, $D$11, 100%, $F$11)</f>
        <v>15.1349</v>
      </c>
      <c r="G564" s="8">
        <f>CHOOSE( CONTROL!$C$32, 14.2734, 14.2729) * CHOOSE( CONTROL!$C$15, $D$11, 100%, $F$11)</f>
        <v>14.273400000000001</v>
      </c>
      <c r="H564" s="4">
        <f>CHOOSE( CONTROL!$C$32, 15.2043, 15.2038) * CHOOSE(CONTROL!$C$15, $D$11, 100%, $F$11)</f>
        <v>15.2043</v>
      </c>
      <c r="I564" s="8">
        <f>CHOOSE( CONTROL!$C$32, 14.108, 14.1076) * CHOOSE(CONTROL!$C$15, $D$11, 100%, $F$11)</f>
        <v>14.108000000000001</v>
      </c>
      <c r="J564" s="4">
        <f>CHOOSE( CONTROL!$C$32, 13.9955, 13.9951) * CHOOSE(CONTROL!$C$15, $D$11, 100%, $F$11)</f>
        <v>13.9955</v>
      </c>
      <c r="K564" s="4"/>
      <c r="L564" s="9">
        <v>30.7165</v>
      </c>
      <c r="M564" s="9">
        <v>12.063700000000001</v>
      </c>
      <c r="N564" s="9">
        <v>4.9444999999999997</v>
      </c>
      <c r="O564" s="9">
        <v>0.37409999999999999</v>
      </c>
      <c r="P564" s="9">
        <v>1.2927</v>
      </c>
      <c r="Q564" s="9">
        <v>19.688099999999999</v>
      </c>
      <c r="R564" s="9"/>
      <c r="S564" s="11"/>
    </row>
    <row r="565" spans="1:19" ht="15.75">
      <c r="A565" s="13">
        <v>58348</v>
      </c>
      <c r="B565" s="8">
        <f>CHOOSE( CONTROL!$C$32, 14.13, 14.1296) * CHOOSE(CONTROL!$C$15, $D$11, 100%, $F$11)</f>
        <v>14.13</v>
      </c>
      <c r="C565" s="8">
        <f>CHOOSE( CONTROL!$C$32, 14.138, 14.1375) * CHOOSE(CONTROL!$C$15, $D$11, 100%, $F$11)</f>
        <v>14.138</v>
      </c>
      <c r="D565" s="8">
        <f>CHOOSE( CONTROL!$C$32, 14.1371, 14.1366) * CHOOSE( CONTROL!$C$15, $D$11, 100%, $F$11)</f>
        <v>14.1371</v>
      </c>
      <c r="E565" s="12">
        <f>CHOOSE( CONTROL!$C$32, 14.1362, 14.1357) * CHOOSE( CONTROL!$C$15, $D$11, 100%, $F$11)</f>
        <v>14.136200000000001</v>
      </c>
      <c r="F565" s="4">
        <f>CHOOSE( CONTROL!$C$32, 14.8328, 14.8324) * CHOOSE(CONTROL!$C$15, $D$11, 100%, $F$11)</f>
        <v>14.832800000000001</v>
      </c>
      <c r="G565" s="8">
        <f>CHOOSE( CONTROL!$C$32, 13.9747, 13.9743) * CHOOSE( CONTROL!$C$15, $D$11, 100%, $F$11)</f>
        <v>13.9747</v>
      </c>
      <c r="H565" s="4">
        <f>CHOOSE( CONTROL!$C$32, 14.9058, 14.9053) * CHOOSE(CONTROL!$C$15, $D$11, 100%, $F$11)</f>
        <v>14.905799999999999</v>
      </c>
      <c r="I565" s="8">
        <f>CHOOSE( CONTROL!$C$32, 13.8142, 13.8138) * CHOOSE(CONTROL!$C$15, $D$11, 100%, $F$11)</f>
        <v>13.8142</v>
      </c>
      <c r="J565" s="4">
        <f>CHOOSE( CONTROL!$C$32, 13.7024, 13.7019) * CHOOSE(CONTROL!$C$15, $D$11, 100%, $F$11)</f>
        <v>13.702400000000001</v>
      </c>
      <c r="K565" s="4"/>
      <c r="L565" s="9">
        <v>29.7257</v>
      </c>
      <c r="M565" s="9">
        <v>11.6745</v>
      </c>
      <c r="N565" s="9">
        <v>4.7850000000000001</v>
      </c>
      <c r="O565" s="9">
        <v>0.36199999999999999</v>
      </c>
      <c r="P565" s="9">
        <v>1.2509999999999999</v>
      </c>
      <c r="Q565" s="9">
        <v>19.053000000000001</v>
      </c>
      <c r="R565" s="9"/>
      <c r="S565" s="11"/>
    </row>
    <row r="566" spans="1:19" ht="15.75">
      <c r="A566" s="13">
        <v>58379</v>
      </c>
      <c r="B566" s="8">
        <f>CHOOSE( CONTROL!$C$32, 14.7553, 14.755) * CHOOSE(CONTROL!$C$15, $D$11, 100%, $F$11)</f>
        <v>14.7553</v>
      </c>
      <c r="C566" s="8">
        <f>CHOOSE( CONTROL!$C$32, 14.7606, 14.7603) * CHOOSE(CONTROL!$C$15, $D$11, 100%, $F$11)</f>
        <v>14.7606</v>
      </c>
      <c r="D566" s="8">
        <f>CHOOSE( CONTROL!$C$32, 14.7653, 14.7651) * CHOOSE( CONTROL!$C$15, $D$11, 100%, $F$11)</f>
        <v>14.7653</v>
      </c>
      <c r="E566" s="12">
        <f>CHOOSE( CONTROL!$C$32, 14.7632, 14.763) * CHOOSE( CONTROL!$C$15, $D$11, 100%, $F$11)</f>
        <v>14.763199999999999</v>
      </c>
      <c r="F566" s="4">
        <f>CHOOSE( CONTROL!$C$32, 15.4598, 15.4596) * CHOOSE(CONTROL!$C$15, $D$11, 100%, $F$11)</f>
        <v>15.4598</v>
      </c>
      <c r="G566" s="8">
        <f>CHOOSE( CONTROL!$C$32, 14.5945, 14.5943) * CHOOSE( CONTROL!$C$15, $D$11, 100%, $F$11)</f>
        <v>14.5945</v>
      </c>
      <c r="H566" s="4">
        <f>CHOOSE( CONTROL!$C$32, 15.5254, 15.5252) * CHOOSE(CONTROL!$C$15, $D$11, 100%, $F$11)</f>
        <v>15.525399999999999</v>
      </c>
      <c r="I566" s="8">
        <f>CHOOSE( CONTROL!$C$32, 14.4238, 14.4236) * CHOOSE(CONTROL!$C$15, $D$11, 100%, $F$11)</f>
        <v>14.4238</v>
      </c>
      <c r="J566" s="4">
        <f>CHOOSE( CONTROL!$C$32, 14.3109, 14.3106) * CHOOSE(CONTROL!$C$15, $D$11, 100%, $F$11)</f>
        <v>14.3109</v>
      </c>
      <c r="K566" s="4"/>
      <c r="L566" s="9">
        <v>31.095300000000002</v>
      </c>
      <c r="M566" s="9">
        <v>12.063700000000001</v>
      </c>
      <c r="N566" s="9">
        <v>4.9444999999999997</v>
      </c>
      <c r="O566" s="9">
        <v>0.37409999999999999</v>
      </c>
      <c r="P566" s="9">
        <v>1.2927</v>
      </c>
      <c r="Q566" s="9">
        <v>19.688099999999999</v>
      </c>
      <c r="R566" s="9"/>
      <c r="S566" s="11"/>
    </row>
    <row r="567" spans="1:19" ht="15.75">
      <c r="A567" s="13">
        <v>58409</v>
      </c>
      <c r="B567" s="8">
        <f>CHOOSE( CONTROL!$C$32, 15.9126, 15.9123) * CHOOSE(CONTROL!$C$15, $D$11, 100%, $F$11)</f>
        <v>15.912599999999999</v>
      </c>
      <c r="C567" s="8">
        <f>CHOOSE( CONTROL!$C$32, 15.9176, 15.9174) * CHOOSE(CONTROL!$C$15, $D$11, 100%, $F$11)</f>
        <v>15.9176</v>
      </c>
      <c r="D567" s="8">
        <f>CHOOSE( CONTROL!$C$32, 15.9003, 15.9001) * CHOOSE( CONTROL!$C$15, $D$11, 100%, $F$11)</f>
        <v>15.9003</v>
      </c>
      <c r="E567" s="12">
        <f>CHOOSE( CONTROL!$C$32, 15.9061, 15.9059) * CHOOSE( CONTROL!$C$15, $D$11, 100%, $F$11)</f>
        <v>15.9061</v>
      </c>
      <c r="F567" s="4">
        <f>CHOOSE( CONTROL!$C$32, 16.5778, 16.5776) * CHOOSE(CONTROL!$C$15, $D$11, 100%, $F$11)</f>
        <v>16.5778</v>
      </c>
      <c r="G567" s="8">
        <f>CHOOSE( CONTROL!$C$32, 15.7356, 15.7353) * CHOOSE( CONTROL!$C$15, $D$11, 100%, $F$11)</f>
        <v>15.7356</v>
      </c>
      <c r="H567" s="4">
        <f>CHOOSE( CONTROL!$C$32, 16.6303, 16.6301) * CHOOSE(CONTROL!$C$15, $D$11, 100%, $F$11)</f>
        <v>16.630299999999998</v>
      </c>
      <c r="I567" s="8">
        <f>CHOOSE( CONTROL!$C$32, 15.6035, 15.6033) * CHOOSE(CONTROL!$C$15, $D$11, 100%, $F$11)</f>
        <v>15.6035</v>
      </c>
      <c r="J567" s="4">
        <f>CHOOSE( CONTROL!$C$32, 15.4344, 15.4341) * CHOOSE(CONTROL!$C$15, $D$11, 100%, $F$11)</f>
        <v>15.4344</v>
      </c>
      <c r="K567" s="4"/>
      <c r="L567" s="9">
        <v>28.360600000000002</v>
      </c>
      <c r="M567" s="9">
        <v>11.6745</v>
      </c>
      <c r="N567" s="9">
        <v>4.7850000000000001</v>
      </c>
      <c r="O567" s="9">
        <v>0.36199999999999999</v>
      </c>
      <c r="P567" s="9">
        <v>1.2509999999999999</v>
      </c>
      <c r="Q567" s="9">
        <v>19.053000000000001</v>
      </c>
      <c r="R567" s="9"/>
      <c r="S567" s="11"/>
    </row>
    <row r="568" spans="1:19" ht="15.75">
      <c r="A568" s="13">
        <v>58440</v>
      </c>
      <c r="B568" s="8">
        <f>CHOOSE( CONTROL!$C$32, 15.8836, 15.8834) * CHOOSE(CONTROL!$C$15, $D$11, 100%, $F$11)</f>
        <v>15.883599999999999</v>
      </c>
      <c r="C568" s="8">
        <f>CHOOSE( CONTROL!$C$32, 15.8887, 15.8884) * CHOOSE(CONTROL!$C$15, $D$11, 100%, $F$11)</f>
        <v>15.8887</v>
      </c>
      <c r="D568" s="8">
        <f>CHOOSE( CONTROL!$C$32, 15.8732, 15.8729) * CHOOSE( CONTROL!$C$15, $D$11, 100%, $F$11)</f>
        <v>15.873200000000001</v>
      </c>
      <c r="E568" s="12">
        <f>CHOOSE( CONTROL!$C$32, 15.8783, 15.878) * CHOOSE( CONTROL!$C$15, $D$11, 100%, $F$11)</f>
        <v>15.878299999999999</v>
      </c>
      <c r="F568" s="4">
        <f>CHOOSE( CONTROL!$C$32, 16.5489, 16.5486) * CHOOSE(CONTROL!$C$15, $D$11, 100%, $F$11)</f>
        <v>16.5489</v>
      </c>
      <c r="G568" s="8">
        <f>CHOOSE( CONTROL!$C$32, 15.7083, 15.708) * CHOOSE( CONTROL!$C$15, $D$11, 100%, $F$11)</f>
        <v>15.708299999999999</v>
      </c>
      <c r="H568" s="4">
        <f>CHOOSE( CONTROL!$C$32, 16.6017, 16.6015) * CHOOSE(CONTROL!$C$15, $D$11, 100%, $F$11)</f>
        <v>16.601700000000001</v>
      </c>
      <c r="I568" s="8">
        <f>CHOOSE( CONTROL!$C$32, 15.581, 15.5808) * CHOOSE(CONTROL!$C$15, $D$11, 100%, $F$11)</f>
        <v>15.581</v>
      </c>
      <c r="J568" s="4">
        <f>CHOOSE( CONTROL!$C$32, 15.4063, 15.406) * CHOOSE(CONTROL!$C$15, $D$11, 100%, $F$11)</f>
        <v>15.4063</v>
      </c>
      <c r="K568" s="4"/>
      <c r="L568" s="9">
        <v>29.306000000000001</v>
      </c>
      <c r="M568" s="9">
        <v>12.063700000000001</v>
      </c>
      <c r="N568" s="9">
        <v>4.9444999999999997</v>
      </c>
      <c r="O568" s="9">
        <v>0.37409999999999999</v>
      </c>
      <c r="P568" s="9">
        <v>1.2927</v>
      </c>
      <c r="Q568" s="9">
        <v>19.688099999999999</v>
      </c>
      <c r="R568" s="9"/>
      <c r="S568" s="11"/>
    </row>
    <row r="569" spans="1:19" ht="15.75">
      <c r="A569" s="13">
        <v>58471</v>
      </c>
      <c r="B569" s="8">
        <f>CHOOSE( CONTROL!$C$32, 16.3519, 16.3516) * CHOOSE(CONTROL!$C$15, $D$11, 100%, $F$11)</f>
        <v>16.351900000000001</v>
      </c>
      <c r="C569" s="8">
        <f>CHOOSE( CONTROL!$C$32, 16.3569, 16.3567) * CHOOSE(CONTROL!$C$15, $D$11, 100%, $F$11)</f>
        <v>16.3569</v>
      </c>
      <c r="D569" s="8">
        <f>CHOOSE( CONTROL!$C$32, 16.3474, 16.3471) * CHOOSE( CONTROL!$C$15, $D$11, 100%, $F$11)</f>
        <v>16.3474</v>
      </c>
      <c r="E569" s="12">
        <f>CHOOSE( CONTROL!$C$32, 16.3503, 16.3501) * CHOOSE( CONTROL!$C$15, $D$11, 100%, $F$11)</f>
        <v>16.350300000000001</v>
      </c>
      <c r="F569" s="4">
        <f>CHOOSE( CONTROL!$C$32, 17.0171, 17.0169) * CHOOSE(CONTROL!$C$15, $D$11, 100%, $F$11)</f>
        <v>17.017099999999999</v>
      </c>
      <c r="G569" s="8">
        <f>CHOOSE( CONTROL!$C$32, 16.1717, 16.1715) * CHOOSE( CONTROL!$C$15, $D$11, 100%, $F$11)</f>
        <v>16.171700000000001</v>
      </c>
      <c r="H569" s="4">
        <f>CHOOSE( CONTROL!$C$32, 17.0645, 17.0642) * CHOOSE(CONTROL!$C$15, $D$11, 100%, $F$11)</f>
        <v>17.064499999999999</v>
      </c>
      <c r="I569" s="8">
        <f>CHOOSE( CONTROL!$C$32, 16.0161, 16.0159) * CHOOSE(CONTROL!$C$15, $D$11, 100%, $F$11)</f>
        <v>16.016100000000002</v>
      </c>
      <c r="J569" s="4">
        <f>CHOOSE( CONTROL!$C$32, 15.8607, 15.8605) * CHOOSE(CONTROL!$C$15, $D$11, 100%, $F$11)</f>
        <v>15.8607</v>
      </c>
      <c r="K569" s="4"/>
      <c r="L569" s="9">
        <v>29.306000000000001</v>
      </c>
      <c r="M569" s="9">
        <v>12.063700000000001</v>
      </c>
      <c r="N569" s="9">
        <v>4.9444999999999997</v>
      </c>
      <c r="O569" s="9">
        <v>0.37409999999999999</v>
      </c>
      <c r="P569" s="9">
        <v>1.2927</v>
      </c>
      <c r="Q569" s="9">
        <v>19.688099999999999</v>
      </c>
      <c r="R569" s="9"/>
      <c r="S569" s="11"/>
    </row>
    <row r="570" spans="1:19" ht="15.75">
      <c r="A570" s="13">
        <v>58499</v>
      </c>
      <c r="B570" s="8">
        <f>CHOOSE( CONTROL!$C$32, 15.2953, 15.2951) * CHOOSE(CONTROL!$C$15, $D$11, 100%, $F$11)</f>
        <v>15.295299999999999</v>
      </c>
      <c r="C570" s="8">
        <f>CHOOSE( CONTROL!$C$32, 15.3004, 15.3002) * CHOOSE(CONTROL!$C$15, $D$11, 100%, $F$11)</f>
        <v>15.3004</v>
      </c>
      <c r="D570" s="8">
        <f>CHOOSE( CONTROL!$C$32, 15.2925, 15.2923) * CHOOSE( CONTROL!$C$15, $D$11, 100%, $F$11)</f>
        <v>15.2925</v>
      </c>
      <c r="E570" s="12">
        <f>CHOOSE( CONTROL!$C$32, 15.2948, 15.2946) * CHOOSE( CONTROL!$C$15, $D$11, 100%, $F$11)</f>
        <v>15.2948</v>
      </c>
      <c r="F570" s="4">
        <f>CHOOSE( CONTROL!$C$32, 15.9606, 15.9604) * CHOOSE(CONTROL!$C$15, $D$11, 100%, $F$11)</f>
        <v>15.960599999999999</v>
      </c>
      <c r="G570" s="8">
        <f>CHOOSE( CONTROL!$C$32, 15.1261, 15.1259) * CHOOSE( CONTROL!$C$15, $D$11, 100%, $F$11)</f>
        <v>15.126099999999999</v>
      </c>
      <c r="H570" s="4">
        <f>CHOOSE( CONTROL!$C$32, 16.0204, 16.0201) * CHOOSE(CONTROL!$C$15, $D$11, 100%, $F$11)</f>
        <v>16.020399999999999</v>
      </c>
      <c r="I570" s="8">
        <f>CHOOSE( CONTROL!$C$32, 14.9749, 14.9746) * CHOOSE(CONTROL!$C$15, $D$11, 100%, $F$11)</f>
        <v>14.9749</v>
      </c>
      <c r="J570" s="4">
        <f>CHOOSE( CONTROL!$C$32, 14.8354, 14.8351) * CHOOSE(CONTROL!$C$15, $D$11, 100%, $F$11)</f>
        <v>14.8354</v>
      </c>
      <c r="K570" s="4"/>
      <c r="L570" s="9">
        <v>27.415299999999998</v>
      </c>
      <c r="M570" s="9">
        <v>11.285299999999999</v>
      </c>
      <c r="N570" s="9">
        <v>4.6254999999999997</v>
      </c>
      <c r="O570" s="9">
        <v>0.34989999999999999</v>
      </c>
      <c r="P570" s="9">
        <v>1.2093</v>
      </c>
      <c r="Q570" s="9">
        <v>18.417899999999999</v>
      </c>
      <c r="R570" s="9"/>
      <c r="S570" s="11"/>
    </row>
    <row r="571" spans="1:19" ht="15.75">
      <c r="A571" s="13">
        <v>58531</v>
      </c>
      <c r="B571" s="8">
        <f>CHOOSE( CONTROL!$C$32, 14.9699, 14.9697) * CHOOSE(CONTROL!$C$15, $D$11, 100%, $F$11)</f>
        <v>14.969900000000001</v>
      </c>
      <c r="C571" s="8">
        <f>CHOOSE( CONTROL!$C$32, 14.975, 14.9747) * CHOOSE(CONTROL!$C$15, $D$11, 100%, $F$11)</f>
        <v>14.975</v>
      </c>
      <c r="D571" s="8">
        <f>CHOOSE( CONTROL!$C$32, 14.9623, 14.962) * CHOOSE( CONTROL!$C$15, $D$11, 100%, $F$11)</f>
        <v>14.962300000000001</v>
      </c>
      <c r="E571" s="12">
        <f>CHOOSE( CONTROL!$C$32, 14.9664, 14.9661) * CHOOSE( CONTROL!$C$15, $D$11, 100%, $F$11)</f>
        <v>14.9664</v>
      </c>
      <c r="F571" s="4">
        <f>CHOOSE( CONTROL!$C$32, 15.6352, 15.635) * CHOOSE(CONTROL!$C$15, $D$11, 100%, $F$11)</f>
        <v>15.635199999999999</v>
      </c>
      <c r="G571" s="8">
        <f>CHOOSE( CONTROL!$C$32, 14.8011, 14.8008) * CHOOSE( CONTROL!$C$15, $D$11, 100%, $F$11)</f>
        <v>14.8011</v>
      </c>
      <c r="H571" s="4">
        <f>CHOOSE( CONTROL!$C$32, 15.6988, 15.6985) * CHOOSE(CONTROL!$C$15, $D$11, 100%, $F$11)</f>
        <v>15.6988</v>
      </c>
      <c r="I571" s="8">
        <f>CHOOSE( CONTROL!$C$32, 14.6573, 14.6571) * CHOOSE(CONTROL!$C$15, $D$11, 100%, $F$11)</f>
        <v>14.657299999999999</v>
      </c>
      <c r="J571" s="4">
        <f>CHOOSE( CONTROL!$C$32, 14.5196, 14.5193) * CHOOSE(CONTROL!$C$15, $D$11, 100%, $F$11)</f>
        <v>14.519600000000001</v>
      </c>
      <c r="K571" s="4"/>
      <c r="L571" s="9">
        <v>29.306000000000001</v>
      </c>
      <c r="M571" s="9">
        <v>12.063700000000001</v>
      </c>
      <c r="N571" s="9">
        <v>4.9444999999999997</v>
      </c>
      <c r="O571" s="9">
        <v>0.37409999999999999</v>
      </c>
      <c r="P571" s="9">
        <v>1.2927</v>
      </c>
      <c r="Q571" s="9">
        <v>19.688099999999999</v>
      </c>
      <c r="R571" s="9"/>
      <c r="S571" s="11"/>
    </row>
    <row r="572" spans="1:19" ht="15.75">
      <c r="A572" s="13">
        <v>58561</v>
      </c>
      <c r="B572" s="8">
        <f>CHOOSE( CONTROL!$C$32, 15.1981, 15.1978) * CHOOSE(CONTROL!$C$15, $D$11, 100%, $F$11)</f>
        <v>15.1981</v>
      </c>
      <c r="C572" s="8">
        <f>CHOOSE( CONTROL!$C$32, 15.2026, 15.2023) * CHOOSE(CONTROL!$C$15, $D$11, 100%, $F$11)</f>
        <v>15.2026</v>
      </c>
      <c r="D572" s="8">
        <f>CHOOSE( CONTROL!$C$32, 15.2075, 15.2072) * CHOOSE( CONTROL!$C$15, $D$11, 100%, $F$11)</f>
        <v>15.2075</v>
      </c>
      <c r="E572" s="12">
        <f>CHOOSE( CONTROL!$C$32, 15.2054, 15.2051) * CHOOSE( CONTROL!$C$15, $D$11, 100%, $F$11)</f>
        <v>15.205399999999999</v>
      </c>
      <c r="F572" s="4">
        <f>CHOOSE( CONTROL!$C$32, 15.9023, 15.902) * CHOOSE(CONTROL!$C$15, $D$11, 100%, $F$11)</f>
        <v>15.9023</v>
      </c>
      <c r="G572" s="8">
        <f>CHOOSE( CONTROL!$C$32, 15.0316, 15.0313) * CHOOSE( CONTROL!$C$15, $D$11, 100%, $F$11)</f>
        <v>15.031599999999999</v>
      </c>
      <c r="H572" s="4">
        <f>CHOOSE( CONTROL!$C$32, 15.9627, 15.9624) * CHOOSE(CONTROL!$C$15, $D$11, 100%, $F$11)</f>
        <v>15.9627</v>
      </c>
      <c r="I572" s="8">
        <f>CHOOSE( CONTROL!$C$32, 14.8523, 14.8521) * CHOOSE(CONTROL!$C$15, $D$11, 100%, $F$11)</f>
        <v>14.8523</v>
      </c>
      <c r="J572" s="4">
        <f>CHOOSE( CONTROL!$C$32, 14.7403, 14.74) * CHOOSE(CONTROL!$C$15, $D$11, 100%, $F$11)</f>
        <v>14.7403</v>
      </c>
      <c r="K572" s="4"/>
      <c r="L572" s="9">
        <v>30.092199999999998</v>
      </c>
      <c r="M572" s="9">
        <v>11.6745</v>
      </c>
      <c r="N572" s="9">
        <v>4.7850000000000001</v>
      </c>
      <c r="O572" s="9">
        <v>0.36199999999999999</v>
      </c>
      <c r="P572" s="9">
        <v>1.2509999999999999</v>
      </c>
      <c r="Q572" s="9">
        <v>19.053000000000001</v>
      </c>
      <c r="R572" s="9"/>
      <c r="S572" s="11"/>
    </row>
    <row r="573" spans="1:19" ht="15.75">
      <c r="A573" s="13">
        <v>58592</v>
      </c>
      <c r="B573" s="8">
        <f>CHOOSE( CONTROL!$C$32, 15.6043, 15.6039) * CHOOSE(CONTROL!$C$15, $D$11, 100%, $F$11)</f>
        <v>15.6043</v>
      </c>
      <c r="C573" s="8">
        <f>CHOOSE( CONTROL!$C$32, 15.6123, 15.6119) * CHOOSE(CONTROL!$C$15, $D$11, 100%, $F$11)</f>
        <v>15.612299999999999</v>
      </c>
      <c r="D573" s="8">
        <f>CHOOSE( CONTROL!$C$32, 15.6111, 15.6106) * CHOOSE( CONTROL!$C$15, $D$11, 100%, $F$11)</f>
        <v>15.6111</v>
      </c>
      <c r="E573" s="12">
        <f>CHOOSE( CONTROL!$C$32, 15.6103, 15.6099) * CHOOSE( CONTROL!$C$15, $D$11, 100%, $F$11)</f>
        <v>15.610300000000001</v>
      </c>
      <c r="F573" s="4">
        <f>CHOOSE( CONTROL!$C$32, 16.3072, 16.3067) * CHOOSE(CONTROL!$C$15, $D$11, 100%, $F$11)</f>
        <v>16.307200000000002</v>
      </c>
      <c r="G573" s="8">
        <f>CHOOSE( CONTROL!$C$32, 15.4315, 15.4311) * CHOOSE( CONTROL!$C$15, $D$11, 100%, $F$11)</f>
        <v>15.4315</v>
      </c>
      <c r="H573" s="4">
        <f>CHOOSE( CONTROL!$C$32, 16.3628, 16.3624) * CHOOSE(CONTROL!$C$15, $D$11, 100%, $F$11)</f>
        <v>16.3628</v>
      </c>
      <c r="I573" s="8">
        <f>CHOOSE( CONTROL!$C$32, 15.2446, 15.2442) * CHOOSE(CONTROL!$C$15, $D$11, 100%, $F$11)</f>
        <v>15.2446</v>
      </c>
      <c r="J573" s="4">
        <f>CHOOSE( CONTROL!$C$32, 15.1332, 15.1327) * CHOOSE(CONTROL!$C$15, $D$11, 100%, $F$11)</f>
        <v>15.1332</v>
      </c>
      <c r="K573" s="4"/>
      <c r="L573" s="9">
        <v>30.7165</v>
      </c>
      <c r="M573" s="9">
        <v>12.063700000000001</v>
      </c>
      <c r="N573" s="9">
        <v>4.9444999999999997</v>
      </c>
      <c r="O573" s="9">
        <v>0.37409999999999999</v>
      </c>
      <c r="P573" s="9">
        <v>1.2927</v>
      </c>
      <c r="Q573" s="9">
        <v>19.688099999999999</v>
      </c>
      <c r="R573" s="9"/>
      <c r="S573" s="11"/>
    </row>
    <row r="574" spans="1:19" ht="15.75">
      <c r="A574" s="13">
        <v>58622</v>
      </c>
      <c r="B574" s="8">
        <f>CHOOSE( CONTROL!$C$32, 15.3536, 15.3532) * CHOOSE(CONTROL!$C$15, $D$11, 100%, $F$11)</f>
        <v>15.3536</v>
      </c>
      <c r="C574" s="8">
        <f>CHOOSE( CONTROL!$C$32, 15.3616, 15.3612) * CHOOSE(CONTROL!$C$15, $D$11, 100%, $F$11)</f>
        <v>15.361599999999999</v>
      </c>
      <c r="D574" s="8">
        <f>CHOOSE( CONTROL!$C$32, 15.3606, 15.3601) * CHOOSE( CONTROL!$C$15, $D$11, 100%, $F$11)</f>
        <v>15.3606</v>
      </c>
      <c r="E574" s="12">
        <f>CHOOSE( CONTROL!$C$32, 15.3597, 15.3593) * CHOOSE( CONTROL!$C$15, $D$11, 100%, $F$11)</f>
        <v>15.3597</v>
      </c>
      <c r="F574" s="4">
        <f>CHOOSE( CONTROL!$C$32, 16.0565, 16.056) * CHOOSE(CONTROL!$C$15, $D$11, 100%, $F$11)</f>
        <v>16.0565</v>
      </c>
      <c r="G574" s="8">
        <f>CHOOSE( CONTROL!$C$32, 15.1839, 15.1835) * CHOOSE( CONTROL!$C$15, $D$11, 100%, $F$11)</f>
        <v>15.1839</v>
      </c>
      <c r="H574" s="4">
        <f>CHOOSE( CONTROL!$C$32, 16.1151, 16.1146) * CHOOSE(CONTROL!$C$15, $D$11, 100%, $F$11)</f>
        <v>16.115100000000002</v>
      </c>
      <c r="I574" s="8">
        <f>CHOOSE( CONTROL!$C$32, 15.0019, 15.0014) * CHOOSE(CONTROL!$C$15, $D$11, 100%, $F$11)</f>
        <v>15.001899999999999</v>
      </c>
      <c r="J574" s="4">
        <f>CHOOSE( CONTROL!$C$32, 14.8899, 14.8894) * CHOOSE(CONTROL!$C$15, $D$11, 100%, $F$11)</f>
        <v>14.889900000000001</v>
      </c>
      <c r="K574" s="4"/>
      <c r="L574" s="9">
        <v>29.7257</v>
      </c>
      <c r="M574" s="9">
        <v>11.6745</v>
      </c>
      <c r="N574" s="9">
        <v>4.7850000000000001</v>
      </c>
      <c r="O574" s="9">
        <v>0.36199999999999999</v>
      </c>
      <c r="P574" s="9">
        <v>1.2509999999999999</v>
      </c>
      <c r="Q574" s="9">
        <v>19.053000000000001</v>
      </c>
      <c r="R574" s="9"/>
      <c r="S574" s="11"/>
    </row>
    <row r="575" spans="1:19" ht="15.75">
      <c r="A575" s="13">
        <v>58653</v>
      </c>
      <c r="B575" s="8">
        <f>CHOOSE( CONTROL!$C$32, 16.0138, 16.0134) * CHOOSE(CONTROL!$C$15, $D$11, 100%, $F$11)</f>
        <v>16.0138</v>
      </c>
      <c r="C575" s="8">
        <f>CHOOSE( CONTROL!$C$32, 16.0218, 16.0213) * CHOOSE(CONTROL!$C$15, $D$11, 100%, $F$11)</f>
        <v>16.021799999999999</v>
      </c>
      <c r="D575" s="8">
        <f>CHOOSE( CONTROL!$C$32, 16.021, 16.0205) * CHOOSE( CONTROL!$C$15, $D$11, 100%, $F$11)</f>
        <v>16.021000000000001</v>
      </c>
      <c r="E575" s="12">
        <f>CHOOSE( CONTROL!$C$32, 16.0201, 16.0196) * CHOOSE( CONTROL!$C$15, $D$11, 100%, $F$11)</f>
        <v>16.020099999999999</v>
      </c>
      <c r="F575" s="4">
        <f>CHOOSE( CONTROL!$C$32, 16.7166, 16.7162) * CHOOSE(CONTROL!$C$15, $D$11, 100%, $F$11)</f>
        <v>16.7166</v>
      </c>
      <c r="G575" s="8">
        <f>CHOOSE( CONTROL!$C$32, 15.8365, 15.8361) * CHOOSE( CONTROL!$C$15, $D$11, 100%, $F$11)</f>
        <v>15.836499999999999</v>
      </c>
      <c r="H575" s="4">
        <f>CHOOSE( CONTROL!$C$32, 16.7675, 16.7671) * CHOOSE(CONTROL!$C$15, $D$11, 100%, $F$11)</f>
        <v>16.767499999999998</v>
      </c>
      <c r="I575" s="8">
        <f>CHOOSE( CONTROL!$C$32, 15.6437, 15.6432) * CHOOSE(CONTROL!$C$15, $D$11, 100%, $F$11)</f>
        <v>15.643700000000001</v>
      </c>
      <c r="J575" s="4">
        <f>CHOOSE( CONTROL!$C$32, 15.5306, 15.5301) * CHOOSE(CONTROL!$C$15, $D$11, 100%, $F$11)</f>
        <v>15.5306</v>
      </c>
      <c r="K575" s="4"/>
      <c r="L575" s="9">
        <v>30.7165</v>
      </c>
      <c r="M575" s="9">
        <v>12.063700000000001</v>
      </c>
      <c r="N575" s="9">
        <v>4.9444999999999997</v>
      </c>
      <c r="O575" s="9">
        <v>0.37409999999999999</v>
      </c>
      <c r="P575" s="9">
        <v>1.2927</v>
      </c>
      <c r="Q575" s="9">
        <v>19.688099999999999</v>
      </c>
      <c r="R575" s="9"/>
      <c r="S575" s="11"/>
    </row>
    <row r="576" spans="1:19" ht="15.75">
      <c r="A576" s="13">
        <v>58684</v>
      </c>
      <c r="B576" s="8">
        <f>CHOOSE( CONTROL!$C$32, 14.7786, 14.7781) * CHOOSE(CONTROL!$C$15, $D$11, 100%, $F$11)</f>
        <v>14.778600000000001</v>
      </c>
      <c r="C576" s="8">
        <f>CHOOSE( CONTROL!$C$32, 14.7865, 14.7861) * CHOOSE(CONTROL!$C$15, $D$11, 100%, $F$11)</f>
        <v>14.7865</v>
      </c>
      <c r="D576" s="8">
        <f>CHOOSE( CONTROL!$C$32, 14.7858, 14.7853) * CHOOSE( CONTROL!$C$15, $D$11, 100%, $F$11)</f>
        <v>14.7858</v>
      </c>
      <c r="E576" s="12">
        <f>CHOOSE( CONTROL!$C$32, 14.7848, 14.7844) * CHOOSE( CONTROL!$C$15, $D$11, 100%, $F$11)</f>
        <v>14.784800000000001</v>
      </c>
      <c r="F576" s="4">
        <f>CHOOSE( CONTROL!$C$32, 15.4814, 15.4809) * CHOOSE(CONTROL!$C$15, $D$11, 100%, $F$11)</f>
        <v>15.481400000000001</v>
      </c>
      <c r="G576" s="8">
        <f>CHOOSE( CONTROL!$C$32, 14.6158, 14.6153) * CHOOSE( CONTROL!$C$15, $D$11, 100%, $F$11)</f>
        <v>14.6158</v>
      </c>
      <c r="H576" s="4">
        <f>CHOOSE( CONTROL!$C$32, 15.5467, 15.5463) * CHOOSE(CONTROL!$C$15, $D$11, 100%, $F$11)</f>
        <v>15.5467</v>
      </c>
      <c r="I576" s="8">
        <f>CHOOSE( CONTROL!$C$32, 14.4445, 14.444) * CHOOSE(CONTROL!$C$15, $D$11, 100%, $F$11)</f>
        <v>14.4445</v>
      </c>
      <c r="J576" s="4">
        <f>CHOOSE( CONTROL!$C$32, 14.3318, 14.3313) * CHOOSE(CONTROL!$C$15, $D$11, 100%, $F$11)</f>
        <v>14.331799999999999</v>
      </c>
      <c r="K576" s="4"/>
      <c r="L576" s="9">
        <v>30.7165</v>
      </c>
      <c r="M576" s="9">
        <v>12.063700000000001</v>
      </c>
      <c r="N576" s="9">
        <v>4.9444999999999997</v>
      </c>
      <c r="O576" s="9">
        <v>0.37409999999999999</v>
      </c>
      <c r="P576" s="9">
        <v>1.2927</v>
      </c>
      <c r="Q576" s="9">
        <v>19.688099999999999</v>
      </c>
      <c r="R576" s="9"/>
      <c r="S576" s="11"/>
    </row>
    <row r="577" spans="1:19" ht="15.75">
      <c r="A577" s="13">
        <v>58714</v>
      </c>
      <c r="B577" s="8">
        <f>CHOOSE( CONTROL!$C$32, 14.4692, 14.4688) * CHOOSE(CONTROL!$C$15, $D$11, 100%, $F$11)</f>
        <v>14.469200000000001</v>
      </c>
      <c r="C577" s="8">
        <f>CHOOSE( CONTROL!$C$32, 14.4772, 14.4768) * CHOOSE(CONTROL!$C$15, $D$11, 100%, $F$11)</f>
        <v>14.4772</v>
      </c>
      <c r="D577" s="8">
        <f>CHOOSE( CONTROL!$C$32, 14.4763, 14.4759) * CHOOSE( CONTROL!$C$15, $D$11, 100%, $F$11)</f>
        <v>14.4763</v>
      </c>
      <c r="E577" s="12">
        <f>CHOOSE( CONTROL!$C$32, 14.4754, 14.475) * CHOOSE( CONTROL!$C$15, $D$11, 100%, $F$11)</f>
        <v>14.4754</v>
      </c>
      <c r="F577" s="4">
        <f>CHOOSE( CONTROL!$C$32, 15.1721, 15.1716) * CHOOSE(CONTROL!$C$15, $D$11, 100%, $F$11)</f>
        <v>15.1721</v>
      </c>
      <c r="G577" s="8">
        <f>CHOOSE( CONTROL!$C$32, 14.31, 14.3095) * CHOOSE( CONTROL!$C$15, $D$11, 100%, $F$11)</f>
        <v>14.31</v>
      </c>
      <c r="H577" s="4">
        <f>CHOOSE( CONTROL!$C$32, 15.241, 15.2406) * CHOOSE(CONTROL!$C$15, $D$11, 100%, $F$11)</f>
        <v>15.241</v>
      </c>
      <c r="I577" s="8">
        <f>CHOOSE( CONTROL!$C$32, 14.1436, 14.1431) * CHOOSE(CONTROL!$C$15, $D$11, 100%, $F$11)</f>
        <v>14.143599999999999</v>
      </c>
      <c r="J577" s="4">
        <f>CHOOSE( CONTROL!$C$32, 14.0316, 14.0311) * CHOOSE(CONTROL!$C$15, $D$11, 100%, $F$11)</f>
        <v>14.031599999999999</v>
      </c>
      <c r="K577" s="4"/>
      <c r="L577" s="9">
        <v>29.7257</v>
      </c>
      <c r="M577" s="9">
        <v>11.6745</v>
      </c>
      <c r="N577" s="9">
        <v>4.7850000000000001</v>
      </c>
      <c r="O577" s="9">
        <v>0.36199999999999999</v>
      </c>
      <c r="P577" s="9">
        <v>1.2509999999999999</v>
      </c>
      <c r="Q577" s="9">
        <v>19.053000000000001</v>
      </c>
      <c r="R577" s="9"/>
      <c r="S577" s="11"/>
    </row>
    <row r="578" spans="1:19" ht="15.75">
      <c r="A578" s="13">
        <v>58745</v>
      </c>
      <c r="B578" s="8">
        <f>CHOOSE( CONTROL!$C$32, 15.1096, 15.1093) * CHOOSE(CONTROL!$C$15, $D$11, 100%, $F$11)</f>
        <v>15.1096</v>
      </c>
      <c r="C578" s="8">
        <f>CHOOSE( CONTROL!$C$32, 15.1149, 15.1146) * CHOOSE(CONTROL!$C$15, $D$11, 100%, $F$11)</f>
        <v>15.1149</v>
      </c>
      <c r="D578" s="8">
        <f>CHOOSE( CONTROL!$C$32, 15.1196, 15.1194) * CHOOSE( CONTROL!$C$15, $D$11, 100%, $F$11)</f>
        <v>15.1196</v>
      </c>
      <c r="E578" s="12">
        <f>CHOOSE( CONTROL!$C$32, 15.1175, 15.1173) * CHOOSE( CONTROL!$C$15, $D$11, 100%, $F$11)</f>
        <v>15.1175</v>
      </c>
      <c r="F578" s="4">
        <f>CHOOSE( CONTROL!$C$32, 15.8141, 15.8139) * CHOOSE(CONTROL!$C$15, $D$11, 100%, $F$11)</f>
        <v>15.8141</v>
      </c>
      <c r="G578" s="8">
        <f>CHOOSE( CONTROL!$C$32, 14.9447, 14.9444) * CHOOSE( CONTROL!$C$15, $D$11, 100%, $F$11)</f>
        <v>14.944699999999999</v>
      </c>
      <c r="H578" s="4">
        <f>CHOOSE( CONTROL!$C$32, 15.8756, 15.8753) * CHOOSE(CONTROL!$C$15, $D$11, 100%, $F$11)</f>
        <v>15.8756</v>
      </c>
      <c r="I578" s="8">
        <f>CHOOSE( CONTROL!$C$32, 14.7678, 14.7676) * CHOOSE(CONTROL!$C$15, $D$11, 100%, $F$11)</f>
        <v>14.767799999999999</v>
      </c>
      <c r="J578" s="4">
        <f>CHOOSE( CONTROL!$C$32, 14.6547, 14.6544) * CHOOSE(CONTROL!$C$15, $D$11, 100%, $F$11)</f>
        <v>14.6547</v>
      </c>
      <c r="K578" s="4"/>
      <c r="L578" s="9">
        <v>31.095300000000002</v>
      </c>
      <c r="M578" s="9">
        <v>12.063700000000001</v>
      </c>
      <c r="N578" s="9">
        <v>4.9444999999999997</v>
      </c>
      <c r="O578" s="9">
        <v>0.37409999999999999</v>
      </c>
      <c r="P578" s="9">
        <v>1.2927</v>
      </c>
      <c r="Q578" s="9">
        <v>19.688099999999999</v>
      </c>
      <c r="R578" s="9"/>
      <c r="S578" s="11"/>
    </row>
    <row r="579" spans="1:19" ht="15.75">
      <c r="A579" s="13">
        <v>58775</v>
      </c>
      <c r="B579" s="8">
        <f>CHOOSE( CONTROL!$C$32, 16.2947, 16.2944) * CHOOSE(CONTROL!$C$15, $D$11, 100%, $F$11)</f>
        <v>16.294699999999999</v>
      </c>
      <c r="C579" s="8">
        <f>CHOOSE( CONTROL!$C$32, 16.2997, 16.2995) * CHOOSE(CONTROL!$C$15, $D$11, 100%, $F$11)</f>
        <v>16.299700000000001</v>
      </c>
      <c r="D579" s="8">
        <f>CHOOSE( CONTROL!$C$32, 16.2824, 16.2822) * CHOOSE( CONTROL!$C$15, $D$11, 100%, $F$11)</f>
        <v>16.282399999999999</v>
      </c>
      <c r="E579" s="12">
        <f>CHOOSE( CONTROL!$C$32, 16.2882, 16.288) * CHOOSE( CONTROL!$C$15, $D$11, 100%, $F$11)</f>
        <v>16.2882</v>
      </c>
      <c r="F579" s="4">
        <f>CHOOSE( CONTROL!$C$32, 16.9599, 16.9597) * CHOOSE(CONTROL!$C$15, $D$11, 100%, $F$11)</f>
        <v>16.959900000000001</v>
      </c>
      <c r="G579" s="8">
        <f>CHOOSE( CONTROL!$C$32, 16.1132, 16.1129) * CHOOSE( CONTROL!$C$15, $D$11, 100%, $F$11)</f>
        <v>16.113199999999999</v>
      </c>
      <c r="H579" s="4">
        <f>CHOOSE( CONTROL!$C$32, 17.008, 17.0077) * CHOOSE(CONTROL!$C$15, $D$11, 100%, $F$11)</f>
        <v>17.007999999999999</v>
      </c>
      <c r="I579" s="8">
        <f>CHOOSE( CONTROL!$C$32, 15.9746, 15.9743) * CHOOSE(CONTROL!$C$15, $D$11, 100%, $F$11)</f>
        <v>15.974600000000001</v>
      </c>
      <c r="J579" s="4">
        <f>CHOOSE( CONTROL!$C$32, 15.8052, 15.805) * CHOOSE(CONTROL!$C$15, $D$11, 100%, $F$11)</f>
        <v>15.805199999999999</v>
      </c>
      <c r="K579" s="4"/>
      <c r="L579" s="9">
        <v>28.360600000000002</v>
      </c>
      <c r="M579" s="9">
        <v>11.6745</v>
      </c>
      <c r="N579" s="9">
        <v>4.7850000000000001</v>
      </c>
      <c r="O579" s="9">
        <v>0.36199999999999999</v>
      </c>
      <c r="P579" s="9">
        <v>1.2509999999999999</v>
      </c>
      <c r="Q579" s="9">
        <v>19.053000000000001</v>
      </c>
      <c r="R579" s="9"/>
      <c r="S579" s="11"/>
    </row>
    <row r="580" spans="1:19" ht="15.75">
      <c r="A580" s="13">
        <v>58806</v>
      </c>
      <c r="B580" s="8">
        <f>CHOOSE( CONTROL!$C$32, 16.265, 16.2648) * CHOOSE(CONTROL!$C$15, $D$11, 100%, $F$11)</f>
        <v>16.265000000000001</v>
      </c>
      <c r="C580" s="8">
        <f>CHOOSE( CONTROL!$C$32, 16.2701, 16.2698) * CHOOSE(CONTROL!$C$15, $D$11, 100%, $F$11)</f>
        <v>16.270099999999999</v>
      </c>
      <c r="D580" s="8">
        <f>CHOOSE( CONTROL!$C$32, 16.2546, 16.2544) * CHOOSE( CONTROL!$C$15, $D$11, 100%, $F$11)</f>
        <v>16.2546</v>
      </c>
      <c r="E580" s="12">
        <f>CHOOSE( CONTROL!$C$32, 16.2597, 16.2595) * CHOOSE( CONTROL!$C$15, $D$11, 100%, $F$11)</f>
        <v>16.259699999999999</v>
      </c>
      <c r="F580" s="4">
        <f>CHOOSE( CONTROL!$C$32, 16.9303, 16.9301) * CHOOSE(CONTROL!$C$15, $D$11, 100%, $F$11)</f>
        <v>16.930299999999999</v>
      </c>
      <c r="G580" s="8">
        <f>CHOOSE( CONTROL!$C$32, 16.0852, 16.085) * CHOOSE( CONTROL!$C$15, $D$11, 100%, $F$11)</f>
        <v>16.0852</v>
      </c>
      <c r="H580" s="4">
        <f>CHOOSE( CONTROL!$C$32, 16.9787, 16.9784) * CHOOSE(CONTROL!$C$15, $D$11, 100%, $F$11)</f>
        <v>16.9787</v>
      </c>
      <c r="I580" s="8">
        <f>CHOOSE( CONTROL!$C$32, 15.9514, 15.9511) * CHOOSE(CONTROL!$C$15, $D$11, 100%, $F$11)</f>
        <v>15.9514</v>
      </c>
      <c r="J580" s="4">
        <f>CHOOSE( CONTROL!$C$32, 15.7765, 15.7762) * CHOOSE(CONTROL!$C$15, $D$11, 100%, $F$11)</f>
        <v>15.7765</v>
      </c>
      <c r="K580" s="4"/>
      <c r="L580" s="9">
        <v>29.306000000000001</v>
      </c>
      <c r="M580" s="9">
        <v>12.063700000000001</v>
      </c>
      <c r="N580" s="9">
        <v>4.9444999999999997</v>
      </c>
      <c r="O580" s="9">
        <v>0.37409999999999999</v>
      </c>
      <c r="P580" s="9">
        <v>1.2927</v>
      </c>
      <c r="Q580" s="9">
        <v>19.688099999999999</v>
      </c>
      <c r="R580" s="9"/>
      <c r="S580" s="11"/>
    </row>
    <row r="581" spans="1:19" ht="15.75">
      <c r="A581" s="13">
        <v>58837</v>
      </c>
      <c r="B581" s="8">
        <f>CHOOSE( CONTROL!$C$32, 16.7445, 16.7443) * CHOOSE(CONTROL!$C$15, $D$11, 100%, $F$11)</f>
        <v>16.744499999999999</v>
      </c>
      <c r="C581" s="8">
        <f>CHOOSE( CONTROL!$C$32, 16.7496, 16.7493) * CHOOSE(CONTROL!$C$15, $D$11, 100%, $F$11)</f>
        <v>16.749600000000001</v>
      </c>
      <c r="D581" s="8">
        <f>CHOOSE( CONTROL!$C$32, 16.7401, 16.7398) * CHOOSE( CONTROL!$C$15, $D$11, 100%, $F$11)</f>
        <v>16.740100000000002</v>
      </c>
      <c r="E581" s="12">
        <f>CHOOSE( CONTROL!$C$32, 16.743, 16.7427) * CHOOSE( CONTROL!$C$15, $D$11, 100%, $F$11)</f>
        <v>16.742999999999999</v>
      </c>
      <c r="F581" s="4">
        <f>CHOOSE( CONTROL!$C$32, 17.4098, 17.4095) * CHOOSE(CONTROL!$C$15, $D$11, 100%, $F$11)</f>
        <v>17.409800000000001</v>
      </c>
      <c r="G581" s="8">
        <f>CHOOSE( CONTROL!$C$32, 16.5598, 16.5596) * CHOOSE( CONTROL!$C$15, $D$11, 100%, $F$11)</f>
        <v>16.559799999999999</v>
      </c>
      <c r="H581" s="4">
        <f>CHOOSE( CONTROL!$C$32, 17.4526, 17.4523) * CHOOSE(CONTROL!$C$15, $D$11, 100%, $F$11)</f>
        <v>17.4526</v>
      </c>
      <c r="I581" s="8">
        <f>CHOOSE( CONTROL!$C$32, 16.3974, 16.3972) * CHOOSE(CONTROL!$C$15, $D$11, 100%, $F$11)</f>
        <v>16.397400000000001</v>
      </c>
      <c r="J581" s="4">
        <f>CHOOSE( CONTROL!$C$32, 16.2418, 16.2416) * CHOOSE(CONTROL!$C$15, $D$11, 100%, $F$11)</f>
        <v>16.241800000000001</v>
      </c>
      <c r="K581" s="4"/>
      <c r="L581" s="9">
        <v>29.306000000000001</v>
      </c>
      <c r="M581" s="9">
        <v>12.063700000000001</v>
      </c>
      <c r="N581" s="9">
        <v>4.9444999999999997</v>
      </c>
      <c r="O581" s="9">
        <v>0.37409999999999999</v>
      </c>
      <c r="P581" s="9">
        <v>1.2927</v>
      </c>
      <c r="Q581" s="9">
        <v>19.688099999999999</v>
      </c>
      <c r="R581" s="9"/>
      <c r="S581" s="11"/>
    </row>
    <row r="582" spans="1:19" ht="15.75">
      <c r="A582" s="13">
        <v>58865</v>
      </c>
      <c r="B582" s="8">
        <f>CHOOSE( CONTROL!$C$32, 15.6626, 15.6624) * CHOOSE(CONTROL!$C$15, $D$11, 100%, $F$11)</f>
        <v>15.662599999999999</v>
      </c>
      <c r="C582" s="8">
        <f>CHOOSE( CONTROL!$C$32, 15.6677, 15.6674) * CHOOSE(CONTROL!$C$15, $D$11, 100%, $F$11)</f>
        <v>15.6677</v>
      </c>
      <c r="D582" s="8">
        <f>CHOOSE( CONTROL!$C$32, 15.6598, 15.6595) * CHOOSE( CONTROL!$C$15, $D$11, 100%, $F$11)</f>
        <v>15.659800000000001</v>
      </c>
      <c r="E582" s="12">
        <f>CHOOSE( CONTROL!$C$32, 15.6621, 15.6619) * CHOOSE( CONTROL!$C$15, $D$11, 100%, $F$11)</f>
        <v>15.662100000000001</v>
      </c>
      <c r="F582" s="4">
        <f>CHOOSE( CONTROL!$C$32, 16.3279, 16.3276) * CHOOSE(CONTROL!$C$15, $D$11, 100%, $F$11)</f>
        <v>16.3279</v>
      </c>
      <c r="G582" s="8">
        <f>CHOOSE( CONTROL!$C$32, 15.4891, 15.4888) * CHOOSE( CONTROL!$C$15, $D$11, 100%, $F$11)</f>
        <v>15.489100000000001</v>
      </c>
      <c r="H582" s="4">
        <f>CHOOSE( CONTROL!$C$32, 16.3833, 16.3831) * CHOOSE(CONTROL!$C$15, $D$11, 100%, $F$11)</f>
        <v>16.383299999999998</v>
      </c>
      <c r="I582" s="8">
        <f>CHOOSE( CONTROL!$C$32, 15.3315, 15.3313) * CHOOSE(CONTROL!$C$15, $D$11, 100%, $F$11)</f>
        <v>15.3315</v>
      </c>
      <c r="J582" s="4">
        <f>CHOOSE( CONTROL!$C$32, 15.1918, 15.1916) * CHOOSE(CONTROL!$C$15, $D$11, 100%, $F$11)</f>
        <v>15.191800000000001</v>
      </c>
      <c r="K582" s="4"/>
      <c r="L582" s="9">
        <v>26.469899999999999</v>
      </c>
      <c r="M582" s="9">
        <v>10.8962</v>
      </c>
      <c r="N582" s="9">
        <v>4.4660000000000002</v>
      </c>
      <c r="O582" s="9">
        <v>0.33789999999999998</v>
      </c>
      <c r="P582" s="9">
        <v>1.1676</v>
      </c>
      <c r="Q582" s="9">
        <v>17.782800000000002</v>
      </c>
      <c r="R582" s="9"/>
      <c r="S582" s="11"/>
    </row>
    <row r="583" spans="1:19" ht="15.75">
      <c r="A583" s="13">
        <v>58893</v>
      </c>
      <c r="B583" s="8">
        <f>CHOOSE( CONTROL!$C$32, 15.3294, 15.3291) * CHOOSE(CONTROL!$C$15, $D$11, 100%, $F$11)</f>
        <v>15.3294</v>
      </c>
      <c r="C583" s="8">
        <f>CHOOSE( CONTROL!$C$32, 15.3345, 15.3342) * CHOOSE(CONTROL!$C$15, $D$11, 100%, $F$11)</f>
        <v>15.3345</v>
      </c>
      <c r="D583" s="8">
        <f>CHOOSE( CONTROL!$C$32, 15.3218, 15.3215) * CHOOSE( CONTROL!$C$15, $D$11, 100%, $F$11)</f>
        <v>15.3218</v>
      </c>
      <c r="E583" s="12">
        <f>CHOOSE( CONTROL!$C$32, 15.3259, 15.3256) * CHOOSE( CONTROL!$C$15, $D$11, 100%, $F$11)</f>
        <v>15.325900000000001</v>
      </c>
      <c r="F583" s="4">
        <f>CHOOSE( CONTROL!$C$32, 15.9947, 15.9944) * CHOOSE(CONTROL!$C$15, $D$11, 100%, $F$11)</f>
        <v>15.9947</v>
      </c>
      <c r="G583" s="8">
        <f>CHOOSE( CONTROL!$C$32, 15.1563, 15.1561) * CHOOSE( CONTROL!$C$15, $D$11, 100%, $F$11)</f>
        <v>15.1563</v>
      </c>
      <c r="H583" s="4">
        <f>CHOOSE( CONTROL!$C$32, 16.054, 16.0538) * CHOOSE(CONTROL!$C$15, $D$11, 100%, $F$11)</f>
        <v>16.053999999999998</v>
      </c>
      <c r="I583" s="8">
        <f>CHOOSE( CONTROL!$C$32, 15.0064, 15.0061) * CHOOSE(CONTROL!$C$15, $D$11, 100%, $F$11)</f>
        <v>15.006399999999999</v>
      </c>
      <c r="J583" s="4">
        <f>CHOOSE( CONTROL!$C$32, 14.8684, 14.8682) * CHOOSE(CONTROL!$C$15, $D$11, 100%, $F$11)</f>
        <v>14.868399999999999</v>
      </c>
      <c r="K583" s="4"/>
      <c r="L583" s="9">
        <v>29.306000000000001</v>
      </c>
      <c r="M583" s="9">
        <v>12.063700000000001</v>
      </c>
      <c r="N583" s="9">
        <v>4.9444999999999997</v>
      </c>
      <c r="O583" s="9">
        <v>0.37409999999999999</v>
      </c>
      <c r="P583" s="9">
        <v>1.2927</v>
      </c>
      <c r="Q583" s="9">
        <v>19.688099999999999</v>
      </c>
      <c r="R583" s="9"/>
      <c r="S583" s="11"/>
    </row>
    <row r="584" spans="1:19" ht="15.75">
      <c r="A584" s="13">
        <v>58926</v>
      </c>
      <c r="B584" s="8">
        <f>CHOOSE( CONTROL!$C$32, 15.563, 15.5628) * CHOOSE(CONTROL!$C$15, $D$11, 100%, $F$11)</f>
        <v>15.563000000000001</v>
      </c>
      <c r="C584" s="8">
        <f>CHOOSE( CONTROL!$C$32, 15.5675, 15.5673) * CHOOSE(CONTROL!$C$15, $D$11, 100%, $F$11)</f>
        <v>15.567500000000001</v>
      </c>
      <c r="D584" s="8">
        <f>CHOOSE( CONTROL!$C$32, 15.5724, 15.5721) * CHOOSE( CONTROL!$C$15, $D$11, 100%, $F$11)</f>
        <v>15.5724</v>
      </c>
      <c r="E584" s="12">
        <f>CHOOSE( CONTROL!$C$32, 15.5703, 15.57) * CHOOSE( CONTROL!$C$15, $D$11, 100%, $F$11)</f>
        <v>15.5703</v>
      </c>
      <c r="F584" s="4">
        <f>CHOOSE( CONTROL!$C$32, 16.2672, 16.2669) * CHOOSE(CONTROL!$C$15, $D$11, 100%, $F$11)</f>
        <v>16.267199999999999</v>
      </c>
      <c r="G584" s="8">
        <f>CHOOSE( CONTROL!$C$32, 15.3922, 15.3919) * CHOOSE( CONTROL!$C$15, $D$11, 100%, $F$11)</f>
        <v>15.392200000000001</v>
      </c>
      <c r="H584" s="4">
        <f>CHOOSE( CONTROL!$C$32, 16.3234, 16.3231) * CHOOSE(CONTROL!$C$15, $D$11, 100%, $F$11)</f>
        <v>16.323399999999999</v>
      </c>
      <c r="I584" s="8">
        <f>CHOOSE( CONTROL!$C$32, 15.2067, 15.2064) * CHOOSE(CONTROL!$C$15, $D$11, 100%, $F$11)</f>
        <v>15.2067</v>
      </c>
      <c r="J584" s="4">
        <f>CHOOSE( CONTROL!$C$32, 15.0944, 15.0942) * CHOOSE(CONTROL!$C$15, $D$11, 100%, $F$11)</f>
        <v>15.0944</v>
      </c>
      <c r="K584" s="4"/>
      <c r="L584" s="9">
        <v>30.092199999999998</v>
      </c>
      <c r="M584" s="9">
        <v>11.6745</v>
      </c>
      <c r="N584" s="9">
        <v>4.7850000000000001</v>
      </c>
      <c r="O584" s="9">
        <v>0.36199999999999999</v>
      </c>
      <c r="P584" s="9">
        <v>1.2509999999999999</v>
      </c>
      <c r="Q584" s="9">
        <v>19.053000000000001</v>
      </c>
      <c r="R584" s="9"/>
      <c r="S584" s="11"/>
    </row>
    <row r="585" spans="1:19" ht="15.75">
      <c r="A585" s="13">
        <v>58957</v>
      </c>
      <c r="B585" s="8">
        <f>CHOOSE( CONTROL!$C$32, 15.979, 15.9785) * CHOOSE(CONTROL!$C$15, $D$11, 100%, $F$11)</f>
        <v>15.978999999999999</v>
      </c>
      <c r="C585" s="8">
        <f>CHOOSE( CONTROL!$C$32, 15.987, 15.9865) * CHOOSE(CONTROL!$C$15, $D$11, 100%, $F$11)</f>
        <v>15.987</v>
      </c>
      <c r="D585" s="8">
        <f>CHOOSE( CONTROL!$C$32, 15.9857, 15.9853) * CHOOSE( CONTROL!$C$15, $D$11, 100%, $F$11)</f>
        <v>15.9857</v>
      </c>
      <c r="E585" s="12">
        <f>CHOOSE( CONTROL!$C$32, 15.985, 15.9845) * CHOOSE( CONTROL!$C$15, $D$11, 100%, $F$11)</f>
        <v>15.984999999999999</v>
      </c>
      <c r="F585" s="4">
        <f>CHOOSE( CONTROL!$C$32, 16.6818, 16.6814) * CHOOSE(CONTROL!$C$15, $D$11, 100%, $F$11)</f>
        <v>16.681799999999999</v>
      </c>
      <c r="G585" s="8">
        <f>CHOOSE( CONTROL!$C$32, 15.8018, 15.8013) * CHOOSE( CONTROL!$C$15, $D$11, 100%, $F$11)</f>
        <v>15.8018</v>
      </c>
      <c r="H585" s="4">
        <f>CHOOSE( CONTROL!$C$32, 16.7331, 16.7326) * CHOOSE(CONTROL!$C$15, $D$11, 100%, $F$11)</f>
        <v>16.7331</v>
      </c>
      <c r="I585" s="8">
        <f>CHOOSE( CONTROL!$C$32, 15.6084, 15.608) * CHOOSE(CONTROL!$C$15, $D$11, 100%, $F$11)</f>
        <v>15.6084</v>
      </c>
      <c r="J585" s="4">
        <f>CHOOSE( CONTROL!$C$32, 15.4968, 15.4963) * CHOOSE(CONTROL!$C$15, $D$11, 100%, $F$11)</f>
        <v>15.4968</v>
      </c>
      <c r="K585" s="4"/>
      <c r="L585" s="9">
        <v>30.7165</v>
      </c>
      <c r="M585" s="9">
        <v>12.063700000000001</v>
      </c>
      <c r="N585" s="9">
        <v>4.9444999999999997</v>
      </c>
      <c r="O585" s="9">
        <v>0.37409999999999999</v>
      </c>
      <c r="P585" s="9">
        <v>1.2927</v>
      </c>
      <c r="Q585" s="9">
        <v>19.688099999999999</v>
      </c>
      <c r="R585" s="9"/>
      <c r="S585" s="11"/>
    </row>
    <row r="586" spans="1:19" ht="15.75">
      <c r="A586" s="13">
        <v>58987</v>
      </c>
      <c r="B586" s="8">
        <f>CHOOSE( CONTROL!$C$32, 15.7223, 15.7218) * CHOOSE(CONTROL!$C$15, $D$11, 100%, $F$11)</f>
        <v>15.722300000000001</v>
      </c>
      <c r="C586" s="8">
        <f>CHOOSE( CONTROL!$C$32, 15.7302, 15.7298) * CHOOSE(CONTROL!$C$15, $D$11, 100%, $F$11)</f>
        <v>15.7302</v>
      </c>
      <c r="D586" s="8">
        <f>CHOOSE( CONTROL!$C$32, 15.7292, 15.7288) * CHOOSE( CONTROL!$C$15, $D$11, 100%, $F$11)</f>
        <v>15.729200000000001</v>
      </c>
      <c r="E586" s="12">
        <f>CHOOSE( CONTROL!$C$32, 15.7284, 15.7279) * CHOOSE( CONTROL!$C$15, $D$11, 100%, $F$11)</f>
        <v>15.728400000000001</v>
      </c>
      <c r="F586" s="4">
        <f>CHOOSE( CONTROL!$C$32, 16.4251, 16.4246) * CHOOSE(CONTROL!$C$15, $D$11, 100%, $F$11)</f>
        <v>16.4251</v>
      </c>
      <c r="G586" s="8">
        <f>CHOOSE( CONTROL!$C$32, 15.5482, 15.5478) * CHOOSE( CONTROL!$C$15, $D$11, 100%, $F$11)</f>
        <v>15.5482</v>
      </c>
      <c r="H586" s="4">
        <f>CHOOSE( CONTROL!$C$32, 16.4794, 16.4789) * CHOOSE(CONTROL!$C$15, $D$11, 100%, $F$11)</f>
        <v>16.479399999999998</v>
      </c>
      <c r="I586" s="8">
        <f>CHOOSE( CONTROL!$C$32, 15.3598, 15.3594) * CHOOSE(CONTROL!$C$15, $D$11, 100%, $F$11)</f>
        <v>15.3598</v>
      </c>
      <c r="J586" s="4">
        <f>CHOOSE( CONTROL!$C$32, 15.2476, 15.2472) * CHOOSE(CONTROL!$C$15, $D$11, 100%, $F$11)</f>
        <v>15.2476</v>
      </c>
      <c r="K586" s="4"/>
      <c r="L586" s="9">
        <v>29.7257</v>
      </c>
      <c r="M586" s="9">
        <v>11.6745</v>
      </c>
      <c r="N586" s="9">
        <v>4.7850000000000001</v>
      </c>
      <c r="O586" s="9">
        <v>0.36199999999999999</v>
      </c>
      <c r="P586" s="9">
        <v>1.2509999999999999</v>
      </c>
      <c r="Q586" s="9">
        <v>19.053000000000001</v>
      </c>
      <c r="R586" s="9"/>
      <c r="S586" s="11"/>
    </row>
    <row r="587" spans="1:19" ht="15.75">
      <c r="A587" s="13">
        <v>59018</v>
      </c>
      <c r="B587" s="8">
        <f>CHOOSE( CONTROL!$C$32, 16.3983, 16.3979) * CHOOSE(CONTROL!$C$15, $D$11, 100%, $F$11)</f>
        <v>16.398299999999999</v>
      </c>
      <c r="C587" s="8">
        <f>CHOOSE( CONTROL!$C$32, 16.4063, 16.4058) * CHOOSE(CONTROL!$C$15, $D$11, 100%, $F$11)</f>
        <v>16.406300000000002</v>
      </c>
      <c r="D587" s="8">
        <f>CHOOSE( CONTROL!$C$32, 16.4055, 16.405) * CHOOSE( CONTROL!$C$15, $D$11, 100%, $F$11)</f>
        <v>16.4055</v>
      </c>
      <c r="E587" s="12">
        <f>CHOOSE( CONTROL!$C$32, 16.4046, 16.4041) * CHOOSE( CONTROL!$C$15, $D$11, 100%, $F$11)</f>
        <v>16.404599999999999</v>
      </c>
      <c r="F587" s="4">
        <f>CHOOSE( CONTROL!$C$32, 17.1011, 17.1007) * CHOOSE(CONTROL!$C$15, $D$11, 100%, $F$11)</f>
        <v>17.101099999999999</v>
      </c>
      <c r="G587" s="8">
        <f>CHOOSE( CONTROL!$C$32, 16.2165, 16.2161) * CHOOSE( CONTROL!$C$15, $D$11, 100%, $F$11)</f>
        <v>16.2165</v>
      </c>
      <c r="H587" s="4">
        <f>CHOOSE( CONTROL!$C$32, 17.1475, 17.1471) * CHOOSE(CONTROL!$C$15, $D$11, 100%, $F$11)</f>
        <v>17.147500000000001</v>
      </c>
      <c r="I587" s="8">
        <f>CHOOSE( CONTROL!$C$32, 16.017, 16.0166) * CHOOSE(CONTROL!$C$15, $D$11, 100%, $F$11)</f>
        <v>16.016999999999999</v>
      </c>
      <c r="J587" s="4">
        <f>CHOOSE( CONTROL!$C$32, 15.9037, 15.9033) * CHOOSE(CONTROL!$C$15, $D$11, 100%, $F$11)</f>
        <v>15.903700000000001</v>
      </c>
      <c r="K587" s="4"/>
      <c r="L587" s="9">
        <v>30.7165</v>
      </c>
      <c r="M587" s="9">
        <v>12.063700000000001</v>
      </c>
      <c r="N587" s="9">
        <v>4.9444999999999997</v>
      </c>
      <c r="O587" s="9">
        <v>0.37409999999999999</v>
      </c>
      <c r="P587" s="9">
        <v>1.2927</v>
      </c>
      <c r="Q587" s="9">
        <v>19.688099999999999</v>
      </c>
      <c r="R587" s="9"/>
      <c r="S587" s="11"/>
    </row>
    <row r="588" spans="1:19" ht="15.75">
      <c r="A588" s="13">
        <v>59049</v>
      </c>
      <c r="B588" s="8">
        <f>CHOOSE( CONTROL!$C$32, 15.1334, 15.1329) * CHOOSE(CONTROL!$C$15, $D$11, 100%, $F$11)</f>
        <v>15.1334</v>
      </c>
      <c r="C588" s="8">
        <f>CHOOSE( CONTROL!$C$32, 15.1413, 15.1409) * CHOOSE(CONTROL!$C$15, $D$11, 100%, $F$11)</f>
        <v>15.141299999999999</v>
      </c>
      <c r="D588" s="8">
        <f>CHOOSE( CONTROL!$C$32, 15.1406, 15.1402) * CHOOSE( CONTROL!$C$15, $D$11, 100%, $F$11)</f>
        <v>15.140599999999999</v>
      </c>
      <c r="E588" s="12">
        <f>CHOOSE( CONTROL!$C$32, 15.1396, 15.1392) * CHOOSE( CONTROL!$C$15, $D$11, 100%, $F$11)</f>
        <v>15.1396</v>
      </c>
      <c r="F588" s="4">
        <f>CHOOSE( CONTROL!$C$32, 15.8362, 15.8357) * CHOOSE(CONTROL!$C$15, $D$11, 100%, $F$11)</f>
        <v>15.8362</v>
      </c>
      <c r="G588" s="8">
        <f>CHOOSE( CONTROL!$C$32, 14.9664, 14.966) * CHOOSE( CONTROL!$C$15, $D$11, 100%, $F$11)</f>
        <v>14.9664</v>
      </c>
      <c r="H588" s="4">
        <f>CHOOSE( CONTROL!$C$32, 15.8974, 15.8969) * CHOOSE(CONTROL!$C$15, $D$11, 100%, $F$11)</f>
        <v>15.897399999999999</v>
      </c>
      <c r="I588" s="8">
        <f>CHOOSE( CONTROL!$C$32, 14.789, 14.7885) * CHOOSE(CONTROL!$C$15, $D$11, 100%, $F$11)</f>
        <v>14.789</v>
      </c>
      <c r="J588" s="4">
        <f>CHOOSE( CONTROL!$C$32, 14.6761, 14.6757) * CHOOSE(CONTROL!$C$15, $D$11, 100%, $F$11)</f>
        <v>14.6761</v>
      </c>
      <c r="K588" s="4"/>
      <c r="L588" s="9">
        <v>30.7165</v>
      </c>
      <c r="M588" s="9">
        <v>12.063700000000001</v>
      </c>
      <c r="N588" s="9">
        <v>4.9444999999999997</v>
      </c>
      <c r="O588" s="9">
        <v>0.37409999999999999</v>
      </c>
      <c r="P588" s="9">
        <v>1.2927</v>
      </c>
      <c r="Q588" s="9">
        <v>19.688099999999999</v>
      </c>
      <c r="R588" s="9"/>
      <c r="S588" s="11"/>
    </row>
    <row r="589" spans="1:19" ht="15.75">
      <c r="A589" s="13">
        <v>59079</v>
      </c>
      <c r="B589" s="8">
        <f>CHOOSE( CONTROL!$C$32, 14.8166, 14.8162) * CHOOSE(CONTROL!$C$15, $D$11, 100%, $F$11)</f>
        <v>14.816599999999999</v>
      </c>
      <c r="C589" s="8">
        <f>CHOOSE( CONTROL!$C$32, 14.8246, 14.8241) * CHOOSE(CONTROL!$C$15, $D$11, 100%, $F$11)</f>
        <v>14.8246</v>
      </c>
      <c r="D589" s="8">
        <f>CHOOSE( CONTROL!$C$32, 14.8237, 14.8232) * CHOOSE( CONTROL!$C$15, $D$11, 100%, $F$11)</f>
        <v>14.823700000000001</v>
      </c>
      <c r="E589" s="12">
        <f>CHOOSE( CONTROL!$C$32, 14.8228, 14.8223) * CHOOSE( CONTROL!$C$15, $D$11, 100%, $F$11)</f>
        <v>14.822800000000001</v>
      </c>
      <c r="F589" s="4">
        <f>CHOOSE( CONTROL!$C$32, 15.5194, 15.519) * CHOOSE(CONTROL!$C$15, $D$11, 100%, $F$11)</f>
        <v>15.519399999999999</v>
      </c>
      <c r="G589" s="8">
        <f>CHOOSE( CONTROL!$C$32, 14.6533, 14.6528) * CHOOSE( CONTROL!$C$15, $D$11, 100%, $F$11)</f>
        <v>14.6533</v>
      </c>
      <c r="H589" s="4">
        <f>CHOOSE( CONTROL!$C$32, 15.5843, 15.5839) * CHOOSE(CONTROL!$C$15, $D$11, 100%, $F$11)</f>
        <v>15.584300000000001</v>
      </c>
      <c r="I589" s="8">
        <f>CHOOSE( CONTROL!$C$32, 14.4809, 14.4804) * CHOOSE(CONTROL!$C$15, $D$11, 100%, $F$11)</f>
        <v>14.4809</v>
      </c>
      <c r="J589" s="4">
        <f>CHOOSE( CONTROL!$C$32, 14.3687, 14.3683) * CHOOSE(CONTROL!$C$15, $D$11, 100%, $F$11)</f>
        <v>14.3687</v>
      </c>
      <c r="K589" s="4"/>
      <c r="L589" s="9">
        <v>29.7257</v>
      </c>
      <c r="M589" s="9">
        <v>11.6745</v>
      </c>
      <c r="N589" s="9">
        <v>4.7850000000000001</v>
      </c>
      <c r="O589" s="9">
        <v>0.36199999999999999</v>
      </c>
      <c r="P589" s="9">
        <v>1.2509999999999999</v>
      </c>
      <c r="Q589" s="9">
        <v>19.053000000000001</v>
      </c>
      <c r="R589" s="9"/>
      <c r="S589" s="11"/>
    </row>
    <row r="590" spans="1:19" ht="15.75">
      <c r="A590" s="13">
        <v>59110</v>
      </c>
      <c r="B590" s="8">
        <f>CHOOSE( CONTROL!$C$32, 15.4724, 15.4721) * CHOOSE(CONTROL!$C$15, $D$11, 100%, $F$11)</f>
        <v>15.4724</v>
      </c>
      <c r="C590" s="8">
        <f>CHOOSE( CONTROL!$C$32, 15.4777, 15.4775) * CHOOSE(CONTROL!$C$15, $D$11, 100%, $F$11)</f>
        <v>15.4777</v>
      </c>
      <c r="D590" s="8">
        <f>CHOOSE( CONTROL!$C$32, 15.4824, 15.4822) * CHOOSE( CONTROL!$C$15, $D$11, 100%, $F$11)</f>
        <v>15.4824</v>
      </c>
      <c r="E590" s="12">
        <f>CHOOSE( CONTROL!$C$32, 15.4803, 15.4801) * CHOOSE( CONTROL!$C$15, $D$11, 100%, $F$11)</f>
        <v>15.4803</v>
      </c>
      <c r="F590" s="4">
        <f>CHOOSE( CONTROL!$C$32, 16.1769, 16.1767) * CHOOSE(CONTROL!$C$15, $D$11, 100%, $F$11)</f>
        <v>16.1769</v>
      </c>
      <c r="G590" s="8">
        <f>CHOOSE( CONTROL!$C$32, 15.3033, 15.303) * CHOOSE( CONTROL!$C$15, $D$11, 100%, $F$11)</f>
        <v>15.3033</v>
      </c>
      <c r="H590" s="4">
        <f>CHOOSE( CONTROL!$C$32, 16.2341, 16.2339) * CHOOSE(CONTROL!$C$15, $D$11, 100%, $F$11)</f>
        <v>16.234100000000002</v>
      </c>
      <c r="I590" s="8">
        <f>CHOOSE( CONTROL!$C$32, 15.1201, 15.1199) * CHOOSE(CONTROL!$C$15, $D$11, 100%, $F$11)</f>
        <v>15.120100000000001</v>
      </c>
      <c r="J590" s="4">
        <f>CHOOSE( CONTROL!$C$32, 15.0068, 15.0066) * CHOOSE(CONTROL!$C$15, $D$11, 100%, $F$11)</f>
        <v>15.0068</v>
      </c>
      <c r="K590" s="4"/>
      <c r="L590" s="9">
        <v>31.095300000000002</v>
      </c>
      <c r="M590" s="9">
        <v>12.063700000000001</v>
      </c>
      <c r="N590" s="9">
        <v>4.9444999999999997</v>
      </c>
      <c r="O590" s="9">
        <v>0.37409999999999999</v>
      </c>
      <c r="P590" s="9">
        <v>1.2927</v>
      </c>
      <c r="Q590" s="9">
        <v>19.688099999999999</v>
      </c>
      <c r="R590" s="9"/>
      <c r="S590" s="11"/>
    </row>
    <row r="591" spans="1:19" ht="15.75">
      <c r="A591" s="13">
        <v>59140</v>
      </c>
      <c r="B591" s="8">
        <f>CHOOSE( CONTROL!$C$32, 16.686, 16.6857) * CHOOSE(CONTROL!$C$15, $D$11, 100%, $F$11)</f>
        <v>16.686</v>
      </c>
      <c r="C591" s="8">
        <f>CHOOSE( CONTROL!$C$32, 16.691, 16.6908) * CHOOSE(CONTROL!$C$15, $D$11, 100%, $F$11)</f>
        <v>16.690999999999999</v>
      </c>
      <c r="D591" s="8">
        <f>CHOOSE( CONTROL!$C$32, 16.6737, 16.6735) * CHOOSE( CONTROL!$C$15, $D$11, 100%, $F$11)</f>
        <v>16.6737</v>
      </c>
      <c r="E591" s="12">
        <f>CHOOSE( CONTROL!$C$32, 16.6795, 16.6793) * CHOOSE( CONTROL!$C$15, $D$11, 100%, $F$11)</f>
        <v>16.679500000000001</v>
      </c>
      <c r="F591" s="4">
        <f>CHOOSE( CONTROL!$C$32, 17.3512, 17.351) * CHOOSE(CONTROL!$C$15, $D$11, 100%, $F$11)</f>
        <v>17.351199999999999</v>
      </c>
      <c r="G591" s="8">
        <f>CHOOSE( CONTROL!$C$32, 16.4999, 16.4997) * CHOOSE( CONTROL!$C$15, $D$11, 100%, $F$11)</f>
        <v>16.4999</v>
      </c>
      <c r="H591" s="4">
        <f>CHOOSE( CONTROL!$C$32, 17.3947, 17.3944) * CHOOSE(CONTROL!$C$15, $D$11, 100%, $F$11)</f>
        <v>17.3947</v>
      </c>
      <c r="I591" s="8">
        <f>CHOOSE( CONTROL!$C$32, 16.3545, 16.3542) * CHOOSE(CONTROL!$C$15, $D$11, 100%, $F$11)</f>
        <v>16.354500000000002</v>
      </c>
      <c r="J591" s="4">
        <f>CHOOSE( CONTROL!$C$32, 16.185, 16.1847) * CHOOSE(CONTROL!$C$15, $D$11, 100%, $F$11)</f>
        <v>16.184999999999999</v>
      </c>
      <c r="K591" s="4"/>
      <c r="L591" s="9">
        <v>28.360600000000002</v>
      </c>
      <c r="M591" s="9">
        <v>11.6745</v>
      </c>
      <c r="N591" s="9">
        <v>4.7850000000000001</v>
      </c>
      <c r="O591" s="9">
        <v>0.36199999999999999</v>
      </c>
      <c r="P591" s="9">
        <v>1.2509999999999999</v>
      </c>
      <c r="Q591" s="9">
        <v>19.053000000000001</v>
      </c>
      <c r="R591" s="9"/>
      <c r="S591" s="11"/>
    </row>
    <row r="592" spans="1:19" ht="15.75">
      <c r="A592" s="13">
        <v>59171</v>
      </c>
      <c r="B592" s="8">
        <f>CHOOSE( CONTROL!$C$32, 16.6556, 16.6554) * CHOOSE(CONTROL!$C$15, $D$11, 100%, $F$11)</f>
        <v>16.6556</v>
      </c>
      <c r="C592" s="8">
        <f>CHOOSE( CONTROL!$C$32, 16.6607, 16.6604) * CHOOSE(CONTROL!$C$15, $D$11, 100%, $F$11)</f>
        <v>16.660699999999999</v>
      </c>
      <c r="D592" s="8">
        <f>CHOOSE( CONTROL!$C$32, 16.6452, 16.6449) * CHOOSE( CONTROL!$C$15, $D$11, 100%, $F$11)</f>
        <v>16.645199999999999</v>
      </c>
      <c r="E592" s="12">
        <f>CHOOSE( CONTROL!$C$32, 16.6503, 16.65) * CHOOSE( CONTROL!$C$15, $D$11, 100%, $F$11)</f>
        <v>16.650300000000001</v>
      </c>
      <c r="F592" s="4">
        <f>CHOOSE( CONTROL!$C$32, 17.3209, 17.3206) * CHOOSE(CONTROL!$C$15, $D$11, 100%, $F$11)</f>
        <v>17.320900000000002</v>
      </c>
      <c r="G592" s="8">
        <f>CHOOSE( CONTROL!$C$32, 16.4712, 16.471) * CHOOSE( CONTROL!$C$15, $D$11, 100%, $F$11)</f>
        <v>16.4712</v>
      </c>
      <c r="H592" s="4">
        <f>CHOOSE( CONTROL!$C$32, 17.3647, 17.3644) * CHOOSE(CONTROL!$C$15, $D$11, 100%, $F$11)</f>
        <v>17.364699999999999</v>
      </c>
      <c r="I592" s="8">
        <f>CHOOSE( CONTROL!$C$32, 16.3306, 16.3304) * CHOOSE(CONTROL!$C$15, $D$11, 100%, $F$11)</f>
        <v>16.3306</v>
      </c>
      <c r="J592" s="4">
        <f>CHOOSE( CONTROL!$C$32, 16.1555, 16.1553) * CHOOSE(CONTROL!$C$15, $D$11, 100%, $F$11)</f>
        <v>16.1555</v>
      </c>
      <c r="K592" s="4"/>
      <c r="L592" s="9">
        <v>29.306000000000001</v>
      </c>
      <c r="M592" s="9">
        <v>12.063700000000001</v>
      </c>
      <c r="N592" s="9">
        <v>4.9444999999999997</v>
      </c>
      <c r="O592" s="9">
        <v>0.37409999999999999</v>
      </c>
      <c r="P592" s="9">
        <v>1.2927</v>
      </c>
      <c r="Q592" s="9">
        <v>19.688099999999999</v>
      </c>
      <c r="R592" s="9"/>
      <c r="S592" s="11"/>
    </row>
    <row r="593" spans="1:19" ht="15.75">
      <c r="A593" s="13">
        <v>59202</v>
      </c>
      <c r="B593" s="8">
        <f>CHOOSE( CONTROL!$C$32, 17.1466, 17.1464) * CHOOSE(CONTROL!$C$15, $D$11, 100%, $F$11)</f>
        <v>17.146599999999999</v>
      </c>
      <c r="C593" s="8">
        <f>CHOOSE( CONTROL!$C$32, 17.1517, 17.1514) * CHOOSE(CONTROL!$C$15, $D$11, 100%, $F$11)</f>
        <v>17.151700000000002</v>
      </c>
      <c r="D593" s="8">
        <f>CHOOSE( CONTROL!$C$32, 17.1422, 17.1419) * CHOOSE( CONTROL!$C$15, $D$11, 100%, $F$11)</f>
        <v>17.142199999999999</v>
      </c>
      <c r="E593" s="12">
        <f>CHOOSE( CONTROL!$C$32, 17.1451, 17.1448) * CHOOSE( CONTROL!$C$15, $D$11, 100%, $F$11)</f>
        <v>17.145099999999999</v>
      </c>
      <c r="F593" s="4">
        <f>CHOOSE( CONTROL!$C$32, 17.8119, 17.8117) * CHOOSE(CONTROL!$C$15, $D$11, 100%, $F$11)</f>
        <v>17.811900000000001</v>
      </c>
      <c r="G593" s="8">
        <f>CHOOSE( CONTROL!$C$32, 16.9572, 16.9569) * CHOOSE( CONTROL!$C$15, $D$11, 100%, $F$11)</f>
        <v>16.9572</v>
      </c>
      <c r="H593" s="4">
        <f>CHOOSE( CONTROL!$C$32, 17.85, 17.8497) * CHOOSE(CONTROL!$C$15, $D$11, 100%, $F$11)</f>
        <v>17.850000000000001</v>
      </c>
      <c r="I593" s="8">
        <f>CHOOSE( CONTROL!$C$32, 16.7879, 16.7876) * CHOOSE(CONTROL!$C$15, $D$11, 100%, $F$11)</f>
        <v>16.7879</v>
      </c>
      <c r="J593" s="4">
        <f>CHOOSE( CONTROL!$C$32, 16.6321, 16.6318) * CHOOSE(CONTROL!$C$15, $D$11, 100%, $F$11)</f>
        <v>16.632100000000001</v>
      </c>
      <c r="K593" s="4"/>
      <c r="L593" s="9">
        <v>29.306000000000001</v>
      </c>
      <c r="M593" s="9">
        <v>12.063700000000001</v>
      </c>
      <c r="N593" s="9">
        <v>4.9444999999999997</v>
      </c>
      <c r="O593" s="9">
        <v>0.37409999999999999</v>
      </c>
      <c r="P593" s="9">
        <v>1.2927</v>
      </c>
      <c r="Q593" s="9">
        <v>19.688099999999999</v>
      </c>
      <c r="R593" s="9"/>
      <c r="S593" s="11"/>
    </row>
    <row r="594" spans="1:19" ht="15.75">
      <c r="A594" s="13">
        <v>59230</v>
      </c>
      <c r="B594" s="8">
        <f>CHOOSE( CONTROL!$C$32, 16.0387, 16.0385) * CHOOSE(CONTROL!$C$15, $D$11, 100%, $F$11)</f>
        <v>16.038699999999999</v>
      </c>
      <c r="C594" s="8">
        <f>CHOOSE( CONTROL!$C$32, 16.0438, 16.0435) * CHOOSE(CONTROL!$C$15, $D$11, 100%, $F$11)</f>
        <v>16.043800000000001</v>
      </c>
      <c r="D594" s="8">
        <f>CHOOSE( CONTROL!$C$32, 16.0359, 16.0357) * CHOOSE( CONTROL!$C$15, $D$11, 100%, $F$11)</f>
        <v>16.035900000000002</v>
      </c>
      <c r="E594" s="12">
        <f>CHOOSE( CONTROL!$C$32, 16.0382, 16.038) * CHOOSE( CONTROL!$C$15, $D$11, 100%, $F$11)</f>
        <v>16.0382</v>
      </c>
      <c r="F594" s="4">
        <f>CHOOSE( CONTROL!$C$32, 16.704, 16.7038) * CHOOSE(CONTROL!$C$15, $D$11, 100%, $F$11)</f>
        <v>16.704000000000001</v>
      </c>
      <c r="G594" s="8">
        <f>CHOOSE( CONTROL!$C$32, 15.8608, 15.8605) * CHOOSE( CONTROL!$C$15, $D$11, 100%, $F$11)</f>
        <v>15.860799999999999</v>
      </c>
      <c r="H594" s="4">
        <f>CHOOSE( CONTROL!$C$32, 16.755, 16.7548) * CHOOSE(CONTROL!$C$15, $D$11, 100%, $F$11)</f>
        <v>16.754999999999999</v>
      </c>
      <c r="I594" s="8">
        <f>CHOOSE( CONTROL!$C$32, 15.6967, 15.6965) * CHOOSE(CONTROL!$C$15, $D$11, 100%, $F$11)</f>
        <v>15.6967</v>
      </c>
      <c r="J594" s="4">
        <f>CHOOSE( CONTROL!$C$32, 15.5568, 15.5566) * CHOOSE(CONTROL!$C$15, $D$11, 100%, $F$11)</f>
        <v>15.556800000000001</v>
      </c>
      <c r="K594" s="4"/>
      <c r="L594" s="9">
        <v>26.469899999999999</v>
      </c>
      <c r="M594" s="9">
        <v>10.8962</v>
      </c>
      <c r="N594" s="9">
        <v>4.4660000000000002</v>
      </c>
      <c r="O594" s="9">
        <v>0.33789999999999998</v>
      </c>
      <c r="P594" s="9">
        <v>1.1676</v>
      </c>
      <c r="Q594" s="9">
        <v>17.782800000000002</v>
      </c>
      <c r="R594" s="9"/>
      <c r="S594" s="11"/>
    </row>
    <row r="595" spans="1:19" ht="15.75">
      <c r="A595" s="13">
        <v>59261</v>
      </c>
      <c r="B595" s="8">
        <f>CHOOSE( CONTROL!$C$32, 15.6975, 15.6972) * CHOOSE(CONTROL!$C$15, $D$11, 100%, $F$11)</f>
        <v>15.6975</v>
      </c>
      <c r="C595" s="8">
        <f>CHOOSE( CONTROL!$C$32, 15.7026, 15.7023) * CHOOSE(CONTROL!$C$15, $D$11, 100%, $F$11)</f>
        <v>15.7026</v>
      </c>
      <c r="D595" s="8">
        <f>CHOOSE( CONTROL!$C$32, 15.6899, 15.6896) * CHOOSE( CONTROL!$C$15, $D$11, 100%, $F$11)</f>
        <v>15.6899</v>
      </c>
      <c r="E595" s="12">
        <f>CHOOSE( CONTROL!$C$32, 15.694, 15.6937) * CHOOSE( CONTROL!$C$15, $D$11, 100%, $F$11)</f>
        <v>15.694000000000001</v>
      </c>
      <c r="F595" s="4">
        <f>CHOOSE( CONTROL!$C$32, 16.3628, 16.3625) * CHOOSE(CONTROL!$C$15, $D$11, 100%, $F$11)</f>
        <v>16.3628</v>
      </c>
      <c r="G595" s="8">
        <f>CHOOSE( CONTROL!$C$32, 15.5201, 15.5199) * CHOOSE( CONTROL!$C$15, $D$11, 100%, $F$11)</f>
        <v>15.520099999999999</v>
      </c>
      <c r="H595" s="4">
        <f>CHOOSE( CONTROL!$C$32, 16.4178, 16.4175) * CHOOSE(CONTROL!$C$15, $D$11, 100%, $F$11)</f>
        <v>16.4178</v>
      </c>
      <c r="I595" s="8">
        <f>CHOOSE( CONTROL!$C$32, 15.3638, 15.3635) * CHOOSE(CONTROL!$C$15, $D$11, 100%, $F$11)</f>
        <v>15.363799999999999</v>
      </c>
      <c r="J595" s="4">
        <f>CHOOSE( CONTROL!$C$32, 15.2257, 15.2254) * CHOOSE(CONTROL!$C$15, $D$11, 100%, $F$11)</f>
        <v>15.2257</v>
      </c>
      <c r="K595" s="4"/>
      <c r="L595" s="9">
        <v>29.306000000000001</v>
      </c>
      <c r="M595" s="9">
        <v>12.063700000000001</v>
      </c>
      <c r="N595" s="9">
        <v>4.9444999999999997</v>
      </c>
      <c r="O595" s="9">
        <v>0.37409999999999999</v>
      </c>
      <c r="P595" s="9">
        <v>1.2927</v>
      </c>
      <c r="Q595" s="9">
        <v>19.688099999999999</v>
      </c>
      <c r="R595" s="9"/>
      <c r="S595" s="11"/>
    </row>
    <row r="596" spans="1:19" ht="15.75">
      <c r="A596" s="13">
        <v>59291</v>
      </c>
      <c r="B596" s="8">
        <f>CHOOSE( CONTROL!$C$32, 15.9367, 15.9365) * CHOOSE(CONTROL!$C$15, $D$11, 100%, $F$11)</f>
        <v>15.9367</v>
      </c>
      <c r="C596" s="8">
        <f>CHOOSE( CONTROL!$C$32, 15.9412, 15.941) * CHOOSE(CONTROL!$C$15, $D$11, 100%, $F$11)</f>
        <v>15.9412</v>
      </c>
      <c r="D596" s="8">
        <f>CHOOSE( CONTROL!$C$32, 15.9461, 15.9458) * CHOOSE( CONTROL!$C$15, $D$11, 100%, $F$11)</f>
        <v>15.946099999999999</v>
      </c>
      <c r="E596" s="12">
        <f>CHOOSE( CONTROL!$C$32, 15.944, 15.9437) * CHOOSE( CONTROL!$C$15, $D$11, 100%, $F$11)</f>
        <v>15.944000000000001</v>
      </c>
      <c r="F596" s="4">
        <f>CHOOSE( CONTROL!$C$32, 16.6409, 16.6406) * CHOOSE(CONTROL!$C$15, $D$11, 100%, $F$11)</f>
        <v>16.640899999999998</v>
      </c>
      <c r="G596" s="8">
        <f>CHOOSE( CONTROL!$C$32, 15.7615, 15.7613) * CHOOSE( CONTROL!$C$15, $D$11, 100%, $F$11)</f>
        <v>15.7615</v>
      </c>
      <c r="H596" s="4">
        <f>CHOOSE( CONTROL!$C$32, 16.6927, 16.6924) * CHOOSE(CONTROL!$C$15, $D$11, 100%, $F$11)</f>
        <v>16.692699999999999</v>
      </c>
      <c r="I596" s="8">
        <f>CHOOSE( CONTROL!$C$32, 15.5695, 15.5693) * CHOOSE(CONTROL!$C$15, $D$11, 100%, $F$11)</f>
        <v>15.5695</v>
      </c>
      <c r="J596" s="4">
        <f>CHOOSE( CONTROL!$C$32, 15.4571, 15.4568) * CHOOSE(CONTROL!$C$15, $D$11, 100%, $F$11)</f>
        <v>15.457100000000001</v>
      </c>
      <c r="K596" s="4"/>
      <c r="L596" s="9">
        <v>30.092199999999998</v>
      </c>
      <c r="M596" s="9">
        <v>11.6745</v>
      </c>
      <c r="N596" s="9">
        <v>4.7850000000000001</v>
      </c>
      <c r="O596" s="9">
        <v>0.36199999999999999</v>
      </c>
      <c r="P596" s="9">
        <v>1.2509999999999999</v>
      </c>
      <c r="Q596" s="9">
        <v>19.053000000000001</v>
      </c>
      <c r="R596" s="9"/>
      <c r="S596" s="11"/>
    </row>
    <row r="597" spans="1:19" ht="15.75">
      <c r="A597" s="13">
        <v>59322</v>
      </c>
      <c r="B597" s="8">
        <f>CHOOSE( CONTROL!$C$32, 16.3626, 16.3622) * CHOOSE(CONTROL!$C$15, $D$11, 100%, $F$11)</f>
        <v>16.3626</v>
      </c>
      <c r="C597" s="8">
        <f>CHOOSE( CONTROL!$C$32, 16.3706, 16.3702) * CHOOSE(CONTROL!$C$15, $D$11, 100%, $F$11)</f>
        <v>16.3706</v>
      </c>
      <c r="D597" s="8">
        <f>CHOOSE( CONTROL!$C$32, 16.3694, 16.3689) * CHOOSE( CONTROL!$C$15, $D$11, 100%, $F$11)</f>
        <v>16.369399999999999</v>
      </c>
      <c r="E597" s="12">
        <f>CHOOSE( CONTROL!$C$32, 16.3686, 16.3682) * CHOOSE( CONTROL!$C$15, $D$11, 100%, $F$11)</f>
        <v>16.368600000000001</v>
      </c>
      <c r="F597" s="4">
        <f>CHOOSE( CONTROL!$C$32, 17.0655, 17.065) * CHOOSE(CONTROL!$C$15, $D$11, 100%, $F$11)</f>
        <v>17.0655</v>
      </c>
      <c r="G597" s="8">
        <f>CHOOSE( CONTROL!$C$32, 16.1809, 16.1805) * CHOOSE( CONTROL!$C$15, $D$11, 100%, $F$11)</f>
        <v>16.180900000000001</v>
      </c>
      <c r="H597" s="4">
        <f>CHOOSE( CONTROL!$C$32, 17.1123, 17.1118) * CHOOSE(CONTROL!$C$15, $D$11, 100%, $F$11)</f>
        <v>17.112300000000001</v>
      </c>
      <c r="I597" s="8">
        <f>CHOOSE( CONTROL!$C$32, 15.9809, 15.9805) * CHOOSE(CONTROL!$C$15, $D$11, 100%, $F$11)</f>
        <v>15.9809</v>
      </c>
      <c r="J597" s="4">
        <f>CHOOSE( CONTROL!$C$32, 15.8691, 15.8687) * CHOOSE(CONTROL!$C$15, $D$11, 100%, $F$11)</f>
        <v>15.8691</v>
      </c>
      <c r="K597" s="4"/>
      <c r="L597" s="9">
        <v>30.7165</v>
      </c>
      <c r="M597" s="9">
        <v>12.063700000000001</v>
      </c>
      <c r="N597" s="9">
        <v>4.9444999999999997</v>
      </c>
      <c r="O597" s="9">
        <v>0.37409999999999999</v>
      </c>
      <c r="P597" s="9">
        <v>1.2927</v>
      </c>
      <c r="Q597" s="9">
        <v>19.688099999999999</v>
      </c>
      <c r="R597" s="9"/>
      <c r="S597" s="11"/>
    </row>
    <row r="598" spans="1:19" ht="15.75">
      <c r="A598" s="13">
        <v>59352</v>
      </c>
      <c r="B598" s="8">
        <f>CHOOSE( CONTROL!$C$32, 16.0998, 16.0993) * CHOOSE(CONTROL!$C$15, $D$11, 100%, $F$11)</f>
        <v>16.099799999999998</v>
      </c>
      <c r="C598" s="8">
        <f>CHOOSE( CONTROL!$C$32, 16.1077, 16.1073) * CHOOSE(CONTROL!$C$15, $D$11, 100%, $F$11)</f>
        <v>16.107700000000001</v>
      </c>
      <c r="D598" s="8">
        <f>CHOOSE( CONTROL!$C$32, 16.1067, 16.1063) * CHOOSE( CONTROL!$C$15, $D$11, 100%, $F$11)</f>
        <v>16.1067</v>
      </c>
      <c r="E598" s="12">
        <f>CHOOSE( CONTROL!$C$32, 16.1059, 16.1054) * CHOOSE( CONTROL!$C$15, $D$11, 100%, $F$11)</f>
        <v>16.105899999999998</v>
      </c>
      <c r="F598" s="4">
        <f>CHOOSE( CONTROL!$C$32, 16.8026, 16.8021) * CHOOSE(CONTROL!$C$15, $D$11, 100%, $F$11)</f>
        <v>16.802600000000002</v>
      </c>
      <c r="G598" s="8">
        <f>CHOOSE( CONTROL!$C$32, 15.9213, 15.9208) * CHOOSE( CONTROL!$C$15, $D$11, 100%, $F$11)</f>
        <v>15.9213</v>
      </c>
      <c r="H598" s="4">
        <f>CHOOSE( CONTROL!$C$32, 16.8525, 16.852) * CHOOSE(CONTROL!$C$15, $D$11, 100%, $F$11)</f>
        <v>16.852499999999999</v>
      </c>
      <c r="I598" s="8">
        <f>CHOOSE( CONTROL!$C$32, 15.7263, 15.7259) * CHOOSE(CONTROL!$C$15, $D$11, 100%, $F$11)</f>
        <v>15.7263</v>
      </c>
      <c r="J598" s="4">
        <f>CHOOSE( CONTROL!$C$32, 15.614, 15.6136) * CHOOSE(CONTROL!$C$15, $D$11, 100%, $F$11)</f>
        <v>15.614000000000001</v>
      </c>
      <c r="K598" s="4"/>
      <c r="L598" s="9">
        <v>29.7257</v>
      </c>
      <c r="M598" s="9">
        <v>11.6745</v>
      </c>
      <c r="N598" s="9">
        <v>4.7850000000000001</v>
      </c>
      <c r="O598" s="9">
        <v>0.36199999999999999</v>
      </c>
      <c r="P598" s="9">
        <v>1.2509999999999999</v>
      </c>
      <c r="Q598" s="9">
        <v>19.053000000000001</v>
      </c>
      <c r="R598" s="9"/>
      <c r="S598" s="11"/>
    </row>
    <row r="599" spans="1:19" ht="15.75">
      <c r="A599" s="13">
        <v>59383</v>
      </c>
      <c r="B599" s="8">
        <f>CHOOSE( CONTROL!$C$32, 16.792, 16.7916) * CHOOSE(CONTROL!$C$15, $D$11, 100%, $F$11)</f>
        <v>16.792000000000002</v>
      </c>
      <c r="C599" s="8">
        <f>CHOOSE( CONTROL!$C$32, 16.8, 16.7996) * CHOOSE(CONTROL!$C$15, $D$11, 100%, $F$11)</f>
        <v>16.8</v>
      </c>
      <c r="D599" s="8">
        <f>CHOOSE( CONTROL!$C$32, 16.7992, 16.7988) * CHOOSE( CONTROL!$C$15, $D$11, 100%, $F$11)</f>
        <v>16.799199999999999</v>
      </c>
      <c r="E599" s="12">
        <f>CHOOSE( CONTROL!$C$32, 16.7983, 16.7979) * CHOOSE( CONTROL!$C$15, $D$11, 100%, $F$11)</f>
        <v>16.798300000000001</v>
      </c>
      <c r="F599" s="4">
        <f>CHOOSE( CONTROL!$C$32, 17.4949, 17.4944) * CHOOSE(CONTROL!$C$15, $D$11, 100%, $F$11)</f>
        <v>17.494900000000001</v>
      </c>
      <c r="G599" s="8">
        <f>CHOOSE( CONTROL!$C$32, 16.6056, 16.6052) * CHOOSE( CONTROL!$C$15, $D$11, 100%, $F$11)</f>
        <v>16.605599999999999</v>
      </c>
      <c r="H599" s="4">
        <f>CHOOSE( CONTROL!$C$32, 17.5366, 17.5362) * CHOOSE(CONTROL!$C$15, $D$11, 100%, $F$11)</f>
        <v>17.5366</v>
      </c>
      <c r="I599" s="8">
        <f>CHOOSE( CONTROL!$C$32, 16.3993, 16.3989) * CHOOSE(CONTROL!$C$15, $D$11, 100%, $F$11)</f>
        <v>16.3993</v>
      </c>
      <c r="J599" s="4">
        <f>CHOOSE( CONTROL!$C$32, 16.2859, 16.2854) * CHOOSE(CONTROL!$C$15, $D$11, 100%, $F$11)</f>
        <v>16.285900000000002</v>
      </c>
      <c r="K599" s="4"/>
      <c r="L599" s="9">
        <v>30.7165</v>
      </c>
      <c r="M599" s="9">
        <v>12.063700000000001</v>
      </c>
      <c r="N599" s="9">
        <v>4.9444999999999997</v>
      </c>
      <c r="O599" s="9">
        <v>0.37409999999999999</v>
      </c>
      <c r="P599" s="9">
        <v>1.2927</v>
      </c>
      <c r="Q599" s="9">
        <v>19.688099999999999</v>
      </c>
      <c r="R599" s="9"/>
      <c r="S599" s="11"/>
    </row>
    <row r="600" spans="1:19" ht="15.75">
      <c r="A600" s="13">
        <v>59414</v>
      </c>
      <c r="B600" s="8">
        <f>CHOOSE( CONTROL!$C$32, 15.4967, 15.4963) * CHOOSE(CONTROL!$C$15, $D$11, 100%, $F$11)</f>
        <v>15.496700000000001</v>
      </c>
      <c r="C600" s="8">
        <f>CHOOSE( CONTROL!$C$32, 15.5047, 15.5042) * CHOOSE(CONTROL!$C$15, $D$11, 100%, $F$11)</f>
        <v>15.5047</v>
      </c>
      <c r="D600" s="8">
        <f>CHOOSE( CONTROL!$C$32, 15.5039, 15.5035) * CHOOSE( CONTROL!$C$15, $D$11, 100%, $F$11)</f>
        <v>15.5039</v>
      </c>
      <c r="E600" s="12">
        <f>CHOOSE( CONTROL!$C$32, 15.503, 15.5025) * CHOOSE( CONTROL!$C$15, $D$11, 100%, $F$11)</f>
        <v>15.503</v>
      </c>
      <c r="F600" s="4">
        <f>CHOOSE( CONTROL!$C$32, 16.1995, 16.1991) * CHOOSE(CONTROL!$C$15, $D$11, 100%, $F$11)</f>
        <v>16.1995</v>
      </c>
      <c r="G600" s="8">
        <f>CHOOSE( CONTROL!$C$32, 15.3255, 15.3251) * CHOOSE( CONTROL!$C$15, $D$11, 100%, $F$11)</f>
        <v>15.3255</v>
      </c>
      <c r="H600" s="4">
        <f>CHOOSE( CONTROL!$C$32, 16.2565, 16.256) * CHOOSE(CONTROL!$C$15, $D$11, 100%, $F$11)</f>
        <v>16.256499999999999</v>
      </c>
      <c r="I600" s="8">
        <f>CHOOSE( CONTROL!$C$32, 15.1418, 15.1413) * CHOOSE(CONTROL!$C$15, $D$11, 100%, $F$11)</f>
        <v>15.1418</v>
      </c>
      <c r="J600" s="4">
        <f>CHOOSE( CONTROL!$C$32, 15.0287, 15.0283) * CHOOSE(CONTROL!$C$15, $D$11, 100%, $F$11)</f>
        <v>15.028700000000001</v>
      </c>
      <c r="K600" s="4"/>
      <c r="L600" s="9">
        <v>30.7165</v>
      </c>
      <c r="M600" s="9">
        <v>12.063700000000001</v>
      </c>
      <c r="N600" s="9">
        <v>4.9444999999999997</v>
      </c>
      <c r="O600" s="9">
        <v>0.37409999999999999</v>
      </c>
      <c r="P600" s="9">
        <v>1.2927</v>
      </c>
      <c r="Q600" s="9">
        <v>19.688099999999999</v>
      </c>
      <c r="R600" s="9"/>
      <c r="S600" s="11"/>
    </row>
    <row r="601" spans="1:19" ht="15.75">
      <c r="A601" s="13">
        <v>59444</v>
      </c>
      <c r="B601" s="8">
        <f>CHOOSE( CONTROL!$C$32, 15.1723, 15.1719) * CHOOSE(CONTROL!$C$15, $D$11, 100%, $F$11)</f>
        <v>15.1723</v>
      </c>
      <c r="C601" s="8">
        <f>CHOOSE( CONTROL!$C$32, 15.1803, 15.1799) * CHOOSE(CONTROL!$C$15, $D$11, 100%, $F$11)</f>
        <v>15.180300000000001</v>
      </c>
      <c r="D601" s="8">
        <f>CHOOSE( CONTROL!$C$32, 15.1794, 15.179) * CHOOSE( CONTROL!$C$15, $D$11, 100%, $F$11)</f>
        <v>15.179399999999999</v>
      </c>
      <c r="E601" s="12">
        <f>CHOOSE( CONTROL!$C$32, 15.1785, 15.1781) * CHOOSE( CONTROL!$C$15, $D$11, 100%, $F$11)</f>
        <v>15.1785</v>
      </c>
      <c r="F601" s="4">
        <f>CHOOSE( CONTROL!$C$32, 15.8752, 15.8747) * CHOOSE(CONTROL!$C$15, $D$11, 100%, $F$11)</f>
        <v>15.8752</v>
      </c>
      <c r="G601" s="8">
        <f>CHOOSE( CONTROL!$C$32, 15.0048, 15.0044) * CHOOSE( CONTROL!$C$15, $D$11, 100%, $F$11)</f>
        <v>15.004799999999999</v>
      </c>
      <c r="H601" s="4">
        <f>CHOOSE( CONTROL!$C$32, 15.9359, 15.9354) * CHOOSE(CONTROL!$C$15, $D$11, 100%, $F$11)</f>
        <v>15.9359</v>
      </c>
      <c r="I601" s="8">
        <f>CHOOSE( CONTROL!$C$32, 14.8263, 14.8259) * CHOOSE(CONTROL!$C$15, $D$11, 100%, $F$11)</f>
        <v>14.8263</v>
      </c>
      <c r="J601" s="4">
        <f>CHOOSE( CONTROL!$C$32, 14.7139, 14.7135) * CHOOSE(CONTROL!$C$15, $D$11, 100%, $F$11)</f>
        <v>14.713900000000001</v>
      </c>
      <c r="K601" s="4"/>
      <c r="L601" s="9">
        <v>29.7257</v>
      </c>
      <c r="M601" s="9">
        <v>11.6745</v>
      </c>
      <c r="N601" s="9">
        <v>4.7850000000000001</v>
      </c>
      <c r="O601" s="9">
        <v>0.36199999999999999</v>
      </c>
      <c r="P601" s="9">
        <v>1.2509999999999999</v>
      </c>
      <c r="Q601" s="9">
        <v>19.053000000000001</v>
      </c>
      <c r="R601" s="9"/>
      <c r="S601" s="11"/>
    </row>
    <row r="602" spans="1:19" ht="15.75">
      <c r="A602" s="13">
        <v>59475</v>
      </c>
      <c r="B602" s="8">
        <f>CHOOSE( CONTROL!$C$32, 15.8439, 15.8437) * CHOOSE(CONTROL!$C$15, $D$11, 100%, $F$11)</f>
        <v>15.8439</v>
      </c>
      <c r="C602" s="8">
        <f>CHOOSE( CONTROL!$C$32, 15.8493, 15.849) * CHOOSE(CONTROL!$C$15, $D$11, 100%, $F$11)</f>
        <v>15.849299999999999</v>
      </c>
      <c r="D602" s="8">
        <f>CHOOSE( CONTROL!$C$32, 15.854, 15.8537) * CHOOSE( CONTROL!$C$15, $D$11, 100%, $F$11)</f>
        <v>15.853999999999999</v>
      </c>
      <c r="E602" s="12">
        <f>CHOOSE( CONTROL!$C$32, 15.8519, 15.8516) * CHOOSE( CONTROL!$C$15, $D$11, 100%, $F$11)</f>
        <v>15.851900000000001</v>
      </c>
      <c r="F602" s="4">
        <f>CHOOSE( CONTROL!$C$32, 16.5485, 16.5482) * CHOOSE(CONTROL!$C$15, $D$11, 100%, $F$11)</f>
        <v>16.548500000000001</v>
      </c>
      <c r="G602" s="8">
        <f>CHOOSE( CONTROL!$C$32, 15.6704, 15.6702) * CHOOSE( CONTROL!$C$15, $D$11, 100%, $F$11)</f>
        <v>15.670400000000001</v>
      </c>
      <c r="H602" s="4">
        <f>CHOOSE( CONTROL!$C$32, 16.6013, 16.6011) * CHOOSE(CONTROL!$C$15, $D$11, 100%, $F$11)</f>
        <v>16.601299999999998</v>
      </c>
      <c r="I602" s="8">
        <f>CHOOSE( CONTROL!$C$32, 15.4809, 15.4806) * CHOOSE(CONTROL!$C$15, $D$11, 100%, $F$11)</f>
        <v>15.4809</v>
      </c>
      <c r="J602" s="4">
        <f>CHOOSE( CONTROL!$C$32, 15.3674, 15.3671) * CHOOSE(CONTROL!$C$15, $D$11, 100%, $F$11)</f>
        <v>15.3674</v>
      </c>
      <c r="K602" s="4"/>
      <c r="L602" s="9">
        <v>31.095300000000002</v>
      </c>
      <c r="M602" s="9">
        <v>12.063700000000001</v>
      </c>
      <c r="N602" s="9">
        <v>4.9444999999999997</v>
      </c>
      <c r="O602" s="9">
        <v>0.37409999999999999</v>
      </c>
      <c r="P602" s="9">
        <v>1.2927</v>
      </c>
      <c r="Q602" s="9">
        <v>19.688099999999999</v>
      </c>
      <c r="R602" s="9"/>
      <c r="S602" s="11"/>
    </row>
    <row r="603" spans="1:19" ht="15.75">
      <c r="A603" s="13">
        <v>59505</v>
      </c>
      <c r="B603" s="8">
        <f>CHOOSE( CONTROL!$C$32, 17.0867, 17.0864) * CHOOSE(CONTROL!$C$15, $D$11, 100%, $F$11)</f>
        <v>17.0867</v>
      </c>
      <c r="C603" s="8">
        <f>CHOOSE( CONTROL!$C$32, 17.0917, 17.0915) * CHOOSE(CONTROL!$C$15, $D$11, 100%, $F$11)</f>
        <v>17.091699999999999</v>
      </c>
      <c r="D603" s="8">
        <f>CHOOSE( CONTROL!$C$32, 17.0744, 17.0742) * CHOOSE( CONTROL!$C$15, $D$11, 100%, $F$11)</f>
        <v>17.074400000000001</v>
      </c>
      <c r="E603" s="12">
        <f>CHOOSE( CONTROL!$C$32, 17.0802, 17.08) * CHOOSE( CONTROL!$C$15, $D$11, 100%, $F$11)</f>
        <v>17.080200000000001</v>
      </c>
      <c r="F603" s="4">
        <f>CHOOSE( CONTROL!$C$32, 17.7519, 17.7517) * CHOOSE(CONTROL!$C$15, $D$11, 100%, $F$11)</f>
        <v>17.751899999999999</v>
      </c>
      <c r="G603" s="8">
        <f>CHOOSE( CONTROL!$C$32, 16.8959, 16.8957) * CHOOSE( CONTROL!$C$15, $D$11, 100%, $F$11)</f>
        <v>16.895900000000001</v>
      </c>
      <c r="H603" s="4">
        <f>CHOOSE( CONTROL!$C$32, 17.7907, 17.7904) * CHOOSE(CONTROL!$C$15, $D$11, 100%, $F$11)</f>
        <v>17.790700000000001</v>
      </c>
      <c r="I603" s="8">
        <f>CHOOSE( CONTROL!$C$32, 16.7436, 16.7433) * CHOOSE(CONTROL!$C$15, $D$11, 100%, $F$11)</f>
        <v>16.743600000000001</v>
      </c>
      <c r="J603" s="4">
        <f>CHOOSE( CONTROL!$C$32, 16.5739, 16.5736) * CHOOSE(CONTROL!$C$15, $D$11, 100%, $F$11)</f>
        <v>16.573899999999998</v>
      </c>
      <c r="K603" s="4"/>
      <c r="L603" s="9">
        <v>28.360600000000002</v>
      </c>
      <c r="M603" s="9">
        <v>11.6745</v>
      </c>
      <c r="N603" s="9">
        <v>4.7850000000000001</v>
      </c>
      <c r="O603" s="9">
        <v>0.36199999999999999</v>
      </c>
      <c r="P603" s="9">
        <v>1.2509999999999999</v>
      </c>
      <c r="Q603" s="9">
        <v>19.053000000000001</v>
      </c>
      <c r="R603" s="9"/>
      <c r="S603" s="11"/>
    </row>
    <row r="604" spans="1:19" ht="15.75">
      <c r="A604" s="13">
        <v>59536</v>
      </c>
      <c r="B604" s="8">
        <f>CHOOSE( CONTROL!$C$32, 17.0556, 17.0553) * CHOOSE(CONTROL!$C$15, $D$11, 100%, $F$11)</f>
        <v>17.055599999999998</v>
      </c>
      <c r="C604" s="8">
        <f>CHOOSE( CONTROL!$C$32, 17.0607, 17.0604) * CHOOSE(CONTROL!$C$15, $D$11, 100%, $F$11)</f>
        <v>17.060700000000001</v>
      </c>
      <c r="D604" s="8">
        <f>CHOOSE( CONTROL!$C$32, 17.0452, 17.0449) * CHOOSE( CONTROL!$C$15, $D$11, 100%, $F$11)</f>
        <v>17.045200000000001</v>
      </c>
      <c r="E604" s="12">
        <f>CHOOSE( CONTROL!$C$32, 17.0503, 17.05) * CHOOSE( CONTROL!$C$15, $D$11, 100%, $F$11)</f>
        <v>17.0503</v>
      </c>
      <c r="F604" s="4">
        <f>CHOOSE( CONTROL!$C$32, 17.7209, 17.7206) * CHOOSE(CONTROL!$C$15, $D$11, 100%, $F$11)</f>
        <v>17.7209</v>
      </c>
      <c r="G604" s="8">
        <f>CHOOSE( CONTROL!$C$32, 16.8665, 16.8663) * CHOOSE( CONTROL!$C$15, $D$11, 100%, $F$11)</f>
        <v>16.866499999999998</v>
      </c>
      <c r="H604" s="4">
        <f>CHOOSE( CONTROL!$C$32, 17.76, 17.7597) * CHOOSE(CONTROL!$C$15, $D$11, 100%, $F$11)</f>
        <v>17.760000000000002</v>
      </c>
      <c r="I604" s="8">
        <f>CHOOSE( CONTROL!$C$32, 16.719, 16.7187) * CHOOSE(CONTROL!$C$15, $D$11, 100%, $F$11)</f>
        <v>16.719000000000001</v>
      </c>
      <c r="J604" s="4">
        <f>CHOOSE( CONTROL!$C$32, 16.5437, 16.5434) * CHOOSE(CONTROL!$C$15, $D$11, 100%, $F$11)</f>
        <v>16.543700000000001</v>
      </c>
      <c r="K604" s="4"/>
      <c r="L604" s="9">
        <v>29.306000000000001</v>
      </c>
      <c r="M604" s="9">
        <v>12.063700000000001</v>
      </c>
      <c r="N604" s="9">
        <v>4.9444999999999997</v>
      </c>
      <c r="O604" s="9">
        <v>0.37409999999999999</v>
      </c>
      <c r="P604" s="9">
        <v>1.2927</v>
      </c>
      <c r="Q604" s="9">
        <v>19.688099999999999</v>
      </c>
      <c r="R604" s="9"/>
      <c r="S604" s="11"/>
    </row>
    <row r="605" spans="1:19" ht="15.75">
      <c r="A605" s="13">
        <v>59567</v>
      </c>
      <c r="B605" s="8">
        <f>CHOOSE( CONTROL!$C$32, 17.5584, 17.5581) * CHOOSE(CONTROL!$C$15, $D$11, 100%, $F$11)</f>
        <v>17.558399999999999</v>
      </c>
      <c r="C605" s="8">
        <f>CHOOSE( CONTROL!$C$32, 17.5635, 17.5632) * CHOOSE(CONTROL!$C$15, $D$11, 100%, $F$11)</f>
        <v>17.563500000000001</v>
      </c>
      <c r="D605" s="8">
        <f>CHOOSE( CONTROL!$C$32, 17.5539, 17.5537) * CHOOSE( CONTROL!$C$15, $D$11, 100%, $F$11)</f>
        <v>17.553899999999999</v>
      </c>
      <c r="E605" s="12">
        <f>CHOOSE( CONTROL!$C$32, 17.5569, 17.5566) * CHOOSE( CONTROL!$C$15, $D$11, 100%, $F$11)</f>
        <v>17.556899999999999</v>
      </c>
      <c r="F605" s="4">
        <f>CHOOSE( CONTROL!$C$32, 18.2237, 18.2234) * CHOOSE(CONTROL!$C$15, $D$11, 100%, $F$11)</f>
        <v>18.223700000000001</v>
      </c>
      <c r="G605" s="8">
        <f>CHOOSE( CONTROL!$C$32, 17.3642, 17.3639) * CHOOSE( CONTROL!$C$15, $D$11, 100%, $F$11)</f>
        <v>17.3642</v>
      </c>
      <c r="H605" s="4">
        <f>CHOOSE( CONTROL!$C$32, 18.2569, 18.2567) * CHOOSE(CONTROL!$C$15, $D$11, 100%, $F$11)</f>
        <v>18.256900000000002</v>
      </c>
      <c r="I605" s="8">
        <f>CHOOSE( CONTROL!$C$32, 17.1877, 17.1874) * CHOOSE(CONTROL!$C$15, $D$11, 100%, $F$11)</f>
        <v>17.1877</v>
      </c>
      <c r="J605" s="4">
        <f>CHOOSE( CONTROL!$C$32, 17.0317, 17.0314) * CHOOSE(CONTROL!$C$15, $D$11, 100%, $F$11)</f>
        <v>17.031700000000001</v>
      </c>
      <c r="K605" s="4"/>
      <c r="L605" s="9">
        <v>29.306000000000001</v>
      </c>
      <c r="M605" s="9">
        <v>12.063700000000001</v>
      </c>
      <c r="N605" s="9">
        <v>4.9444999999999997</v>
      </c>
      <c r="O605" s="9">
        <v>0.37409999999999999</v>
      </c>
      <c r="P605" s="9">
        <v>1.2927</v>
      </c>
      <c r="Q605" s="9">
        <v>19.688099999999999</v>
      </c>
      <c r="R605" s="9"/>
      <c r="S605" s="11"/>
    </row>
    <row r="606" spans="1:19" ht="15.75">
      <c r="A606" s="13">
        <v>59595</v>
      </c>
      <c r="B606" s="8">
        <f>CHOOSE( CONTROL!$C$32, 16.4239, 16.4236) * CHOOSE(CONTROL!$C$15, $D$11, 100%, $F$11)</f>
        <v>16.4239</v>
      </c>
      <c r="C606" s="8">
        <f>CHOOSE( CONTROL!$C$32, 16.429, 16.4287) * CHOOSE(CONTROL!$C$15, $D$11, 100%, $F$11)</f>
        <v>16.428999999999998</v>
      </c>
      <c r="D606" s="8">
        <f>CHOOSE( CONTROL!$C$32, 16.4211, 16.4208) * CHOOSE( CONTROL!$C$15, $D$11, 100%, $F$11)</f>
        <v>16.421099999999999</v>
      </c>
      <c r="E606" s="12">
        <f>CHOOSE( CONTROL!$C$32, 16.4234, 16.4231) * CHOOSE( CONTROL!$C$15, $D$11, 100%, $F$11)</f>
        <v>16.423400000000001</v>
      </c>
      <c r="F606" s="4">
        <f>CHOOSE( CONTROL!$C$32, 17.0892, 17.0889) * CHOOSE(CONTROL!$C$15, $D$11, 100%, $F$11)</f>
        <v>17.089200000000002</v>
      </c>
      <c r="G606" s="8">
        <f>CHOOSE( CONTROL!$C$32, 16.2415, 16.2412) * CHOOSE( CONTROL!$C$15, $D$11, 100%, $F$11)</f>
        <v>16.241499999999998</v>
      </c>
      <c r="H606" s="4">
        <f>CHOOSE( CONTROL!$C$32, 17.1357, 17.1354) * CHOOSE(CONTROL!$C$15, $D$11, 100%, $F$11)</f>
        <v>17.1357</v>
      </c>
      <c r="I606" s="8">
        <f>CHOOSE( CONTROL!$C$32, 16.0707, 16.0704) * CHOOSE(CONTROL!$C$15, $D$11, 100%, $F$11)</f>
        <v>16.070699999999999</v>
      </c>
      <c r="J606" s="4">
        <f>CHOOSE( CONTROL!$C$32, 15.9306, 15.9304) * CHOOSE(CONTROL!$C$15, $D$11, 100%, $F$11)</f>
        <v>15.9306</v>
      </c>
      <c r="K606" s="4"/>
      <c r="L606" s="9">
        <v>26.469899999999999</v>
      </c>
      <c r="M606" s="9">
        <v>10.8962</v>
      </c>
      <c r="N606" s="9">
        <v>4.4660000000000002</v>
      </c>
      <c r="O606" s="9">
        <v>0.33789999999999998</v>
      </c>
      <c r="P606" s="9">
        <v>1.1676</v>
      </c>
      <c r="Q606" s="9">
        <v>17.782800000000002</v>
      </c>
      <c r="R606" s="9"/>
      <c r="S606" s="11"/>
    </row>
    <row r="607" spans="1:19" ht="15.75">
      <c r="A607" s="13">
        <v>59626</v>
      </c>
      <c r="B607" s="8">
        <f>CHOOSE( CONTROL!$C$32, 16.0745, 16.0742) * CHOOSE(CONTROL!$C$15, $D$11, 100%, $F$11)</f>
        <v>16.0745</v>
      </c>
      <c r="C607" s="8">
        <f>CHOOSE( CONTROL!$C$32, 16.0795, 16.0793) * CHOOSE(CONTROL!$C$15, $D$11, 100%, $F$11)</f>
        <v>16.079499999999999</v>
      </c>
      <c r="D607" s="8">
        <f>CHOOSE( CONTROL!$C$32, 16.0668, 16.0666) * CHOOSE( CONTROL!$C$15, $D$11, 100%, $F$11)</f>
        <v>16.066800000000001</v>
      </c>
      <c r="E607" s="12">
        <f>CHOOSE( CONTROL!$C$32, 16.0709, 16.0707) * CHOOSE( CONTROL!$C$15, $D$11, 100%, $F$11)</f>
        <v>16.070900000000002</v>
      </c>
      <c r="F607" s="4">
        <f>CHOOSE( CONTROL!$C$32, 16.7397, 16.7395) * CHOOSE(CONTROL!$C$15, $D$11, 100%, $F$11)</f>
        <v>16.739699999999999</v>
      </c>
      <c r="G607" s="8">
        <f>CHOOSE( CONTROL!$C$32, 15.8927, 15.8924) * CHOOSE( CONTROL!$C$15, $D$11, 100%, $F$11)</f>
        <v>15.8927</v>
      </c>
      <c r="H607" s="4">
        <f>CHOOSE( CONTROL!$C$32, 16.7903, 16.7901) * CHOOSE(CONTROL!$C$15, $D$11, 100%, $F$11)</f>
        <v>16.790299999999998</v>
      </c>
      <c r="I607" s="8">
        <f>CHOOSE( CONTROL!$C$32, 15.7298, 15.7295) * CHOOSE(CONTROL!$C$15, $D$11, 100%, $F$11)</f>
        <v>15.729799999999999</v>
      </c>
      <c r="J607" s="4">
        <f>CHOOSE( CONTROL!$C$32, 15.5915, 15.5912) * CHOOSE(CONTROL!$C$15, $D$11, 100%, $F$11)</f>
        <v>15.5915</v>
      </c>
      <c r="K607" s="4"/>
      <c r="L607" s="9">
        <v>29.306000000000001</v>
      </c>
      <c r="M607" s="9">
        <v>12.063700000000001</v>
      </c>
      <c r="N607" s="9">
        <v>4.9444999999999997</v>
      </c>
      <c r="O607" s="9">
        <v>0.37409999999999999</v>
      </c>
      <c r="P607" s="9">
        <v>1.2927</v>
      </c>
      <c r="Q607" s="9">
        <v>19.688099999999999</v>
      </c>
      <c r="R607" s="9"/>
      <c r="S607" s="11"/>
    </row>
    <row r="608" spans="1:19" ht="15.75">
      <c r="A608" s="13">
        <v>59656</v>
      </c>
      <c r="B608" s="8">
        <f>CHOOSE( CONTROL!$C$32, 16.3194, 16.3191) * CHOOSE(CONTROL!$C$15, $D$11, 100%, $F$11)</f>
        <v>16.319400000000002</v>
      </c>
      <c r="C608" s="8">
        <f>CHOOSE( CONTROL!$C$32, 16.3239, 16.3236) * CHOOSE(CONTROL!$C$15, $D$11, 100%, $F$11)</f>
        <v>16.323899999999998</v>
      </c>
      <c r="D608" s="8">
        <f>CHOOSE( CONTROL!$C$32, 16.3288, 16.3285) * CHOOSE( CONTROL!$C$15, $D$11, 100%, $F$11)</f>
        <v>16.328800000000001</v>
      </c>
      <c r="E608" s="12">
        <f>CHOOSE( CONTROL!$C$32, 16.3267, 16.3264) * CHOOSE( CONTROL!$C$15, $D$11, 100%, $F$11)</f>
        <v>16.326699999999999</v>
      </c>
      <c r="F608" s="4">
        <f>CHOOSE( CONTROL!$C$32, 17.0236, 17.0233) * CHOOSE(CONTROL!$C$15, $D$11, 100%, $F$11)</f>
        <v>17.023599999999998</v>
      </c>
      <c r="G608" s="8">
        <f>CHOOSE( CONTROL!$C$32, 16.1397, 16.1395) * CHOOSE( CONTROL!$C$15, $D$11, 100%, $F$11)</f>
        <v>16.139700000000001</v>
      </c>
      <c r="H608" s="4">
        <f>CHOOSE( CONTROL!$C$32, 17.0709, 17.0706) * CHOOSE(CONTROL!$C$15, $D$11, 100%, $F$11)</f>
        <v>17.070900000000002</v>
      </c>
      <c r="I608" s="8">
        <f>CHOOSE( CONTROL!$C$32, 15.9411, 15.9408) * CHOOSE(CONTROL!$C$15, $D$11, 100%, $F$11)</f>
        <v>15.9411</v>
      </c>
      <c r="J608" s="4">
        <f>CHOOSE( CONTROL!$C$32, 15.8285, 15.8282) * CHOOSE(CONTROL!$C$15, $D$11, 100%, $F$11)</f>
        <v>15.8285</v>
      </c>
      <c r="K608" s="4"/>
      <c r="L608" s="9">
        <v>30.092199999999998</v>
      </c>
      <c r="M608" s="9">
        <v>11.6745</v>
      </c>
      <c r="N608" s="9">
        <v>4.7850000000000001</v>
      </c>
      <c r="O608" s="9">
        <v>0.36199999999999999</v>
      </c>
      <c r="P608" s="9">
        <v>1.2509999999999999</v>
      </c>
      <c r="Q608" s="9">
        <v>19.053000000000001</v>
      </c>
      <c r="R608" s="9"/>
      <c r="S608" s="11"/>
    </row>
    <row r="609" spans="1:19" ht="15.75">
      <c r="A609" s="13">
        <v>59687</v>
      </c>
      <c r="B609" s="8">
        <f>CHOOSE( CONTROL!$C$32, 16.7555, 16.7551) * CHOOSE(CONTROL!$C$15, $D$11, 100%, $F$11)</f>
        <v>16.755500000000001</v>
      </c>
      <c r="C609" s="8">
        <f>CHOOSE( CONTROL!$C$32, 16.7635, 16.763) * CHOOSE(CONTROL!$C$15, $D$11, 100%, $F$11)</f>
        <v>16.763500000000001</v>
      </c>
      <c r="D609" s="8">
        <f>CHOOSE( CONTROL!$C$32, 16.7623, 16.7618) * CHOOSE( CONTROL!$C$15, $D$11, 100%, $F$11)</f>
        <v>16.7623</v>
      </c>
      <c r="E609" s="12">
        <f>CHOOSE( CONTROL!$C$32, 16.7615, 16.761) * CHOOSE( CONTROL!$C$15, $D$11, 100%, $F$11)</f>
        <v>16.761500000000002</v>
      </c>
      <c r="F609" s="4">
        <f>CHOOSE( CONTROL!$C$32, 17.4583, 17.4579) * CHOOSE(CONTROL!$C$15, $D$11, 100%, $F$11)</f>
        <v>17.458300000000001</v>
      </c>
      <c r="G609" s="8">
        <f>CHOOSE( CONTROL!$C$32, 16.5692, 16.5688) * CHOOSE( CONTROL!$C$15, $D$11, 100%, $F$11)</f>
        <v>16.569199999999999</v>
      </c>
      <c r="H609" s="4">
        <f>CHOOSE( CONTROL!$C$32, 17.5005, 17.5001) * CHOOSE(CONTROL!$C$15, $D$11, 100%, $F$11)</f>
        <v>17.500499999999999</v>
      </c>
      <c r="I609" s="8">
        <f>CHOOSE( CONTROL!$C$32, 16.3624, 16.362) * CHOOSE(CONTROL!$C$15, $D$11, 100%, $F$11)</f>
        <v>16.362400000000001</v>
      </c>
      <c r="J609" s="4">
        <f>CHOOSE( CONTROL!$C$32, 16.2504, 16.25) * CHOOSE(CONTROL!$C$15, $D$11, 100%, $F$11)</f>
        <v>16.250399999999999</v>
      </c>
      <c r="K609" s="4"/>
      <c r="L609" s="9">
        <v>30.7165</v>
      </c>
      <c r="M609" s="9">
        <v>12.063700000000001</v>
      </c>
      <c r="N609" s="9">
        <v>4.9444999999999997</v>
      </c>
      <c r="O609" s="9">
        <v>0.37409999999999999</v>
      </c>
      <c r="P609" s="9">
        <v>1.2927</v>
      </c>
      <c r="Q609" s="9">
        <v>19.688099999999999</v>
      </c>
      <c r="R609" s="9"/>
      <c r="S609" s="11"/>
    </row>
    <row r="610" spans="1:19" ht="15.75">
      <c r="A610" s="13">
        <v>59717</v>
      </c>
      <c r="B610" s="8">
        <f>CHOOSE( CONTROL!$C$32, 16.4863, 16.4859) * CHOOSE(CONTROL!$C$15, $D$11, 100%, $F$11)</f>
        <v>16.4863</v>
      </c>
      <c r="C610" s="8">
        <f>CHOOSE( CONTROL!$C$32, 16.4943, 16.4938) * CHOOSE(CONTROL!$C$15, $D$11, 100%, $F$11)</f>
        <v>16.494299999999999</v>
      </c>
      <c r="D610" s="8">
        <f>CHOOSE( CONTROL!$C$32, 16.4933, 16.4928) * CHOOSE( CONTROL!$C$15, $D$11, 100%, $F$11)</f>
        <v>16.493300000000001</v>
      </c>
      <c r="E610" s="12">
        <f>CHOOSE( CONTROL!$C$32, 16.4924, 16.492) * CHOOSE( CONTROL!$C$15, $D$11, 100%, $F$11)</f>
        <v>16.4924</v>
      </c>
      <c r="F610" s="4">
        <f>CHOOSE( CONTROL!$C$32, 17.1891, 17.1887) * CHOOSE(CONTROL!$C$15, $D$11, 100%, $F$11)</f>
        <v>17.1891</v>
      </c>
      <c r="G610" s="8">
        <f>CHOOSE( CONTROL!$C$32, 16.3033, 16.3029) * CHOOSE( CONTROL!$C$15, $D$11, 100%, $F$11)</f>
        <v>16.3033</v>
      </c>
      <c r="H610" s="4">
        <f>CHOOSE( CONTROL!$C$32, 17.2345, 17.234) * CHOOSE(CONTROL!$C$15, $D$11, 100%, $F$11)</f>
        <v>17.234500000000001</v>
      </c>
      <c r="I610" s="8">
        <f>CHOOSE( CONTROL!$C$32, 16.1017, 16.1012) * CHOOSE(CONTROL!$C$15, $D$11, 100%, $F$11)</f>
        <v>16.101700000000001</v>
      </c>
      <c r="J610" s="4">
        <f>CHOOSE( CONTROL!$C$32, 15.9892, 15.9887) * CHOOSE(CONTROL!$C$15, $D$11, 100%, $F$11)</f>
        <v>15.9892</v>
      </c>
      <c r="K610" s="4"/>
      <c r="L610" s="9">
        <v>29.7257</v>
      </c>
      <c r="M610" s="9">
        <v>11.6745</v>
      </c>
      <c r="N610" s="9">
        <v>4.7850000000000001</v>
      </c>
      <c r="O610" s="9">
        <v>0.36199999999999999</v>
      </c>
      <c r="P610" s="9">
        <v>1.2509999999999999</v>
      </c>
      <c r="Q610" s="9">
        <v>19.053000000000001</v>
      </c>
      <c r="R610" s="9"/>
      <c r="S610" s="11"/>
    </row>
    <row r="611" spans="1:19" ht="15.75">
      <c r="A611" s="13">
        <v>59748</v>
      </c>
      <c r="B611" s="8">
        <f>CHOOSE( CONTROL!$C$32, 17.1952, 17.1948) * CHOOSE(CONTROL!$C$15, $D$11, 100%, $F$11)</f>
        <v>17.1952</v>
      </c>
      <c r="C611" s="8">
        <f>CHOOSE( CONTROL!$C$32, 17.2032, 17.2027) * CHOOSE(CONTROL!$C$15, $D$11, 100%, $F$11)</f>
        <v>17.203199999999999</v>
      </c>
      <c r="D611" s="8">
        <f>CHOOSE( CONTROL!$C$32, 17.2024, 17.2019) * CHOOSE( CONTROL!$C$15, $D$11, 100%, $F$11)</f>
        <v>17.202400000000001</v>
      </c>
      <c r="E611" s="12">
        <f>CHOOSE( CONTROL!$C$32, 17.2015, 17.201) * CHOOSE( CONTROL!$C$15, $D$11, 100%, $F$11)</f>
        <v>17.201499999999999</v>
      </c>
      <c r="F611" s="4">
        <f>CHOOSE( CONTROL!$C$32, 17.898, 17.8976) * CHOOSE(CONTROL!$C$15, $D$11, 100%, $F$11)</f>
        <v>17.898</v>
      </c>
      <c r="G611" s="8">
        <f>CHOOSE( CONTROL!$C$32, 17.0041, 17.0037) * CHOOSE( CONTROL!$C$15, $D$11, 100%, $F$11)</f>
        <v>17.004100000000001</v>
      </c>
      <c r="H611" s="4">
        <f>CHOOSE( CONTROL!$C$32, 17.9351, 17.9346) * CHOOSE(CONTROL!$C$15, $D$11, 100%, $F$11)</f>
        <v>17.935099999999998</v>
      </c>
      <c r="I611" s="8">
        <f>CHOOSE( CONTROL!$C$32, 16.7908, 16.7904) * CHOOSE(CONTROL!$C$15, $D$11, 100%, $F$11)</f>
        <v>16.790800000000001</v>
      </c>
      <c r="J611" s="4">
        <f>CHOOSE( CONTROL!$C$32, 16.6771, 16.6767) * CHOOSE(CONTROL!$C$15, $D$11, 100%, $F$11)</f>
        <v>16.677099999999999</v>
      </c>
      <c r="K611" s="4"/>
      <c r="L611" s="9">
        <v>30.7165</v>
      </c>
      <c r="M611" s="9">
        <v>12.063700000000001</v>
      </c>
      <c r="N611" s="9">
        <v>4.9444999999999997</v>
      </c>
      <c r="O611" s="9">
        <v>0.37409999999999999</v>
      </c>
      <c r="P611" s="9">
        <v>1.2927</v>
      </c>
      <c r="Q611" s="9">
        <v>19.688099999999999</v>
      </c>
      <c r="R611" s="9"/>
      <c r="S611" s="11"/>
    </row>
    <row r="612" spans="1:19" ht="15.75">
      <c r="A612" s="13">
        <v>59779</v>
      </c>
      <c r="B612" s="8">
        <f>CHOOSE( CONTROL!$C$32, 15.8688, 15.8683) * CHOOSE(CONTROL!$C$15, $D$11, 100%, $F$11)</f>
        <v>15.8688</v>
      </c>
      <c r="C612" s="8">
        <f>CHOOSE( CONTROL!$C$32, 15.8768, 15.8763) * CHOOSE(CONTROL!$C$15, $D$11, 100%, $F$11)</f>
        <v>15.876799999999999</v>
      </c>
      <c r="D612" s="8">
        <f>CHOOSE( CONTROL!$C$32, 15.876, 15.8756) * CHOOSE( CONTROL!$C$15, $D$11, 100%, $F$11)</f>
        <v>15.875999999999999</v>
      </c>
      <c r="E612" s="12">
        <f>CHOOSE( CONTROL!$C$32, 15.8751, 15.8746) * CHOOSE( CONTROL!$C$15, $D$11, 100%, $F$11)</f>
        <v>15.8751</v>
      </c>
      <c r="F612" s="4">
        <f>CHOOSE( CONTROL!$C$32, 16.5716, 16.5711) * CHOOSE(CONTROL!$C$15, $D$11, 100%, $F$11)</f>
        <v>16.5716</v>
      </c>
      <c r="G612" s="8">
        <f>CHOOSE( CONTROL!$C$32, 15.6932, 15.6928) * CHOOSE( CONTROL!$C$15, $D$11, 100%, $F$11)</f>
        <v>15.693199999999999</v>
      </c>
      <c r="H612" s="4">
        <f>CHOOSE( CONTROL!$C$32, 16.6242, 16.6237) * CHOOSE(CONTROL!$C$15, $D$11, 100%, $F$11)</f>
        <v>16.624199999999998</v>
      </c>
      <c r="I612" s="8">
        <f>CHOOSE( CONTROL!$C$32, 15.503, 15.5026) * CHOOSE(CONTROL!$C$15, $D$11, 100%, $F$11)</f>
        <v>15.503</v>
      </c>
      <c r="J612" s="4">
        <f>CHOOSE( CONTROL!$C$32, 15.3898, 15.3894) * CHOOSE(CONTROL!$C$15, $D$11, 100%, $F$11)</f>
        <v>15.389799999999999</v>
      </c>
      <c r="K612" s="4"/>
      <c r="L612" s="9">
        <v>30.7165</v>
      </c>
      <c r="M612" s="9">
        <v>12.063700000000001</v>
      </c>
      <c r="N612" s="9">
        <v>4.9444999999999997</v>
      </c>
      <c r="O612" s="9">
        <v>0.37409999999999999</v>
      </c>
      <c r="P612" s="9">
        <v>1.2927</v>
      </c>
      <c r="Q612" s="9">
        <v>19.688099999999999</v>
      </c>
      <c r="R612" s="9"/>
      <c r="S612" s="11"/>
    </row>
    <row r="613" spans="1:19" ht="15.75">
      <c r="A613" s="13">
        <v>59809</v>
      </c>
      <c r="B613" s="8">
        <f>CHOOSE( CONTROL!$C$32, 15.5366, 15.5362) * CHOOSE(CONTROL!$C$15, $D$11, 100%, $F$11)</f>
        <v>15.5366</v>
      </c>
      <c r="C613" s="8">
        <f>CHOOSE( CONTROL!$C$32, 15.5446, 15.5441) * CHOOSE(CONTROL!$C$15, $D$11, 100%, $F$11)</f>
        <v>15.544600000000001</v>
      </c>
      <c r="D613" s="8">
        <f>CHOOSE( CONTROL!$C$32, 15.5437, 15.5432) * CHOOSE( CONTROL!$C$15, $D$11, 100%, $F$11)</f>
        <v>15.543699999999999</v>
      </c>
      <c r="E613" s="12">
        <f>CHOOSE( CONTROL!$C$32, 15.5428, 15.5423) * CHOOSE( CONTROL!$C$15, $D$11, 100%, $F$11)</f>
        <v>15.5428</v>
      </c>
      <c r="F613" s="4">
        <f>CHOOSE( CONTROL!$C$32, 16.2394, 16.239) * CHOOSE(CONTROL!$C$15, $D$11, 100%, $F$11)</f>
        <v>16.2394</v>
      </c>
      <c r="G613" s="8">
        <f>CHOOSE( CONTROL!$C$32, 15.3648, 15.3644) * CHOOSE( CONTROL!$C$15, $D$11, 100%, $F$11)</f>
        <v>15.364800000000001</v>
      </c>
      <c r="H613" s="4">
        <f>CHOOSE( CONTROL!$C$32, 16.2959, 16.2955) * CHOOSE(CONTROL!$C$15, $D$11, 100%, $F$11)</f>
        <v>16.2959</v>
      </c>
      <c r="I613" s="8">
        <f>CHOOSE( CONTROL!$C$32, 15.18, 15.1796) * CHOOSE(CONTROL!$C$15, $D$11, 100%, $F$11)</f>
        <v>15.18</v>
      </c>
      <c r="J613" s="4">
        <f>CHOOSE( CONTROL!$C$32, 15.0675, 15.067) * CHOOSE(CONTROL!$C$15, $D$11, 100%, $F$11)</f>
        <v>15.067500000000001</v>
      </c>
      <c r="K613" s="4"/>
      <c r="L613" s="9">
        <v>29.7257</v>
      </c>
      <c r="M613" s="9">
        <v>11.6745</v>
      </c>
      <c r="N613" s="9">
        <v>4.7850000000000001</v>
      </c>
      <c r="O613" s="9">
        <v>0.36199999999999999</v>
      </c>
      <c r="P613" s="9">
        <v>1.2509999999999999</v>
      </c>
      <c r="Q613" s="9">
        <v>19.053000000000001</v>
      </c>
      <c r="R613" s="9"/>
      <c r="S613" s="11"/>
    </row>
    <row r="614" spans="1:19" ht="15.75">
      <c r="A614" s="13">
        <v>59840</v>
      </c>
      <c r="B614" s="8">
        <f>CHOOSE( CONTROL!$C$32, 16.2244, 16.2241) * CHOOSE(CONTROL!$C$15, $D$11, 100%, $F$11)</f>
        <v>16.224399999999999</v>
      </c>
      <c r="C614" s="8">
        <f>CHOOSE( CONTROL!$C$32, 16.2297, 16.2294) * CHOOSE(CONTROL!$C$15, $D$11, 100%, $F$11)</f>
        <v>16.229700000000001</v>
      </c>
      <c r="D614" s="8">
        <f>CHOOSE( CONTROL!$C$32, 16.2344, 16.2341) * CHOOSE( CONTROL!$C$15, $D$11, 100%, $F$11)</f>
        <v>16.234400000000001</v>
      </c>
      <c r="E614" s="12">
        <f>CHOOSE( CONTROL!$C$32, 16.2323, 16.232) * CHOOSE( CONTROL!$C$15, $D$11, 100%, $F$11)</f>
        <v>16.232299999999999</v>
      </c>
      <c r="F614" s="4">
        <f>CHOOSE( CONTROL!$C$32, 16.9289, 16.9287) * CHOOSE(CONTROL!$C$15, $D$11, 100%, $F$11)</f>
        <v>16.928899999999999</v>
      </c>
      <c r="G614" s="8">
        <f>CHOOSE( CONTROL!$C$32, 16.0464, 16.0462) * CHOOSE( CONTROL!$C$15, $D$11, 100%, $F$11)</f>
        <v>16.046399999999998</v>
      </c>
      <c r="H614" s="4">
        <f>CHOOSE( CONTROL!$C$32, 16.9773, 16.9771) * CHOOSE(CONTROL!$C$15, $D$11, 100%, $F$11)</f>
        <v>16.9773</v>
      </c>
      <c r="I614" s="8">
        <f>CHOOSE( CONTROL!$C$32, 15.8503, 15.85) * CHOOSE(CONTROL!$C$15, $D$11, 100%, $F$11)</f>
        <v>15.850300000000001</v>
      </c>
      <c r="J614" s="4">
        <f>CHOOSE( CONTROL!$C$32, 15.7366, 15.7364) * CHOOSE(CONTROL!$C$15, $D$11, 100%, $F$11)</f>
        <v>15.736599999999999</v>
      </c>
      <c r="K614" s="4"/>
      <c r="L614" s="9">
        <v>31.095300000000002</v>
      </c>
      <c r="M614" s="9">
        <v>12.063700000000001</v>
      </c>
      <c r="N614" s="9">
        <v>4.9444999999999997</v>
      </c>
      <c r="O614" s="9">
        <v>0.37409999999999999</v>
      </c>
      <c r="P614" s="9">
        <v>1.2927</v>
      </c>
      <c r="Q614" s="9">
        <v>19.688099999999999</v>
      </c>
      <c r="R614" s="9"/>
      <c r="S614" s="11"/>
    </row>
    <row r="615" spans="1:19" ht="15.75">
      <c r="A615" s="13">
        <v>59870</v>
      </c>
      <c r="B615" s="8">
        <f>CHOOSE( CONTROL!$C$32, 17.497, 17.4967) * CHOOSE(CONTROL!$C$15, $D$11, 100%, $F$11)</f>
        <v>17.497</v>
      </c>
      <c r="C615" s="8">
        <f>CHOOSE( CONTROL!$C$32, 17.5021, 17.5018) * CHOOSE(CONTROL!$C$15, $D$11, 100%, $F$11)</f>
        <v>17.502099999999999</v>
      </c>
      <c r="D615" s="8">
        <f>CHOOSE( CONTROL!$C$32, 17.4848, 17.4845) * CHOOSE( CONTROL!$C$15, $D$11, 100%, $F$11)</f>
        <v>17.4848</v>
      </c>
      <c r="E615" s="12">
        <f>CHOOSE( CONTROL!$C$32, 17.4906, 17.4903) * CHOOSE( CONTROL!$C$15, $D$11, 100%, $F$11)</f>
        <v>17.490600000000001</v>
      </c>
      <c r="F615" s="4">
        <f>CHOOSE( CONTROL!$C$32, 18.1623, 18.162) * CHOOSE(CONTROL!$C$15, $D$11, 100%, $F$11)</f>
        <v>18.162299999999998</v>
      </c>
      <c r="G615" s="8">
        <f>CHOOSE( CONTROL!$C$32, 17.3015, 17.3012) * CHOOSE( CONTROL!$C$15, $D$11, 100%, $F$11)</f>
        <v>17.301500000000001</v>
      </c>
      <c r="H615" s="4">
        <f>CHOOSE( CONTROL!$C$32, 18.1962, 18.1959) * CHOOSE(CONTROL!$C$15, $D$11, 100%, $F$11)</f>
        <v>18.196200000000001</v>
      </c>
      <c r="I615" s="8">
        <f>CHOOSE( CONTROL!$C$32, 17.142, 17.1417) * CHOOSE(CONTROL!$C$15, $D$11, 100%, $F$11)</f>
        <v>17.141999999999999</v>
      </c>
      <c r="J615" s="4">
        <f>CHOOSE( CONTROL!$C$32, 16.9721, 16.9718) * CHOOSE(CONTROL!$C$15, $D$11, 100%, $F$11)</f>
        <v>16.972100000000001</v>
      </c>
      <c r="K615" s="4"/>
      <c r="L615" s="9">
        <v>28.360600000000002</v>
      </c>
      <c r="M615" s="9">
        <v>11.6745</v>
      </c>
      <c r="N615" s="9">
        <v>4.7850000000000001</v>
      </c>
      <c r="O615" s="9">
        <v>0.36199999999999999</v>
      </c>
      <c r="P615" s="9">
        <v>1.2509999999999999</v>
      </c>
      <c r="Q615" s="9">
        <v>19.053000000000001</v>
      </c>
      <c r="R615" s="9"/>
      <c r="S615" s="11"/>
    </row>
    <row r="616" spans="1:19" ht="15.75">
      <c r="A616" s="13">
        <v>59901</v>
      </c>
      <c r="B616" s="8">
        <f>CHOOSE( CONTROL!$C$32, 17.4652, 17.4649) * CHOOSE(CONTROL!$C$15, $D$11, 100%, $F$11)</f>
        <v>17.465199999999999</v>
      </c>
      <c r="C616" s="8">
        <f>CHOOSE( CONTROL!$C$32, 17.4703, 17.47) * CHOOSE(CONTROL!$C$15, $D$11, 100%, $F$11)</f>
        <v>17.470300000000002</v>
      </c>
      <c r="D616" s="8">
        <f>CHOOSE( CONTROL!$C$32, 17.4548, 17.4545) * CHOOSE( CONTROL!$C$15, $D$11, 100%, $F$11)</f>
        <v>17.454799999999999</v>
      </c>
      <c r="E616" s="12">
        <f>CHOOSE( CONTROL!$C$32, 17.4599, 17.4596) * CHOOSE( CONTROL!$C$15, $D$11, 100%, $F$11)</f>
        <v>17.459900000000001</v>
      </c>
      <c r="F616" s="4">
        <f>CHOOSE( CONTROL!$C$32, 18.1305, 18.1302) * CHOOSE(CONTROL!$C$15, $D$11, 100%, $F$11)</f>
        <v>18.130500000000001</v>
      </c>
      <c r="G616" s="8">
        <f>CHOOSE( CONTROL!$C$32, 17.2713, 17.271) * CHOOSE( CONTROL!$C$15, $D$11, 100%, $F$11)</f>
        <v>17.2713</v>
      </c>
      <c r="H616" s="4">
        <f>CHOOSE( CONTROL!$C$32, 18.1648, 18.1645) * CHOOSE(CONTROL!$C$15, $D$11, 100%, $F$11)</f>
        <v>18.1648</v>
      </c>
      <c r="I616" s="8">
        <f>CHOOSE( CONTROL!$C$32, 17.1167, 17.1164) * CHOOSE(CONTROL!$C$15, $D$11, 100%, $F$11)</f>
        <v>17.116700000000002</v>
      </c>
      <c r="J616" s="4">
        <f>CHOOSE( CONTROL!$C$32, 16.9412, 16.9409) * CHOOSE(CONTROL!$C$15, $D$11, 100%, $F$11)</f>
        <v>16.941199999999998</v>
      </c>
      <c r="K616" s="4"/>
      <c r="L616" s="9">
        <v>29.306000000000001</v>
      </c>
      <c r="M616" s="9">
        <v>12.063700000000001</v>
      </c>
      <c r="N616" s="9">
        <v>4.9444999999999997</v>
      </c>
      <c r="O616" s="9">
        <v>0.37409999999999999</v>
      </c>
      <c r="P616" s="9">
        <v>1.2927</v>
      </c>
      <c r="Q616" s="9">
        <v>19.688099999999999</v>
      </c>
      <c r="R616" s="9"/>
      <c r="S616" s="11"/>
    </row>
    <row r="617" spans="1:19" ht="15.75">
      <c r="A617" s="13">
        <v>59932</v>
      </c>
      <c r="B617" s="8">
        <f>CHOOSE( CONTROL!$C$32, 17.9801, 17.9798) * CHOOSE(CONTROL!$C$15, $D$11, 100%, $F$11)</f>
        <v>17.9801</v>
      </c>
      <c r="C617" s="8">
        <f>CHOOSE( CONTROL!$C$32, 17.9851, 17.9849) * CHOOSE(CONTROL!$C$15, $D$11, 100%, $F$11)</f>
        <v>17.985099999999999</v>
      </c>
      <c r="D617" s="8">
        <f>CHOOSE( CONTROL!$C$32, 17.9756, 17.9753) * CHOOSE( CONTROL!$C$15, $D$11, 100%, $F$11)</f>
        <v>17.9756</v>
      </c>
      <c r="E617" s="12">
        <f>CHOOSE( CONTROL!$C$32, 17.9785, 17.9783) * CHOOSE( CONTROL!$C$15, $D$11, 100%, $F$11)</f>
        <v>17.9785</v>
      </c>
      <c r="F617" s="4">
        <f>CHOOSE( CONTROL!$C$32, 18.6454, 18.6451) * CHOOSE(CONTROL!$C$15, $D$11, 100%, $F$11)</f>
        <v>18.645399999999999</v>
      </c>
      <c r="G617" s="8">
        <f>CHOOSE( CONTROL!$C$32, 17.7809, 17.7806) * CHOOSE( CONTROL!$C$15, $D$11, 100%, $F$11)</f>
        <v>17.780899999999999</v>
      </c>
      <c r="H617" s="4">
        <f>CHOOSE( CONTROL!$C$32, 18.6736, 18.6734) * CHOOSE(CONTROL!$C$15, $D$11, 100%, $F$11)</f>
        <v>18.6736</v>
      </c>
      <c r="I617" s="8">
        <f>CHOOSE( CONTROL!$C$32, 17.5971, 17.5968) * CHOOSE(CONTROL!$C$15, $D$11, 100%, $F$11)</f>
        <v>17.597100000000001</v>
      </c>
      <c r="J617" s="4">
        <f>CHOOSE( CONTROL!$C$32, 17.4409, 17.4406) * CHOOSE(CONTROL!$C$15, $D$11, 100%, $F$11)</f>
        <v>17.440899999999999</v>
      </c>
      <c r="K617" s="4"/>
      <c r="L617" s="9">
        <v>29.306000000000001</v>
      </c>
      <c r="M617" s="9">
        <v>12.063700000000001</v>
      </c>
      <c r="N617" s="9">
        <v>4.9444999999999997</v>
      </c>
      <c r="O617" s="9">
        <v>0.37409999999999999</v>
      </c>
      <c r="P617" s="9">
        <v>1.2927</v>
      </c>
      <c r="Q617" s="9">
        <v>19.688099999999999</v>
      </c>
      <c r="R617" s="9"/>
      <c r="S617" s="11"/>
    </row>
    <row r="618" spans="1:19" ht="15.75">
      <c r="A618" s="13">
        <v>59961</v>
      </c>
      <c r="B618" s="8">
        <f>CHOOSE( CONTROL!$C$32, 16.8183, 16.818) * CHOOSE(CONTROL!$C$15, $D$11, 100%, $F$11)</f>
        <v>16.818300000000001</v>
      </c>
      <c r="C618" s="8">
        <f>CHOOSE( CONTROL!$C$32, 16.8234, 16.8231) * CHOOSE(CONTROL!$C$15, $D$11, 100%, $F$11)</f>
        <v>16.823399999999999</v>
      </c>
      <c r="D618" s="8">
        <f>CHOOSE( CONTROL!$C$32, 16.8155, 16.8152) * CHOOSE( CONTROL!$C$15, $D$11, 100%, $F$11)</f>
        <v>16.8155</v>
      </c>
      <c r="E618" s="12">
        <f>CHOOSE( CONTROL!$C$32, 16.8178, 16.8175) * CHOOSE( CONTROL!$C$15, $D$11, 100%, $F$11)</f>
        <v>16.817799999999998</v>
      </c>
      <c r="F618" s="4">
        <f>CHOOSE( CONTROL!$C$32, 17.4836, 17.4833) * CHOOSE(CONTROL!$C$15, $D$11, 100%, $F$11)</f>
        <v>17.483599999999999</v>
      </c>
      <c r="G618" s="8">
        <f>CHOOSE( CONTROL!$C$32, 16.6312, 16.631) * CHOOSE( CONTROL!$C$15, $D$11, 100%, $F$11)</f>
        <v>16.6312</v>
      </c>
      <c r="H618" s="4">
        <f>CHOOSE( CONTROL!$C$32, 17.5255, 17.5252) * CHOOSE(CONTROL!$C$15, $D$11, 100%, $F$11)</f>
        <v>17.525500000000001</v>
      </c>
      <c r="I618" s="8">
        <f>CHOOSE( CONTROL!$C$32, 16.4537, 16.4534) * CHOOSE(CONTROL!$C$15, $D$11, 100%, $F$11)</f>
        <v>16.453700000000001</v>
      </c>
      <c r="J618" s="4">
        <f>CHOOSE( CONTROL!$C$32, 16.3134, 16.3131) * CHOOSE(CONTROL!$C$15, $D$11, 100%, $F$11)</f>
        <v>16.313400000000001</v>
      </c>
      <c r="K618" s="4"/>
      <c r="L618" s="9">
        <v>27.415299999999998</v>
      </c>
      <c r="M618" s="9">
        <v>11.285299999999999</v>
      </c>
      <c r="N618" s="9">
        <v>4.6254999999999997</v>
      </c>
      <c r="O618" s="9">
        <v>0.34989999999999999</v>
      </c>
      <c r="P618" s="9">
        <v>1.2093</v>
      </c>
      <c r="Q618" s="9">
        <v>18.417899999999999</v>
      </c>
      <c r="R618" s="9"/>
      <c r="S618" s="11"/>
    </row>
    <row r="619" spans="1:19" ht="15.75">
      <c r="A619" s="13">
        <v>59992</v>
      </c>
      <c r="B619" s="8">
        <f>CHOOSE( CONTROL!$C$32, 16.4605, 16.4602) * CHOOSE(CONTROL!$C$15, $D$11, 100%, $F$11)</f>
        <v>16.4605</v>
      </c>
      <c r="C619" s="8">
        <f>CHOOSE( CONTROL!$C$32, 16.4655, 16.4653) * CHOOSE(CONTROL!$C$15, $D$11, 100%, $F$11)</f>
        <v>16.465499999999999</v>
      </c>
      <c r="D619" s="8">
        <f>CHOOSE( CONTROL!$C$32, 16.4528, 16.4526) * CHOOSE( CONTROL!$C$15, $D$11, 100%, $F$11)</f>
        <v>16.4528</v>
      </c>
      <c r="E619" s="12">
        <f>CHOOSE( CONTROL!$C$32, 16.4569, 16.4567) * CHOOSE( CONTROL!$C$15, $D$11, 100%, $F$11)</f>
        <v>16.456900000000001</v>
      </c>
      <c r="F619" s="4">
        <f>CHOOSE( CONTROL!$C$32, 17.1257, 17.1255) * CHOOSE(CONTROL!$C$15, $D$11, 100%, $F$11)</f>
        <v>17.125699999999998</v>
      </c>
      <c r="G619" s="8">
        <f>CHOOSE( CONTROL!$C$32, 16.2741, 16.2739) * CHOOSE( CONTROL!$C$15, $D$11, 100%, $F$11)</f>
        <v>16.274100000000001</v>
      </c>
      <c r="H619" s="4">
        <f>CHOOSE( CONTROL!$C$32, 17.1718, 17.1716) * CHOOSE(CONTROL!$C$15, $D$11, 100%, $F$11)</f>
        <v>17.171800000000001</v>
      </c>
      <c r="I619" s="8">
        <f>CHOOSE( CONTROL!$C$32, 16.1046, 16.1043) * CHOOSE(CONTROL!$C$15, $D$11, 100%, $F$11)</f>
        <v>16.104600000000001</v>
      </c>
      <c r="J619" s="4">
        <f>CHOOSE( CONTROL!$C$32, 15.9661, 15.9659) * CHOOSE(CONTROL!$C$15, $D$11, 100%, $F$11)</f>
        <v>15.966100000000001</v>
      </c>
      <c r="K619" s="4"/>
      <c r="L619" s="9">
        <v>29.306000000000001</v>
      </c>
      <c r="M619" s="9">
        <v>12.063700000000001</v>
      </c>
      <c r="N619" s="9">
        <v>4.9444999999999997</v>
      </c>
      <c r="O619" s="9">
        <v>0.37409999999999999</v>
      </c>
      <c r="P619" s="9">
        <v>1.2927</v>
      </c>
      <c r="Q619" s="9">
        <v>19.688099999999999</v>
      </c>
      <c r="R619" s="9"/>
      <c r="S619" s="11"/>
    </row>
    <row r="620" spans="1:19" ht="15.75">
      <c r="A620" s="13">
        <v>60022</v>
      </c>
      <c r="B620" s="8">
        <f>CHOOSE( CONTROL!$C$32, 16.7113, 16.711) * CHOOSE(CONTROL!$C$15, $D$11, 100%, $F$11)</f>
        <v>16.711300000000001</v>
      </c>
      <c r="C620" s="8">
        <f>CHOOSE( CONTROL!$C$32, 16.7158, 16.7155) * CHOOSE(CONTROL!$C$15, $D$11, 100%, $F$11)</f>
        <v>16.715800000000002</v>
      </c>
      <c r="D620" s="8">
        <f>CHOOSE( CONTROL!$C$32, 16.7206, 16.7204) * CHOOSE( CONTROL!$C$15, $D$11, 100%, $F$11)</f>
        <v>16.720600000000001</v>
      </c>
      <c r="E620" s="12">
        <f>CHOOSE( CONTROL!$C$32, 16.7185, 16.7183) * CHOOSE( CONTROL!$C$15, $D$11, 100%, $F$11)</f>
        <v>16.718499999999999</v>
      </c>
      <c r="F620" s="4">
        <f>CHOOSE( CONTROL!$C$32, 17.4155, 17.4152) * CHOOSE(CONTROL!$C$15, $D$11, 100%, $F$11)</f>
        <v>17.415500000000002</v>
      </c>
      <c r="G620" s="8">
        <f>CHOOSE( CONTROL!$C$32, 16.527, 16.5267) * CHOOSE( CONTROL!$C$15, $D$11, 100%, $F$11)</f>
        <v>16.527000000000001</v>
      </c>
      <c r="H620" s="4">
        <f>CHOOSE( CONTROL!$C$32, 17.4582, 17.4579) * CHOOSE(CONTROL!$C$15, $D$11, 100%, $F$11)</f>
        <v>17.458200000000001</v>
      </c>
      <c r="I620" s="8">
        <f>CHOOSE( CONTROL!$C$32, 16.3216, 16.3213) * CHOOSE(CONTROL!$C$15, $D$11, 100%, $F$11)</f>
        <v>16.3216</v>
      </c>
      <c r="J620" s="4">
        <f>CHOOSE( CONTROL!$C$32, 16.2088, 16.2085) * CHOOSE(CONTROL!$C$15, $D$11, 100%, $F$11)</f>
        <v>16.2088</v>
      </c>
      <c r="K620" s="4"/>
      <c r="L620" s="9">
        <v>30.092199999999998</v>
      </c>
      <c r="M620" s="9">
        <v>11.6745</v>
      </c>
      <c r="N620" s="9">
        <v>4.7850000000000001</v>
      </c>
      <c r="O620" s="9">
        <v>0.36199999999999999</v>
      </c>
      <c r="P620" s="9">
        <v>1.2509999999999999</v>
      </c>
      <c r="Q620" s="9">
        <v>19.053000000000001</v>
      </c>
      <c r="R620" s="9"/>
      <c r="S620" s="11"/>
    </row>
    <row r="621" spans="1:19" ht="15.75">
      <c r="A621" s="13">
        <v>60053</v>
      </c>
      <c r="B621" s="8">
        <f>CHOOSE( CONTROL!$C$32, 17.1578, 17.1574) * CHOOSE(CONTROL!$C$15, $D$11, 100%, $F$11)</f>
        <v>17.157800000000002</v>
      </c>
      <c r="C621" s="8">
        <f>CHOOSE( CONTROL!$C$32, 17.1658, 17.1654) * CHOOSE(CONTROL!$C$15, $D$11, 100%, $F$11)</f>
        <v>17.165800000000001</v>
      </c>
      <c r="D621" s="8">
        <f>CHOOSE( CONTROL!$C$32, 17.1646, 17.1641) * CHOOSE( CONTROL!$C$15, $D$11, 100%, $F$11)</f>
        <v>17.1646</v>
      </c>
      <c r="E621" s="12">
        <f>CHOOSE( CONTROL!$C$32, 17.1638, 17.1634) * CHOOSE( CONTROL!$C$15, $D$11, 100%, $F$11)</f>
        <v>17.163799999999998</v>
      </c>
      <c r="F621" s="4">
        <f>CHOOSE( CONTROL!$C$32, 17.8607, 17.8602) * CHOOSE(CONTROL!$C$15, $D$11, 100%, $F$11)</f>
        <v>17.860700000000001</v>
      </c>
      <c r="G621" s="8">
        <f>CHOOSE( CONTROL!$C$32, 16.9668, 16.9664) * CHOOSE( CONTROL!$C$15, $D$11, 100%, $F$11)</f>
        <v>16.966799999999999</v>
      </c>
      <c r="H621" s="4">
        <f>CHOOSE( CONTROL!$C$32, 17.8981, 17.8977) * CHOOSE(CONTROL!$C$15, $D$11, 100%, $F$11)</f>
        <v>17.898099999999999</v>
      </c>
      <c r="I621" s="8">
        <f>CHOOSE( CONTROL!$C$32, 16.753, 16.7526) * CHOOSE(CONTROL!$C$15, $D$11, 100%, $F$11)</f>
        <v>16.753</v>
      </c>
      <c r="J621" s="4">
        <f>CHOOSE( CONTROL!$C$32, 16.6409, 16.6404) * CHOOSE(CONTROL!$C$15, $D$11, 100%, $F$11)</f>
        <v>16.640899999999998</v>
      </c>
      <c r="K621" s="4"/>
      <c r="L621" s="9">
        <v>30.7165</v>
      </c>
      <c r="M621" s="9">
        <v>12.063700000000001</v>
      </c>
      <c r="N621" s="9">
        <v>4.9444999999999997</v>
      </c>
      <c r="O621" s="9">
        <v>0.37409999999999999</v>
      </c>
      <c r="P621" s="9">
        <v>1.2927</v>
      </c>
      <c r="Q621" s="9">
        <v>19.688099999999999</v>
      </c>
      <c r="R621" s="9"/>
      <c r="S621" s="11"/>
    </row>
    <row r="622" spans="1:19" ht="15.75">
      <c r="A622" s="13">
        <v>60083</v>
      </c>
      <c r="B622" s="8">
        <f>CHOOSE( CONTROL!$C$32, 16.8822, 16.8817) * CHOOSE(CONTROL!$C$15, $D$11, 100%, $F$11)</f>
        <v>16.882200000000001</v>
      </c>
      <c r="C622" s="8">
        <f>CHOOSE( CONTROL!$C$32, 16.8901, 16.8897) * CHOOSE(CONTROL!$C$15, $D$11, 100%, $F$11)</f>
        <v>16.8901</v>
      </c>
      <c r="D622" s="8">
        <f>CHOOSE( CONTROL!$C$32, 16.8891, 16.8887) * CHOOSE( CONTROL!$C$15, $D$11, 100%, $F$11)</f>
        <v>16.889099999999999</v>
      </c>
      <c r="E622" s="12">
        <f>CHOOSE( CONTROL!$C$32, 16.8883, 16.8878) * CHOOSE( CONTROL!$C$15, $D$11, 100%, $F$11)</f>
        <v>16.888300000000001</v>
      </c>
      <c r="F622" s="4">
        <f>CHOOSE( CONTROL!$C$32, 17.585, 17.5845) * CHOOSE(CONTROL!$C$15, $D$11, 100%, $F$11)</f>
        <v>17.585000000000001</v>
      </c>
      <c r="G622" s="8">
        <f>CHOOSE( CONTROL!$C$32, 16.6945, 16.6941) * CHOOSE( CONTROL!$C$15, $D$11, 100%, $F$11)</f>
        <v>16.694500000000001</v>
      </c>
      <c r="H622" s="4">
        <f>CHOOSE( CONTROL!$C$32, 17.6257, 17.6252) * CHOOSE(CONTROL!$C$15, $D$11, 100%, $F$11)</f>
        <v>17.625699999999998</v>
      </c>
      <c r="I622" s="8">
        <f>CHOOSE( CONTROL!$C$32, 16.486, 16.4856) * CHOOSE(CONTROL!$C$15, $D$11, 100%, $F$11)</f>
        <v>16.486000000000001</v>
      </c>
      <c r="J622" s="4">
        <f>CHOOSE( CONTROL!$C$32, 16.3733, 16.3729) * CHOOSE(CONTROL!$C$15, $D$11, 100%, $F$11)</f>
        <v>16.3733</v>
      </c>
      <c r="K622" s="4"/>
      <c r="L622" s="9">
        <v>29.7257</v>
      </c>
      <c r="M622" s="9">
        <v>11.6745</v>
      </c>
      <c r="N622" s="9">
        <v>4.7850000000000001</v>
      </c>
      <c r="O622" s="9">
        <v>0.36199999999999999</v>
      </c>
      <c r="P622" s="9">
        <v>1.2509999999999999</v>
      </c>
      <c r="Q622" s="9">
        <v>19.053000000000001</v>
      </c>
      <c r="R622" s="9"/>
      <c r="S622" s="11"/>
    </row>
    <row r="623" spans="1:19" ht="15.75">
      <c r="A623" s="13">
        <v>60114</v>
      </c>
      <c r="B623" s="8">
        <f>CHOOSE( CONTROL!$C$32, 17.6081, 17.6077) * CHOOSE(CONTROL!$C$15, $D$11, 100%, $F$11)</f>
        <v>17.6081</v>
      </c>
      <c r="C623" s="8">
        <f>CHOOSE( CONTROL!$C$32, 17.6161, 17.6156) * CHOOSE(CONTROL!$C$15, $D$11, 100%, $F$11)</f>
        <v>17.616099999999999</v>
      </c>
      <c r="D623" s="8">
        <f>CHOOSE( CONTROL!$C$32, 17.6153, 17.6148) * CHOOSE( CONTROL!$C$15, $D$11, 100%, $F$11)</f>
        <v>17.615300000000001</v>
      </c>
      <c r="E623" s="12">
        <f>CHOOSE( CONTROL!$C$32, 17.6144, 17.6139) * CHOOSE( CONTROL!$C$15, $D$11, 100%, $F$11)</f>
        <v>17.6144</v>
      </c>
      <c r="F623" s="4">
        <f>CHOOSE( CONTROL!$C$32, 18.3109, 18.3105) * CHOOSE(CONTROL!$C$15, $D$11, 100%, $F$11)</f>
        <v>18.3109</v>
      </c>
      <c r="G623" s="8">
        <f>CHOOSE( CONTROL!$C$32, 17.4121, 17.4117) * CHOOSE( CONTROL!$C$15, $D$11, 100%, $F$11)</f>
        <v>17.412099999999999</v>
      </c>
      <c r="H623" s="4">
        <f>CHOOSE( CONTROL!$C$32, 18.3431, 18.3427) * CHOOSE(CONTROL!$C$15, $D$11, 100%, $F$11)</f>
        <v>18.3431</v>
      </c>
      <c r="I623" s="8">
        <f>CHOOSE( CONTROL!$C$32, 17.1917, 17.1913) * CHOOSE(CONTROL!$C$15, $D$11, 100%, $F$11)</f>
        <v>17.191700000000001</v>
      </c>
      <c r="J623" s="4">
        <f>CHOOSE( CONTROL!$C$32, 17.0778, 17.0774) * CHOOSE(CONTROL!$C$15, $D$11, 100%, $F$11)</f>
        <v>17.0778</v>
      </c>
      <c r="K623" s="4"/>
      <c r="L623" s="9">
        <v>30.7165</v>
      </c>
      <c r="M623" s="9">
        <v>12.063700000000001</v>
      </c>
      <c r="N623" s="9">
        <v>4.9444999999999997</v>
      </c>
      <c r="O623" s="9">
        <v>0.37409999999999999</v>
      </c>
      <c r="P623" s="9">
        <v>1.2927</v>
      </c>
      <c r="Q623" s="9">
        <v>19.688099999999999</v>
      </c>
      <c r="R623" s="9"/>
      <c r="S623" s="11"/>
    </row>
    <row r="624" spans="1:19" ht="15.75">
      <c r="A624" s="13">
        <v>60145</v>
      </c>
      <c r="B624" s="8">
        <f>CHOOSE( CONTROL!$C$32, 16.2498, 16.2493) * CHOOSE(CONTROL!$C$15, $D$11, 100%, $F$11)</f>
        <v>16.2498</v>
      </c>
      <c r="C624" s="8">
        <f>CHOOSE( CONTROL!$C$32, 16.2578, 16.2573) * CHOOSE(CONTROL!$C$15, $D$11, 100%, $F$11)</f>
        <v>16.2578</v>
      </c>
      <c r="D624" s="8">
        <f>CHOOSE( CONTROL!$C$32, 16.257, 16.2566) * CHOOSE( CONTROL!$C$15, $D$11, 100%, $F$11)</f>
        <v>16.257000000000001</v>
      </c>
      <c r="E624" s="12">
        <f>CHOOSE( CONTROL!$C$32, 16.2561, 16.2556) * CHOOSE( CONTROL!$C$15, $D$11, 100%, $F$11)</f>
        <v>16.2561</v>
      </c>
      <c r="F624" s="4">
        <f>CHOOSE( CONTROL!$C$32, 16.9526, 16.9522) * CHOOSE(CONTROL!$C$15, $D$11, 100%, $F$11)</f>
        <v>16.9526</v>
      </c>
      <c r="G624" s="8">
        <f>CHOOSE( CONTROL!$C$32, 16.0698, 16.0693) * CHOOSE( CONTROL!$C$15, $D$11, 100%, $F$11)</f>
        <v>16.069800000000001</v>
      </c>
      <c r="H624" s="4">
        <f>CHOOSE( CONTROL!$C$32, 17.0007, 17.0003) * CHOOSE(CONTROL!$C$15, $D$11, 100%, $F$11)</f>
        <v>17.000699999999998</v>
      </c>
      <c r="I624" s="8">
        <f>CHOOSE( CONTROL!$C$32, 15.873, 15.8725) * CHOOSE(CONTROL!$C$15, $D$11, 100%, $F$11)</f>
        <v>15.872999999999999</v>
      </c>
      <c r="J624" s="4">
        <f>CHOOSE( CONTROL!$C$32, 15.7596, 15.7592) * CHOOSE(CONTROL!$C$15, $D$11, 100%, $F$11)</f>
        <v>15.759600000000001</v>
      </c>
      <c r="K624" s="4"/>
      <c r="L624" s="9">
        <v>30.7165</v>
      </c>
      <c r="M624" s="9">
        <v>12.063700000000001</v>
      </c>
      <c r="N624" s="9">
        <v>4.9444999999999997</v>
      </c>
      <c r="O624" s="9">
        <v>0.37409999999999999</v>
      </c>
      <c r="P624" s="9">
        <v>1.2927</v>
      </c>
      <c r="Q624" s="9">
        <v>19.688099999999999</v>
      </c>
      <c r="R624" s="9"/>
      <c r="S624" s="11"/>
    </row>
    <row r="625" spans="1:19" ht="15.75">
      <c r="A625" s="13">
        <v>60175</v>
      </c>
      <c r="B625" s="8">
        <f>CHOOSE( CONTROL!$C$32, 15.9096, 15.9092) * CHOOSE(CONTROL!$C$15, $D$11, 100%, $F$11)</f>
        <v>15.909599999999999</v>
      </c>
      <c r="C625" s="8">
        <f>CHOOSE( CONTROL!$C$32, 15.9176, 15.9172) * CHOOSE(CONTROL!$C$15, $D$11, 100%, $F$11)</f>
        <v>15.9176</v>
      </c>
      <c r="D625" s="8">
        <f>CHOOSE( CONTROL!$C$32, 15.9167, 15.9163) * CHOOSE( CONTROL!$C$15, $D$11, 100%, $F$11)</f>
        <v>15.916700000000001</v>
      </c>
      <c r="E625" s="12">
        <f>CHOOSE( CONTROL!$C$32, 15.9158, 15.9154) * CHOOSE( CONTROL!$C$15, $D$11, 100%, $F$11)</f>
        <v>15.915800000000001</v>
      </c>
      <c r="F625" s="4">
        <f>CHOOSE( CONTROL!$C$32, 16.6125, 16.612) * CHOOSE(CONTROL!$C$15, $D$11, 100%, $F$11)</f>
        <v>16.612500000000001</v>
      </c>
      <c r="G625" s="8">
        <f>CHOOSE( CONTROL!$C$32, 15.7335, 15.7331) * CHOOSE( CONTROL!$C$15, $D$11, 100%, $F$11)</f>
        <v>15.733499999999999</v>
      </c>
      <c r="H625" s="4">
        <f>CHOOSE( CONTROL!$C$32, 16.6646, 16.6641) * CHOOSE(CONTROL!$C$15, $D$11, 100%, $F$11)</f>
        <v>16.6646</v>
      </c>
      <c r="I625" s="8">
        <f>CHOOSE( CONTROL!$C$32, 15.5422, 15.5418) * CHOOSE(CONTROL!$C$15, $D$11, 100%, $F$11)</f>
        <v>15.542199999999999</v>
      </c>
      <c r="J625" s="4">
        <f>CHOOSE( CONTROL!$C$32, 15.4295, 15.4291) * CHOOSE(CONTROL!$C$15, $D$11, 100%, $F$11)</f>
        <v>15.429500000000001</v>
      </c>
      <c r="K625" s="4"/>
      <c r="L625" s="9">
        <v>29.7257</v>
      </c>
      <c r="M625" s="9">
        <v>11.6745</v>
      </c>
      <c r="N625" s="9">
        <v>4.7850000000000001</v>
      </c>
      <c r="O625" s="9">
        <v>0.36199999999999999</v>
      </c>
      <c r="P625" s="9">
        <v>1.2509999999999999</v>
      </c>
      <c r="Q625" s="9">
        <v>19.053000000000001</v>
      </c>
      <c r="R625" s="9"/>
      <c r="S625" s="11"/>
    </row>
    <row r="626" spans="1:19" ht="15.75">
      <c r="A626" s="13">
        <v>60206</v>
      </c>
      <c r="B626" s="8">
        <f>CHOOSE( CONTROL!$C$32, 16.614, 16.6137) * CHOOSE(CONTROL!$C$15, $D$11, 100%, $F$11)</f>
        <v>16.614000000000001</v>
      </c>
      <c r="C626" s="8">
        <f>CHOOSE( CONTROL!$C$32, 16.6193, 16.619) * CHOOSE(CONTROL!$C$15, $D$11, 100%, $F$11)</f>
        <v>16.619299999999999</v>
      </c>
      <c r="D626" s="8">
        <f>CHOOSE( CONTROL!$C$32, 16.624, 16.6237) * CHOOSE( CONTROL!$C$15, $D$11, 100%, $F$11)</f>
        <v>16.623999999999999</v>
      </c>
      <c r="E626" s="12">
        <f>CHOOSE( CONTROL!$C$32, 16.6219, 16.6216) * CHOOSE( CONTROL!$C$15, $D$11, 100%, $F$11)</f>
        <v>16.6219</v>
      </c>
      <c r="F626" s="4">
        <f>CHOOSE( CONTROL!$C$32, 17.3185, 17.3183) * CHOOSE(CONTROL!$C$15, $D$11, 100%, $F$11)</f>
        <v>17.3185</v>
      </c>
      <c r="G626" s="8">
        <f>CHOOSE( CONTROL!$C$32, 16.4315, 16.4312) * CHOOSE( CONTROL!$C$15, $D$11, 100%, $F$11)</f>
        <v>16.4315</v>
      </c>
      <c r="H626" s="4">
        <f>CHOOSE( CONTROL!$C$32, 17.3624, 17.3621) * CHOOSE(CONTROL!$C$15, $D$11, 100%, $F$11)</f>
        <v>17.362400000000001</v>
      </c>
      <c r="I626" s="8">
        <f>CHOOSE( CONTROL!$C$32, 16.2286, 16.2283) * CHOOSE(CONTROL!$C$15, $D$11, 100%, $F$11)</f>
        <v>16.2286</v>
      </c>
      <c r="J626" s="4">
        <f>CHOOSE( CONTROL!$C$32, 16.1147, 16.1145) * CHOOSE(CONTROL!$C$15, $D$11, 100%, $F$11)</f>
        <v>16.114699999999999</v>
      </c>
      <c r="K626" s="4"/>
      <c r="L626" s="9">
        <v>31.095300000000002</v>
      </c>
      <c r="M626" s="9">
        <v>12.063700000000001</v>
      </c>
      <c r="N626" s="9">
        <v>4.9444999999999997</v>
      </c>
      <c r="O626" s="9">
        <v>0.37409999999999999</v>
      </c>
      <c r="P626" s="9">
        <v>1.2927</v>
      </c>
      <c r="Q626" s="9">
        <v>19.688099999999999</v>
      </c>
      <c r="R626" s="9"/>
      <c r="S626" s="11"/>
    </row>
    <row r="627" spans="1:19" ht="15.75">
      <c r="A627" s="13">
        <v>60236</v>
      </c>
      <c r="B627" s="8">
        <f>CHOOSE( CONTROL!$C$32, 17.9172, 17.9169) * CHOOSE(CONTROL!$C$15, $D$11, 100%, $F$11)</f>
        <v>17.917200000000001</v>
      </c>
      <c r="C627" s="8">
        <f>CHOOSE( CONTROL!$C$32, 17.9222, 17.922) * CHOOSE(CONTROL!$C$15, $D$11, 100%, $F$11)</f>
        <v>17.9222</v>
      </c>
      <c r="D627" s="8">
        <f>CHOOSE( CONTROL!$C$32, 17.905, 17.9047) * CHOOSE( CONTROL!$C$15, $D$11, 100%, $F$11)</f>
        <v>17.905000000000001</v>
      </c>
      <c r="E627" s="12">
        <f>CHOOSE( CONTROL!$C$32, 17.9108, 17.9105) * CHOOSE( CONTROL!$C$15, $D$11, 100%, $F$11)</f>
        <v>17.910799999999998</v>
      </c>
      <c r="F627" s="4">
        <f>CHOOSE( CONTROL!$C$32, 18.5825, 18.5822) * CHOOSE(CONTROL!$C$15, $D$11, 100%, $F$11)</f>
        <v>18.5825</v>
      </c>
      <c r="G627" s="8">
        <f>CHOOSE( CONTROL!$C$32, 17.7167, 17.7164) * CHOOSE( CONTROL!$C$15, $D$11, 100%, $F$11)</f>
        <v>17.716699999999999</v>
      </c>
      <c r="H627" s="4">
        <f>CHOOSE( CONTROL!$C$32, 18.6115, 18.6112) * CHOOSE(CONTROL!$C$15, $D$11, 100%, $F$11)</f>
        <v>18.611499999999999</v>
      </c>
      <c r="I627" s="8">
        <f>CHOOSE( CONTROL!$C$32, 17.55, 17.5497) * CHOOSE(CONTROL!$C$15, $D$11, 100%, $F$11)</f>
        <v>17.55</v>
      </c>
      <c r="J627" s="4">
        <f>CHOOSE( CONTROL!$C$32, 17.3799, 17.3796) * CHOOSE(CONTROL!$C$15, $D$11, 100%, $F$11)</f>
        <v>17.379899999999999</v>
      </c>
      <c r="K627" s="4"/>
      <c r="L627" s="9">
        <v>28.360600000000002</v>
      </c>
      <c r="M627" s="9">
        <v>11.6745</v>
      </c>
      <c r="N627" s="9">
        <v>4.7850000000000001</v>
      </c>
      <c r="O627" s="9">
        <v>0.36199999999999999</v>
      </c>
      <c r="P627" s="9">
        <v>1.2509999999999999</v>
      </c>
      <c r="Q627" s="9">
        <v>19.053000000000001</v>
      </c>
      <c r="R627" s="9"/>
      <c r="S627" s="11"/>
    </row>
    <row r="628" spans="1:19" ht="15.75">
      <c r="A628" s="13">
        <v>60267</v>
      </c>
      <c r="B628" s="8">
        <f>CHOOSE( CONTROL!$C$32, 17.8846, 17.8843) * CHOOSE(CONTROL!$C$15, $D$11, 100%, $F$11)</f>
        <v>17.884599999999999</v>
      </c>
      <c r="C628" s="8">
        <f>CHOOSE( CONTROL!$C$32, 17.8897, 17.8894) * CHOOSE(CONTROL!$C$15, $D$11, 100%, $F$11)</f>
        <v>17.889700000000001</v>
      </c>
      <c r="D628" s="8">
        <f>CHOOSE( CONTROL!$C$32, 17.8742, 17.8739) * CHOOSE( CONTROL!$C$15, $D$11, 100%, $F$11)</f>
        <v>17.874199999999998</v>
      </c>
      <c r="E628" s="12">
        <f>CHOOSE( CONTROL!$C$32, 17.8793, 17.879) * CHOOSE( CONTROL!$C$15, $D$11, 100%, $F$11)</f>
        <v>17.879300000000001</v>
      </c>
      <c r="F628" s="4">
        <f>CHOOSE( CONTROL!$C$32, 18.5499, 18.5496) * CHOOSE(CONTROL!$C$15, $D$11, 100%, $F$11)</f>
        <v>18.549900000000001</v>
      </c>
      <c r="G628" s="8">
        <f>CHOOSE( CONTROL!$C$32, 17.6858, 17.6855) * CHOOSE( CONTROL!$C$15, $D$11, 100%, $F$11)</f>
        <v>17.6858</v>
      </c>
      <c r="H628" s="4">
        <f>CHOOSE( CONTROL!$C$32, 18.5793, 18.579) * CHOOSE(CONTROL!$C$15, $D$11, 100%, $F$11)</f>
        <v>18.5793</v>
      </c>
      <c r="I628" s="8">
        <f>CHOOSE( CONTROL!$C$32, 17.524, 17.5237) * CHOOSE(CONTROL!$C$15, $D$11, 100%, $F$11)</f>
        <v>17.524000000000001</v>
      </c>
      <c r="J628" s="4">
        <f>CHOOSE( CONTROL!$C$32, 17.3483, 17.348) * CHOOSE(CONTROL!$C$15, $D$11, 100%, $F$11)</f>
        <v>17.348299999999998</v>
      </c>
      <c r="K628" s="4"/>
      <c r="L628" s="9">
        <v>29.306000000000001</v>
      </c>
      <c r="M628" s="9">
        <v>12.063700000000001</v>
      </c>
      <c r="N628" s="9">
        <v>4.9444999999999997</v>
      </c>
      <c r="O628" s="9">
        <v>0.37409999999999999</v>
      </c>
      <c r="P628" s="9">
        <v>1.2927</v>
      </c>
      <c r="Q628" s="9">
        <v>19.688099999999999</v>
      </c>
      <c r="R628" s="9"/>
      <c r="S628" s="11"/>
    </row>
    <row r="629" spans="1:19" ht="15.75">
      <c r="A629" s="13">
        <v>60298</v>
      </c>
      <c r="B629" s="8">
        <f>CHOOSE( CONTROL!$C$32, 18.4119, 18.4116) * CHOOSE(CONTROL!$C$15, $D$11, 100%, $F$11)</f>
        <v>18.411899999999999</v>
      </c>
      <c r="C629" s="8">
        <f>CHOOSE( CONTROL!$C$32, 18.4169, 18.4167) * CHOOSE(CONTROL!$C$15, $D$11, 100%, $F$11)</f>
        <v>18.416899999999998</v>
      </c>
      <c r="D629" s="8">
        <f>CHOOSE( CONTROL!$C$32, 18.4074, 18.4071) * CHOOSE( CONTROL!$C$15, $D$11, 100%, $F$11)</f>
        <v>18.407399999999999</v>
      </c>
      <c r="E629" s="12">
        <f>CHOOSE( CONTROL!$C$32, 18.4103, 18.4101) * CHOOSE( CONTROL!$C$15, $D$11, 100%, $F$11)</f>
        <v>18.410299999999999</v>
      </c>
      <c r="F629" s="4">
        <f>CHOOSE( CONTROL!$C$32, 19.0771, 19.0769) * CHOOSE(CONTROL!$C$15, $D$11, 100%, $F$11)</f>
        <v>19.077100000000002</v>
      </c>
      <c r="G629" s="8">
        <f>CHOOSE( CONTROL!$C$32, 18.2076, 18.2073) * CHOOSE( CONTROL!$C$15, $D$11, 100%, $F$11)</f>
        <v>18.207599999999999</v>
      </c>
      <c r="H629" s="4">
        <f>CHOOSE( CONTROL!$C$32, 19.1004, 19.1001) * CHOOSE(CONTROL!$C$15, $D$11, 100%, $F$11)</f>
        <v>19.1004</v>
      </c>
      <c r="I629" s="8">
        <f>CHOOSE( CONTROL!$C$32, 18.0164, 18.0161) * CHOOSE(CONTROL!$C$15, $D$11, 100%, $F$11)</f>
        <v>18.016400000000001</v>
      </c>
      <c r="J629" s="4">
        <f>CHOOSE( CONTROL!$C$32, 17.86, 17.8597) * CHOOSE(CONTROL!$C$15, $D$11, 100%, $F$11)</f>
        <v>17.86</v>
      </c>
      <c r="K629" s="4"/>
      <c r="L629" s="9">
        <v>29.306000000000001</v>
      </c>
      <c r="M629" s="9">
        <v>12.063700000000001</v>
      </c>
      <c r="N629" s="9">
        <v>4.9444999999999997</v>
      </c>
      <c r="O629" s="9">
        <v>0.37409999999999999</v>
      </c>
      <c r="P629" s="9">
        <v>1.2927</v>
      </c>
      <c r="Q629" s="9">
        <v>19.688099999999999</v>
      </c>
      <c r="R629" s="9"/>
      <c r="S629" s="11"/>
    </row>
    <row r="630" spans="1:19" ht="15.75">
      <c r="A630" s="13">
        <v>60326</v>
      </c>
      <c r="B630" s="8">
        <f>CHOOSE( CONTROL!$C$32, 17.2222, 17.2219) * CHOOSE(CONTROL!$C$15, $D$11, 100%, $F$11)</f>
        <v>17.222200000000001</v>
      </c>
      <c r="C630" s="8">
        <f>CHOOSE( CONTROL!$C$32, 17.2272, 17.227) * CHOOSE(CONTROL!$C$15, $D$11, 100%, $F$11)</f>
        <v>17.2272</v>
      </c>
      <c r="D630" s="8">
        <f>CHOOSE( CONTROL!$C$32, 17.2193, 17.2191) * CHOOSE( CONTROL!$C$15, $D$11, 100%, $F$11)</f>
        <v>17.2193</v>
      </c>
      <c r="E630" s="12">
        <f>CHOOSE( CONTROL!$C$32, 17.2217, 17.2214) * CHOOSE( CONTROL!$C$15, $D$11, 100%, $F$11)</f>
        <v>17.221699999999998</v>
      </c>
      <c r="F630" s="4">
        <f>CHOOSE( CONTROL!$C$32, 17.8874, 17.8872) * CHOOSE(CONTROL!$C$15, $D$11, 100%, $F$11)</f>
        <v>17.8874</v>
      </c>
      <c r="G630" s="8">
        <f>CHOOSE( CONTROL!$C$32, 17.0304, 17.0301) * CHOOSE( CONTROL!$C$15, $D$11, 100%, $F$11)</f>
        <v>17.0304</v>
      </c>
      <c r="H630" s="4">
        <f>CHOOSE( CONTROL!$C$32, 17.9246, 17.9243) * CHOOSE(CONTROL!$C$15, $D$11, 100%, $F$11)</f>
        <v>17.924600000000002</v>
      </c>
      <c r="I630" s="8">
        <f>CHOOSE( CONTROL!$C$32, 16.8458, 16.8455) * CHOOSE(CONTROL!$C$15, $D$11, 100%, $F$11)</f>
        <v>16.845800000000001</v>
      </c>
      <c r="J630" s="4">
        <f>CHOOSE( CONTROL!$C$32, 16.7054, 16.7051) * CHOOSE(CONTROL!$C$15, $D$11, 100%, $F$11)</f>
        <v>16.705400000000001</v>
      </c>
      <c r="K630" s="4"/>
      <c r="L630" s="9">
        <v>26.469899999999999</v>
      </c>
      <c r="M630" s="9">
        <v>10.8962</v>
      </c>
      <c r="N630" s="9">
        <v>4.4660000000000002</v>
      </c>
      <c r="O630" s="9">
        <v>0.33789999999999998</v>
      </c>
      <c r="P630" s="9">
        <v>1.1676</v>
      </c>
      <c r="Q630" s="9">
        <v>17.782800000000002</v>
      </c>
      <c r="R630" s="9"/>
      <c r="S630" s="11"/>
    </row>
    <row r="631" spans="1:19" ht="15.75">
      <c r="A631" s="13">
        <v>60357</v>
      </c>
      <c r="B631" s="8">
        <f>CHOOSE( CONTROL!$C$32, 16.8557, 16.8555) * CHOOSE(CONTROL!$C$15, $D$11, 100%, $F$11)</f>
        <v>16.855699999999999</v>
      </c>
      <c r="C631" s="8">
        <f>CHOOSE( CONTROL!$C$32, 16.8608, 16.8605) * CHOOSE(CONTROL!$C$15, $D$11, 100%, $F$11)</f>
        <v>16.860800000000001</v>
      </c>
      <c r="D631" s="8">
        <f>CHOOSE( CONTROL!$C$32, 16.8481, 16.8479) * CHOOSE( CONTROL!$C$15, $D$11, 100%, $F$11)</f>
        <v>16.848099999999999</v>
      </c>
      <c r="E631" s="12">
        <f>CHOOSE( CONTROL!$C$32, 16.8522, 16.852) * CHOOSE( CONTROL!$C$15, $D$11, 100%, $F$11)</f>
        <v>16.8522</v>
      </c>
      <c r="F631" s="4">
        <f>CHOOSE( CONTROL!$C$32, 17.521, 17.5208) * CHOOSE(CONTROL!$C$15, $D$11, 100%, $F$11)</f>
        <v>17.521000000000001</v>
      </c>
      <c r="G631" s="8">
        <f>CHOOSE( CONTROL!$C$32, 16.6648, 16.6645) * CHOOSE( CONTROL!$C$15, $D$11, 100%, $F$11)</f>
        <v>16.6648</v>
      </c>
      <c r="H631" s="4">
        <f>CHOOSE( CONTROL!$C$32, 17.5625, 17.5622) * CHOOSE(CONTROL!$C$15, $D$11, 100%, $F$11)</f>
        <v>17.5625</v>
      </c>
      <c r="I631" s="8">
        <f>CHOOSE( CONTROL!$C$32, 16.4884, 16.4881) * CHOOSE(CONTROL!$C$15, $D$11, 100%, $F$11)</f>
        <v>16.488399999999999</v>
      </c>
      <c r="J631" s="4">
        <f>CHOOSE( CONTROL!$C$32, 16.3498, 16.3495) * CHOOSE(CONTROL!$C$15, $D$11, 100%, $F$11)</f>
        <v>16.349799999999998</v>
      </c>
      <c r="K631" s="4"/>
      <c r="L631" s="9">
        <v>29.306000000000001</v>
      </c>
      <c r="M631" s="9">
        <v>12.063700000000001</v>
      </c>
      <c r="N631" s="9">
        <v>4.9444999999999997</v>
      </c>
      <c r="O631" s="9">
        <v>0.37409999999999999</v>
      </c>
      <c r="P631" s="9">
        <v>1.2927</v>
      </c>
      <c r="Q631" s="9">
        <v>19.688099999999999</v>
      </c>
      <c r="R631" s="9"/>
      <c r="S631" s="11"/>
    </row>
    <row r="632" spans="1:19" ht="15.75">
      <c r="A632" s="13">
        <v>60387</v>
      </c>
      <c r="B632" s="8">
        <f>CHOOSE( CONTROL!$C$32, 17.1126, 17.1123) * CHOOSE(CONTROL!$C$15, $D$11, 100%, $F$11)</f>
        <v>17.1126</v>
      </c>
      <c r="C632" s="8">
        <f>CHOOSE( CONTROL!$C$32, 17.1171, 17.1168) * CHOOSE(CONTROL!$C$15, $D$11, 100%, $F$11)</f>
        <v>17.117100000000001</v>
      </c>
      <c r="D632" s="8">
        <f>CHOOSE( CONTROL!$C$32, 17.1219, 17.1217) * CHOOSE( CONTROL!$C$15, $D$11, 100%, $F$11)</f>
        <v>17.1219</v>
      </c>
      <c r="E632" s="12">
        <f>CHOOSE( CONTROL!$C$32, 17.1198, 17.1196) * CHOOSE( CONTROL!$C$15, $D$11, 100%, $F$11)</f>
        <v>17.119800000000001</v>
      </c>
      <c r="F632" s="4">
        <f>CHOOSE( CONTROL!$C$32, 17.8167, 17.8165) * CHOOSE(CONTROL!$C$15, $D$11, 100%, $F$11)</f>
        <v>17.816700000000001</v>
      </c>
      <c r="G632" s="8">
        <f>CHOOSE( CONTROL!$C$32, 16.9236, 16.9233) * CHOOSE( CONTROL!$C$15, $D$11, 100%, $F$11)</f>
        <v>16.9236</v>
      </c>
      <c r="H632" s="4">
        <f>CHOOSE( CONTROL!$C$32, 17.8547, 17.8545) * CHOOSE(CONTROL!$C$15, $D$11, 100%, $F$11)</f>
        <v>17.854700000000001</v>
      </c>
      <c r="I632" s="8">
        <f>CHOOSE( CONTROL!$C$32, 16.7113, 16.711) * CHOOSE(CONTROL!$C$15, $D$11, 100%, $F$11)</f>
        <v>16.711300000000001</v>
      </c>
      <c r="J632" s="4">
        <f>CHOOSE( CONTROL!$C$32, 16.5982, 16.598) * CHOOSE(CONTROL!$C$15, $D$11, 100%, $F$11)</f>
        <v>16.598199999999999</v>
      </c>
      <c r="K632" s="4"/>
      <c r="L632" s="9">
        <v>30.092199999999998</v>
      </c>
      <c r="M632" s="9">
        <v>11.6745</v>
      </c>
      <c r="N632" s="9">
        <v>4.7850000000000001</v>
      </c>
      <c r="O632" s="9">
        <v>0.36199999999999999</v>
      </c>
      <c r="P632" s="9">
        <v>1.2509999999999999</v>
      </c>
      <c r="Q632" s="9">
        <v>19.053000000000001</v>
      </c>
      <c r="R632" s="9"/>
      <c r="S632" s="11"/>
    </row>
    <row r="633" spans="1:19" ht="15.75">
      <c r="A633" s="13">
        <v>60418</v>
      </c>
      <c r="B633" s="8">
        <f>CHOOSE( CONTROL!$C$32, 17.5698, 17.5694) * CHOOSE(CONTROL!$C$15, $D$11, 100%, $F$11)</f>
        <v>17.569800000000001</v>
      </c>
      <c r="C633" s="8">
        <f>CHOOSE( CONTROL!$C$32, 17.5778, 17.5773) * CHOOSE(CONTROL!$C$15, $D$11, 100%, $F$11)</f>
        <v>17.5778</v>
      </c>
      <c r="D633" s="8">
        <f>CHOOSE( CONTROL!$C$32, 17.5766, 17.5761) * CHOOSE( CONTROL!$C$15, $D$11, 100%, $F$11)</f>
        <v>17.576599999999999</v>
      </c>
      <c r="E633" s="12">
        <f>CHOOSE( CONTROL!$C$32, 17.5758, 17.5753) * CHOOSE( CONTROL!$C$15, $D$11, 100%, $F$11)</f>
        <v>17.575800000000001</v>
      </c>
      <c r="F633" s="4">
        <f>CHOOSE( CONTROL!$C$32, 18.2726, 18.2722) * CHOOSE(CONTROL!$C$15, $D$11, 100%, $F$11)</f>
        <v>18.272600000000001</v>
      </c>
      <c r="G633" s="8">
        <f>CHOOSE( CONTROL!$C$32, 17.374, 17.3735) * CHOOSE( CONTROL!$C$15, $D$11, 100%, $F$11)</f>
        <v>17.373999999999999</v>
      </c>
      <c r="H633" s="4">
        <f>CHOOSE( CONTROL!$C$32, 18.3053, 18.3048) * CHOOSE(CONTROL!$C$15, $D$11, 100%, $F$11)</f>
        <v>18.305299999999999</v>
      </c>
      <c r="I633" s="8">
        <f>CHOOSE( CONTROL!$C$32, 17.1531, 17.1526) * CHOOSE(CONTROL!$C$15, $D$11, 100%, $F$11)</f>
        <v>17.153099999999998</v>
      </c>
      <c r="J633" s="4">
        <f>CHOOSE( CONTROL!$C$32, 17.0407, 17.0402) * CHOOSE(CONTROL!$C$15, $D$11, 100%, $F$11)</f>
        <v>17.040700000000001</v>
      </c>
      <c r="K633" s="4"/>
      <c r="L633" s="9">
        <v>30.7165</v>
      </c>
      <c r="M633" s="9">
        <v>12.063700000000001</v>
      </c>
      <c r="N633" s="9">
        <v>4.9444999999999997</v>
      </c>
      <c r="O633" s="9">
        <v>0.37409999999999999</v>
      </c>
      <c r="P633" s="9">
        <v>1.2927</v>
      </c>
      <c r="Q633" s="9">
        <v>19.688099999999999</v>
      </c>
      <c r="R633" s="9"/>
      <c r="S633" s="11"/>
    </row>
    <row r="634" spans="1:19" ht="15.75">
      <c r="A634" s="13">
        <v>60448</v>
      </c>
      <c r="B634" s="8">
        <f>CHOOSE( CONTROL!$C$32, 17.2875, 17.2871) * CHOOSE(CONTROL!$C$15, $D$11, 100%, $F$11)</f>
        <v>17.287500000000001</v>
      </c>
      <c r="C634" s="8">
        <f>CHOOSE( CONTROL!$C$32, 17.2955, 17.295) * CHOOSE(CONTROL!$C$15, $D$11, 100%, $F$11)</f>
        <v>17.295500000000001</v>
      </c>
      <c r="D634" s="8">
        <f>CHOOSE( CONTROL!$C$32, 17.2945, 17.294) * CHOOSE( CONTROL!$C$15, $D$11, 100%, $F$11)</f>
        <v>17.294499999999999</v>
      </c>
      <c r="E634" s="12">
        <f>CHOOSE( CONTROL!$C$32, 17.2936, 17.2932) * CHOOSE( CONTROL!$C$15, $D$11, 100%, $F$11)</f>
        <v>17.293600000000001</v>
      </c>
      <c r="F634" s="4">
        <f>CHOOSE( CONTROL!$C$32, 17.9903, 17.9899) * CHOOSE(CONTROL!$C$15, $D$11, 100%, $F$11)</f>
        <v>17.990300000000001</v>
      </c>
      <c r="G634" s="8">
        <f>CHOOSE( CONTROL!$C$32, 17.0951, 17.0947) * CHOOSE( CONTROL!$C$15, $D$11, 100%, $F$11)</f>
        <v>17.095099999999999</v>
      </c>
      <c r="H634" s="4">
        <f>CHOOSE( CONTROL!$C$32, 18.0263, 18.0259) * CHOOSE(CONTROL!$C$15, $D$11, 100%, $F$11)</f>
        <v>18.026299999999999</v>
      </c>
      <c r="I634" s="8">
        <f>CHOOSE( CONTROL!$C$32, 16.8796, 16.8792) * CHOOSE(CONTROL!$C$15, $D$11, 100%, $F$11)</f>
        <v>16.8796</v>
      </c>
      <c r="J634" s="4">
        <f>CHOOSE( CONTROL!$C$32, 16.7667, 16.7663) * CHOOSE(CONTROL!$C$15, $D$11, 100%, $F$11)</f>
        <v>16.7667</v>
      </c>
      <c r="K634" s="4"/>
      <c r="L634" s="9">
        <v>29.7257</v>
      </c>
      <c r="M634" s="9">
        <v>11.6745</v>
      </c>
      <c r="N634" s="9">
        <v>4.7850000000000001</v>
      </c>
      <c r="O634" s="9">
        <v>0.36199999999999999</v>
      </c>
      <c r="P634" s="9">
        <v>1.2509999999999999</v>
      </c>
      <c r="Q634" s="9">
        <v>19.053000000000001</v>
      </c>
      <c r="R634" s="9"/>
      <c r="S634" s="11"/>
    </row>
    <row r="635" spans="1:19" ht="15.75">
      <c r="A635" s="13">
        <v>60479</v>
      </c>
      <c r="B635" s="8">
        <f>CHOOSE( CONTROL!$C$32, 18.0309, 18.0305) * CHOOSE(CONTROL!$C$15, $D$11, 100%, $F$11)</f>
        <v>18.030899999999999</v>
      </c>
      <c r="C635" s="8">
        <f>CHOOSE( CONTROL!$C$32, 18.0389, 18.0384) * CHOOSE(CONTROL!$C$15, $D$11, 100%, $F$11)</f>
        <v>18.038900000000002</v>
      </c>
      <c r="D635" s="8">
        <f>CHOOSE( CONTROL!$C$32, 18.0381, 18.0376) * CHOOSE( CONTROL!$C$15, $D$11, 100%, $F$11)</f>
        <v>18.0381</v>
      </c>
      <c r="E635" s="12">
        <f>CHOOSE( CONTROL!$C$32, 18.0372, 18.0367) * CHOOSE( CONTROL!$C$15, $D$11, 100%, $F$11)</f>
        <v>18.037199999999999</v>
      </c>
      <c r="F635" s="4">
        <f>CHOOSE( CONTROL!$C$32, 18.7337, 18.7333) * CHOOSE(CONTROL!$C$15, $D$11, 100%, $F$11)</f>
        <v>18.733699999999999</v>
      </c>
      <c r="G635" s="8">
        <f>CHOOSE( CONTROL!$C$32, 17.83, 17.8295) * CHOOSE( CONTROL!$C$15, $D$11, 100%, $F$11)</f>
        <v>17.829999999999998</v>
      </c>
      <c r="H635" s="4">
        <f>CHOOSE( CONTROL!$C$32, 18.761, 18.7605) * CHOOSE(CONTROL!$C$15, $D$11, 100%, $F$11)</f>
        <v>18.760999999999999</v>
      </c>
      <c r="I635" s="8">
        <f>CHOOSE( CONTROL!$C$32, 17.6022, 17.6018) * CHOOSE(CONTROL!$C$15, $D$11, 100%, $F$11)</f>
        <v>17.6022</v>
      </c>
      <c r="J635" s="4">
        <f>CHOOSE( CONTROL!$C$32, 17.4882, 17.4877) * CHOOSE(CONTROL!$C$15, $D$11, 100%, $F$11)</f>
        <v>17.488199999999999</v>
      </c>
      <c r="K635" s="4"/>
      <c r="L635" s="9">
        <v>30.7165</v>
      </c>
      <c r="M635" s="9">
        <v>12.063700000000001</v>
      </c>
      <c r="N635" s="9">
        <v>4.9444999999999997</v>
      </c>
      <c r="O635" s="9">
        <v>0.37409999999999999</v>
      </c>
      <c r="P635" s="9">
        <v>1.2927</v>
      </c>
      <c r="Q635" s="9">
        <v>19.688099999999999</v>
      </c>
      <c r="R635" s="9"/>
      <c r="S635" s="11"/>
    </row>
    <row r="636" spans="1:19" ht="15.75">
      <c r="A636" s="13">
        <v>60510</v>
      </c>
      <c r="B636" s="8">
        <f>CHOOSE( CONTROL!$C$32, 16.6399, 16.6395) * CHOOSE(CONTROL!$C$15, $D$11, 100%, $F$11)</f>
        <v>16.639900000000001</v>
      </c>
      <c r="C636" s="8">
        <f>CHOOSE( CONTROL!$C$32, 16.6479, 16.6475) * CHOOSE(CONTROL!$C$15, $D$11, 100%, $F$11)</f>
        <v>16.6479</v>
      </c>
      <c r="D636" s="8">
        <f>CHOOSE( CONTROL!$C$32, 16.6472, 16.6467) * CHOOSE( CONTROL!$C$15, $D$11, 100%, $F$11)</f>
        <v>16.647200000000002</v>
      </c>
      <c r="E636" s="12">
        <f>CHOOSE( CONTROL!$C$32, 16.6462, 16.6458) * CHOOSE( CONTROL!$C$15, $D$11, 100%, $F$11)</f>
        <v>16.6462</v>
      </c>
      <c r="F636" s="4">
        <f>CHOOSE( CONTROL!$C$32, 17.3428, 17.3423) * CHOOSE(CONTROL!$C$15, $D$11, 100%, $F$11)</f>
        <v>17.3428</v>
      </c>
      <c r="G636" s="8">
        <f>CHOOSE( CONTROL!$C$32, 16.4554, 16.4549) * CHOOSE( CONTROL!$C$15, $D$11, 100%, $F$11)</f>
        <v>16.455400000000001</v>
      </c>
      <c r="H636" s="4">
        <f>CHOOSE( CONTROL!$C$32, 17.3863, 17.3859) * CHOOSE(CONTROL!$C$15, $D$11, 100%, $F$11)</f>
        <v>17.386299999999999</v>
      </c>
      <c r="I636" s="8">
        <f>CHOOSE( CONTROL!$C$32, 16.2518, 16.2514) * CHOOSE(CONTROL!$C$15, $D$11, 100%, $F$11)</f>
        <v>16.251799999999999</v>
      </c>
      <c r="J636" s="4">
        <f>CHOOSE( CONTROL!$C$32, 16.1383, 16.1378) * CHOOSE(CONTROL!$C$15, $D$11, 100%, $F$11)</f>
        <v>16.138300000000001</v>
      </c>
      <c r="K636" s="4"/>
      <c r="L636" s="9">
        <v>30.7165</v>
      </c>
      <c r="M636" s="9">
        <v>12.063700000000001</v>
      </c>
      <c r="N636" s="9">
        <v>4.9444999999999997</v>
      </c>
      <c r="O636" s="9">
        <v>0.37409999999999999</v>
      </c>
      <c r="P636" s="9">
        <v>1.2927</v>
      </c>
      <c r="Q636" s="9">
        <v>19.688099999999999</v>
      </c>
      <c r="R636" s="9"/>
      <c r="S636" s="11"/>
    </row>
    <row r="637" spans="1:19" ht="15.75">
      <c r="A637" s="13">
        <v>60540</v>
      </c>
      <c r="B637" s="8">
        <f>CHOOSE( CONTROL!$C$32, 16.2916, 16.2912) * CHOOSE(CONTROL!$C$15, $D$11, 100%, $F$11)</f>
        <v>16.291599999999999</v>
      </c>
      <c r="C637" s="8">
        <f>CHOOSE( CONTROL!$C$32, 16.2996, 16.2992) * CHOOSE(CONTROL!$C$15, $D$11, 100%, $F$11)</f>
        <v>16.299600000000002</v>
      </c>
      <c r="D637" s="8">
        <f>CHOOSE( CONTROL!$C$32, 16.2987, 16.2983) * CHOOSE( CONTROL!$C$15, $D$11, 100%, $F$11)</f>
        <v>16.2987</v>
      </c>
      <c r="E637" s="12">
        <f>CHOOSE( CONTROL!$C$32, 16.2978, 16.2974) * CHOOSE( CONTROL!$C$15, $D$11, 100%, $F$11)</f>
        <v>16.297799999999999</v>
      </c>
      <c r="F637" s="4">
        <f>CHOOSE( CONTROL!$C$32, 16.9945, 16.994) * CHOOSE(CONTROL!$C$15, $D$11, 100%, $F$11)</f>
        <v>16.994499999999999</v>
      </c>
      <c r="G637" s="8">
        <f>CHOOSE( CONTROL!$C$32, 16.111, 16.1106) * CHOOSE( CONTROL!$C$15, $D$11, 100%, $F$11)</f>
        <v>16.111000000000001</v>
      </c>
      <c r="H637" s="4">
        <f>CHOOSE( CONTROL!$C$32, 17.0421, 17.0416) * CHOOSE(CONTROL!$C$15, $D$11, 100%, $F$11)</f>
        <v>17.042100000000001</v>
      </c>
      <c r="I637" s="8">
        <f>CHOOSE( CONTROL!$C$32, 15.9131, 15.9127) * CHOOSE(CONTROL!$C$15, $D$11, 100%, $F$11)</f>
        <v>15.9131</v>
      </c>
      <c r="J637" s="4">
        <f>CHOOSE( CONTROL!$C$32, 15.8002, 15.7998) * CHOOSE(CONTROL!$C$15, $D$11, 100%, $F$11)</f>
        <v>15.8002</v>
      </c>
      <c r="K637" s="4"/>
      <c r="L637" s="9">
        <v>29.7257</v>
      </c>
      <c r="M637" s="9">
        <v>11.6745</v>
      </c>
      <c r="N637" s="9">
        <v>4.7850000000000001</v>
      </c>
      <c r="O637" s="9">
        <v>0.36199999999999999</v>
      </c>
      <c r="P637" s="9">
        <v>1.2509999999999999</v>
      </c>
      <c r="Q637" s="9">
        <v>19.053000000000001</v>
      </c>
      <c r="R637" s="9"/>
      <c r="S637" s="11"/>
    </row>
    <row r="638" spans="1:19" ht="15.75">
      <c r="A638" s="13">
        <v>60571</v>
      </c>
      <c r="B638" s="8">
        <f>CHOOSE( CONTROL!$C$32, 17.0129, 17.0127) * CHOOSE(CONTROL!$C$15, $D$11, 100%, $F$11)</f>
        <v>17.012899999999998</v>
      </c>
      <c r="C638" s="8">
        <f>CHOOSE( CONTROL!$C$32, 17.0183, 17.018) * CHOOSE(CONTROL!$C$15, $D$11, 100%, $F$11)</f>
        <v>17.0183</v>
      </c>
      <c r="D638" s="8">
        <f>CHOOSE( CONTROL!$C$32, 17.023, 17.0227) * CHOOSE( CONTROL!$C$15, $D$11, 100%, $F$11)</f>
        <v>17.023</v>
      </c>
      <c r="E638" s="12">
        <f>CHOOSE( CONTROL!$C$32, 17.0209, 17.0206) * CHOOSE( CONTROL!$C$15, $D$11, 100%, $F$11)</f>
        <v>17.020900000000001</v>
      </c>
      <c r="F638" s="4">
        <f>CHOOSE( CONTROL!$C$32, 17.7175, 17.7172) * CHOOSE(CONTROL!$C$15, $D$11, 100%, $F$11)</f>
        <v>17.717500000000001</v>
      </c>
      <c r="G638" s="8">
        <f>CHOOSE( CONTROL!$C$32, 16.8258, 16.8255) * CHOOSE( CONTROL!$C$15, $D$11, 100%, $F$11)</f>
        <v>16.825800000000001</v>
      </c>
      <c r="H638" s="4">
        <f>CHOOSE( CONTROL!$C$32, 17.7566, 17.7564) * CHOOSE(CONTROL!$C$15, $D$11, 100%, $F$11)</f>
        <v>17.756599999999999</v>
      </c>
      <c r="I638" s="8">
        <f>CHOOSE( CONTROL!$C$32, 16.616, 16.6157) * CHOOSE(CONTROL!$C$15, $D$11, 100%, $F$11)</f>
        <v>16.616</v>
      </c>
      <c r="J638" s="4">
        <f>CHOOSE( CONTROL!$C$32, 16.5019, 16.5017) * CHOOSE(CONTROL!$C$15, $D$11, 100%, $F$11)</f>
        <v>16.501899999999999</v>
      </c>
      <c r="K638" s="4"/>
      <c r="L638" s="9">
        <v>31.095300000000002</v>
      </c>
      <c r="M638" s="9">
        <v>12.063700000000001</v>
      </c>
      <c r="N638" s="9">
        <v>4.9444999999999997</v>
      </c>
      <c r="O638" s="9">
        <v>0.37409999999999999</v>
      </c>
      <c r="P638" s="9">
        <v>1.2927</v>
      </c>
      <c r="Q638" s="9">
        <v>19.688099999999999</v>
      </c>
      <c r="R638" s="9"/>
      <c r="S638" s="11"/>
    </row>
    <row r="639" spans="1:19" ht="15.75">
      <c r="A639" s="13">
        <v>60601</v>
      </c>
      <c r="B639" s="8">
        <f>CHOOSE( CONTROL!$C$32, 18.3475, 18.3472) * CHOOSE(CONTROL!$C$15, $D$11, 100%, $F$11)</f>
        <v>18.3475</v>
      </c>
      <c r="C639" s="8">
        <f>CHOOSE( CONTROL!$C$32, 18.3525, 18.3523) * CHOOSE(CONTROL!$C$15, $D$11, 100%, $F$11)</f>
        <v>18.352499999999999</v>
      </c>
      <c r="D639" s="8">
        <f>CHOOSE( CONTROL!$C$32, 18.3352, 18.335) * CHOOSE( CONTROL!$C$15, $D$11, 100%, $F$11)</f>
        <v>18.3352</v>
      </c>
      <c r="E639" s="12">
        <f>CHOOSE( CONTROL!$C$32, 18.341, 18.3408) * CHOOSE( CONTROL!$C$15, $D$11, 100%, $F$11)</f>
        <v>18.341000000000001</v>
      </c>
      <c r="F639" s="4">
        <f>CHOOSE( CONTROL!$C$32, 19.0127, 19.0125) * CHOOSE(CONTROL!$C$15, $D$11, 100%, $F$11)</f>
        <v>19.012699999999999</v>
      </c>
      <c r="G639" s="8">
        <f>CHOOSE( CONTROL!$C$32, 18.142, 18.1417) * CHOOSE( CONTROL!$C$15, $D$11, 100%, $F$11)</f>
        <v>18.141999999999999</v>
      </c>
      <c r="H639" s="4">
        <f>CHOOSE( CONTROL!$C$32, 19.0367, 19.0365) * CHOOSE(CONTROL!$C$15, $D$11, 100%, $F$11)</f>
        <v>19.0367</v>
      </c>
      <c r="I639" s="8">
        <f>CHOOSE( CONTROL!$C$32, 17.9678, 17.9675) * CHOOSE(CONTROL!$C$15, $D$11, 100%, $F$11)</f>
        <v>17.9678</v>
      </c>
      <c r="J639" s="4">
        <f>CHOOSE( CONTROL!$C$32, 17.7974, 17.7972) * CHOOSE(CONTROL!$C$15, $D$11, 100%, $F$11)</f>
        <v>17.7974</v>
      </c>
      <c r="K639" s="4"/>
      <c r="L639" s="9">
        <v>28.360600000000002</v>
      </c>
      <c r="M639" s="9">
        <v>11.6745</v>
      </c>
      <c r="N639" s="9">
        <v>4.7850000000000001</v>
      </c>
      <c r="O639" s="9">
        <v>0.36199999999999999</v>
      </c>
      <c r="P639" s="9">
        <v>1.2509999999999999</v>
      </c>
      <c r="Q639" s="9">
        <v>19.053000000000001</v>
      </c>
      <c r="R639" s="9"/>
      <c r="S639" s="11"/>
    </row>
    <row r="640" spans="1:19" ht="15.75">
      <c r="A640" s="13">
        <v>60632</v>
      </c>
      <c r="B640" s="8">
        <f>CHOOSE( CONTROL!$C$32, 18.3141, 18.3138) * CHOOSE(CONTROL!$C$15, $D$11, 100%, $F$11)</f>
        <v>18.3141</v>
      </c>
      <c r="C640" s="8">
        <f>CHOOSE( CONTROL!$C$32, 18.3192, 18.3189) * CHOOSE(CONTROL!$C$15, $D$11, 100%, $F$11)</f>
        <v>18.319199999999999</v>
      </c>
      <c r="D640" s="8">
        <f>CHOOSE( CONTROL!$C$32, 18.3037, 18.3034) * CHOOSE( CONTROL!$C$15, $D$11, 100%, $F$11)</f>
        <v>18.303699999999999</v>
      </c>
      <c r="E640" s="12">
        <f>CHOOSE( CONTROL!$C$32, 18.3088, 18.3085) * CHOOSE( CONTROL!$C$15, $D$11, 100%, $F$11)</f>
        <v>18.308800000000002</v>
      </c>
      <c r="F640" s="4">
        <f>CHOOSE( CONTROL!$C$32, 18.9794, 18.9791) * CHOOSE(CONTROL!$C$15, $D$11, 100%, $F$11)</f>
        <v>18.979399999999998</v>
      </c>
      <c r="G640" s="8">
        <f>CHOOSE( CONTROL!$C$32, 18.1103, 18.11) * CHOOSE( CONTROL!$C$15, $D$11, 100%, $F$11)</f>
        <v>18.110299999999999</v>
      </c>
      <c r="H640" s="4">
        <f>CHOOSE( CONTROL!$C$32, 19.0038, 19.0035) * CHOOSE(CONTROL!$C$15, $D$11, 100%, $F$11)</f>
        <v>19.003799999999998</v>
      </c>
      <c r="I640" s="8">
        <f>CHOOSE( CONTROL!$C$32, 17.941, 17.9407) * CHOOSE(CONTROL!$C$15, $D$11, 100%, $F$11)</f>
        <v>17.940999999999999</v>
      </c>
      <c r="J640" s="4">
        <f>CHOOSE( CONTROL!$C$32, 17.7651, 17.7648) * CHOOSE(CONTROL!$C$15, $D$11, 100%, $F$11)</f>
        <v>17.7651</v>
      </c>
      <c r="K640" s="4"/>
      <c r="L640" s="9">
        <v>29.306000000000001</v>
      </c>
      <c r="M640" s="9">
        <v>12.063700000000001</v>
      </c>
      <c r="N640" s="9">
        <v>4.9444999999999997</v>
      </c>
      <c r="O640" s="9">
        <v>0.37409999999999999</v>
      </c>
      <c r="P640" s="9">
        <v>1.2927</v>
      </c>
      <c r="Q640" s="9">
        <v>19.688099999999999</v>
      </c>
      <c r="R640" s="9"/>
      <c r="S640" s="11"/>
    </row>
    <row r="641" spans="1:19" ht="15.75">
      <c r="A641" s="13">
        <v>60663</v>
      </c>
      <c r="B641" s="8">
        <f>CHOOSE( CONTROL!$C$32, 18.854, 18.8538) * CHOOSE(CONTROL!$C$15, $D$11, 100%, $F$11)</f>
        <v>18.853999999999999</v>
      </c>
      <c r="C641" s="8">
        <f>CHOOSE( CONTROL!$C$32, 18.8591, 18.8588) * CHOOSE(CONTROL!$C$15, $D$11, 100%, $F$11)</f>
        <v>18.859100000000002</v>
      </c>
      <c r="D641" s="8">
        <f>CHOOSE( CONTROL!$C$32, 18.8495, 18.8493) * CHOOSE( CONTROL!$C$15, $D$11, 100%, $F$11)</f>
        <v>18.849499999999999</v>
      </c>
      <c r="E641" s="12">
        <f>CHOOSE( CONTROL!$C$32, 18.8525, 18.8522) * CHOOSE( CONTROL!$C$15, $D$11, 100%, $F$11)</f>
        <v>18.852499999999999</v>
      </c>
      <c r="F641" s="4">
        <f>CHOOSE( CONTROL!$C$32, 19.5193, 19.519) * CHOOSE(CONTROL!$C$15, $D$11, 100%, $F$11)</f>
        <v>19.519300000000001</v>
      </c>
      <c r="G641" s="8">
        <f>CHOOSE( CONTROL!$C$32, 18.6446, 18.6443) * CHOOSE( CONTROL!$C$15, $D$11, 100%, $F$11)</f>
        <v>18.644600000000001</v>
      </c>
      <c r="H641" s="4">
        <f>CHOOSE( CONTROL!$C$32, 19.5374, 19.5371) * CHOOSE(CONTROL!$C$15, $D$11, 100%, $F$11)</f>
        <v>19.537400000000002</v>
      </c>
      <c r="I641" s="8">
        <f>CHOOSE( CONTROL!$C$32, 18.4457, 18.4454) * CHOOSE(CONTROL!$C$15, $D$11, 100%, $F$11)</f>
        <v>18.445699999999999</v>
      </c>
      <c r="J641" s="4">
        <f>CHOOSE( CONTROL!$C$32, 18.2891, 18.2888) * CHOOSE(CONTROL!$C$15, $D$11, 100%, $F$11)</f>
        <v>18.289100000000001</v>
      </c>
      <c r="K641" s="4"/>
      <c r="L641" s="9">
        <v>29.306000000000001</v>
      </c>
      <c r="M641" s="9">
        <v>12.063700000000001</v>
      </c>
      <c r="N641" s="9">
        <v>4.9444999999999997</v>
      </c>
      <c r="O641" s="9">
        <v>0.37409999999999999</v>
      </c>
      <c r="P641" s="9">
        <v>1.2927</v>
      </c>
      <c r="Q641" s="9">
        <v>19.688099999999999</v>
      </c>
      <c r="R641" s="9"/>
      <c r="S641" s="11"/>
    </row>
    <row r="642" spans="1:19" ht="15.75">
      <c r="A642" s="13">
        <v>60691</v>
      </c>
      <c r="B642" s="8">
        <f>CHOOSE( CONTROL!$C$32, 17.6358, 17.6355) * CHOOSE(CONTROL!$C$15, $D$11, 100%, $F$11)</f>
        <v>17.6358</v>
      </c>
      <c r="C642" s="8">
        <f>CHOOSE( CONTROL!$C$32, 17.6408, 17.6406) * CHOOSE(CONTROL!$C$15, $D$11, 100%, $F$11)</f>
        <v>17.640799999999999</v>
      </c>
      <c r="D642" s="8">
        <f>CHOOSE( CONTROL!$C$32, 17.6329, 17.6327) * CHOOSE( CONTROL!$C$15, $D$11, 100%, $F$11)</f>
        <v>17.632899999999999</v>
      </c>
      <c r="E642" s="12">
        <f>CHOOSE( CONTROL!$C$32, 17.6353, 17.635) * CHOOSE( CONTROL!$C$15, $D$11, 100%, $F$11)</f>
        <v>17.635300000000001</v>
      </c>
      <c r="F642" s="4">
        <f>CHOOSE( CONTROL!$C$32, 18.301, 18.3008) * CHOOSE(CONTROL!$C$15, $D$11, 100%, $F$11)</f>
        <v>18.300999999999998</v>
      </c>
      <c r="G642" s="8">
        <f>CHOOSE( CONTROL!$C$32, 17.4391, 17.4389) * CHOOSE( CONTROL!$C$15, $D$11, 100%, $F$11)</f>
        <v>17.4391</v>
      </c>
      <c r="H642" s="4">
        <f>CHOOSE( CONTROL!$C$32, 18.3334, 18.3331) * CHOOSE(CONTROL!$C$15, $D$11, 100%, $F$11)</f>
        <v>18.333400000000001</v>
      </c>
      <c r="I642" s="8">
        <f>CHOOSE( CONTROL!$C$32, 17.2474, 17.2471) * CHOOSE(CONTROL!$C$15, $D$11, 100%, $F$11)</f>
        <v>17.247399999999999</v>
      </c>
      <c r="J642" s="4">
        <f>CHOOSE( CONTROL!$C$32, 17.1067, 17.1065) * CHOOSE(CONTROL!$C$15, $D$11, 100%, $F$11)</f>
        <v>17.1067</v>
      </c>
      <c r="K642" s="4"/>
      <c r="L642" s="9">
        <v>26.469899999999999</v>
      </c>
      <c r="M642" s="9">
        <v>10.8962</v>
      </c>
      <c r="N642" s="9">
        <v>4.4660000000000002</v>
      </c>
      <c r="O642" s="9">
        <v>0.33789999999999998</v>
      </c>
      <c r="P642" s="9">
        <v>1.1676</v>
      </c>
      <c r="Q642" s="9">
        <v>17.782800000000002</v>
      </c>
      <c r="R642" s="9"/>
      <c r="S642" s="11"/>
    </row>
    <row r="643" spans="1:19" ht="15.75">
      <c r="A643" s="13">
        <v>60722</v>
      </c>
      <c r="B643" s="8">
        <f>CHOOSE( CONTROL!$C$32, 17.2605, 17.2603) * CHOOSE(CONTROL!$C$15, $D$11, 100%, $F$11)</f>
        <v>17.2605</v>
      </c>
      <c r="C643" s="8">
        <f>CHOOSE( CONTROL!$C$32, 17.2656, 17.2653) * CHOOSE(CONTROL!$C$15, $D$11, 100%, $F$11)</f>
        <v>17.265599999999999</v>
      </c>
      <c r="D643" s="8">
        <f>CHOOSE( CONTROL!$C$32, 17.2529, 17.2526) * CHOOSE( CONTROL!$C$15, $D$11, 100%, $F$11)</f>
        <v>17.2529</v>
      </c>
      <c r="E643" s="12">
        <f>CHOOSE( CONTROL!$C$32, 17.257, 17.2567) * CHOOSE( CONTROL!$C$15, $D$11, 100%, $F$11)</f>
        <v>17.257000000000001</v>
      </c>
      <c r="F643" s="4">
        <f>CHOOSE( CONTROL!$C$32, 17.9258, 17.9255) * CHOOSE(CONTROL!$C$15, $D$11, 100%, $F$11)</f>
        <v>17.925799999999999</v>
      </c>
      <c r="G643" s="8">
        <f>CHOOSE( CONTROL!$C$32, 17.0648, 17.0646) * CHOOSE( CONTROL!$C$15, $D$11, 100%, $F$11)</f>
        <v>17.064800000000002</v>
      </c>
      <c r="H643" s="4">
        <f>CHOOSE( CONTROL!$C$32, 17.9625, 17.9623) * CHOOSE(CONTROL!$C$15, $D$11, 100%, $F$11)</f>
        <v>17.962499999999999</v>
      </c>
      <c r="I643" s="8">
        <f>CHOOSE( CONTROL!$C$32, 16.8814, 16.8812) * CHOOSE(CONTROL!$C$15, $D$11, 100%, $F$11)</f>
        <v>16.881399999999999</v>
      </c>
      <c r="J643" s="4">
        <f>CHOOSE( CONTROL!$C$32, 16.7426, 16.7423) * CHOOSE(CONTROL!$C$15, $D$11, 100%, $F$11)</f>
        <v>16.742599999999999</v>
      </c>
      <c r="K643" s="4"/>
      <c r="L643" s="9">
        <v>29.306000000000001</v>
      </c>
      <c r="M643" s="9">
        <v>12.063700000000001</v>
      </c>
      <c r="N643" s="9">
        <v>4.9444999999999997</v>
      </c>
      <c r="O643" s="9">
        <v>0.37409999999999999</v>
      </c>
      <c r="P643" s="9">
        <v>1.2927</v>
      </c>
      <c r="Q643" s="9">
        <v>19.688099999999999</v>
      </c>
      <c r="R643" s="9"/>
      <c r="S643" s="11"/>
    </row>
    <row r="644" spans="1:19" ht="15.75">
      <c r="A644" s="13">
        <v>60752</v>
      </c>
      <c r="B644" s="8">
        <f>CHOOSE( CONTROL!$C$32, 17.5235, 17.5232) * CHOOSE(CONTROL!$C$15, $D$11, 100%, $F$11)</f>
        <v>17.523499999999999</v>
      </c>
      <c r="C644" s="8">
        <f>CHOOSE( CONTROL!$C$32, 17.528, 17.5277) * CHOOSE(CONTROL!$C$15, $D$11, 100%, $F$11)</f>
        <v>17.527999999999999</v>
      </c>
      <c r="D644" s="8">
        <f>CHOOSE( CONTROL!$C$32, 17.5329, 17.5326) * CHOOSE( CONTROL!$C$15, $D$11, 100%, $F$11)</f>
        <v>17.532900000000001</v>
      </c>
      <c r="E644" s="12">
        <f>CHOOSE( CONTROL!$C$32, 17.5308, 17.5305) * CHOOSE( CONTROL!$C$15, $D$11, 100%, $F$11)</f>
        <v>17.530799999999999</v>
      </c>
      <c r="F644" s="4">
        <f>CHOOSE( CONTROL!$C$32, 18.2277, 18.2274) * CHOOSE(CONTROL!$C$15, $D$11, 100%, $F$11)</f>
        <v>18.227699999999999</v>
      </c>
      <c r="G644" s="8">
        <f>CHOOSE( CONTROL!$C$32, 17.3297, 17.3294) * CHOOSE( CONTROL!$C$15, $D$11, 100%, $F$11)</f>
        <v>17.329699999999999</v>
      </c>
      <c r="H644" s="4">
        <f>CHOOSE( CONTROL!$C$32, 18.2609, 18.2606) * CHOOSE(CONTROL!$C$15, $D$11, 100%, $F$11)</f>
        <v>18.260899999999999</v>
      </c>
      <c r="I644" s="8">
        <f>CHOOSE( CONTROL!$C$32, 17.1103, 17.11) * CHOOSE(CONTROL!$C$15, $D$11, 100%, $F$11)</f>
        <v>17.110299999999999</v>
      </c>
      <c r="J644" s="4">
        <f>CHOOSE( CONTROL!$C$32, 16.9971, 16.9968) * CHOOSE(CONTROL!$C$15, $D$11, 100%, $F$11)</f>
        <v>16.9971</v>
      </c>
      <c r="K644" s="4"/>
      <c r="L644" s="9">
        <v>30.092199999999998</v>
      </c>
      <c r="M644" s="9">
        <v>11.6745</v>
      </c>
      <c r="N644" s="9">
        <v>4.7850000000000001</v>
      </c>
      <c r="O644" s="9">
        <v>0.36199999999999999</v>
      </c>
      <c r="P644" s="9">
        <v>1.2509999999999999</v>
      </c>
      <c r="Q644" s="9">
        <v>19.053000000000001</v>
      </c>
      <c r="R644" s="9"/>
      <c r="S644" s="11"/>
    </row>
    <row r="645" spans="1:19" ht="15.75">
      <c r="A645" s="13">
        <v>60783</v>
      </c>
      <c r="B645" s="8">
        <f>CHOOSE( CONTROL!$C$32, 17.9917, 17.9912) * CHOOSE(CONTROL!$C$15, $D$11, 100%, $F$11)</f>
        <v>17.991700000000002</v>
      </c>
      <c r="C645" s="8">
        <f>CHOOSE( CONTROL!$C$32, 17.9997, 17.9992) * CHOOSE(CONTROL!$C$15, $D$11, 100%, $F$11)</f>
        <v>17.999700000000001</v>
      </c>
      <c r="D645" s="8">
        <f>CHOOSE( CONTROL!$C$32, 17.9985, 17.998) * CHOOSE( CONTROL!$C$15, $D$11, 100%, $F$11)</f>
        <v>17.9985</v>
      </c>
      <c r="E645" s="12">
        <f>CHOOSE( CONTROL!$C$32, 17.9977, 17.9972) * CHOOSE( CONTROL!$C$15, $D$11, 100%, $F$11)</f>
        <v>17.997699999999998</v>
      </c>
      <c r="F645" s="4">
        <f>CHOOSE( CONTROL!$C$32, 18.6945, 18.6941) * CHOOSE(CONTROL!$C$15, $D$11, 100%, $F$11)</f>
        <v>18.694500000000001</v>
      </c>
      <c r="G645" s="8">
        <f>CHOOSE( CONTROL!$C$32, 17.7909, 17.7905) * CHOOSE( CONTROL!$C$15, $D$11, 100%, $F$11)</f>
        <v>17.790900000000001</v>
      </c>
      <c r="H645" s="4">
        <f>CHOOSE( CONTROL!$C$32, 18.7222, 18.7218) * CHOOSE(CONTROL!$C$15, $D$11, 100%, $F$11)</f>
        <v>18.722200000000001</v>
      </c>
      <c r="I645" s="8">
        <f>CHOOSE( CONTROL!$C$32, 17.5627, 17.5623) * CHOOSE(CONTROL!$C$15, $D$11, 100%, $F$11)</f>
        <v>17.5627</v>
      </c>
      <c r="J645" s="4">
        <f>CHOOSE( CONTROL!$C$32, 17.4501, 17.4497) * CHOOSE(CONTROL!$C$15, $D$11, 100%, $F$11)</f>
        <v>17.450099999999999</v>
      </c>
      <c r="K645" s="4"/>
      <c r="L645" s="9">
        <v>30.7165</v>
      </c>
      <c r="M645" s="9">
        <v>12.063700000000001</v>
      </c>
      <c r="N645" s="9">
        <v>4.9444999999999997</v>
      </c>
      <c r="O645" s="9">
        <v>0.37409999999999999</v>
      </c>
      <c r="P645" s="9">
        <v>1.2927</v>
      </c>
      <c r="Q645" s="9">
        <v>19.688099999999999</v>
      </c>
      <c r="R645" s="9"/>
      <c r="S645" s="11"/>
    </row>
    <row r="646" spans="1:19" ht="15.75">
      <c r="A646" s="13">
        <v>60813</v>
      </c>
      <c r="B646" s="8">
        <f>CHOOSE( CONTROL!$C$32, 17.7026, 17.7022) * CHOOSE(CONTROL!$C$15, $D$11, 100%, $F$11)</f>
        <v>17.7026</v>
      </c>
      <c r="C646" s="8">
        <f>CHOOSE( CONTROL!$C$32, 17.7106, 17.7101) * CHOOSE(CONTROL!$C$15, $D$11, 100%, $F$11)</f>
        <v>17.710599999999999</v>
      </c>
      <c r="D646" s="8">
        <f>CHOOSE( CONTROL!$C$32, 17.7096, 17.7091) * CHOOSE( CONTROL!$C$15, $D$11, 100%, $F$11)</f>
        <v>17.709599999999998</v>
      </c>
      <c r="E646" s="12">
        <f>CHOOSE( CONTROL!$C$32, 17.7087, 17.7083) * CHOOSE( CONTROL!$C$15, $D$11, 100%, $F$11)</f>
        <v>17.7087</v>
      </c>
      <c r="F646" s="4">
        <f>CHOOSE( CONTROL!$C$32, 18.4054, 18.405) * CHOOSE(CONTROL!$C$15, $D$11, 100%, $F$11)</f>
        <v>18.4054</v>
      </c>
      <c r="G646" s="8">
        <f>CHOOSE( CONTROL!$C$32, 17.5054, 17.5049) * CHOOSE( CONTROL!$C$15, $D$11, 100%, $F$11)</f>
        <v>17.505400000000002</v>
      </c>
      <c r="H646" s="4">
        <f>CHOOSE( CONTROL!$C$32, 18.4365, 18.4361) * CHOOSE(CONTROL!$C$15, $D$11, 100%, $F$11)</f>
        <v>18.436499999999999</v>
      </c>
      <c r="I646" s="8">
        <f>CHOOSE( CONTROL!$C$32, 17.2827, 17.2822) * CHOOSE(CONTROL!$C$15, $D$11, 100%, $F$11)</f>
        <v>17.282699999999998</v>
      </c>
      <c r="J646" s="4">
        <f>CHOOSE( CONTROL!$C$32, 17.1696, 17.1691) * CHOOSE(CONTROL!$C$15, $D$11, 100%, $F$11)</f>
        <v>17.169599999999999</v>
      </c>
      <c r="K646" s="4"/>
      <c r="L646" s="9">
        <v>29.7257</v>
      </c>
      <c r="M646" s="9">
        <v>11.6745</v>
      </c>
      <c r="N646" s="9">
        <v>4.7850000000000001</v>
      </c>
      <c r="O646" s="9">
        <v>0.36199999999999999</v>
      </c>
      <c r="P646" s="9">
        <v>1.2509999999999999</v>
      </c>
      <c r="Q646" s="9">
        <v>19.053000000000001</v>
      </c>
      <c r="R646" s="9"/>
      <c r="S646" s="11"/>
    </row>
    <row r="647" spans="1:19" ht="15.75">
      <c r="A647" s="13">
        <v>60844</v>
      </c>
      <c r="B647" s="8">
        <f>CHOOSE( CONTROL!$C$32, 18.4639, 18.4634) * CHOOSE(CONTROL!$C$15, $D$11, 100%, $F$11)</f>
        <v>18.463899999999999</v>
      </c>
      <c r="C647" s="8">
        <f>CHOOSE( CONTROL!$C$32, 18.4718, 18.4714) * CHOOSE(CONTROL!$C$15, $D$11, 100%, $F$11)</f>
        <v>18.471800000000002</v>
      </c>
      <c r="D647" s="8">
        <f>CHOOSE( CONTROL!$C$32, 18.471, 18.4706) * CHOOSE( CONTROL!$C$15, $D$11, 100%, $F$11)</f>
        <v>18.471</v>
      </c>
      <c r="E647" s="12">
        <f>CHOOSE( CONTROL!$C$32, 18.4701, 18.4697) * CHOOSE( CONTROL!$C$15, $D$11, 100%, $F$11)</f>
        <v>18.470099999999999</v>
      </c>
      <c r="F647" s="4">
        <f>CHOOSE( CONTROL!$C$32, 19.1667, 19.1662) * CHOOSE(CONTROL!$C$15, $D$11, 100%, $F$11)</f>
        <v>19.166699999999999</v>
      </c>
      <c r="G647" s="8">
        <f>CHOOSE( CONTROL!$C$32, 18.2579, 18.2574) * CHOOSE( CONTROL!$C$15, $D$11, 100%, $F$11)</f>
        <v>18.257899999999999</v>
      </c>
      <c r="H647" s="4">
        <f>CHOOSE( CONTROL!$C$32, 19.1889, 19.1884) * CHOOSE(CONTROL!$C$15, $D$11, 100%, $F$11)</f>
        <v>19.1889</v>
      </c>
      <c r="I647" s="8">
        <f>CHOOSE( CONTROL!$C$32, 18.0226, 18.0222) * CHOOSE(CONTROL!$C$15, $D$11, 100%, $F$11)</f>
        <v>18.022600000000001</v>
      </c>
      <c r="J647" s="4">
        <f>CHOOSE( CONTROL!$C$32, 17.9084, 17.9079) * CHOOSE(CONTROL!$C$15, $D$11, 100%, $F$11)</f>
        <v>17.9084</v>
      </c>
      <c r="K647" s="4"/>
      <c r="L647" s="9">
        <v>30.7165</v>
      </c>
      <c r="M647" s="9">
        <v>12.063700000000001</v>
      </c>
      <c r="N647" s="9">
        <v>4.9444999999999997</v>
      </c>
      <c r="O647" s="9">
        <v>0.37409999999999999</v>
      </c>
      <c r="P647" s="9">
        <v>1.2927</v>
      </c>
      <c r="Q647" s="9">
        <v>19.688099999999999</v>
      </c>
      <c r="R647" s="9"/>
      <c r="S647" s="11"/>
    </row>
    <row r="648" spans="1:19" ht="15.75">
      <c r="A648" s="13">
        <v>60875</v>
      </c>
      <c r="B648" s="8">
        <f>CHOOSE( CONTROL!$C$32, 17.0395, 17.039) * CHOOSE(CONTROL!$C$15, $D$11, 100%, $F$11)</f>
        <v>17.0395</v>
      </c>
      <c r="C648" s="8">
        <f>CHOOSE( CONTROL!$C$32, 17.0475, 17.047) * CHOOSE(CONTROL!$C$15, $D$11, 100%, $F$11)</f>
        <v>17.047499999999999</v>
      </c>
      <c r="D648" s="8">
        <f>CHOOSE( CONTROL!$C$32, 17.0467, 17.0463) * CHOOSE( CONTROL!$C$15, $D$11, 100%, $F$11)</f>
        <v>17.046700000000001</v>
      </c>
      <c r="E648" s="12">
        <f>CHOOSE( CONTROL!$C$32, 17.0458, 17.0453) * CHOOSE( CONTROL!$C$15, $D$11, 100%, $F$11)</f>
        <v>17.0458</v>
      </c>
      <c r="F648" s="4">
        <f>CHOOSE( CONTROL!$C$32, 17.7423, 17.7419) * CHOOSE(CONTROL!$C$15, $D$11, 100%, $F$11)</f>
        <v>17.7423</v>
      </c>
      <c r="G648" s="8">
        <f>CHOOSE( CONTROL!$C$32, 16.8502, 16.8498) * CHOOSE( CONTROL!$C$15, $D$11, 100%, $F$11)</f>
        <v>16.850200000000001</v>
      </c>
      <c r="H648" s="4">
        <f>CHOOSE( CONTROL!$C$32, 17.7812, 17.7807) * CHOOSE(CONTROL!$C$15, $D$11, 100%, $F$11)</f>
        <v>17.781199999999998</v>
      </c>
      <c r="I648" s="8">
        <f>CHOOSE( CONTROL!$C$32, 16.6398, 16.6393) * CHOOSE(CONTROL!$C$15, $D$11, 100%, $F$11)</f>
        <v>16.639800000000001</v>
      </c>
      <c r="J648" s="4">
        <f>CHOOSE( CONTROL!$C$32, 16.526, 16.5256) * CHOOSE(CONTROL!$C$15, $D$11, 100%, $F$11)</f>
        <v>16.526</v>
      </c>
      <c r="K648" s="4"/>
      <c r="L648" s="9">
        <v>30.7165</v>
      </c>
      <c r="M648" s="9">
        <v>12.063700000000001</v>
      </c>
      <c r="N648" s="9">
        <v>4.9444999999999997</v>
      </c>
      <c r="O648" s="9">
        <v>0.37409999999999999</v>
      </c>
      <c r="P648" s="9">
        <v>1.2927</v>
      </c>
      <c r="Q648" s="9">
        <v>19.688099999999999</v>
      </c>
      <c r="R648" s="9"/>
      <c r="S648" s="11"/>
    </row>
    <row r="649" spans="1:19" ht="15.75">
      <c r="A649" s="13">
        <v>60905</v>
      </c>
      <c r="B649" s="8">
        <f>CHOOSE( CONTROL!$C$32, 16.6828, 16.6823) * CHOOSE(CONTROL!$C$15, $D$11, 100%, $F$11)</f>
        <v>16.6828</v>
      </c>
      <c r="C649" s="8">
        <f>CHOOSE( CONTROL!$C$32, 16.6908, 16.6903) * CHOOSE(CONTROL!$C$15, $D$11, 100%, $F$11)</f>
        <v>16.690799999999999</v>
      </c>
      <c r="D649" s="8">
        <f>CHOOSE( CONTROL!$C$32, 16.6899, 16.6894) * CHOOSE( CONTROL!$C$15, $D$11, 100%, $F$11)</f>
        <v>16.689900000000002</v>
      </c>
      <c r="E649" s="12">
        <f>CHOOSE( CONTROL!$C$32, 16.689, 16.6885) * CHOOSE( CONTROL!$C$15, $D$11, 100%, $F$11)</f>
        <v>16.689</v>
      </c>
      <c r="F649" s="4">
        <f>CHOOSE( CONTROL!$C$32, 17.3856, 17.3852) * CHOOSE(CONTROL!$C$15, $D$11, 100%, $F$11)</f>
        <v>17.3856</v>
      </c>
      <c r="G649" s="8">
        <f>CHOOSE( CONTROL!$C$32, 16.4976, 16.4972) * CHOOSE( CONTROL!$C$15, $D$11, 100%, $F$11)</f>
        <v>16.497599999999998</v>
      </c>
      <c r="H649" s="4">
        <f>CHOOSE( CONTROL!$C$32, 17.4287, 17.4282) * CHOOSE(CONTROL!$C$15, $D$11, 100%, $F$11)</f>
        <v>17.428699999999999</v>
      </c>
      <c r="I649" s="8">
        <f>CHOOSE( CONTROL!$C$32, 16.2929, 16.2925) * CHOOSE(CONTROL!$C$15, $D$11, 100%, $F$11)</f>
        <v>16.292899999999999</v>
      </c>
      <c r="J649" s="4">
        <f>CHOOSE( CONTROL!$C$32, 16.1798, 16.1794) * CHOOSE(CONTROL!$C$15, $D$11, 100%, $F$11)</f>
        <v>16.1798</v>
      </c>
      <c r="K649" s="4"/>
      <c r="L649" s="9">
        <v>29.7257</v>
      </c>
      <c r="M649" s="9">
        <v>11.6745</v>
      </c>
      <c r="N649" s="9">
        <v>4.7850000000000001</v>
      </c>
      <c r="O649" s="9">
        <v>0.36199999999999999</v>
      </c>
      <c r="P649" s="9">
        <v>1.2509999999999999</v>
      </c>
      <c r="Q649" s="9">
        <v>19.053000000000001</v>
      </c>
      <c r="R649" s="9"/>
      <c r="S649" s="11"/>
    </row>
    <row r="650" spans="1:19" ht="15.75">
      <c r="A650" s="13">
        <v>60936</v>
      </c>
      <c r="B650" s="8">
        <f>CHOOSE( CONTROL!$C$32, 17.4215, 17.4212) * CHOOSE(CONTROL!$C$15, $D$11, 100%, $F$11)</f>
        <v>17.421500000000002</v>
      </c>
      <c r="C650" s="8">
        <f>CHOOSE( CONTROL!$C$32, 17.4268, 17.4265) * CHOOSE(CONTROL!$C$15, $D$11, 100%, $F$11)</f>
        <v>17.4268</v>
      </c>
      <c r="D650" s="8">
        <f>CHOOSE( CONTROL!$C$32, 17.4315, 17.4313) * CHOOSE( CONTROL!$C$15, $D$11, 100%, $F$11)</f>
        <v>17.4315</v>
      </c>
      <c r="E650" s="12">
        <f>CHOOSE( CONTROL!$C$32, 17.4294, 17.4292) * CHOOSE( CONTROL!$C$15, $D$11, 100%, $F$11)</f>
        <v>17.429400000000001</v>
      </c>
      <c r="F650" s="4">
        <f>CHOOSE( CONTROL!$C$32, 18.126, 18.1258) * CHOOSE(CONTROL!$C$15, $D$11, 100%, $F$11)</f>
        <v>18.126000000000001</v>
      </c>
      <c r="G650" s="8">
        <f>CHOOSE( CONTROL!$C$32, 17.2295, 17.2293) * CHOOSE( CONTROL!$C$15, $D$11, 100%, $F$11)</f>
        <v>17.229500000000002</v>
      </c>
      <c r="H650" s="4">
        <f>CHOOSE( CONTROL!$C$32, 18.1604, 18.1601) * CHOOSE(CONTROL!$C$15, $D$11, 100%, $F$11)</f>
        <v>18.160399999999999</v>
      </c>
      <c r="I650" s="8">
        <f>CHOOSE( CONTROL!$C$32, 17.0127, 17.0124) * CHOOSE(CONTROL!$C$15, $D$11, 100%, $F$11)</f>
        <v>17.012699999999999</v>
      </c>
      <c r="J650" s="4">
        <f>CHOOSE( CONTROL!$C$32, 16.8984, 16.8981) * CHOOSE(CONTROL!$C$15, $D$11, 100%, $F$11)</f>
        <v>16.898399999999999</v>
      </c>
      <c r="K650" s="4"/>
      <c r="L650" s="9">
        <v>31.095300000000002</v>
      </c>
      <c r="M650" s="9">
        <v>12.063700000000001</v>
      </c>
      <c r="N650" s="9">
        <v>4.9444999999999997</v>
      </c>
      <c r="O650" s="9">
        <v>0.37409999999999999</v>
      </c>
      <c r="P650" s="9">
        <v>1.2927</v>
      </c>
      <c r="Q650" s="9">
        <v>19.688099999999999</v>
      </c>
      <c r="R650" s="9"/>
      <c r="S650" s="11"/>
    </row>
    <row r="651" spans="1:19" ht="15.75">
      <c r="A651" s="13">
        <v>60966</v>
      </c>
      <c r="B651" s="8">
        <f>CHOOSE( CONTROL!$C$32, 18.7881, 18.7878) * CHOOSE(CONTROL!$C$15, $D$11, 100%, $F$11)</f>
        <v>18.7881</v>
      </c>
      <c r="C651" s="8">
        <f>CHOOSE( CONTROL!$C$32, 18.7931, 18.7929) * CHOOSE(CONTROL!$C$15, $D$11, 100%, $F$11)</f>
        <v>18.793099999999999</v>
      </c>
      <c r="D651" s="8">
        <f>CHOOSE( CONTROL!$C$32, 18.7759, 18.7756) * CHOOSE( CONTROL!$C$15, $D$11, 100%, $F$11)</f>
        <v>18.7759</v>
      </c>
      <c r="E651" s="12">
        <f>CHOOSE( CONTROL!$C$32, 18.7817, 18.7814) * CHOOSE( CONTROL!$C$15, $D$11, 100%, $F$11)</f>
        <v>18.781700000000001</v>
      </c>
      <c r="F651" s="4">
        <f>CHOOSE( CONTROL!$C$32, 19.4534, 19.4531) * CHOOSE(CONTROL!$C$15, $D$11, 100%, $F$11)</f>
        <v>19.453399999999998</v>
      </c>
      <c r="G651" s="8">
        <f>CHOOSE( CONTROL!$C$32, 18.5774, 18.5771) * CHOOSE( CONTROL!$C$15, $D$11, 100%, $F$11)</f>
        <v>18.577400000000001</v>
      </c>
      <c r="H651" s="4">
        <f>CHOOSE( CONTROL!$C$32, 19.4722, 19.4719) * CHOOSE(CONTROL!$C$15, $D$11, 100%, $F$11)</f>
        <v>19.472200000000001</v>
      </c>
      <c r="I651" s="8">
        <f>CHOOSE( CONTROL!$C$32, 18.3956, 18.3954) * CHOOSE(CONTROL!$C$15, $D$11, 100%, $F$11)</f>
        <v>18.395600000000002</v>
      </c>
      <c r="J651" s="4">
        <f>CHOOSE( CONTROL!$C$32, 18.2251, 18.2248) * CHOOSE(CONTROL!$C$15, $D$11, 100%, $F$11)</f>
        <v>18.225100000000001</v>
      </c>
      <c r="K651" s="4"/>
      <c r="L651" s="9">
        <v>28.360600000000002</v>
      </c>
      <c r="M651" s="9">
        <v>11.6745</v>
      </c>
      <c r="N651" s="9">
        <v>4.7850000000000001</v>
      </c>
      <c r="O651" s="9">
        <v>0.36199999999999999</v>
      </c>
      <c r="P651" s="9">
        <v>1.2509999999999999</v>
      </c>
      <c r="Q651" s="9">
        <v>19.053000000000001</v>
      </c>
      <c r="R651" s="9"/>
      <c r="S651" s="11"/>
    </row>
    <row r="652" spans="1:19" ht="15.75">
      <c r="A652" s="13">
        <v>60997</v>
      </c>
      <c r="B652" s="8">
        <f>CHOOSE( CONTROL!$C$32, 18.7539, 18.7536) * CHOOSE(CONTROL!$C$15, $D$11, 100%, $F$11)</f>
        <v>18.753900000000002</v>
      </c>
      <c r="C652" s="8">
        <f>CHOOSE( CONTROL!$C$32, 18.759, 18.7587) * CHOOSE(CONTROL!$C$15, $D$11, 100%, $F$11)</f>
        <v>18.759</v>
      </c>
      <c r="D652" s="8">
        <f>CHOOSE( CONTROL!$C$32, 18.7435, 18.7432) * CHOOSE( CONTROL!$C$15, $D$11, 100%, $F$11)</f>
        <v>18.743500000000001</v>
      </c>
      <c r="E652" s="12">
        <f>CHOOSE( CONTROL!$C$32, 18.7486, 18.7483) * CHOOSE( CONTROL!$C$15, $D$11, 100%, $F$11)</f>
        <v>18.7486</v>
      </c>
      <c r="F652" s="4">
        <f>CHOOSE( CONTROL!$C$32, 19.4192, 19.4189) * CHOOSE(CONTROL!$C$15, $D$11, 100%, $F$11)</f>
        <v>19.4192</v>
      </c>
      <c r="G652" s="8">
        <f>CHOOSE( CONTROL!$C$32, 18.545, 18.5447) * CHOOSE( CONTROL!$C$15, $D$11, 100%, $F$11)</f>
        <v>18.545000000000002</v>
      </c>
      <c r="H652" s="4">
        <f>CHOOSE( CONTROL!$C$32, 19.4384, 19.4382) * CHOOSE(CONTROL!$C$15, $D$11, 100%, $F$11)</f>
        <v>19.438400000000001</v>
      </c>
      <c r="I652" s="8">
        <f>CHOOSE( CONTROL!$C$32, 18.368, 18.3678) * CHOOSE(CONTROL!$C$15, $D$11, 100%, $F$11)</f>
        <v>18.367999999999999</v>
      </c>
      <c r="J652" s="4">
        <f>CHOOSE( CONTROL!$C$32, 18.1919, 18.1917) * CHOOSE(CONTROL!$C$15, $D$11, 100%, $F$11)</f>
        <v>18.1919</v>
      </c>
      <c r="K652" s="4"/>
      <c r="L652" s="9">
        <v>29.306000000000001</v>
      </c>
      <c r="M652" s="9">
        <v>12.063700000000001</v>
      </c>
      <c r="N652" s="9">
        <v>4.9444999999999997</v>
      </c>
      <c r="O652" s="9">
        <v>0.37409999999999999</v>
      </c>
      <c r="P652" s="9">
        <v>1.2927</v>
      </c>
      <c r="Q652" s="9">
        <v>19.688099999999999</v>
      </c>
      <c r="R652" s="9"/>
      <c r="S652" s="11"/>
    </row>
    <row r="653" spans="1:19" ht="15.75">
      <c r="A653" s="13">
        <v>61028</v>
      </c>
      <c r="B653" s="8">
        <f>CHOOSE( CONTROL!$C$32, 19.3068, 19.3065) * CHOOSE(CONTROL!$C$15, $D$11, 100%, $F$11)</f>
        <v>19.306799999999999</v>
      </c>
      <c r="C653" s="8">
        <f>CHOOSE( CONTROL!$C$32, 19.3119, 19.3116) * CHOOSE(CONTROL!$C$15, $D$11, 100%, $F$11)</f>
        <v>19.311900000000001</v>
      </c>
      <c r="D653" s="8">
        <f>CHOOSE( CONTROL!$C$32, 19.3023, 19.3021) * CHOOSE( CONTROL!$C$15, $D$11, 100%, $F$11)</f>
        <v>19.302299999999999</v>
      </c>
      <c r="E653" s="12">
        <f>CHOOSE( CONTROL!$C$32, 19.3053, 19.305) * CHOOSE( CONTROL!$C$15, $D$11, 100%, $F$11)</f>
        <v>19.305299999999999</v>
      </c>
      <c r="F653" s="4">
        <f>CHOOSE( CONTROL!$C$32, 19.9721, 19.9718) * CHOOSE(CONTROL!$C$15, $D$11, 100%, $F$11)</f>
        <v>19.972100000000001</v>
      </c>
      <c r="G653" s="8">
        <f>CHOOSE( CONTROL!$C$32, 19.0921, 19.0918) * CHOOSE( CONTROL!$C$15, $D$11, 100%, $F$11)</f>
        <v>19.092099999999999</v>
      </c>
      <c r="H653" s="4">
        <f>CHOOSE( CONTROL!$C$32, 19.9849, 19.9846) * CHOOSE(CONTROL!$C$15, $D$11, 100%, $F$11)</f>
        <v>19.9849</v>
      </c>
      <c r="I653" s="8">
        <f>CHOOSE( CONTROL!$C$32, 18.8854, 18.8851) * CHOOSE(CONTROL!$C$15, $D$11, 100%, $F$11)</f>
        <v>18.885400000000001</v>
      </c>
      <c r="J653" s="4">
        <f>CHOOSE( CONTROL!$C$32, 18.7285, 18.7283) * CHOOSE(CONTROL!$C$15, $D$11, 100%, $F$11)</f>
        <v>18.7285</v>
      </c>
      <c r="K653" s="4"/>
      <c r="L653" s="9">
        <v>29.306000000000001</v>
      </c>
      <c r="M653" s="9">
        <v>12.063700000000001</v>
      </c>
      <c r="N653" s="9">
        <v>4.9444999999999997</v>
      </c>
      <c r="O653" s="9">
        <v>0.37409999999999999</v>
      </c>
      <c r="P653" s="9">
        <v>1.2927</v>
      </c>
      <c r="Q653" s="9">
        <v>19.688099999999999</v>
      </c>
      <c r="R653" s="9"/>
      <c r="S653" s="11"/>
    </row>
    <row r="654" spans="1:19" ht="15.75">
      <c r="A654" s="13">
        <v>61056</v>
      </c>
      <c r="B654" s="8">
        <f>CHOOSE( CONTROL!$C$32, 18.0593, 18.059) * CHOOSE(CONTROL!$C$15, $D$11, 100%, $F$11)</f>
        <v>18.0593</v>
      </c>
      <c r="C654" s="8">
        <f>CHOOSE( CONTROL!$C$32, 18.0643, 18.0641) * CHOOSE(CONTROL!$C$15, $D$11, 100%, $F$11)</f>
        <v>18.064299999999999</v>
      </c>
      <c r="D654" s="8">
        <f>CHOOSE( CONTROL!$C$32, 18.0564, 18.0562) * CHOOSE( CONTROL!$C$15, $D$11, 100%, $F$11)</f>
        <v>18.0564</v>
      </c>
      <c r="E654" s="12">
        <f>CHOOSE( CONTROL!$C$32, 18.0588, 18.0585) * CHOOSE( CONTROL!$C$15, $D$11, 100%, $F$11)</f>
        <v>18.058800000000002</v>
      </c>
      <c r="F654" s="4">
        <f>CHOOSE( CONTROL!$C$32, 18.7246, 18.7243) * CHOOSE(CONTROL!$C$15, $D$11, 100%, $F$11)</f>
        <v>18.724599999999999</v>
      </c>
      <c r="G654" s="8">
        <f>CHOOSE( CONTROL!$C$32, 17.8577, 17.8574) * CHOOSE( CONTROL!$C$15, $D$11, 100%, $F$11)</f>
        <v>17.857700000000001</v>
      </c>
      <c r="H654" s="4">
        <f>CHOOSE( CONTROL!$C$32, 18.7519, 18.7516) * CHOOSE(CONTROL!$C$15, $D$11, 100%, $F$11)</f>
        <v>18.751899999999999</v>
      </c>
      <c r="I654" s="8">
        <f>CHOOSE( CONTROL!$C$32, 17.6586, 17.6584) * CHOOSE(CONTROL!$C$15, $D$11, 100%, $F$11)</f>
        <v>17.6586</v>
      </c>
      <c r="J654" s="4">
        <f>CHOOSE( CONTROL!$C$32, 17.5178, 17.5175) * CHOOSE(CONTROL!$C$15, $D$11, 100%, $F$11)</f>
        <v>17.517800000000001</v>
      </c>
      <c r="K654" s="4"/>
      <c r="L654" s="9">
        <v>26.469899999999999</v>
      </c>
      <c r="M654" s="9">
        <v>10.8962</v>
      </c>
      <c r="N654" s="9">
        <v>4.4660000000000002</v>
      </c>
      <c r="O654" s="9">
        <v>0.33789999999999998</v>
      </c>
      <c r="P654" s="9">
        <v>1.1676</v>
      </c>
      <c r="Q654" s="9">
        <v>17.782800000000002</v>
      </c>
      <c r="R654" s="9"/>
      <c r="S654" s="11"/>
    </row>
    <row r="655" spans="1:19" ht="15.75">
      <c r="A655" s="13">
        <v>61087</v>
      </c>
      <c r="B655" s="8">
        <f>CHOOSE( CONTROL!$C$32, 17.675, 17.6748) * CHOOSE(CONTROL!$C$15, $D$11, 100%, $F$11)</f>
        <v>17.675000000000001</v>
      </c>
      <c r="C655" s="8">
        <f>CHOOSE( CONTROL!$C$32, 17.6801, 17.6798) * CHOOSE(CONTROL!$C$15, $D$11, 100%, $F$11)</f>
        <v>17.680099999999999</v>
      </c>
      <c r="D655" s="8">
        <f>CHOOSE( CONTROL!$C$32, 17.6674, 17.6671) * CHOOSE( CONTROL!$C$15, $D$11, 100%, $F$11)</f>
        <v>17.667400000000001</v>
      </c>
      <c r="E655" s="12">
        <f>CHOOSE( CONTROL!$C$32, 17.6715, 17.6712) * CHOOSE( CONTROL!$C$15, $D$11, 100%, $F$11)</f>
        <v>17.671500000000002</v>
      </c>
      <c r="F655" s="4">
        <f>CHOOSE( CONTROL!$C$32, 18.3403, 18.34) * CHOOSE(CONTROL!$C$15, $D$11, 100%, $F$11)</f>
        <v>18.340299999999999</v>
      </c>
      <c r="G655" s="8">
        <f>CHOOSE( CONTROL!$C$32, 17.4745, 17.4742) * CHOOSE( CONTROL!$C$15, $D$11, 100%, $F$11)</f>
        <v>17.474499999999999</v>
      </c>
      <c r="H655" s="4">
        <f>CHOOSE( CONTROL!$C$32, 18.3722, 18.3719) * CHOOSE(CONTROL!$C$15, $D$11, 100%, $F$11)</f>
        <v>18.372199999999999</v>
      </c>
      <c r="I655" s="8">
        <f>CHOOSE( CONTROL!$C$32, 17.2839, 17.2837) * CHOOSE(CONTROL!$C$15, $D$11, 100%, $F$11)</f>
        <v>17.283899999999999</v>
      </c>
      <c r="J655" s="4">
        <f>CHOOSE( CONTROL!$C$32, 17.1449, 17.1446) * CHOOSE(CONTROL!$C$15, $D$11, 100%, $F$11)</f>
        <v>17.1449</v>
      </c>
      <c r="K655" s="4"/>
      <c r="L655" s="9">
        <v>29.306000000000001</v>
      </c>
      <c r="M655" s="9">
        <v>12.063700000000001</v>
      </c>
      <c r="N655" s="9">
        <v>4.9444999999999997</v>
      </c>
      <c r="O655" s="9">
        <v>0.37409999999999999</v>
      </c>
      <c r="P655" s="9">
        <v>1.2927</v>
      </c>
      <c r="Q655" s="9">
        <v>19.688099999999999</v>
      </c>
      <c r="R655" s="9"/>
      <c r="S655" s="11"/>
    </row>
    <row r="656" spans="1:19" ht="15.75">
      <c r="A656" s="13">
        <v>61117</v>
      </c>
      <c r="B656" s="8">
        <f>CHOOSE( CONTROL!$C$32, 17.9443, 17.944) * CHOOSE(CONTROL!$C$15, $D$11, 100%, $F$11)</f>
        <v>17.944299999999998</v>
      </c>
      <c r="C656" s="8">
        <f>CHOOSE( CONTROL!$C$32, 17.9488, 17.9485) * CHOOSE(CONTROL!$C$15, $D$11, 100%, $F$11)</f>
        <v>17.948799999999999</v>
      </c>
      <c r="D656" s="8">
        <f>CHOOSE( CONTROL!$C$32, 17.9537, 17.9534) * CHOOSE( CONTROL!$C$15, $D$11, 100%, $F$11)</f>
        <v>17.953700000000001</v>
      </c>
      <c r="E656" s="12">
        <f>CHOOSE( CONTROL!$C$32, 17.9516, 17.9513) * CHOOSE( CONTROL!$C$15, $D$11, 100%, $F$11)</f>
        <v>17.951599999999999</v>
      </c>
      <c r="F656" s="4">
        <f>CHOOSE( CONTROL!$C$32, 18.6485, 18.6482) * CHOOSE(CONTROL!$C$15, $D$11, 100%, $F$11)</f>
        <v>18.648499999999999</v>
      </c>
      <c r="G656" s="8">
        <f>CHOOSE( CONTROL!$C$32, 17.7456, 17.7453) * CHOOSE( CONTROL!$C$15, $D$11, 100%, $F$11)</f>
        <v>17.7456</v>
      </c>
      <c r="H656" s="4">
        <f>CHOOSE( CONTROL!$C$32, 18.6767, 18.6765) * CHOOSE(CONTROL!$C$15, $D$11, 100%, $F$11)</f>
        <v>18.6767</v>
      </c>
      <c r="I656" s="8">
        <f>CHOOSE( CONTROL!$C$32, 17.5189, 17.5186) * CHOOSE(CONTROL!$C$15, $D$11, 100%, $F$11)</f>
        <v>17.518899999999999</v>
      </c>
      <c r="J656" s="4">
        <f>CHOOSE( CONTROL!$C$32, 17.4054, 17.4052) * CHOOSE(CONTROL!$C$15, $D$11, 100%, $F$11)</f>
        <v>17.4054</v>
      </c>
      <c r="K656" s="4"/>
      <c r="L656" s="9">
        <v>30.092199999999998</v>
      </c>
      <c r="M656" s="9">
        <v>11.6745</v>
      </c>
      <c r="N656" s="9">
        <v>4.7850000000000001</v>
      </c>
      <c r="O656" s="9">
        <v>0.36199999999999999</v>
      </c>
      <c r="P656" s="9">
        <v>1.2509999999999999</v>
      </c>
      <c r="Q656" s="9">
        <v>19.053000000000001</v>
      </c>
      <c r="R656" s="9"/>
      <c r="S656" s="11"/>
    </row>
    <row r="657" spans="1:19" ht="15.75">
      <c r="A657" s="13">
        <v>61148</v>
      </c>
      <c r="B657" s="8">
        <f>CHOOSE( CONTROL!$C$32, 18.4237, 18.4233) * CHOOSE(CONTROL!$C$15, $D$11, 100%, $F$11)</f>
        <v>18.4237</v>
      </c>
      <c r="C657" s="8">
        <f>CHOOSE( CONTROL!$C$32, 18.4317, 18.4312) * CHOOSE(CONTROL!$C$15, $D$11, 100%, $F$11)</f>
        <v>18.431699999999999</v>
      </c>
      <c r="D657" s="8">
        <f>CHOOSE( CONTROL!$C$32, 18.4305, 18.43) * CHOOSE( CONTROL!$C$15, $D$11, 100%, $F$11)</f>
        <v>18.430499999999999</v>
      </c>
      <c r="E657" s="12">
        <f>CHOOSE( CONTROL!$C$32, 18.4297, 18.4292) * CHOOSE( CONTROL!$C$15, $D$11, 100%, $F$11)</f>
        <v>18.4297</v>
      </c>
      <c r="F657" s="4">
        <f>CHOOSE( CONTROL!$C$32, 19.1265, 19.1261) * CHOOSE(CONTROL!$C$15, $D$11, 100%, $F$11)</f>
        <v>19.1265</v>
      </c>
      <c r="G657" s="8">
        <f>CHOOSE( CONTROL!$C$32, 18.2179, 18.2174) * CHOOSE( CONTROL!$C$15, $D$11, 100%, $F$11)</f>
        <v>18.2179</v>
      </c>
      <c r="H657" s="4">
        <f>CHOOSE( CONTROL!$C$32, 19.1492, 19.1487) * CHOOSE(CONTROL!$C$15, $D$11, 100%, $F$11)</f>
        <v>19.1492</v>
      </c>
      <c r="I657" s="8">
        <f>CHOOSE( CONTROL!$C$32, 17.9822, 17.9818) * CHOOSE(CONTROL!$C$15, $D$11, 100%, $F$11)</f>
        <v>17.982199999999999</v>
      </c>
      <c r="J657" s="4">
        <f>CHOOSE( CONTROL!$C$32, 17.8694, 17.8689) * CHOOSE(CONTROL!$C$15, $D$11, 100%, $F$11)</f>
        <v>17.869399999999999</v>
      </c>
      <c r="K657" s="4"/>
      <c r="L657" s="9">
        <v>30.7165</v>
      </c>
      <c r="M657" s="9">
        <v>12.063700000000001</v>
      </c>
      <c r="N657" s="9">
        <v>4.9444999999999997</v>
      </c>
      <c r="O657" s="9">
        <v>0.37409999999999999</v>
      </c>
      <c r="P657" s="9">
        <v>1.2927</v>
      </c>
      <c r="Q657" s="9">
        <v>19.688099999999999</v>
      </c>
      <c r="R657" s="9"/>
      <c r="S657" s="11"/>
    </row>
    <row r="658" spans="1:19" ht="15.75">
      <c r="A658" s="13">
        <v>61178</v>
      </c>
      <c r="B658" s="8">
        <f>CHOOSE( CONTROL!$C$32, 18.1277, 18.1272) * CHOOSE(CONTROL!$C$15, $D$11, 100%, $F$11)</f>
        <v>18.127700000000001</v>
      </c>
      <c r="C658" s="8">
        <f>CHOOSE( CONTROL!$C$32, 18.1357, 18.1352) * CHOOSE(CONTROL!$C$15, $D$11, 100%, $F$11)</f>
        <v>18.1357</v>
      </c>
      <c r="D658" s="8">
        <f>CHOOSE( CONTROL!$C$32, 18.1346, 18.1342) * CHOOSE( CONTROL!$C$15, $D$11, 100%, $F$11)</f>
        <v>18.134599999999999</v>
      </c>
      <c r="E658" s="12">
        <f>CHOOSE( CONTROL!$C$32, 18.1338, 18.1333) * CHOOSE( CONTROL!$C$15, $D$11, 100%, $F$11)</f>
        <v>18.133800000000001</v>
      </c>
      <c r="F658" s="4">
        <f>CHOOSE( CONTROL!$C$32, 18.8305, 18.8301) * CHOOSE(CONTROL!$C$15, $D$11, 100%, $F$11)</f>
        <v>18.830500000000001</v>
      </c>
      <c r="G658" s="8">
        <f>CHOOSE( CONTROL!$C$32, 17.9255, 17.925) * CHOOSE( CONTROL!$C$15, $D$11, 100%, $F$11)</f>
        <v>17.9255</v>
      </c>
      <c r="H658" s="4">
        <f>CHOOSE( CONTROL!$C$32, 18.8566, 18.8562) * CHOOSE(CONTROL!$C$15, $D$11, 100%, $F$11)</f>
        <v>18.8566</v>
      </c>
      <c r="I658" s="8">
        <f>CHOOSE( CONTROL!$C$32, 17.6954, 17.695) * CHOOSE(CONTROL!$C$15, $D$11, 100%, $F$11)</f>
        <v>17.695399999999999</v>
      </c>
      <c r="J658" s="4">
        <f>CHOOSE( CONTROL!$C$32, 17.5821, 17.5817) * CHOOSE(CONTROL!$C$15, $D$11, 100%, $F$11)</f>
        <v>17.582100000000001</v>
      </c>
      <c r="K658" s="4"/>
      <c r="L658" s="9">
        <v>29.7257</v>
      </c>
      <c r="M658" s="9">
        <v>11.6745</v>
      </c>
      <c r="N658" s="9">
        <v>4.7850000000000001</v>
      </c>
      <c r="O658" s="9">
        <v>0.36199999999999999</v>
      </c>
      <c r="P658" s="9">
        <v>1.2509999999999999</v>
      </c>
      <c r="Q658" s="9">
        <v>19.053000000000001</v>
      </c>
      <c r="R658" s="9"/>
      <c r="S658" s="11"/>
    </row>
    <row r="659" spans="1:19" ht="15.75">
      <c r="A659" s="13">
        <v>61209</v>
      </c>
      <c r="B659" s="8">
        <f>CHOOSE( CONTROL!$C$32, 18.9072, 18.9068) * CHOOSE(CONTROL!$C$15, $D$11, 100%, $F$11)</f>
        <v>18.9072</v>
      </c>
      <c r="C659" s="8">
        <f>CHOOSE( CONTROL!$C$32, 18.9152, 18.9147) * CHOOSE(CONTROL!$C$15, $D$11, 100%, $F$11)</f>
        <v>18.915199999999999</v>
      </c>
      <c r="D659" s="8">
        <f>CHOOSE( CONTROL!$C$32, 18.9144, 18.9139) * CHOOSE( CONTROL!$C$15, $D$11, 100%, $F$11)</f>
        <v>18.914400000000001</v>
      </c>
      <c r="E659" s="12">
        <f>CHOOSE( CONTROL!$C$32, 18.9135, 18.913) * CHOOSE( CONTROL!$C$15, $D$11, 100%, $F$11)</f>
        <v>18.913499999999999</v>
      </c>
      <c r="F659" s="4">
        <f>CHOOSE( CONTROL!$C$32, 19.61, 19.6096) * CHOOSE(CONTROL!$C$15, $D$11, 100%, $F$11)</f>
        <v>19.61</v>
      </c>
      <c r="G659" s="8">
        <f>CHOOSE( CONTROL!$C$32, 18.6961, 18.6956) * CHOOSE( CONTROL!$C$15, $D$11, 100%, $F$11)</f>
        <v>18.696100000000001</v>
      </c>
      <c r="H659" s="4">
        <f>CHOOSE( CONTROL!$C$32, 19.627, 19.6266) * CHOOSE(CONTROL!$C$15, $D$11, 100%, $F$11)</f>
        <v>19.626999999999999</v>
      </c>
      <c r="I659" s="8">
        <f>CHOOSE( CONTROL!$C$32, 18.4531, 18.4527) * CHOOSE(CONTROL!$C$15, $D$11, 100%, $F$11)</f>
        <v>18.453099999999999</v>
      </c>
      <c r="J659" s="4">
        <f>CHOOSE( CONTROL!$C$32, 18.3386, 18.3382) * CHOOSE(CONTROL!$C$15, $D$11, 100%, $F$11)</f>
        <v>18.3386</v>
      </c>
      <c r="K659" s="4"/>
      <c r="L659" s="9">
        <v>30.7165</v>
      </c>
      <c r="M659" s="9">
        <v>12.063700000000001</v>
      </c>
      <c r="N659" s="9">
        <v>4.9444999999999997</v>
      </c>
      <c r="O659" s="9">
        <v>0.37409999999999999</v>
      </c>
      <c r="P659" s="9">
        <v>1.2927</v>
      </c>
      <c r="Q659" s="9">
        <v>19.688099999999999</v>
      </c>
      <c r="R659" s="9"/>
      <c r="S659" s="11"/>
    </row>
    <row r="660" spans="1:19" ht="15.75">
      <c r="A660" s="13">
        <v>61240</v>
      </c>
      <c r="B660" s="8">
        <f>CHOOSE( CONTROL!$C$32, 17.4486, 17.4482) * CHOOSE(CONTROL!$C$15, $D$11, 100%, $F$11)</f>
        <v>17.448599999999999</v>
      </c>
      <c r="C660" s="8">
        <f>CHOOSE( CONTROL!$C$32, 17.4566, 17.4561) * CHOOSE(CONTROL!$C$15, $D$11, 100%, $F$11)</f>
        <v>17.456600000000002</v>
      </c>
      <c r="D660" s="8">
        <f>CHOOSE( CONTROL!$C$32, 17.4559, 17.4554) * CHOOSE( CONTROL!$C$15, $D$11, 100%, $F$11)</f>
        <v>17.4559</v>
      </c>
      <c r="E660" s="12">
        <f>CHOOSE( CONTROL!$C$32, 17.4549, 17.4544) * CHOOSE( CONTROL!$C$15, $D$11, 100%, $F$11)</f>
        <v>17.454899999999999</v>
      </c>
      <c r="F660" s="4">
        <f>CHOOSE( CONTROL!$C$32, 18.1514, 18.151) * CHOOSE(CONTROL!$C$15, $D$11, 100%, $F$11)</f>
        <v>18.151399999999999</v>
      </c>
      <c r="G660" s="8">
        <f>CHOOSE( CONTROL!$C$32, 17.2546, 17.2541) * CHOOSE( CONTROL!$C$15, $D$11, 100%, $F$11)</f>
        <v>17.2546</v>
      </c>
      <c r="H660" s="4">
        <f>CHOOSE( CONTROL!$C$32, 18.1855, 18.1851) * CHOOSE(CONTROL!$C$15, $D$11, 100%, $F$11)</f>
        <v>18.185500000000001</v>
      </c>
      <c r="I660" s="8">
        <f>CHOOSE( CONTROL!$C$32, 17.037, 17.0366) * CHOOSE(CONTROL!$C$15, $D$11, 100%, $F$11)</f>
        <v>17.036999999999999</v>
      </c>
      <c r="J660" s="4">
        <f>CHOOSE( CONTROL!$C$32, 16.9231, 16.9226) * CHOOSE(CONTROL!$C$15, $D$11, 100%, $F$11)</f>
        <v>16.923100000000002</v>
      </c>
      <c r="K660" s="4"/>
      <c r="L660" s="9">
        <v>30.7165</v>
      </c>
      <c r="M660" s="9">
        <v>12.063700000000001</v>
      </c>
      <c r="N660" s="9">
        <v>4.9444999999999997</v>
      </c>
      <c r="O660" s="9">
        <v>0.37409999999999999</v>
      </c>
      <c r="P660" s="9">
        <v>1.2927</v>
      </c>
      <c r="Q660" s="9">
        <v>19.688099999999999</v>
      </c>
      <c r="R660" s="9"/>
      <c r="S660" s="11"/>
    </row>
    <row r="661" spans="1:19" ht="15.75">
      <c r="A661" s="13">
        <v>61270</v>
      </c>
      <c r="B661" s="8">
        <f>CHOOSE( CONTROL!$C$32, 17.0834, 17.0829) * CHOOSE(CONTROL!$C$15, $D$11, 100%, $F$11)</f>
        <v>17.083400000000001</v>
      </c>
      <c r="C661" s="8">
        <f>CHOOSE( CONTROL!$C$32, 17.0913, 17.0909) * CHOOSE(CONTROL!$C$15, $D$11, 100%, $F$11)</f>
        <v>17.0913</v>
      </c>
      <c r="D661" s="8">
        <f>CHOOSE( CONTROL!$C$32, 17.0905, 17.09) * CHOOSE( CONTROL!$C$15, $D$11, 100%, $F$11)</f>
        <v>17.090499999999999</v>
      </c>
      <c r="E661" s="12">
        <f>CHOOSE( CONTROL!$C$32, 17.0896, 17.0891) * CHOOSE( CONTROL!$C$15, $D$11, 100%, $F$11)</f>
        <v>17.089600000000001</v>
      </c>
      <c r="F661" s="4">
        <f>CHOOSE( CONTROL!$C$32, 17.7862, 17.7857) * CHOOSE(CONTROL!$C$15, $D$11, 100%, $F$11)</f>
        <v>17.786200000000001</v>
      </c>
      <c r="G661" s="8">
        <f>CHOOSE( CONTROL!$C$32, 16.8935, 16.893) * CHOOSE( CONTROL!$C$15, $D$11, 100%, $F$11)</f>
        <v>16.8935</v>
      </c>
      <c r="H661" s="4">
        <f>CHOOSE( CONTROL!$C$32, 17.8245, 17.8241) * CHOOSE(CONTROL!$C$15, $D$11, 100%, $F$11)</f>
        <v>17.8245</v>
      </c>
      <c r="I661" s="8">
        <f>CHOOSE( CONTROL!$C$32, 16.6819, 16.6814) * CHOOSE(CONTROL!$C$15, $D$11, 100%, $F$11)</f>
        <v>16.681899999999999</v>
      </c>
      <c r="J661" s="4">
        <f>CHOOSE( CONTROL!$C$32, 16.5686, 16.5681) * CHOOSE(CONTROL!$C$15, $D$11, 100%, $F$11)</f>
        <v>16.5686</v>
      </c>
      <c r="K661" s="4"/>
      <c r="L661" s="9">
        <v>29.7257</v>
      </c>
      <c r="M661" s="9">
        <v>11.6745</v>
      </c>
      <c r="N661" s="9">
        <v>4.7850000000000001</v>
      </c>
      <c r="O661" s="9">
        <v>0.36199999999999999</v>
      </c>
      <c r="P661" s="9">
        <v>1.2509999999999999</v>
      </c>
      <c r="Q661" s="9">
        <v>19.053000000000001</v>
      </c>
      <c r="R661" s="9"/>
      <c r="S661" s="11"/>
    </row>
    <row r="662" spans="1:19" ht="15.75">
      <c r="A662" s="13">
        <v>61301</v>
      </c>
      <c r="B662" s="8">
        <f>CHOOSE( CONTROL!$C$32, 17.8399, 17.8396) * CHOOSE(CONTROL!$C$15, $D$11, 100%, $F$11)</f>
        <v>17.8399</v>
      </c>
      <c r="C662" s="8">
        <f>CHOOSE( CONTROL!$C$32, 17.8452, 17.8449) * CHOOSE(CONTROL!$C$15, $D$11, 100%, $F$11)</f>
        <v>17.845199999999998</v>
      </c>
      <c r="D662" s="8">
        <f>CHOOSE( CONTROL!$C$32, 17.8499, 17.8496) * CHOOSE( CONTROL!$C$15, $D$11, 100%, $F$11)</f>
        <v>17.849900000000002</v>
      </c>
      <c r="E662" s="12">
        <f>CHOOSE( CONTROL!$C$32, 17.8478, 17.8475) * CHOOSE( CONTROL!$C$15, $D$11, 100%, $F$11)</f>
        <v>17.847799999999999</v>
      </c>
      <c r="F662" s="4">
        <f>CHOOSE( CONTROL!$C$32, 18.5444, 18.5441) * CHOOSE(CONTROL!$C$15, $D$11, 100%, $F$11)</f>
        <v>18.5444</v>
      </c>
      <c r="G662" s="8">
        <f>CHOOSE( CONTROL!$C$32, 17.643, 17.6427) * CHOOSE( CONTROL!$C$15, $D$11, 100%, $F$11)</f>
        <v>17.643000000000001</v>
      </c>
      <c r="H662" s="4">
        <f>CHOOSE( CONTROL!$C$32, 18.5739, 18.5736) * CHOOSE(CONTROL!$C$15, $D$11, 100%, $F$11)</f>
        <v>18.573899999999998</v>
      </c>
      <c r="I662" s="8">
        <f>CHOOSE( CONTROL!$C$32, 17.4189, 17.4186) * CHOOSE(CONTROL!$C$15, $D$11, 100%, $F$11)</f>
        <v>17.418900000000001</v>
      </c>
      <c r="J662" s="4">
        <f>CHOOSE( CONTROL!$C$32, 17.3044, 17.3042) * CHOOSE(CONTROL!$C$15, $D$11, 100%, $F$11)</f>
        <v>17.304400000000001</v>
      </c>
      <c r="K662" s="4"/>
      <c r="L662" s="9">
        <v>31.095300000000002</v>
      </c>
      <c r="M662" s="9">
        <v>12.063700000000001</v>
      </c>
      <c r="N662" s="9">
        <v>4.9444999999999997</v>
      </c>
      <c r="O662" s="9">
        <v>0.37409999999999999</v>
      </c>
      <c r="P662" s="9">
        <v>1.2927</v>
      </c>
      <c r="Q662" s="9">
        <v>19.688099999999999</v>
      </c>
      <c r="R662" s="9"/>
      <c r="S662" s="11"/>
    </row>
    <row r="663" spans="1:19" ht="15.75">
      <c r="A663" s="13">
        <v>61331</v>
      </c>
      <c r="B663" s="8">
        <f>CHOOSE( CONTROL!$C$32, 19.2393, 19.239) * CHOOSE(CONTROL!$C$15, $D$11, 100%, $F$11)</f>
        <v>19.2393</v>
      </c>
      <c r="C663" s="8">
        <f>CHOOSE( CONTROL!$C$32, 19.2444, 19.2441) * CHOOSE(CONTROL!$C$15, $D$11, 100%, $F$11)</f>
        <v>19.244399999999999</v>
      </c>
      <c r="D663" s="8">
        <f>CHOOSE( CONTROL!$C$32, 19.2271, 19.2268) * CHOOSE( CONTROL!$C$15, $D$11, 100%, $F$11)</f>
        <v>19.2271</v>
      </c>
      <c r="E663" s="12">
        <f>CHOOSE( CONTROL!$C$32, 19.2329, 19.2326) * CHOOSE( CONTROL!$C$15, $D$11, 100%, $F$11)</f>
        <v>19.232900000000001</v>
      </c>
      <c r="F663" s="4">
        <f>CHOOSE( CONTROL!$C$32, 19.9046, 19.9043) * CHOOSE(CONTROL!$C$15, $D$11, 100%, $F$11)</f>
        <v>19.904599999999999</v>
      </c>
      <c r="G663" s="8">
        <f>CHOOSE( CONTROL!$C$32, 19.0233, 19.0231) * CHOOSE( CONTROL!$C$15, $D$11, 100%, $F$11)</f>
        <v>19.023299999999999</v>
      </c>
      <c r="H663" s="4">
        <f>CHOOSE( CONTROL!$C$32, 19.9181, 19.9178) * CHOOSE(CONTROL!$C$15, $D$11, 100%, $F$11)</f>
        <v>19.918099999999999</v>
      </c>
      <c r="I663" s="8">
        <f>CHOOSE( CONTROL!$C$32, 18.8337, 18.8335) * CHOOSE(CONTROL!$C$15, $D$11, 100%, $F$11)</f>
        <v>18.8337</v>
      </c>
      <c r="J663" s="4">
        <f>CHOOSE( CONTROL!$C$32, 18.663, 18.6627) * CHOOSE(CONTROL!$C$15, $D$11, 100%, $F$11)</f>
        <v>18.663</v>
      </c>
      <c r="K663" s="4"/>
      <c r="L663" s="9">
        <v>28.360600000000002</v>
      </c>
      <c r="M663" s="9">
        <v>11.6745</v>
      </c>
      <c r="N663" s="9">
        <v>4.7850000000000001</v>
      </c>
      <c r="O663" s="9">
        <v>0.36199999999999999</v>
      </c>
      <c r="P663" s="9">
        <v>1.2509999999999999</v>
      </c>
      <c r="Q663" s="9">
        <v>19.053000000000001</v>
      </c>
      <c r="R663" s="9"/>
      <c r="S663" s="11"/>
    </row>
    <row r="664" spans="1:19" ht="15.75">
      <c r="A664" s="13">
        <v>61362</v>
      </c>
      <c r="B664" s="8">
        <f>CHOOSE( CONTROL!$C$32, 19.2043, 19.204) * CHOOSE(CONTROL!$C$15, $D$11, 100%, $F$11)</f>
        <v>19.2043</v>
      </c>
      <c r="C664" s="8">
        <f>CHOOSE( CONTROL!$C$32, 19.2094, 19.2091) * CHOOSE(CONTROL!$C$15, $D$11, 100%, $F$11)</f>
        <v>19.209399999999999</v>
      </c>
      <c r="D664" s="8">
        <f>CHOOSE( CONTROL!$C$32, 19.1939, 19.1936) * CHOOSE( CONTROL!$C$15, $D$11, 100%, $F$11)</f>
        <v>19.193899999999999</v>
      </c>
      <c r="E664" s="12">
        <f>CHOOSE( CONTROL!$C$32, 19.199, 19.1987) * CHOOSE( CONTROL!$C$15, $D$11, 100%, $F$11)</f>
        <v>19.199000000000002</v>
      </c>
      <c r="F664" s="4">
        <f>CHOOSE( CONTROL!$C$32, 19.8696, 19.8693) * CHOOSE(CONTROL!$C$15, $D$11, 100%, $F$11)</f>
        <v>19.869599999999998</v>
      </c>
      <c r="G664" s="8">
        <f>CHOOSE( CONTROL!$C$32, 18.9901, 18.9898) * CHOOSE( CONTROL!$C$15, $D$11, 100%, $F$11)</f>
        <v>18.990100000000002</v>
      </c>
      <c r="H664" s="4">
        <f>CHOOSE( CONTROL!$C$32, 19.8835, 19.8833) * CHOOSE(CONTROL!$C$15, $D$11, 100%, $F$11)</f>
        <v>19.883500000000002</v>
      </c>
      <c r="I664" s="8">
        <f>CHOOSE( CONTROL!$C$32, 18.8054, 18.8051) * CHOOSE(CONTROL!$C$15, $D$11, 100%, $F$11)</f>
        <v>18.805399999999999</v>
      </c>
      <c r="J664" s="4">
        <f>CHOOSE( CONTROL!$C$32, 18.629, 18.6288) * CHOOSE(CONTROL!$C$15, $D$11, 100%, $F$11)</f>
        <v>18.629000000000001</v>
      </c>
      <c r="K664" s="4"/>
      <c r="L664" s="9">
        <v>29.306000000000001</v>
      </c>
      <c r="M664" s="9">
        <v>12.063700000000001</v>
      </c>
      <c r="N664" s="9">
        <v>4.9444999999999997</v>
      </c>
      <c r="O664" s="9">
        <v>0.37409999999999999</v>
      </c>
      <c r="P664" s="9">
        <v>1.2927</v>
      </c>
      <c r="Q664" s="9">
        <v>19.688099999999999</v>
      </c>
      <c r="R664" s="9"/>
      <c r="S664" s="11"/>
    </row>
    <row r="665" spans="1:19" ht="15.75">
      <c r="A665" s="13">
        <v>61393</v>
      </c>
      <c r="B665" s="8">
        <f>CHOOSE( CONTROL!$C$32, 19.7705, 19.7702) * CHOOSE(CONTROL!$C$15, $D$11, 100%, $F$11)</f>
        <v>19.770499999999998</v>
      </c>
      <c r="C665" s="8">
        <f>CHOOSE( CONTROL!$C$32, 19.7756, 19.7753) * CHOOSE(CONTROL!$C$15, $D$11, 100%, $F$11)</f>
        <v>19.775600000000001</v>
      </c>
      <c r="D665" s="8">
        <f>CHOOSE( CONTROL!$C$32, 19.766, 19.7657) * CHOOSE( CONTROL!$C$15, $D$11, 100%, $F$11)</f>
        <v>19.765999999999998</v>
      </c>
      <c r="E665" s="12">
        <f>CHOOSE( CONTROL!$C$32, 19.769, 19.7687) * CHOOSE( CONTROL!$C$15, $D$11, 100%, $F$11)</f>
        <v>19.768999999999998</v>
      </c>
      <c r="F665" s="4">
        <f>CHOOSE( CONTROL!$C$32, 20.4358, 20.4355) * CHOOSE(CONTROL!$C$15, $D$11, 100%, $F$11)</f>
        <v>20.4358</v>
      </c>
      <c r="G665" s="8">
        <f>CHOOSE( CONTROL!$C$32, 19.5503, 19.5501) * CHOOSE( CONTROL!$C$15, $D$11, 100%, $F$11)</f>
        <v>19.5503</v>
      </c>
      <c r="H665" s="4">
        <f>CHOOSE( CONTROL!$C$32, 20.4431, 20.4428) * CHOOSE(CONTROL!$C$15, $D$11, 100%, $F$11)</f>
        <v>20.443100000000001</v>
      </c>
      <c r="I665" s="8">
        <f>CHOOSE( CONTROL!$C$32, 19.3356, 19.3353) * CHOOSE(CONTROL!$C$15, $D$11, 100%, $F$11)</f>
        <v>19.335599999999999</v>
      </c>
      <c r="J665" s="4">
        <f>CHOOSE( CONTROL!$C$32, 19.1785, 19.1782) * CHOOSE(CONTROL!$C$15, $D$11, 100%, $F$11)</f>
        <v>19.1785</v>
      </c>
      <c r="K665" s="4"/>
      <c r="L665" s="9">
        <v>29.306000000000001</v>
      </c>
      <c r="M665" s="9">
        <v>12.063700000000001</v>
      </c>
      <c r="N665" s="9">
        <v>4.9444999999999997</v>
      </c>
      <c r="O665" s="9">
        <v>0.37409999999999999</v>
      </c>
      <c r="P665" s="9">
        <v>1.2927</v>
      </c>
      <c r="Q665" s="9">
        <v>19.688099999999999</v>
      </c>
      <c r="R665" s="9"/>
      <c r="S665" s="11"/>
    </row>
    <row r="666" spans="1:19" ht="15.75">
      <c r="A666" s="13">
        <v>61422</v>
      </c>
      <c r="B666" s="8">
        <f>CHOOSE( CONTROL!$C$32, 18.493, 18.4927) * CHOOSE(CONTROL!$C$15, $D$11, 100%, $F$11)</f>
        <v>18.492999999999999</v>
      </c>
      <c r="C666" s="8">
        <f>CHOOSE( CONTROL!$C$32, 18.498, 18.4978) * CHOOSE(CONTROL!$C$15, $D$11, 100%, $F$11)</f>
        <v>18.498000000000001</v>
      </c>
      <c r="D666" s="8">
        <f>CHOOSE( CONTROL!$C$32, 18.4901, 18.4899) * CHOOSE( CONTROL!$C$15, $D$11, 100%, $F$11)</f>
        <v>18.490100000000002</v>
      </c>
      <c r="E666" s="12">
        <f>CHOOSE( CONTROL!$C$32, 18.4925, 18.4922) * CHOOSE( CONTROL!$C$15, $D$11, 100%, $F$11)</f>
        <v>18.4925</v>
      </c>
      <c r="F666" s="4">
        <f>CHOOSE( CONTROL!$C$32, 19.1582, 19.158) * CHOOSE(CONTROL!$C$15, $D$11, 100%, $F$11)</f>
        <v>19.158200000000001</v>
      </c>
      <c r="G666" s="8">
        <f>CHOOSE( CONTROL!$C$32, 18.2863, 18.286) * CHOOSE( CONTROL!$C$15, $D$11, 100%, $F$11)</f>
        <v>18.286300000000001</v>
      </c>
      <c r="H666" s="4">
        <f>CHOOSE( CONTROL!$C$32, 19.1805, 19.1803) * CHOOSE(CONTROL!$C$15, $D$11, 100%, $F$11)</f>
        <v>19.180499999999999</v>
      </c>
      <c r="I666" s="8">
        <f>CHOOSE( CONTROL!$C$32, 18.0797, 18.0795) * CHOOSE(CONTROL!$C$15, $D$11, 100%, $F$11)</f>
        <v>18.079699999999999</v>
      </c>
      <c r="J666" s="4">
        <f>CHOOSE( CONTROL!$C$32, 17.9387, 17.9384) * CHOOSE(CONTROL!$C$15, $D$11, 100%, $F$11)</f>
        <v>17.938700000000001</v>
      </c>
      <c r="K666" s="4"/>
      <c r="L666" s="9">
        <v>27.415299999999998</v>
      </c>
      <c r="M666" s="9">
        <v>11.285299999999999</v>
      </c>
      <c r="N666" s="9">
        <v>4.6254999999999997</v>
      </c>
      <c r="O666" s="9">
        <v>0.34989999999999999</v>
      </c>
      <c r="P666" s="9">
        <v>1.2093</v>
      </c>
      <c r="Q666" s="9">
        <v>18.417899999999999</v>
      </c>
      <c r="R666" s="9"/>
      <c r="S666" s="11"/>
    </row>
    <row r="667" spans="1:19" ht="15.75">
      <c r="A667" s="13">
        <v>61453</v>
      </c>
      <c r="B667" s="8">
        <f>CHOOSE( CONTROL!$C$32, 18.0995, 18.0992) * CHOOSE(CONTROL!$C$15, $D$11, 100%, $F$11)</f>
        <v>18.099499999999999</v>
      </c>
      <c r="C667" s="8">
        <f>CHOOSE( CONTROL!$C$32, 18.1046, 18.1043) * CHOOSE(CONTROL!$C$15, $D$11, 100%, $F$11)</f>
        <v>18.104600000000001</v>
      </c>
      <c r="D667" s="8">
        <f>CHOOSE( CONTROL!$C$32, 18.0919, 18.0916) * CHOOSE( CONTROL!$C$15, $D$11, 100%, $F$11)</f>
        <v>18.091899999999999</v>
      </c>
      <c r="E667" s="12">
        <f>CHOOSE( CONTROL!$C$32, 18.096, 18.0957) * CHOOSE( CONTROL!$C$15, $D$11, 100%, $F$11)</f>
        <v>18.096</v>
      </c>
      <c r="F667" s="4">
        <f>CHOOSE( CONTROL!$C$32, 18.7648, 18.7645) * CHOOSE(CONTROL!$C$15, $D$11, 100%, $F$11)</f>
        <v>18.764800000000001</v>
      </c>
      <c r="G667" s="8">
        <f>CHOOSE( CONTROL!$C$32, 17.894, 17.8937) * CHOOSE( CONTROL!$C$15, $D$11, 100%, $F$11)</f>
        <v>17.893999999999998</v>
      </c>
      <c r="H667" s="4">
        <f>CHOOSE( CONTROL!$C$32, 18.7917, 18.7914) * CHOOSE(CONTROL!$C$15, $D$11, 100%, $F$11)</f>
        <v>18.791699999999999</v>
      </c>
      <c r="I667" s="8">
        <f>CHOOSE( CONTROL!$C$32, 17.6961, 17.6958) * CHOOSE(CONTROL!$C$15, $D$11, 100%, $F$11)</f>
        <v>17.696100000000001</v>
      </c>
      <c r="J667" s="4">
        <f>CHOOSE( CONTROL!$C$32, 17.5568, 17.5565) * CHOOSE(CONTROL!$C$15, $D$11, 100%, $F$11)</f>
        <v>17.556799999999999</v>
      </c>
      <c r="K667" s="4"/>
      <c r="L667" s="9">
        <v>29.306000000000001</v>
      </c>
      <c r="M667" s="9">
        <v>12.063700000000001</v>
      </c>
      <c r="N667" s="9">
        <v>4.9444999999999997</v>
      </c>
      <c r="O667" s="9">
        <v>0.37409999999999999</v>
      </c>
      <c r="P667" s="9">
        <v>1.2927</v>
      </c>
      <c r="Q667" s="9">
        <v>19.688099999999999</v>
      </c>
      <c r="R667" s="9"/>
      <c r="S667" s="11"/>
    </row>
    <row r="668" spans="1:19" ht="15.75">
      <c r="A668" s="13">
        <v>61483</v>
      </c>
      <c r="B668" s="8">
        <f>CHOOSE( CONTROL!$C$32, 18.3752, 18.3749) * CHOOSE(CONTROL!$C$15, $D$11, 100%, $F$11)</f>
        <v>18.3752</v>
      </c>
      <c r="C668" s="8">
        <f>CHOOSE( CONTROL!$C$32, 18.3797, 18.3794) * CHOOSE(CONTROL!$C$15, $D$11, 100%, $F$11)</f>
        <v>18.3797</v>
      </c>
      <c r="D668" s="8">
        <f>CHOOSE( CONTROL!$C$32, 18.3846, 18.3843) * CHOOSE( CONTROL!$C$15, $D$11, 100%, $F$11)</f>
        <v>18.384599999999999</v>
      </c>
      <c r="E668" s="12">
        <f>CHOOSE( CONTROL!$C$32, 18.3825, 18.3822) * CHOOSE( CONTROL!$C$15, $D$11, 100%, $F$11)</f>
        <v>18.3825</v>
      </c>
      <c r="F668" s="4">
        <f>CHOOSE( CONTROL!$C$32, 19.0794, 19.0791) * CHOOSE(CONTROL!$C$15, $D$11, 100%, $F$11)</f>
        <v>19.0794</v>
      </c>
      <c r="G668" s="8">
        <f>CHOOSE( CONTROL!$C$32, 18.1715, 18.1712) * CHOOSE( CONTROL!$C$15, $D$11, 100%, $F$11)</f>
        <v>18.171500000000002</v>
      </c>
      <c r="H668" s="4">
        <f>CHOOSE( CONTROL!$C$32, 19.1026, 19.1023) * CHOOSE(CONTROL!$C$15, $D$11, 100%, $F$11)</f>
        <v>19.102599999999999</v>
      </c>
      <c r="I668" s="8">
        <f>CHOOSE( CONTROL!$C$32, 17.9373, 17.937) * CHOOSE(CONTROL!$C$15, $D$11, 100%, $F$11)</f>
        <v>17.9373</v>
      </c>
      <c r="J668" s="4">
        <f>CHOOSE( CONTROL!$C$32, 17.8236, 17.8234) * CHOOSE(CONTROL!$C$15, $D$11, 100%, $F$11)</f>
        <v>17.823599999999999</v>
      </c>
      <c r="K668" s="4"/>
      <c r="L668" s="9">
        <v>30.092199999999998</v>
      </c>
      <c r="M668" s="9">
        <v>11.6745</v>
      </c>
      <c r="N668" s="9">
        <v>4.7850000000000001</v>
      </c>
      <c r="O668" s="9">
        <v>0.36199999999999999</v>
      </c>
      <c r="P668" s="9">
        <v>1.2509999999999999</v>
      </c>
      <c r="Q668" s="9">
        <v>19.053000000000001</v>
      </c>
      <c r="R668" s="9"/>
      <c r="S668" s="11"/>
    </row>
    <row r="669" spans="1:19" ht="15.75">
      <c r="A669" s="13">
        <v>61514</v>
      </c>
      <c r="B669" s="8">
        <f>CHOOSE( CONTROL!$C$32, 18.8661, 18.8657) * CHOOSE(CONTROL!$C$15, $D$11, 100%, $F$11)</f>
        <v>18.866099999999999</v>
      </c>
      <c r="C669" s="8">
        <f>CHOOSE( CONTROL!$C$32, 18.8741, 18.8736) * CHOOSE(CONTROL!$C$15, $D$11, 100%, $F$11)</f>
        <v>18.874099999999999</v>
      </c>
      <c r="D669" s="8">
        <f>CHOOSE( CONTROL!$C$32, 18.8729, 18.8724) * CHOOSE( CONTROL!$C$15, $D$11, 100%, $F$11)</f>
        <v>18.872900000000001</v>
      </c>
      <c r="E669" s="12">
        <f>CHOOSE( CONTROL!$C$32, 18.8721, 18.8716) * CHOOSE( CONTROL!$C$15, $D$11, 100%, $F$11)</f>
        <v>18.8721</v>
      </c>
      <c r="F669" s="4">
        <f>CHOOSE( CONTROL!$C$32, 19.5689, 19.5685) * CHOOSE(CONTROL!$C$15, $D$11, 100%, $F$11)</f>
        <v>19.568899999999999</v>
      </c>
      <c r="G669" s="8">
        <f>CHOOSE( CONTROL!$C$32, 18.6551, 18.6546) * CHOOSE( CONTROL!$C$15, $D$11, 100%, $F$11)</f>
        <v>18.655100000000001</v>
      </c>
      <c r="H669" s="4">
        <f>CHOOSE( CONTROL!$C$32, 19.5864, 19.586) * CHOOSE(CONTROL!$C$15, $D$11, 100%, $F$11)</f>
        <v>19.586400000000001</v>
      </c>
      <c r="I669" s="8">
        <f>CHOOSE( CONTROL!$C$32, 18.4118, 18.4113) * CHOOSE(CONTROL!$C$15, $D$11, 100%, $F$11)</f>
        <v>18.411799999999999</v>
      </c>
      <c r="J669" s="4">
        <f>CHOOSE( CONTROL!$C$32, 18.2987, 18.2983) * CHOOSE(CONTROL!$C$15, $D$11, 100%, $F$11)</f>
        <v>18.2987</v>
      </c>
      <c r="K669" s="4"/>
      <c r="L669" s="9">
        <v>30.7165</v>
      </c>
      <c r="M669" s="9">
        <v>12.063700000000001</v>
      </c>
      <c r="N669" s="9">
        <v>4.9444999999999997</v>
      </c>
      <c r="O669" s="9">
        <v>0.37409999999999999</v>
      </c>
      <c r="P669" s="9">
        <v>1.2927</v>
      </c>
      <c r="Q669" s="9">
        <v>19.688099999999999</v>
      </c>
      <c r="R669" s="9"/>
      <c r="S669" s="11"/>
    </row>
    <row r="670" spans="1:19" ht="15.75">
      <c r="A670" s="13">
        <v>61544</v>
      </c>
      <c r="B670" s="8">
        <f>CHOOSE( CONTROL!$C$32, 18.563, 18.5625) * CHOOSE(CONTROL!$C$15, $D$11, 100%, $F$11)</f>
        <v>18.562999999999999</v>
      </c>
      <c r="C670" s="8">
        <f>CHOOSE( CONTROL!$C$32, 18.5709, 18.5705) * CHOOSE(CONTROL!$C$15, $D$11, 100%, $F$11)</f>
        <v>18.570900000000002</v>
      </c>
      <c r="D670" s="8">
        <f>CHOOSE( CONTROL!$C$32, 18.5699, 18.5695) * CHOOSE( CONTROL!$C$15, $D$11, 100%, $F$11)</f>
        <v>18.569900000000001</v>
      </c>
      <c r="E670" s="12">
        <f>CHOOSE( CONTROL!$C$32, 18.5691, 18.5686) * CHOOSE( CONTROL!$C$15, $D$11, 100%, $F$11)</f>
        <v>18.569099999999999</v>
      </c>
      <c r="F670" s="4">
        <f>CHOOSE( CONTROL!$C$32, 19.2658, 19.2653) * CHOOSE(CONTROL!$C$15, $D$11, 100%, $F$11)</f>
        <v>19.265799999999999</v>
      </c>
      <c r="G670" s="8">
        <f>CHOOSE( CONTROL!$C$32, 18.3556, 18.3552) * CHOOSE( CONTROL!$C$15, $D$11, 100%, $F$11)</f>
        <v>18.355599999999999</v>
      </c>
      <c r="H670" s="4">
        <f>CHOOSE( CONTROL!$C$32, 19.2868, 19.2864) * CHOOSE(CONTROL!$C$15, $D$11, 100%, $F$11)</f>
        <v>19.286799999999999</v>
      </c>
      <c r="I670" s="8">
        <f>CHOOSE( CONTROL!$C$32, 18.1181, 18.1176) * CHOOSE(CONTROL!$C$15, $D$11, 100%, $F$11)</f>
        <v>18.118099999999998</v>
      </c>
      <c r="J670" s="4">
        <f>CHOOSE( CONTROL!$C$32, 18.0045, 18.0041) * CHOOSE(CONTROL!$C$15, $D$11, 100%, $F$11)</f>
        <v>18.0045</v>
      </c>
      <c r="K670" s="4"/>
      <c r="L670" s="9">
        <v>29.7257</v>
      </c>
      <c r="M670" s="9">
        <v>11.6745</v>
      </c>
      <c r="N670" s="9">
        <v>4.7850000000000001</v>
      </c>
      <c r="O670" s="9">
        <v>0.36199999999999999</v>
      </c>
      <c r="P670" s="9">
        <v>1.2509999999999999</v>
      </c>
      <c r="Q670" s="9">
        <v>19.053000000000001</v>
      </c>
      <c r="R670" s="9"/>
      <c r="S670" s="11"/>
    </row>
    <row r="671" spans="1:19" ht="15.75">
      <c r="A671" s="13">
        <v>61575</v>
      </c>
      <c r="B671" s="8">
        <f>CHOOSE( CONTROL!$C$32, 19.3612, 19.3608) * CHOOSE(CONTROL!$C$15, $D$11, 100%, $F$11)</f>
        <v>19.3612</v>
      </c>
      <c r="C671" s="8">
        <f>CHOOSE( CONTROL!$C$32, 19.3692, 19.3688) * CHOOSE(CONTROL!$C$15, $D$11, 100%, $F$11)</f>
        <v>19.369199999999999</v>
      </c>
      <c r="D671" s="8">
        <f>CHOOSE( CONTROL!$C$32, 19.3684, 19.368) * CHOOSE( CONTROL!$C$15, $D$11, 100%, $F$11)</f>
        <v>19.368400000000001</v>
      </c>
      <c r="E671" s="12">
        <f>CHOOSE( CONTROL!$C$32, 19.3675, 19.3671) * CHOOSE( CONTROL!$C$15, $D$11, 100%, $F$11)</f>
        <v>19.3675</v>
      </c>
      <c r="F671" s="4">
        <f>CHOOSE( CONTROL!$C$32, 20.0641, 20.0636) * CHOOSE(CONTROL!$C$15, $D$11, 100%, $F$11)</f>
        <v>20.0641</v>
      </c>
      <c r="G671" s="8">
        <f>CHOOSE( CONTROL!$C$32, 19.1447, 19.1443) * CHOOSE( CONTROL!$C$15, $D$11, 100%, $F$11)</f>
        <v>19.1447</v>
      </c>
      <c r="H671" s="4">
        <f>CHOOSE( CONTROL!$C$32, 20.0757, 20.0753) * CHOOSE(CONTROL!$C$15, $D$11, 100%, $F$11)</f>
        <v>20.075700000000001</v>
      </c>
      <c r="I671" s="8">
        <f>CHOOSE( CONTROL!$C$32, 18.894, 18.8935) * CHOOSE(CONTROL!$C$15, $D$11, 100%, $F$11)</f>
        <v>18.893999999999998</v>
      </c>
      <c r="J671" s="4">
        <f>CHOOSE( CONTROL!$C$32, 18.7793, 18.7788) * CHOOSE(CONTROL!$C$15, $D$11, 100%, $F$11)</f>
        <v>18.779299999999999</v>
      </c>
      <c r="K671" s="4"/>
      <c r="L671" s="9">
        <v>30.7165</v>
      </c>
      <c r="M671" s="9">
        <v>12.063700000000001</v>
      </c>
      <c r="N671" s="9">
        <v>4.9444999999999997</v>
      </c>
      <c r="O671" s="9">
        <v>0.37409999999999999</v>
      </c>
      <c r="P671" s="9">
        <v>1.2927</v>
      </c>
      <c r="Q671" s="9">
        <v>19.688099999999999</v>
      </c>
      <c r="R671" s="9"/>
      <c r="S671" s="11"/>
    </row>
    <row r="672" spans="1:19" ht="15.75">
      <c r="A672" s="13">
        <v>61606</v>
      </c>
      <c r="B672" s="8">
        <f>CHOOSE( CONTROL!$C$32, 17.8676, 17.8671) * CHOOSE(CONTROL!$C$15, $D$11, 100%, $F$11)</f>
        <v>17.867599999999999</v>
      </c>
      <c r="C672" s="8">
        <f>CHOOSE( CONTROL!$C$32, 17.8756, 17.8751) * CHOOSE(CONTROL!$C$15, $D$11, 100%, $F$11)</f>
        <v>17.875599999999999</v>
      </c>
      <c r="D672" s="8">
        <f>CHOOSE( CONTROL!$C$32, 17.8748, 17.8744) * CHOOSE( CONTROL!$C$15, $D$11, 100%, $F$11)</f>
        <v>17.8748</v>
      </c>
      <c r="E672" s="12">
        <f>CHOOSE( CONTROL!$C$32, 17.8739, 17.8734) * CHOOSE( CONTROL!$C$15, $D$11, 100%, $F$11)</f>
        <v>17.873899999999999</v>
      </c>
      <c r="F672" s="4">
        <f>CHOOSE( CONTROL!$C$32, 18.5704, 18.57) * CHOOSE(CONTROL!$C$15, $D$11, 100%, $F$11)</f>
        <v>18.570399999999999</v>
      </c>
      <c r="G672" s="8">
        <f>CHOOSE( CONTROL!$C$32, 17.6686, 17.6682) * CHOOSE( CONTROL!$C$15, $D$11, 100%, $F$11)</f>
        <v>17.668600000000001</v>
      </c>
      <c r="H672" s="4">
        <f>CHOOSE( CONTROL!$C$32, 18.5996, 18.5991) * CHOOSE(CONTROL!$C$15, $D$11, 100%, $F$11)</f>
        <v>18.599599999999999</v>
      </c>
      <c r="I672" s="8">
        <f>CHOOSE( CONTROL!$C$32, 17.4439, 17.4434) * CHOOSE(CONTROL!$C$15, $D$11, 100%, $F$11)</f>
        <v>17.443899999999999</v>
      </c>
      <c r="J672" s="4">
        <f>CHOOSE( CONTROL!$C$32, 17.3297, 17.3292) * CHOOSE(CONTROL!$C$15, $D$11, 100%, $F$11)</f>
        <v>17.329699999999999</v>
      </c>
      <c r="K672" s="4"/>
      <c r="L672" s="9">
        <v>30.7165</v>
      </c>
      <c r="M672" s="9">
        <v>12.063700000000001</v>
      </c>
      <c r="N672" s="9">
        <v>4.9444999999999997</v>
      </c>
      <c r="O672" s="9">
        <v>0.37409999999999999</v>
      </c>
      <c r="P672" s="9">
        <v>1.2927</v>
      </c>
      <c r="Q672" s="9">
        <v>19.688099999999999</v>
      </c>
      <c r="R672" s="9"/>
      <c r="S672" s="11"/>
    </row>
    <row r="673" spans="1:19" ht="15.75">
      <c r="A673" s="13">
        <v>61636</v>
      </c>
      <c r="B673" s="8">
        <f>CHOOSE( CONTROL!$C$32, 17.4936, 17.4931) * CHOOSE(CONTROL!$C$15, $D$11, 100%, $F$11)</f>
        <v>17.493600000000001</v>
      </c>
      <c r="C673" s="8">
        <f>CHOOSE( CONTROL!$C$32, 17.5015, 17.5011) * CHOOSE(CONTROL!$C$15, $D$11, 100%, $F$11)</f>
        <v>17.5015</v>
      </c>
      <c r="D673" s="8">
        <f>CHOOSE( CONTROL!$C$32, 17.5006, 17.5002) * CHOOSE( CONTROL!$C$15, $D$11, 100%, $F$11)</f>
        <v>17.500599999999999</v>
      </c>
      <c r="E673" s="12">
        <f>CHOOSE( CONTROL!$C$32, 17.4997, 17.4993) * CHOOSE( CONTROL!$C$15, $D$11, 100%, $F$11)</f>
        <v>17.499700000000001</v>
      </c>
      <c r="F673" s="4">
        <f>CHOOSE( CONTROL!$C$32, 18.1964, 18.1959) * CHOOSE(CONTROL!$C$15, $D$11, 100%, $F$11)</f>
        <v>18.196400000000001</v>
      </c>
      <c r="G673" s="8">
        <f>CHOOSE( CONTROL!$C$32, 17.2989, 17.2984) * CHOOSE( CONTROL!$C$15, $D$11, 100%, $F$11)</f>
        <v>17.2989</v>
      </c>
      <c r="H673" s="4">
        <f>CHOOSE( CONTROL!$C$32, 18.2299, 18.2295) * CHOOSE(CONTROL!$C$15, $D$11, 100%, $F$11)</f>
        <v>18.229900000000001</v>
      </c>
      <c r="I673" s="8">
        <f>CHOOSE( CONTROL!$C$32, 17.0802, 17.0797) * CHOOSE(CONTROL!$C$15, $D$11, 100%, $F$11)</f>
        <v>17.080200000000001</v>
      </c>
      <c r="J673" s="4">
        <f>CHOOSE( CONTROL!$C$32, 16.9667, 16.9662) * CHOOSE(CONTROL!$C$15, $D$11, 100%, $F$11)</f>
        <v>16.966699999999999</v>
      </c>
      <c r="K673" s="4"/>
      <c r="L673" s="9">
        <v>29.7257</v>
      </c>
      <c r="M673" s="9">
        <v>11.6745</v>
      </c>
      <c r="N673" s="9">
        <v>4.7850000000000001</v>
      </c>
      <c r="O673" s="9">
        <v>0.36199999999999999</v>
      </c>
      <c r="P673" s="9">
        <v>1.2509999999999999</v>
      </c>
      <c r="Q673" s="9">
        <v>19.053000000000001</v>
      </c>
      <c r="R673" s="9"/>
      <c r="S673" s="11"/>
    </row>
    <row r="674" spans="1:19" ht="15.75">
      <c r="A674" s="13">
        <v>61667</v>
      </c>
      <c r="B674" s="8">
        <f>CHOOSE( CONTROL!$C$32, 18.2683, 18.268) * CHOOSE(CONTROL!$C$15, $D$11, 100%, $F$11)</f>
        <v>18.2683</v>
      </c>
      <c r="C674" s="8">
        <f>CHOOSE( CONTROL!$C$32, 18.2736, 18.2733) * CHOOSE(CONTROL!$C$15, $D$11, 100%, $F$11)</f>
        <v>18.273599999999998</v>
      </c>
      <c r="D674" s="8">
        <f>CHOOSE( CONTROL!$C$32, 18.2783, 18.278) * CHOOSE( CONTROL!$C$15, $D$11, 100%, $F$11)</f>
        <v>18.278300000000002</v>
      </c>
      <c r="E674" s="12">
        <f>CHOOSE( CONTROL!$C$32, 18.2762, 18.2759) * CHOOSE( CONTROL!$C$15, $D$11, 100%, $F$11)</f>
        <v>18.276199999999999</v>
      </c>
      <c r="F674" s="4">
        <f>CHOOSE( CONTROL!$C$32, 18.9728, 18.9725) * CHOOSE(CONTROL!$C$15, $D$11, 100%, $F$11)</f>
        <v>18.972799999999999</v>
      </c>
      <c r="G674" s="8">
        <f>CHOOSE( CONTROL!$C$32, 18.0664, 18.0661) * CHOOSE( CONTROL!$C$15, $D$11, 100%, $F$11)</f>
        <v>18.066400000000002</v>
      </c>
      <c r="H674" s="4">
        <f>CHOOSE( CONTROL!$C$32, 18.9973, 18.997) * CHOOSE(CONTROL!$C$15, $D$11, 100%, $F$11)</f>
        <v>18.997299999999999</v>
      </c>
      <c r="I674" s="8">
        <f>CHOOSE( CONTROL!$C$32, 17.8349, 17.8346) * CHOOSE(CONTROL!$C$15, $D$11, 100%, $F$11)</f>
        <v>17.834900000000001</v>
      </c>
      <c r="J674" s="4">
        <f>CHOOSE( CONTROL!$C$32, 17.7202, 17.7199) * CHOOSE(CONTROL!$C$15, $D$11, 100%, $F$11)</f>
        <v>17.720199999999998</v>
      </c>
      <c r="K674" s="4"/>
      <c r="L674" s="9">
        <v>31.095300000000002</v>
      </c>
      <c r="M674" s="9">
        <v>12.063700000000001</v>
      </c>
      <c r="N674" s="9">
        <v>4.9444999999999997</v>
      </c>
      <c r="O674" s="9">
        <v>0.37409999999999999</v>
      </c>
      <c r="P674" s="9">
        <v>1.2927</v>
      </c>
      <c r="Q674" s="9">
        <v>19.688099999999999</v>
      </c>
      <c r="R674" s="9"/>
      <c r="S674" s="11"/>
    </row>
    <row r="675" spans="1:19" ht="15.75">
      <c r="A675" s="13">
        <v>61697</v>
      </c>
      <c r="B675" s="8">
        <f>CHOOSE( CONTROL!$C$32, 19.7013, 19.7011) * CHOOSE(CONTROL!$C$15, $D$11, 100%, $F$11)</f>
        <v>19.7013</v>
      </c>
      <c r="C675" s="8">
        <f>CHOOSE( CONTROL!$C$32, 19.7064, 19.7061) * CHOOSE(CONTROL!$C$15, $D$11, 100%, $F$11)</f>
        <v>19.706399999999999</v>
      </c>
      <c r="D675" s="8">
        <f>CHOOSE( CONTROL!$C$32, 19.6891, 19.6888) * CHOOSE( CONTROL!$C$15, $D$11, 100%, $F$11)</f>
        <v>19.6891</v>
      </c>
      <c r="E675" s="12">
        <f>CHOOSE( CONTROL!$C$32, 19.6949, 19.6946) * CHOOSE( CONTROL!$C$15, $D$11, 100%, $F$11)</f>
        <v>19.694900000000001</v>
      </c>
      <c r="F675" s="4">
        <f>CHOOSE( CONTROL!$C$32, 20.3666, 20.3663) * CHOOSE(CONTROL!$C$15, $D$11, 100%, $F$11)</f>
        <v>20.366599999999998</v>
      </c>
      <c r="G675" s="8">
        <f>CHOOSE( CONTROL!$C$32, 19.48, 19.4797) * CHOOSE( CONTROL!$C$15, $D$11, 100%, $F$11)</f>
        <v>19.48</v>
      </c>
      <c r="H675" s="4">
        <f>CHOOSE( CONTROL!$C$32, 20.3747, 20.3745) * CHOOSE(CONTROL!$C$15, $D$11, 100%, $F$11)</f>
        <v>20.374700000000001</v>
      </c>
      <c r="I675" s="8">
        <f>CHOOSE( CONTROL!$C$32, 19.2824, 19.2821) * CHOOSE(CONTROL!$C$15, $D$11, 100%, $F$11)</f>
        <v>19.282399999999999</v>
      </c>
      <c r="J675" s="4">
        <f>CHOOSE( CONTROL!$C$32, 19.1114, 19.1111) * CHOOSE(CONTROL!$C$15, $D$11, 100%, $F$11)</f>
        <v>19.1114</v>
      </c>
      <c r="K675" s="4"/>
      <c r="L675" s="9">
        <v>28.360600000000002</v>
      </c>
      <c r="M675" s="9">
        <v>11.6745</v>
      </c>
      <c r="N675" s="9">
        <v>4.7850000000000001</v>
      </c>
      <c r="O675" s="9">
        <v>0.36199999999999999</v>
      </c>
      <c r="P675" s="9">
        <v>1.2509999999999999</v>
      </c>
      <c r="Q675" s="9">
        <v>19.053000000000001</v>
      </c>
      <c r="R675" s="9"/>
      <c r="S675" s="11"/>
    </row>
    <row r="676" spans="1:19" ht="15.75">
      <c r="A676" s="13">
        <v>61728</v>
      </c>
      <c r="B676" s="8">
        <f>CHOOSE( CONTROL!$C$32, 19.6655, 19.6652) * CHOOSE(CONTROL!$C$15, $D$11, 100%, $F$11)</f>
        <v>19.665500000000002</v>
      </c>
      <c r="C676" s="8">
        <f>CHOOSE( CONTROL!$C$32, 19.6706, 19.6703) * CHOOSE(CONTROL!$C$15, $D$11, 100%, $F$11)</f>
        <v>19.6706</v>
      </c>
      <c r="D676" s="8">
        <f>CHOOSE( CONTROL!$C$32, 19.6551, 19.6548) * CHOOSE( CONTROL!$C$15, $D$11, 100%, $F$11)</f>
        <v>19.655100000000001</v>
      </c>
      <c r="E676" s="12">
        <f>CHOOSE( CONTROL!$C$32, 19.6602, 19.6599) * CHOOSE( CONTROL!$C$15, $D$11, 100%, $F$11)</f>
        <v>19.6602</v>
      </c>
      <c r="F676" s="4">
        <f>CHOOSE( CONTROL!$C$32, 20.3308, 20.3305) * CHOOSE(CONTROL!$C$15, $D$11, 100%, $F$11)</f>
        <v>20.3308</v>
      </c>
      <c r="G676" s="8">
        <f>CHOOSE( CONTROL!$C$32, 19.4459, 19.4456) * CHOOSE( CONTROL!$C$15, $D$11, 100%, $F$11)</f>
        <v>19.445900000000002</v>
      </c>
      <c r="H676" s="4">
        <f>CHOOSE( CONTROL!$C$32, 20.3393, 20.3391) * CHOOSE(CONTROL!$C$15, $D$11, 100%, $F$11)</f>
        <v>20.339300000000001</v>
      </c>
      <c r="I676" s="8">
        <f>CHOOSE( CONTROL!$C$32, 19.2532, 19.2529) * CHOOSE(CONTROL!$C$15, $D$11, 100%, $F$11)</f>
        <v>19.2532</v>
      </c>
      <c r="J676" s="4">
        <f>CHOOSE( CONTROL!$C$32, 19.0766, 19.0764) * CHOOSE(CONTROL!$C$15, $D$11, 100%, $F$11)</f>
        <v>19.076599999999999</v>
      </c>
      <c r="K676" s="4"/>
      <c r="L676" s="9">
        <v>29.306000000000001</v>
      </c>
      <c r="M676" s="9">
        <v>12.063700000000001</v>
      </c>
      <c r="N676" s="9">
        <v>4.9444999999999997</v>
      </c>
      <c r="O676" s="9">
        <v>0.37409999999999999</v>
      </c>
      <c r="P676" s="9">
        <v>1.2927</v>
      </c>
      <c r="Q676" s="9">
        <v>19.688099999999999</v>
      </c>
      <c r="R676" s="9"/>
      <c r="S676" s="11"/>
    </row>
    <row r="677" spans="1:19" ht="15.75">
      <c r="A677" s="13">
        <v>61759</v>
      </c>
      <c r="B677" s="8">
        <f>CHOOSE( CONTROL!$C$32, 20.2453, 20.245) * CHOOSE(CONTROL!$C$15, $D$11, 100%, $F$11)</f>
        <v>20.2453</v>
      </c>
      <c r="C677" s="8">
        <f>CHOOSE( CONTROL!$C$32, 20.2504, 20.2501) * CHOOSE(CONTROL!$C$15, $D$11, 100%, $F$11)</f>
        <v>20.250399999999999</v>
      </c>
      <c r="D677" s="8">
        <f>CHOOSE( CONTROL!$C$32, 20.2408, 20.2405) * CHOOSE( CONTROL!$C$15, $D$11, 100%, $F$11)</f>
        <v>20.2408</v>
      </c>
      <c r="E677" s="12">
        <f>CHOOSE( CONTROL!$C$32, 20.2438, 20.2435) * CHOOSE( CONTROL!$C$15, $D$11, 100%, $F$11)</f>
        <v>20.2438</v>
      </c>
      <c r="F677" s="4">
        <f>CHOOSE( CONTROL!$C$32, 20.9106, 20.9103) * CHOOSE(CONTROL!$C$15, $D$11, 100%, $F$11)</f>
        <v>20.910599999999999</v>
      </c>
      <c r="G677" s="8">
        <f>CHOOSE( CONTROL!$C$32, 20.0196, 20.0193) * CHOOSE( CONTROL!$C$15, $D$11, 100%, $F$11)</f>
        <v>20.019600000000001</v>
      </c>
      <c r="H677" s="4">
        <f>CHOOSE( CONTROL!$C$32, 20.9123, 20.9121) * CHOOSE(CONTROL!$C$15, $D$11, 100%, $F$11)</f>
        <v>20.912299999999998</v>
      </c>
      <c r="I677" s="8">
        <f>CHOOSE( CONTROL!$C$32, 19.7966, 19.7963) * CHOOSE(CONTROL!$C$15, $D$11, 100%, $F$11)</f>
        <v>19.796600000000002</v>
      </c>
      <c r="J677" s="4">
        <f>CHOOSE( CONTROL!$C$32, 19.6393, 19.6391) * CHOOSE(CONTROL!$C$15, $D$11, 100%, $F$11)</f>
        <v>19.639299999999999</v>
      </c>
      <c r="K677" s="4"/>
      <c r="L677" s="9">
        <v>29.306000000000001</v>
      </c>
      <c r="M677" s="9">
        <v>12.063700000000001</v>
      </c>
      <c r="N677" s="9">
        <v>4.9444999999999997</v>
      </c>
      <c r="O677" s="9">
        <v>0.37409999999999999</v>
      </c>
      <c r="P677" s="9">
        <v>1.2927</v>
      </c>
      <c r="Q677" s="9">
        <v>19.688099999999999</v>
      </c>
      <c r="R677" s="9"/>
      <c r="S677" s="11"/>
    </row>
    <row r="678" spans="1:19" ht="15.75">
      <c r="A678" s="13">
        <v>61787</v>
      </c>
      <c r="B678" s="8">
        <f>CHOOSE( CONTROL!$C$32, 18.9371, 18.9368) * CHOOSE(CONTROL!$C$15, $D$11, 100%, $F$11)</f>
        <v>18.937100000000001</v>
      </c>
      <c r="C678" s="8">
        <f>CHOOSE( CONTROL!$C$32, 18.9422, 18.9419) * CHOOSE(CONTROL!$C$15, $D$11, 100%, $F$11)</f>
        <v>18.9422</v>
      </c>
      <c r="D678" s="8">
        <f>CHOOSE( CONTROL!$C$32, 18.9343, 18.934) * CHOOSE( CONTROL!$C$15, $D$11, 100%, $F$11)</f>
        <v>18.9343</v>
      </c>
      <c r="E678" s="12">
        <f>CHOOSE( CONTROL!$C$32, 18.9366, 18.9363) * CHOOSE( CONTROL!$C$15, $D$11, 100%, $F$11)</f>
        <v>18.936599999999999</v>
      </c>
      <c r="F678" s="4">
        <f>CHOOSE( CONTROL!$C$32, 19.6024, 19.6021) * CHOOSE(CONTROL!$C$15, $D$11, 100%, $F$11)</f>
        <v>19.602399999999999</v>
      </c>
      <c r="G678" s="8">
        <f>CHOOSE( CONTROL!$C$32, 18.7252, 18.7249) * CHOOSE( CONTROL!$C$15, $D$11, 100%, $F$11)</f>
        <v>18.725200000000001</v>
      </c>
      <c r="H678" s="4">
        <f>CHOOSE( CONTROL!$C$32, 19.6194, 19.6192) * CHOOSE(CONTROL!$C$15, $D$11, 100%, $F$11)</f>
        <v>19.619399999999999</v>
      </c>
      <c r="I678" s="8">
        <f>CHOOSE( CONTROL!$C$32, 18.511, 18.5107) * CHOOSE(CONTROL!$C$15, $D$11, 100%, $F$11)</f>
        <v>18.510999999999999</v>
      </c>
      <c r="J678" s="4">
        <f>CHOOSE( CONTROL!$C$32, 18.3697, 18.3694) * CHOOSE(CONTROL!$C$15, $D$11, 100%, $F$11)</f>
        <v>18.369700000000002</v>
      </c>
      <c r="K678" s="4"/>
      <c r="L678" s="9">
        <v>26.469899999999999</v>
      </c>
      <c r="M678" s="9">
        <v>10.8962</v>
      </c>
      <c r="N678" s="9">
        <v>4.4660000000000002</v>
      </c>
      <c r="O678" s="9">
        <v>0.33789999999999998</v>
      </c>
      <c r="P678" s="9">
        <v>1.1676</v>
      </c>
      <c r="Q678" s="9">
        <v>17.782800000000002</v>
      </c>
      <c r="R678" s="9"/>
      <c r="S678" s="11"/>
    </row>
    <row r="679" spans="1:19" ht="15.75">
      <c r="A679" s="13">
        <v>61818</v>
      </c>
      <c r="B679" s="8">
        <f>CHOOSE( CONTROL!$C$32, 18.5342, 18.5339) * CHOOSE(CONTROL!$C$15, $D$11, 100%, $F$11)</f>
        <v>18.534199999999998</v>
      </c>
      <c r="C679" s="8">
        <f>CHOOSE( CONTROL!$C$32, 18.5392, 18.539) * CHOOSE(CONTROL!$C$15, $D$11, 100%, $F$11)</f>
        <v>18.539200000000001</v>
      </c>
      <c r="D679" s="8">
        <f>CHOOSE( CONTROL!$C$32, 18.5265, 18.5263) * CHOOSE( CONTROL!$C$15, $D$11, 100%, $F$11)</f>
        <v>18.526499999999999</v>
      </c>
      <c r="E679" s="12">
        <f>CHOOSE( CONTROL!$C$32, 18.5306, 18.5304) * CHOOSE( CONTROL!$C$15, $D$11, 100%, $F$11)</f>
        <v>18.5306</v>
      </c>
      <c r="F679" s="4">
        <f>CHOOSE( CONTROL!$C$32, 19.1994, 19.1992) * CHOOSE(CONTROL!$C$15, $D$11, 100%, $F$11)</f>
        <v>19.199400000000001</v>
      </c>
      <c r="G679" s="8">
        <f>CHOOSE( CONTROL!$C$32, 18.3235, 18.3233) * CHOOSE( CONTROL!$C$15, $D$11, 100%, $F$11)</f>
        <v>18.323499999999999</v>
      </c>
      <c r="H679" s="4">
        <f>CHOOSE( CONTROL!$C$32, 19.2212, 19.221) * CHOOSE(CONTROL!$C$15, $D$11, 100%, $F$11)</f>
        <v>19.2212</v>
      </c>
      <c r="I679" s="8">
        <f>CHOOSE( CONTROL!$C$32, 18.1181, 18.1178) * CHOOSE(CONTROL!$C$15, $D$11, 100%, $F$11)</f>
        <v>18.118099999999998</v>
      </c>
      <c r="J679" s="4">
        <f>CHOOSE( CONTROL!$C$32, 17.9786, 17.9784) * CHOOSE(CONTROL!$C$15, $D$11, 100%, $F$11)</f>
        <v>17.9786</v>
      </c>
      <c r="K679" s="4"/>
      <c r="L679" s="9">
        <v>29.306000000000001</v>
      </c>
      <c r="M679" s="9">
        <v>12.063700000000001</v>
      </c>
      <c r="N679" s="9">
        <v>4.9444999999999997</v>
      </c>
      <c r="O679" s="9">
        <v>0.37409999999999999</v>
      </c>
      <c r="P679" s="9">
        <v>1.2927</v>
      </c>
      <c r="Q679" s="9">
        <v>19.688099999999999</v>
      </c>
      <c r="R679" s="9"/>
      <c r="S679" s="11"/>
    </row>
    <row r="680" spans="1:19" ht="15.75">
      <c r="A680" s="13">
        <v>61848</v>
      </c>
      <c r="B680" s="8">
        <f>CHOOSE( CONTROL!$C$32, 18.8165, 18.8162) * CHOOSE(CONTROL!$C$15, $D$11, 100%, $F$11)</f>
        <v>18.816500000000001</v>
      </c>
      <c r="C680" s="8">
        <f>CHOOSE( CONTROL!$C$32, 18.821, 18.8207) * CHOOSE(CONTROL!$C$15, $D$11, 100%, $F$11)</f>
        <v>18.821000000000002</v>
      </c>
      <c r="D680" s="8">
        <f>CHOOSE( CONTROL!$C$32, 18.8258, 18.8256) * CHOOSE( CONTROL!$C$15, $D$11, 100%, $F$11)</f>
        <v>18.825800000000001</v>
      </c>
      <c r="E680" s="12">
        <f>CHOOSE( CONTROL!$C$32, 18.8237, 18.8235) * CHOOSE( CONTROL!$C$15, $D$11, 100%, $F$11)</f>
        <v>18.823699999999999</v>
      </c>
      <c r="F680" s="4">
        <f>CHOOSE( CONTROL!$C$32, 19.5207, 19.5204) * CHOOSE(CONTROL!$C$15, $D$11, 100%, $F$11)</f>
        <v>19.520700000000001</v>
      </c>
      <c r="G680" s="8">
        <f>CHOOSE( CONTROL!$C$32, 18.6076, 18.6073) * CHOOSE( CONTROL!$C$15, $D$11, 100%, $F$11)</f>
        <v>18.607600000000001</v>
      </c>
      <c r="H680" s="4">
        <f>CHOOSE( CONTROL!$C$32, 19.5387, 19.5384) * CHOOSE(CONTROL!$C$15, $D$11, 100%, $F$11)</f>
        <v>19.538699999999999</v>
      </c>
      <c r="I680" s="8">
        <f>CHOOSE( CONTROL!$C$32, 18.3657, 18.3655) * CHOOSE(CONTROL!$C$15, $D$11, 100%, $F$11)</f>
        <v>18.3657</v>
      </c>
      <c r="J680" s="4">
        <f>CHOOSE( CONTROL!$C$32, 18.2519, 18.2516) * CHOOSE(CONTROL!$C$15, $D$11, 100%, $F$11)</f>
        <v>18.251899999999999</v>
      </c>
      <c r="K680" s="4"/>
      <c r="L680" s="9">
        <v>30.092199999999998</v>
      </c>
      <c r="M680" s="9">
        <v>11.6745</v>
      </c>
      <c r="N680" s="9">
        <v>4.7850000000000001</v>
      </c>
      <c r="O680" s="9">
        <v>0.36199999999999999</v>
      </c>
      <c r="P680" s="9">
        <v>1.2509999999999999</v>
      </c>
      <c r="Q680" s="9">
        <v>19.053000000000001</v>
      </c>
      <c r="R680" s="9"/>
      <c r="S680" s="11"/>
    </row>
    <row r="681" spans="1:19" ht="15.75">
      <c r="A681" s="13">
        <v>61879</v>
      </c>
      <c r="B681" s="8">
        <f>CHOOSE( CONTROL!$C$32, 19.3191, 19.3187) * CHOOSE(CONTROL!$C$15, $D$11, 100%, $F$11)</f>
        <v>19.319099999999999</v>
      </c>
      <c r="C681" s="8">
        <f>CHOOSE( CONTROL!$C$32, 19.3271, 19.3267) * CHOOSE(CONTROL!$C$15, $D$11, 100%, $F$11)</f>
        <v>19.327100000000002</v>
      </c>
      <c r="D681" s="8">
        <f>CHOOSE( CONTROL!$C$32, 19.3259, 19.3254) * CHOOSE( CONTROL!$C$15, $D$11, 100%, $F$11)</f>
        <v>19.325900000000001</v>
      </c>
      <c r="E681" s="12">
        <f>CHOOSE( CONTROL!$C$32, 19.3251, 19.3247) * CHOOSE( CONTROL!$C$15, $D$11, 100%, $F$11)</f>
        <v>19.325099999999999</v>
      </c>
      <c r="F681" s="4">
        <f>CHOOSE( CONTROL!$C$32, 20.022, 20.0215) * CHOOSE(CONTROL!$C$15, $D$11, 100%, $F$11)</f>
        <v>20.021999999999998</v>
      </c>
      <c r="G681" s="8">
        <f>CHOOSE( CONTROL!$C$32, 19.1028, 19.1023) * CHOOSE( CONTROL!$C$15, $D$11, 100%, $F$11)</f>
        <v>19.102799999999998</v>
      </c>
      <c r="H681" s="4">
        <f>CHOOSE( CONTROL!$C$32, 20.0341, 20.0337) * CHOOSE(CONTROL!$C$15, $D$11, 100%, $F$11)</f>
        <v>20.034099999999999</v>
      </c>
      <c r="I681" s="8">
        <f>CHOOSE( CONTROL!$C$32, 18.8516, 18.8512) * CHOOSE(CONTROL!$C$15, $D$11, 100%, $F$11)</f>
        <v>18.851600000000001</v>
      </c>
      <c r="J681" s="4">
        <f>CHOOSE( CONTROL!$C$32, 18.7384, 18.738) * CHOOSE(CONTROL!$C$15, $D$11, 100%, $F$11)</f>
        <v>18.738399999999999</v>
      </c>
      <c r="K681" s="4"/>
      <c r="L681" s="9">
        <v>30.7165</v>
      </c>
      <c r="M681" s="9">
        <v>12.063700000000001</v>
      </c>
      <c r="N681" s="9">
        <v>4.9444999999999997</v>
      </c>
      <c r="O681" s="9">
        <v>0.37409999999999999</v>
      </c>
      <c r="P681" s="9">
        <v>1.2927</v>
      </c>
      <c r="Q681" s="9">
        <v>19.688099999999999</v>
      </c>
      <c r="R681" s="9"/>
      <c r="S681" s="11"/>
    </row>
    <row r="682" spans="1:19" ht="15.75">
      <c r="A682" s="13">
        <v>61909</v>
      </c>
      <c r="B682" s="8">
        <f>CHOOSE( CONTROL!$C$32, 19.0087, 19.0083) * CHOOSE(CONTROL!$C$15, $D$11, 100%, $F$11)</f>
        <v>19.008700000000001</v>
      </c>
      <c r="C682" s="8">
        <f>CHOOSE( CONTROL!$C$32, 19.0167, 19.0162) * CHOOSE(CONTROL!$C$15, $D$11, 100%, $F$11)</f>
        <v>19.0167</v>
      </c>
      <c r="D682" s="8">
        <f>CHOOSE( CONTROL!$C$32, 19.0157, 19.0152) * CHOOSE( CONTROL!$C$15, $D$11, 100%, $F$11)</f>
        <v>19.015699999999999</v>
      </c>
      <c r="E682" s="12">
        <f>CHOOSE( CONTROL!$C$32, 19.0148, 19.0144) * CHOOSE( CONTROL!$C$15, $D$11, 100%, $F$11)</f>
        <v>19.014800000000001</v>
      </c>
      <c r="F682" s="4">
        <f>CHOOSE( CONTROL!$C$32, 19.7115, 19.7111) * CHOOSE(CONTROL!$C$15, $D$11, 100%, $F$11)</f>
        <v>19.711500000000001</v>
      </c>
      <c r="G682" s="8">
        <f>CHOOSE( CONTROL!$C$32, 18.7962, 18.7957) * CHOOSE( CONTROL!$C$15, $D$11, 100%, $F$11)</f>
        <v>18.796199999999999</v>
      </c>
      <c r="H682" s="4">
        <f>CHOOSE( CONTROL!$C$32, 19.7273, 19.7269) * CHOOSE(CONTROL!$C$15, $D$11, 100%, $F$11)</f>
        <v>19.7273</v>
      </c>
      <c r="I682" s="8">
        <f>CHOOSE( CONTROL!$C$32, 18.5509, 18.5504) * CHOOSE(CONTROL!$C$15, $D$11, 100%, $F$11)</f>
        <v>18.550899999999999</v>
      </c>
      <c r="J682" s="4">
        <f>CHOOSE( CONTROL!$C$32, 18.4371, 18.4367) * CHOOSE(CONTROL!$C$15, $D$11, 100%, $F$11)</f>
        <v>18.437100000000001</v>
      </c>
      <c r="K682" s="4"/>
      <c r="L682" s="9">
        <v>29.7257</v>
      </c>
      <c r="M682" s="9">
        <v>11.6745</v>
      </c>
      <c r="N682" s="9">
        <v>4.7850000000000001</v>
      </c>
      <c r="O682" s="9">
        <v>0.36199999999999999</v>
      </c>
      <c r="P682" s="9">
        <v>1.2509999999999999</v>
      </c>
      <c r="Q682" s="9">
        <v>19.053000000000001</v>
      </c>
      <c r="R682" s="9"/>
      <c r="S682" s="11"/>
    </row>
    <row r="683" spans="1:19" ht="15.75">
      <c r="A683" s="13">
        <v>61940</v>
      </c>
      <c r="B683" s="8">
        <f>CHOOSE( CONTROL!$C$32, 19.8262, 19.8257) * CHOOSE(CONTROL!$C$15, $D$11, 100%, $F$11)</f>
        <v>19.8262</v>
      </c>
      <c r="C683" s="8">
        <f>CHOOSE( CONTROL!$C$32, 19.8341, 19.8337) * CHOOSE(CONTROL!$C$15, $D$11, 100%, $F$11)</f>
        <v>19.834099999999999</v>
      </c>
      <c r="D683" s="8">
        <f>CHOOSE( CONTROL!$C$32, 19.8333, 19.8329) * CHOOSE( CONTROL!$C$15, $D$11, 100%, $F$11)</f>
        <v>19.833300000000001</v>
      </c>
      <c r="E683" s="12">
        <f>CHOOSE( CONTROL!$C$32, 19.8324, 19.832) * CHOOSE( CONTROL!$C$15, $D$11, 100%, $F$11)</f>
        <v>19.8324</v>
      </c>
      <c r="F683" s="4">
        <f>CHOOSE( CONTROL!$C$32, 20.529, 20.5285) * CHOOSE(CONTROL!$C$15, $D$11, 100%, $F$11)</f>
        <v>20.529</v>
      </c>
      <c r="G683" s="8">
        <f>CHOOSE( CONTROL!$C$32, 19.6042, 19.6038) * CHOOSE( CONTROL!$C$15, $D$11, 100%, $F$11)</f>
        <v>19.604199999999999</v>
      </c>
      <c r="H683" s="4">
        <f>CHOOSE( CONTROL!$C$32, 20.5352, 20.5348) * CHOOSE(CONTROL!$C$15, $D$11, 100%, $F$11)</f>
        <v>20.5352</v>
      </c>
      <c r="I683" s="8">
        <f>CHOOSE( CONTROL!$C$32, 19.3454, 19.345) * CHOOSE(CONTROL!$C$15, $D$11, 100%, $F$11)</f>
        <v>19.345400000000001</v>
      </c>
      <c r="J683" s="4">
        <f>CHOOSE( CONTROL!$C$32, 19.2305, 19.23) * CHOOSE(CONTROL!$C$15, $D$11, 100%, $F$11)</f>
        <v>19.230499999999999</v>
      </c>
      <c r="K683" s="4"/>
      <c r="L683" s="9">
        <v>30.7165</v>
      </c>
      <c r="M683" s="9">
        <v>12.063700000000001</v>
      </c>
      <c r="N683" s="9">
        <v>4.9444999999999997</v>
      </c>
      <c r="O683" s="9">
        <v>0.37409999999999999</v>
      </c>
      <c r="P683" s="9">
        <v>1.2927</v>
      </c>
      <c r="Q683" s="9">
        <v>19.688099999999999</v>
      </c>
      <c r="R683" s="9"/>
      <c r="S683" s="11"/>
    </row>
    <row r="684" spans="1:19" ht="15.75">
      <c r="A684" s="13">
        <v>61971</v>
      </c>
      <c r="B684" s="8">
        <f>CHOOSE( CONTROL!$C$32, 18.2966, 18.2962) * CHOOSE(CONTROL!$C$15, $D$11, 100%, $F$11)</f>
        <v>18.296600000000002</v>
      </c>
      <c r="C684" s="8">
        <f>CHOOSE( CONTROL!$C$32, 18.3046, 18.3041) * CHOOSE(CONTROL!$C$15, $D$11, 100%, $F$11)</f>
        <v>18.304600000000001</v>
      </c>
      <c r="D684" s="8">
        <f>CHOOSE( CONTROL!$C$32, 18.3039, 18.3034) * CHOOSE( CONTROL!$C$15, $D$11, 100%, $F$11)</f>
        <v>18.303899999999999</v>
      </c>
      <c r="E684" s="12">
        <f>CHOOSE( CONTROL!$C$32, 18.3029, 18.3024) * CHOOSE( CONTROL!$C$15, $D$11, 100%, $F$11)</f>
        <v>18.302900000000001</v>
      </c>
      <c r="F684" s="4">
        <f>CHOOSE( CONTROL!$C$32, 18.9994, 18.999) * CHOOSE(CONTROL!$C$15, $D$11, 100%, $F$11)</f>
        <v>18.999400000000001</v>
      </c>
      <c r="G684" s="8">
        <f>CHOOSE( CONTROL!$C$32, 18.0926, 18.0922) * CHOOSE( CONTROL!$C$15, $D$11, 100%, $F$11)</f>
        <v>18.092600000000001</v>
      </c>
      <c r="H684" s="4">
        <f>CHOOSE( CONTROL!$C$32, 19.0236, 19.0231) * CHOOSE(CONTROL!$C$15, $D$11, 100%, $F$11)</f>
        <v>19.023599999999998</v>
      </c>
      <c r="I684" s="8">
        <f>CHOOSE( CONTROL!$C$32, 17.8604, 17.86) * CHOOSE(CONTROL!$C$15, $D$11, 100%, $F$11)</f>
        <v>17.860399999999998</v>
      </c>
      <c r="J684" s="4">
        <f>CHOOSE( CONTROL!$C$32, 17.7461, 17.7456) * CHOOSE(CONTROL!$C$15, $D$11, 100%, $F$11)</f>
        <v>17.746099999999998</v>
      </c>
      <c r="K684" s="4"/>
      <c r="L684" s="9">
        <v>30.7165</v>
      </c>
      <c r="M684" s="9">
        <v>12.063700000000001</v>
      </c>
      <c r="N684" s="9">
        <v>4.9444999999999997</v>
      </c>
      <c r="O684" s="9">
        <v>0.37409999999999999</v>
      </c>
      <c r="P684" s="9">
        <v>1.2927</v>
      </c>
      <c r="Q684" s="9">
        <v>19.688099999999999</v>
      </c>
      <c r="R684" s="9"/>
      <c r="S684" s="11"/>
    </row>
    <row r="685" spans="1:19" ht="15.75">
      <c r="A685" s="13">
        <v>62001</v>
      </c>
      <c r="B685" s="8">
        <f>CHOOSE( CONTROL!$C$32, 17.9136, 17.9132) * CHOOSE(CONTROL!$C$15, $D$11, 100%, $F$11)</f>
        <v>17.913599999999999</v>
      </c>
      <c r="C685" s="8">
        <f>CHOOSE( CONTROL!$C$32, 17.9216, 17.9211) * CHOOSE(CONTROL!$C$15, $D$11, 100%, $F$11)</f>
        <v>17.921600000000002</v>
      </c>
      <c r="D685" s="8">
        <f>CHOOSE( CONTROL!$C$32, 17.9207, 17.9202) * CHOOSE( CONTROL!$C$15, $D$11, 100%, $F$11)</f>
        <v>17.9207</v>
      </c>
      <c r="E685" s="12">
        <f>CHOOSE( CONTROL!$C$32, 17.9198, 17.9193) * CHOOSE( CONTROL!$C$15, $D$11, 100%, $F$11)</f>
        <v>17.919799999999999</v>
      </c>
      <c r="F685" s="4">
        <f>CHOOSE( CONTROL!$C$32, 18.6164, 18.616) * CHOOSE(CONTROL!$C$15, $D$11, 100%, $F$11)</f>
        <v>18.616399999999999</v>
      </c>
      <c r="G685" s="8">
        <f>CHOOSE( CONTROL!$C$32, 17.714, 17.7135) * CHOOSE( CONTROL!$C$15, $D$11, 100%, $F$11)</f>
        <v>17.713999999999999</v>
      </c>
      <c r="H685" s="4">
        <f>CHOOSE( CONTROL!$C$32, 18.6451, 18.6446) * CHOOSE(CONTROL!$C$15, $D$11, 100%, $F$11)</f>
        <v>18.645099999999999</v>
      </c>
      <c r="I685" s="8">
        <f>CHOOSE( CONTROL!$C$32, 17.488, 17.4876) * CHOOSE(CONTROL!$C$15, $D$11, 100%, $F$11)</f>
        <v>17.488</v>
      </c>
      <c r="J685" s="4">
        <f>CHOOSE( CONTROL!$C$32, 17.3743, 17.3739) * CHOOSE(CONTROL!$C$15, $D$11, 100%, $F$11)</f>
        <v>17.374300000000002</v>
      </c>
      <c r="K685" s="4"/>
      <c r="L685" s="9">
        <v>29.7257</v>
      </c>
      <c r="M685" s="9">
        <v>11.6745</v>
      </c>
      <c r="N685" s="9">
        <v>4.7850000000000001</v>
      </c>
      <c r="O685" s="9">
        <v>0.36199999999999999</v>
      </c>
      <c r="P685" s="9">
        <v>1.2509999999999999</v>
      </c>
      <c r="Q685" s="9">
        <v>19.053000000000001</v>
      </c>
      <c r="R685" s="9"/>
      <c r="S685" s="11"/>
    </row>
    <row r="686" spans="1:19" ht="15.75">
      <c r="A686" s="13">
        <v>62032</v>
      </c>
      <c r="B686" s="8">
        <f>CHOOSE( CONTROL!$C$32, 18.707, 18.7067) * CHOOSE(CONTROL!$C$15, $D$11, 100%, $F$11)</f>
        <v>18.707000000000001</v>
      </c>
      <c r="C686" s="8">
        <f>CHOOSE( CONTROL!$C$32, 18.7123, 18.712) * CHOOSE(CONTROL!$C$15, $D$11, 100%, $F$11)</f>
        <v>18.712299999999999</v>
      </c>
      <c r="D686" s="8">
        <f>CHOOSE( CONTROL!$C$32, 18.717, 18.7167) * CHOOSE( CONTROL!$C$15, $D$11, 100%, $F$11)</f>
        <v>18.716999999999999</v>
      </c>
      <c r="E686" s="12">
        <f>CHOOSE( CONTROL!$C$32, 18.7149, 18.7146) * CHOOSE( CONTROL!$C$15, $D$11, 100%, $F$11)</f>
        <v>18.7149</v>
      </c>
      <c r="F686" s="4">
        <f>CHOOSE( CONTROL!$C$32, 19.4115, 19.4112) * CHOOSE(CONTROL!$C$15, $D$11, 100%, $F$11)</f>
        <v>19.4115</v>
      </c>
      <c r="G686" s="8">
        <f>CHOOSE( CONTROL!$C$32, 18.4999, 18.4997) * CHOOSE( CONTROL!$C$15, $D$11, 100%, $F$11)</f>
        <v>18.4999</v>
      </c>
      <c r="H686" s="4">
        <f>CHOOSE( CONTROL!$C$32, 19.4308, 19.4306) * CHOOSE(CONTROL!$C$15, $D$11, 100%, $F$11)</f>
        <v>19.430800000000001</v>
      </c>
      <c r="I686" s="8">
        <f>CHOOSE( CONTROL!$C$32, 18.2608, 18.2606) * CHOOSE(CONTROL!$C$15, $D$11, 100%, $F$11)</f>
        <v>18.2608</v>
      </c>
      <c r="J686" s="4">
        <f>CHOOSE( CONTROL!$C$32, 18.146, 18.1457) * CHOOSE(CONTROL!$C$15, $D$11, 100%, $F$11)</f>
        <v>18.146000000000001</v>
      </c>
      <c r="K686" s="4"/>
      <c r="L686" s="9">
        <v>31.095300000000002</v>
      </c>
      <c r="M686" s="9">
        <v>12.063700000000001</v>
      </c>
      <c r="N686" s="9">
        <v>4.9444999999999997</v>
      </c>
      <c r="O686" s="9">
        <v>0.37409999999999999</v>
      </c>
      <c r="P686" s="9">
        <v>1.2927</v>
      </c>
      <c r="Q686" s="9">
        <v>19.688099999999999</v>
      </c>
      <c r="R686" s="9"/>
      <c r="S686" s="11"/>
    </row>
    <row r="687" spans="1:19" ht="15.75">
      <c r="A687" s="13">
        <v>62062</v>
      </c>
      <c r="B687" s="8">
        <f>CHOOSE( CONTROL!$C$32, 20.1745, 20.1742) * CHOOSE(CONTROL!$C$15, $D$11, 100%, $F$11)</f>
        <v>20.174499999999998</v>
      </c>
      <c r="C687" s="8">
        <f>CHOOSE( CONTROL!$C$32, 20.1795, 20.1793) * CHOOSE(CONTROL!$C$15, $D$11, 100%, $F$11)</f>
        <v>20.179500000000001</v>
      </c>
      <c r="D687" s="8">
        <f>CHOOSE( CONTROL!$C$32, 20.1623, 20.162) * CHOOSE( CONTROL!$C$15, $D$11, 100%, $F$11)</f>
        <v>20.162299999999998</v>
      </c>
      <c r="E687" s="12">
        <f>CHOOSE( CONTROL!$C$32, 20.1681, 20.1678) * CHOOSE( CONTROL!$C$15, $D$11, 100%, $F$11)</f>
        <v>20.168099999999999</v>
      </c>
      <c r="F687" s="4">
        <f>CHOOSE( CONTROL!$C$32, 20.8398, 20.8395) * CHOOSE(CONTROL!$C$15, $D$11, 100%, $F$11)</f>
        <v>20.8398</v>
      </c>
      <c r="G687" s="8">
        <f>CHOOSE( CONTROL!$C$32, 19.9476, 19.9473) * CHOOSE( CONTROL!$C$15, $D$11, 100%, $F$11)</f>
        <v>19.947600000000001</v>
      </c>
      <c r="H687" s="4">
        <f>CHOOSE( CONTROL!$C$32, 20.8423, 20.8421) * CHOOSE(CONTROL!$C$15, $D$11, 100%, $F$11)</f>
        <v>20.842300000000002</v>
      </c>
      <c r="I687" s="8">
        <f>CHOOSE( CONTROL!$C$32, 19.7418, 19.7415) * CHOOSE(CONTROL!$C$15, $D$11, 100%, $F$11)</f>
        <v>19.741800000000001</v>
      </c>
      <c r="J687" s="4">
        <f>CHOOSE( CONTROL!$C$32, 19.5706, 19.5703) * CHOOSE(CONTROL!$C$15, $D$11, 100%, $F$11)</f>
        <v>19.570599999999999</v>
      </c>
      <c r="K687" s="4"/>
      <c r="L687" s="9">
        <v>28.360600000000002</v>
      </c>
      <c r="M687" s="9">
        <v>11.6745</v>
      </c>
      <c r="N687" s="9">
        <v>4.7850000000000001</v>
      </c>
      <c r="O687" s="9">
        <v>0.36199999999999999</v>
      </c>
      <c r="P687" s="9">
        <v>1.2509999999999999</v>
      </c>
      <c r="Q687" s="9">
        <v>19.053000000000001</v>
      </c>
      <c r="R687" s="9"/>
      <c r="S687" s="11"/>
    </row>
    <row r="688" spans="1:19" ht="15.75">
      <c r="A688" s="13">
        <v>62093</v>
      </c>
      <c r="B688" s="8">
        <f>CHOOSE( CONTROL!$C$32, 20.1378, 20.1375) * CHOOSE(CONTROL!$C$15, $D$11, 100%, $F$11)</f>
        <v>20.137799999999999</v>
      </c>
      <c r="C688" s="8">
        <f>CHOOSE( CONTROL!$C$32, 20.1429, 20.1426) * CHOOSE(CONTROL!$C$15, $D$11, 100%, $F$11)</f>
        <v>20.142900000000001</v>
      </c>
      <c r="D688" s="8">
        <f>CHOOSE( CONTROL!$C$32, 20.1274, 20.1271) * CHOOSE( CONTROL!$C$15, $D$11, 100%, $F$11)</f>
        <v>20.127400000000002</v>
      </c>
      <c r="E688" s="12">
        <f>CHOOSE( CONTROL!$C$32, 20.1325, 20.1322) * CHOOSE( CONTROL!$C$15, $D$11, 100%, $F$11)</f>
        <v>20.1325</v>
      </c>
      <c r="F688" s="4">
        <f>CHOOSE( CONTROL!$C$32, 20.8031, 20.8028) * CHOOSE(CONTROL!$C$15, $D$11, 100%, $F$11)</f>
        <v>20.803100000000001</v>
      </c>
      <c r="G688" s="8">
        <f>CHOOSE( CONTROL!$C$32, 19.9126, 19.9124) * CHOOSE( CONTROL!$C$15, $D$11, 100%, $F$11)</f>
        <v>19.912600000000001</v>
      </c>
      <c r="H688" s="4">
        <f>CHOOSE( CONTROL!$C$32, 20.8061, 20.8058) * CHOOSE(CONTROL!$C$15, $D$11, 100%, $F$11)</f>
        <v>20.806100000000001</v>
      </c>
      <c r="I688" s="8">
        <f>CHOOSE( CONTROL!$C$32, 19.7118, 19.7115) * CHOOSE(CONTROL!$C$15, $D$11, 100%, $F$11)</f>
        <v>19.7118</v>
      </c>
      <c r="J688" s="4">
        <f>CHOOSE( CONTROL!$C$32, 19.535, 19.5347) * CHOOSE(CONTROL!$C$15, $D$11, 100%, $F$11)</f>
        <v>19.535</v>
      </c>
      <c r="K688" s="4"/>
      <c r="L688" s="9">
        <v>29.306000000000001</v>
      </c>
      <c r="M688" s="9">
        <v>12.063700000000001</v>
      </c>
      <c r="N688" s="9">
        <v>4.9444999999999997</v>
      </c>
      <c r="O688" s="9">
        <v>0.37409999999999999</v>
      </c>
      <c r="P688" s="9">
        <v>1.2927</v>
      </c>
      <c r="Q688" s="9">
        <v>19.688099999999999</v>
      </c>
      <c r="R688" s="9"/>
      <c r="S688" s="11"/>
    </row>
    <row r="689" spans="1:19" ht="15.75">
      <c r="A689" s="13">
        <v>62124</v>
      </c>
      <c r="B689" s="8">
        <f>CHOOSE( CONTROL!$C$32, 20.7315, 20.7313) * CHOOSE(CONTROL!$C$15, $D$11, 100%, $F$11)</f>
        <v>20.7315</v>
      </c>
      <c r="C689" s="8">
        <f>CHOOSE( CONTROL!$C$32, 20.7366, 20.7363) * CHOOSE(CONTROL!$C$15, $D$11, 100%, $F$11)</f>
        <v>20.736599999999999</v>
      </c>
      <c r="D689" s="8">
        <f>CHOOSE( CONTROL!$C$32, 20.727, 20.7268) * CHOOSE( CONTROL!$C$15, $D$11, 100%, $F$11)</f>
        <v>20.727</v>
      </c>
      <c r="E689" s="12">
        <f>CHOOSE( CONTROL!$C$32, 20.73, 20.7297) * CHOOSE( CONTROL!$C$15, $D$11, 100%, $F$11)</f>
        <v>20.73</v>
      </c>
      <c r="F689" s="4">
        <f>CHOOSE( CONTROL!$C$32, 21.3968, 21.3965) * CHOOSE(CONTROL!$C$15, $D$11, 100%, $F$11)</f>
        <v>21.396799999999999</v>
      </c>
      <c r="G689" s="8">
        <f>CHOOSE( CONTROL!$C$32, 20.5001, 20.4998) * CHOOSE( CONTROL!$C$15, $D$11, 100%, $F$11)</f>
        <v>20.5001</v>
      </c>
      <c r="H689" s="4">
        <f>CHOOSE( CONTROL!$C$32, 21.3929, 21.3926) * CHOOSE(CONTROL!$C$15, $D$11, 100%, $F$11)</f>
        <v>21.392900000000001</v>
      </c>
      <c r="I689" s="8">
        <f>CHOOSE( CONTROL!$C$32, 20.2687, 20.2685) * CHOOSE(CONTROL!$C$15, $D$11, 100%, $F$11)</f>
        <v>20.268699999999999</v>
      </c>
      <c r="J689" s="4">
        <f>CHOOSE( CONTROL!$C$32, 20.1112, 20.1109) * CHOOSE(CONTROL!$C$15, $D$11, 100%, $F$11)</f>
        <v>20.1112</v>
      </c>
      <c r="K689" s="4"/>
      <c r="L689" s="9">
        <v>29.306000000000001</v>
      </c>
      <c r="M689" s="9">
        <v>12.063700000000001</v>
      </c>
      <c r="N689" s="9">
        <v>4.9444999999999997</v>
      </c>
      <c r="O689" s="9">
        <v>0.37409999999999999</v>
      </c>
      <c r="P689" s="9">
        <v>1.2927</v>
      </c>
      <c r="Q689" s="9">
        <v>19.688099999999999</v>
      </c>
      <c r="R689" s="9"/>
      <c r="S689" s="11"/>
    </row>
    <row r="690" spans="1:19" ht="15.75">
      <c r="A690" s="13">
        <v>62152</v>
      </c>
      <c r="B690" s="8">
        <f>CHOOSE( CONTROL!$C$32, 19.3919, 19.3916) * CHOOSE(CONTROL!$C$15, $D$11, 100%, $F$11)</f>
        <v>19.3919</v>
      </c>
      <c r="C690" s="8">
        <f>CHOOSE( CONTROL!$C$32, 19.3969, 19.3967) * CHOOSE(CONTROL!$C$15, $D$11, 100%, $F$11)</f>
        <v>19.396899999999999</v>
      </c>
      <c r="D690" s="8">
        <f>CHOOSE( CONTROL!$C$32, 19.389, 19.3888) * CHOOSE( CONTROL!$C$15, $D$11, 100%, $F$11)</f>
        <v>19.388999999999999</v>
      </c>
      <c r="E690" s="12">
        <f>CHOOSE( CONTROL!$C$32, 19.3914, 19.3911) * CHOOSE( CONTROL!$C$15, $D$11, 100%, $F$11)</f>
        <v>19.391400000000001</v>
      </c>
      <c r="F690" s="4">
        <f>CHOOSE( CONTROL!$C$32, 20.0571, 20.0569) * CHOOSE(CONTROL!$C$15, $D$11, 100%, $F$11)</f>
        <v>20.057099999999998</v>
      </c>
      <c r="G690" s="8">
        <f>CHOOSE( CONTROL!$C$32, 19.1747, 19.1744) * CHOOSE( CONTROL!$C$15, $D$11, 100%, $F$11)</f>
        <v>19.174700000000001</v>
      </c>
      <c r="H690" s="4">
        <f>CHOOSE( CONTROL!$C$32, 20.0689, 20.0686) * CHOOSE(CONTROL!$C$15, $D$11, 100%, $F$11)</f>
        <v>20.068899999999999</v>
      </c>
      <c r="I690" s="8">
        <f>CHOOSE( CONTROL!$C$32, 18.9526, 18.9523) * CHOOSE(CONTROL!$C$15, $D$11, 100%, $F$11)</f>
        <v>18.9526</v>
      </c>
      <c r="J690" s="4">
        <f>CHOOSE( CONTROL!$C$32, 18.8111, 18.8108) * CHOOSE(CONTROL!$C$15, $D$11, 100%, $F$11)</f>
        <v>18.8111</v>
      </c>
      <c r="K690" s="4"/>
      <c r="L690" s="9">
        <v>26.469899999999999</v>
      </c>
      <c r="M690" s="9">
        <v>10.8962</v>
      </c>
      <c r="N690" s="9">
        <v>4.4660000000000002</v>
      </c>
      <c r="O690" s="9">
        <v>0.33789999999999998</v>
      </c>
      <c r="P690" s="9">
        <v>1.1676</v>
      </c>
      <c r="Q690" s="9">
        <v>17.782800000000002</v>
      </c>
      <c r="R690" s="9"/>
      <c r="S690" s="11"/>
    </row>
    <row r="691" spans="1:19" ht="15.75">
      <c r="A691" s="13">
        <v>62183</v>
      </c>
      <c r="B691" s="8">
        <f>CHOOSE( CONTROL!$C$32, 18.9793, 18.979) * CHOOSE(CONTROL!$C$15, $D$11, 100%, $F$11)</f>
        <v>18.979299999999999</v>
      </c>
      <c r="C691" s="8">
        <f>CHOOSE( CONTROL!$C$32, 18.9843, 18.9841) * CHOOSE(CONTROL!$C$15, $D$11, 100%, $F$11)</f>
        <v>18.984300000000001</v>
      </c>
      <c r="D691" s="8">
        <f>CHOOSE( CONTROL!$C$32, 18.9716, 18.9714) * CHOOSE( CONTROL!$C$15, $D$11, 100%, $F$11)</f>
        <v>18.971599999999999</v>
      </c>
      <c r="E691" s="12">
        <f>CHOOSE( CONTROL!$C$32, 18.9757, 18.9755) * CHOOSE( CONTROL!$C$15, $D$11, 100%, $F$11)</f>
        <v>18.9757</v>
      </c>
      <c r="F691" s="4">
        <f>CHOOSE( CONTROL!$C$32, 19.6445, 19.6443) * CHOOSE(CONTROL!$C$15, $D$11, 100%, $F$11)</f>
        <v>19.644500000000001</v>
      </c>
      <c r="G691" s="8">
        <f>CHOOSE( CONTROL!$C$32, 18.7634, 18.7632) * CHOOSE( CONTROL!$C$15, $D$11, 100%, $F$11)</f>
        <v>18.763400000000001</v>
      </c>
      <c r="H691" s="4">
        <f>CHOOSE( CONTROL!$C$32, 19.6611, 19.6609) * CHOOSE(CONTROL!$C$15, $D$11, 100%, $F$11)</f>
        <v>19.661100000000001</v>
      </c>
      <c r="I691" s="8">
        <f>CHOOSE( CONTROL!$C$32, 18.5503, 18.55) * CHOOSE(CONTROL!$C$15, $D$11, 100%, $F$11)</f>
        <v>18.5503</v>
      </c>
      <c r="J691" s="4">
        <f>CHOOSE( CONTROL!$C$32, 18.4106, 18.4104) * CHOOSE(CONTROL!$C$15, $D$11, 100%, $F$11)</f>
        <v>18.410599999999999</v>
      </c>
      <c r="K691" s="4"/>
      <c r="L691" s="9">
        <v>29.306000000000001</v>
      </c>
      <c r="M691" s="9">
        <v>12.063700000000001</v>
      </c>
      <c r="N691" s="9">
        <v>4.9444999999999997</v>
      </c>
      <c r="O691" s="9">
        <v>0.37409999999999999</v>
      </c>
      <c r="P691" s="9">
        <v>1.2927</v>
      </c>
      <c r="Q691" s="9">
        <v>19.688099999999999</v>
      </c>
      <c r="R691" s="9"/>
      <c r="S691" s="11"/>
    </row>
    <row r="692" spans="1:19" ht="15.75">
      <c r="A692" s="13">
        <v>62213</v>
      </c>
      <c r="B692" s="8">
        <f>CHOOSE( CONTROL!$C$32, 19.2683, 19.2681) * CHOOSE(CONTROL!$C$15, $D$11, 100%, $F$11)</f>
        <v>19.2683</v>
      </c>
      <c r="C692" s="8">
        <f>CHOOSE( CONTROL!$C$32, 19.2729, 19.2726) * CHOOSE(CONTROL!$C$15, $D$11, 100%, $F$11)</f>
        <v>19.2729</v>
      </c>
      <c r="D692" s="8">
        <f>CHOOSE( CONTROL!$C$32, 19.2777, 19.2774) * CHOOSE( CONTROL!$C$15, $D$11, 100%, $F$11)</f>
        <v>19.277699999999999</v>
      </c>
      <c r="E692" s="12">
        <f>CHOOSE( CONTROL!$C$32, 19.2756, 19.2753) * CHOOSE( CONTROL!$C$15, $D$11, 100%, $F$11)</f>
        <v>19.275600000000001</v>
      </c>
      <c r="F692" s="4">
        <f>CHOOSE( CONTROL!$C$32, 19.9725, 19.9723) * CHOOSE(CONTROL!$C$15, $D$11, 100%, $F$11)</f>
        <v>19.9725</v>
      </c>
      <c r="G692" s="8">
        <f>CHOOSE( CONTROL!$C$32, 19.0541, 19.0539) * CHOOSE( CONTROL!$C$15, $D$11, 100%, $F$11)</f>
        <v>19.054099999999998</v>
      </c>
      <c r="H692" s="4">
        <f>CHOOSE( CONTROL!$C$32, 19.9853, 19.985) * CHOOSE(CONTROL!$C$15, $D$11, 100%, $F$11)</f>
        <v>19.985299999999999</v>
      </c>
      <c r="I692" s="8">
        <f>CHOOSE( CONTROL!$C$32, 18.8045, 18.8042) * CHOOSE(CONTROL!$C$15, $D$11, 100%, $F$11)</f>
        <v>18.804500000000001</v>
      </c>
      <c r="J692" s="4">
        <f>CHOOSE( CONTROL!$C$32, 18.6904, 18.6902) * CHOOSE(CONTROL!$C$15, $D$11, 100%, $F$11)</f>
        <v>18.6904</v>
      </c>
      <c r="K692" s="4"/>
      <c r="L692" s="9">
        <v>30.092199999999998</v>
      </c>
      <c r="M692" s="9">
        <v>11.6745</v>
      </c>
      <c r="N692" s="9">
        <v>4.7850000000000001</v>
      </c>
      <c r="O692" s="9">
        <v>0.36199999999999999</v>
      </c>
      <c r="P692" s="9">
        <v>1.2509999999999999</v>
      </c>
      <c r="Q692" s="9">
        <v>19.053000000000001</v>
      </c>
      <c r="R692" s="9"/>
      <c r="S692" s="11"/>
    </row>
    <row r="693" spans="1:19" ht="15.75">
      <c r="A693" s="13">
        <v>62244</v>
      </c>
      <c r="B693" s="8">
        <f>CHOOSE( CONTROL!$C$32, 19.783, 19.7826) * CHOOSE(CONTROL!$C$15, $D$11, 100%, $F$11)</f>
        <v>19.783000000000001</v>
      </c>
      <c r="C693" s="8">
        <f>CHOOSE( CONTROL!$C$32, 19.791, 19.7906) * CHOOSE(CONTROL!$C$15, $D$11, 100%, $F$11)</f>
        <v>19.791</v>
      </c>
      <c r="D693" s="8">
        <f>CHOOSE( CONTROL!$C$32, 19.7898, 19.7893) * CHOOSE( CONTROL!$C$15, $D$11, 100%, $F$11)</f>
        <v>19.7898</v>
      </c>
      <c r="E693" s="12">
        <f>CHOOSE( CONTROL!$C$32, 19.789, 19.7886) * CHOOSE( CONTROL!$C$15, $D$11, 100%, $F$11)</f>
        <v>19.789000000000001</v>
      </c>
      <c r="F693" s="4">
        <f>CHOOSE( CONTROL!$C$32, 20.4859, 20.4854) * CHOOSE(CONTROL!$C$15, $D$11, 100%, $F$11)</f>
        <v>20.485900000000001</v>
      </c>
      <c r="G693" s="8">
        <f>CHOOSE( CONTROL!$C$32, 19.5613, 19.5608) * CHOOSE( CONTROL!$C$15, $D$11, 100%, $F$11)</f>
        <v>19.561299999999999</v>
      </c>
      <c r="H693" s="4">
        <f>CHOOSE( CONTROL!$C$32, 20.4926, 20.4921) * CHOOSE(CONTROL!$C$15, $D$11, 100%, $F$11)</f>
        <v>20.492599999999999</v>
      </c>
      <c r="I693" s="8">
        <f>CHOOSE( CONTROL!$C$32, 19.3021, 19.3016) * CHOOSE(CONTROL!$C$15, $D$11, 100%, $F$11)</f>
        <v>19.302099999999999</v>
      </c>
      <c r="J693" s="4">
        <f>CHOOSE( CONTROL!$C$32, 19.1886, 19.1882) * CHOOSE(CONTROL!$C$15, $D$11, 100%, $F$11)</f>
        <v>19.188600000000001</v>
      </c>
      <c r="K693" s="4"/>
      <c r="L693" s="9">
        <v>30.7165</v>
      </c>
      <c r="M693" s="9">
        <v>12.063700000000001</v>
      </c>
      <c r="N693" s="9">
        <v>4.9444999999999997</v>
      </c>
      <c r="O693" s="9">
        <v>0.37409999999999999</v>
      </c>
      <c r="P693" s="9">
        <v>1.2927</v>
      </c>
      <c r="Q693" s="9">
        <v>19.688099999999999</v>
      </c>
      <c r="R693" s="9"/>
      <c r="S693" s="11"/>
    </row>
    <row r="694" spans="1:19" ht="15.75">
      <c r="A694" s="13">
        <v>62274</v>
      </c>
      <c r="B694" s="8">
        <f>CHOOSE( CONTROL!$C$32, 19.4652, 19.4647) * CHOOSE(CONTROL!$C$15, $D$11, 100%, $F$11)</f>
        <v>19.465199999999999</v>
      </c>
      <c r="C694" s="8">
        <f>CHOOSE( CONTROL!$C$32, 19.4731, 19.4727) * CHOOSE(CONTROL!$C$15, $D$11, 100%, $F$11)</f>
        <v>19.473099999999999</v>
      </c>
      <c r="D694" s="8">
        <f>CHOOSE( CONTROL!$C$32, 19.4721, 19.4717) * CHOOSE( CONTROL!$C$15, $D$11, 100%, $F$11)</f>
        <v>19.472100000000001</v>
      </c>
      <c r="E694" s="12">
        <f>CHOOSE( CONTROL!$C$32, 19.4713, 19.4708) * CHOOSE( CONTROL!$C$15, $D$11, 100%, $F$11)</f>
        <v>19.471299999999999</v>
      </c>
      <c r="F694" s="4">
        <f>CHOOSE( CONTROL!$C$32, 20.168, 20.1675) * CHOOSE(CONTROL!$C$15, $D$11, 100%, $F$11)</f>
        <v>20.167999999999999</v>
      </c>
      <c r="G694" s="8">
        <f>CHOOSE( CONTROL!$C$32, 19.2473, 19.2468) * CHOOSE( CONTROL!$C$15, $D$11, 100%, $F$11)</f>
        <v>19.247299999999999</v>
      </c>
      <c r="H694" s="4">
        <f>CHOOSE( CONTROL!$C$32, 20.1784, 20.178) * CHOOSE(CONTROL!$C$15, $D$11, 100%, $F$11)</f>
        <v>20.1784</v>
      </c>
      <c r="I694" s="8">
        <f>CHOOSE( CONTROL!$C$32, 18.9941, 18.9937) * CHOOSE(CONTROL!$C$15, $D$11, 100%, $F$11)</f>
        <v>18.9941</v>
      </c>
      <c r="J694" s="4">
        <f>CHOOSE( CONTROL!$C$32, 18.8801, 18.8797) * CHOOSE(CONTROL!$C$15, $D$11, 100%, $F$11)</f>
        <v>18.880099999999999</v>
      </c>
      <c r="K694" s="4"/>
      <c r="L694" s="9">
        <v>29.7257</v>
      </c>
      <c r="M694" s="9">
        <v>11.6745</v>
      </c>
      <c r="N694" s="9">
        <v>4.7850000000000001</v>
      </c>
      <c r="O694" s="9">
        <v>0.36199999999999999</v>
      </c>
      <c r="P694" s="9">
        <v>1.2509999999999999</v>
      </c>
      <c r="Q694" s="9">
        <v>19.053000000000001</v>
      </c>
      <c r="R694" s="9"/>
      <c r="S694" s="11"/>
    </row>
    <row r="695" spans="1:19" ht="15.75">
      <c r="A695" s="13">
        <v>62305</v>
      </c>
      <c r="B695" s="8">
        <f>CHOOSE( CONTROL!$C$32, 20.3023, 20.3018) * CHOOSE(CONTROL!$C$15, $D$11, 100%, $F$11)</f>
        <v>20.302299999999999</v>
      </c>
      <c r="C695" s="8">
        <f>CHOOSE( CONTROL!$C$32, 20.3102, 20.3098) * CHOOSE(CONTROL!$C$15, $D$11, 100%, $F$11)</f>
        <v>20.310199999999998</v>
      </c>
      <c r="D695" s="8">
        <f>CHOOSE( CONTROL!$C$32, 20.3094, 20.309) * CHOOSE( CONTROL!$C$15, $D$11, 100%, $F$11)</f>
        <v>20.3094</v>
      </c>
      <c r="E695" s="12">
        <f>CHOOSE( CONTROL!$C$32, 20.3085, 20.3081) * CHOOSE( CONTROL!$C$15, $D$11, 100%, $F$11)</f>
        <v>20.308499999999999</v>
      </c>
      <c r="F695" s="4">
        <f>CHOOSE( CONTROL!$C$32, 21.0051, 21.0046) * CHOOSE(CONTROL!$C$15, $D$11, 100%, $F$11)</f>
        <v>21.005099999999999</v>
      </c>
      <c r="G695" s="8">
        <f>CHOOSE( CONTROL!$C$32, 20.0747, 20.0743) * CHOOSE( CONTROL!$C$15, $D$11, 100%, $F$11)</f>
        <v>20.0747</v>
      </c>
      <c r="H695" s="4">
        <f>CHOOSE( CONTROL!$C$32, 21.0057, 21.0053) * CHOOSE(CONTROL!$C$15, $D$11, 100%, $F$11)</f>
        <v>21.005700000000001</v>
      </c>
      <c r="I695" s="8">
        <f>CHOOSE( CONTROL!$C$32, 19.8077, 19.8072) * CHOOSE(CONTROL!$C$15, $D$11, 100%, $F$11)</f>
        <v>19.807700000000001</v>
      </c>
      <c r="J695" s="4">
        <f>CHOOSE( CONTROL!$C$32, 19.6925, 19.6921) * CHOOSE(CONTROL!$C$15, $D$11, 100%, $F$11)</f>
        <v>19.692499999999999</v>
      </c>
      <c r="K695" s="4"/>
      <c r="L695" s="9">
        <v>30.7165</v>
      </c>
      <c r="M695" s="9">
        <v>12.063700000000001</v>
      </c>
      <c r="N695" s="9">
        <v>4.9444999999999997</v>
      </c>
      <c r="O695" s="9">
        <v>0.37409999999999999</v>
      </c>
      <c r="P695" s="9">
        <v>1.2927</v>
      </c>
      <c r="Q695" s="9">
        <v>19.688099999999999</v>
      </c>
      <c r="R695" s="9"/>
      <c r="S695" s="11"/>
    </row>
    <row r="696" spans="1:19" ht="15.75">
      <c r="A696" s="13">
        <v>62336</v>
      </c>
      <c r="B696" s="8">
        <f>CHOOSE( CONTROL!$C$32, 18.736, 18.7355) * CHOOSE(CONTROL!$C$15, $D$11, 100%, $F$11)</f>
        <v>18.736000000000001</v>
      </c>
      <c r="C696" s="8">
        <f>CHOOSE( CONTROL!$C$32, 18.7439, 18.7435) * CHOOSE(CONTROL!$C$15, $D$11, 100%, $F$11)</f>
        <v>18.7439</v>
      </c>
      <c r="D696" s="8">
        <f>CHOOSE( CONTROL!$C$32, 18.7432, 18.7427) * CHOOSE( CONTROL!$C$15, $D$11, 100%, $F$11)</f>
        <v>18.743200000000002</v>
      </c>
      <c r="E696" s="12">
        <f>CHOOSE( CONTROL!$C$32, 18.7422, 18.7418) * CHOOSE( CONTROL!$C$15, $D$11, 100%, $F$11)</f>
        <v>18.7422</v>
      </c>
      <c r="F696" s="4">
        <f>CHOOSE( CONTROL!$C$32, 19.4388, 19.4383) * CHOOSE(CONTROL!$C$15, $D$11, 100%, $F$11)</f>
        <v>19.438800000000001</v>
      </c>
      <c r="G696" s="8">
        <f>CHOOSE( CONTROL!$C$32, 18.5268, 18.5264) * CHOOSE( CONTROL!$C$15, $D$11, 100%, $F$11)</f>
        <v>18.526800000000001</v>
      </c>
      <c r="H696" s="4">
        <f>CHOOSE( CONTROL!$C$32, 19.4578, 19.4573) * CHOOSE(CONTROL!$C$15, $D$11, 100%, $F$11)</f>
        <v>19.457799999999999</v>
      </c>
      <c r="I696" s="8">
        <f>CHOOSE( CONTROL!$C$32, 18.287, 18.2866) * CHOOSE(CONTROL!$C$15, $D$11, 100%, $F$11)</f>
        <v>18.286999999999999</v>
      </c>
      <c r="J696" s="4">
        <f>CHOOSE( CONTROL!$C$32, 18.1724, 18.172) * CHOOSE(CONTROL!$C$15, $D$11, 100%, $F$11)</f>
        <v>18.1724</v>
      </c>
      <c r="K696" s="4"/>
      <c r="L696" s="9">
        <v>30.7165</v>
      </c>
      <c r="M696" s="9">
        <v>12.063700000000001</v>
      </c>
      <c r="N696" s="9">
        <v>4.9444999999999997</v>
      </c>
      <c r="O696" s="9">
        <v>0.37409999999999999</v>
      </c>
      <c r="P696" s="9">
        <v>1.2927</v>
      </c>
      <c r="Q696" s="9">
        <v>19.688099999999999</v>
      </c>
      <c r="R696" s="9"/>
      <c r="S696" s="11"/>
    </row>
    <row r="697" spans="1:19" ht="15.75">
      <c r="A697" s="13">
        <v>62366</v>
      </c>
      <c r="B697" s="8">
        <f>CHOOSE( CONTROL!$C$32, 18.3437, 18.3433) * CHOOSE(CONTROL!$C$15, $D$11, 100%, $F$11)</f>
        <v>18.343699999999998</v>
      </c>
      <c r="C697" s="8">
        <f>CHOOSE( CONTROL!$C$32, 18.3517, 18.3513) * CHOOSE(CONTROL!$C$15, $D$11, 100%, $F$11)</f>
        <v>18.351700000000001</v>
      </c>
      <c r="D697" s="8">
        <f>CHOOSE( CONTROL!$C$32, 18.3508, 18.3504) * CHOOSE( CONTROL!$C$15, $D$11, 100%, $F$11)</f>
        <v>18.3508</v>
      </c>
      <c r="E697" s="12">
        <f>CHOOSE( CONTROL!$C$32, 18.3499, 18.3495) * CHOOSE( CONTROL!$C$15, $D$11, 100%, $F$11)</f>
        <v>18.349900000000002</v>
      </c>
      <c r="F697" s="4">
        <f>CHOOSE( CONTROL!$C$32, 19.0466, 19.0461) * CHOOSE(CONTROL!$C$15, $D$11, 100%, $F$11)</f>
        <v>19.046600000000002</v>
      </c>
      <c r="G697" s="8">
        <f>CHOOSE( CONTROL!$C$32, 18.1391, 18.1386) * CHOOSE( CONTROL!$C$15, $D$11, 100%, $F$11)</f>
        <v>18.139099999999999</v>
      </c>
      <c r="H697" s="4">
        <f>CHOOSE( CONTROL!$C$32, 19.0702, 19.0697) * CHOOSE(CONTROL!$C$15, $D$11, 100%, $F$11)</f>
        <v>19.0702</v>
      </c>
      <c r="I697" s="8">
        <f>CHOOSE( CONTROL!$C$32, 17.9057, 17.9052) * CHOOSE(CONTROL!$C$15, $D$11, 100%, $F$11)</f>
        <v>17.9057</v>
      </c>
      <c r="J697" s="4">
        <f>CHOOSE( CONTROL!$C$32, 17.7918, 17.7913) * CHOOSE(CONTROL!$C$15, $D$11, 100%, $F$11)</f>
        <v>17.791799999999999</v>
      </c>
      <c r="K697" s="4"/>
      <c r="L697" s="9">
        <v>29.7257</v>
      </c>
      <c r="M697" s="9">
        <v>11.6745</v>
      </c>
      <c r="N697" s="9">
        <v>4.7850000000000001</v>
      </c>
      <c r="O697" s="9">
        <v>0.36199999999999999</v>
      </c>
      <c r="P697" s="9">
        <v>1.2509999999999999</v>
      </c>
      <c r="Q697" s="9">
        <v>19.053000000000001</v>
      </c>
      <c r="R697" s="9"/>
      <c r="S697" s="11"/>
    </row>
    <row r="698" spans="1:19" ht="15.75">
      <c r="A698" s="13">
        <v>62397</v>
      </c>
      <c r="B698" s="8">
        <f>CHOOSE( CONTROL!$C$32, 19.1562, 19.1559) * CHOOSE(CONTROL!$C$15, $D$11, 100%, $F$11)</f>
        <v>19.156199999999998</v>
      </c>
      <c r="C698" s="8">
        <f>CHOOSE( CONTROL!$C$32, 19.1615, 19.1613) * CHOOSE(CONTROL!$C$15, $D$11, 100%, $F$11)</f>
        <v>19.1615</v>
      </c>
      <c r="D698" s="8">
        <f>CHOOSE( CONTROL!$C$32, 19.1663, 19.166) * CHOOSE( CONTROL!$C$15, $D$11, 100%, $F$11)</f>
        <v>19.1663</v>
      </c>
      <c r="E698" s="12">
        <f>CHOOSE( CONTROL!$C$32, 19.1642, 19.1639) * CHOOSE( CONTROL!$C$15, $D$11, 100%, $F$11)</f>
        <v>19.164200000000001</v>
      </c>
      <c r="F698" s="4">
        <f>CHOOSE( CONTROL!$C$32, 19.8608, 19.8605) * CHOOSE(CONTROL!$C$15, $D$11, 100%, $F$11)</f>
        <v>19.860800000000001</v>
      </c>
      <c r="G698" s="8">
        <f>CHOOSE( CONTROL!$C$32, 18.9439, 18.9437) * CHOOSE( CONTROL!$C$15, $D$11, 100%, $F$11)</f>
        <v>18.943899999999999</v>
      </c>
      <c r="H698" s="4">
        <f>CHOOSE( CONTROL!$C$32, 19.8748, 19.8746) * CHOOSE(CONTROL!$C$15, $D$11, 100%, $F$11)</f>
        <v>19.8748</v>
      </c>
      <c r="I698" s="8">
        <f>CHOOSE( CONTROL!$C$32, 18.6971, 18.6968) * CHOOSE(CONTROL!$C$15, $D$11, 100%, $F$11)</f>
        <v>18.697099999999999</v>
      </c>
      <c r="J698" s="4">
        <f>CHOOSE( CONTROL!$C$32, 18.582, 18.5817) * CHOOSE(CONTROL!$C$15, $D$11, 100%, $F$11)</f>
        <v>18.582000000000001</v>
      </c>
      <c r="K698" s="4"/>
      <c r="L698" s="9">
        <v>31.095300000000002</v>
      </c>
      <c r="M698" s="9">
        <v>12.063700000000001</v>
      </c>
      <c r="N698" s="9">
        <v>4.9444999999999997</v>
      </c>
      <c r="O698" s="9">
        <v>0.37409999999999999</v>
      </c>
      <c r="P698" s="9">
        <v>1.2927</v>
      </c>
      <c r="Q698" s="9">
        <v>19.688099999999999</v>
      </c>
      <c r="R698" s="9"/>
      <c r="S698" s="11"/>
    </row>
    <row r="699" spans="1:19" ht="15.75">
      <c r="A699" s="13">
        <v>62427</v>
      </c>
      <c r="B699" s="8">
        <f>CHOOSE( CONTROL!$C$32, 20.659, 20.6587) * CHOOSE(CONTROL!$C$15, $D$11, 100%, $F$11)</f>
        <v>20.658999999999999</v>
      </c>
      <c r="C699" s="8">
        <f>CHOOSE( CONTROL!$C$32, 20.6641, 20.6638) * CHOOSE(CONTROL!$C$15, $D$11, 100%, $F$11)</f>
        <v>20.664100000000001</v>
      </c>
      <c r="D699" s="8">
        <f>CHOOSE( CONTROL!$C$32, 20.6468, 20.6465) * CHOOSE( CONTROL!$C$15, $D$11, 100%, $F$11)</f>
        <v>20.646799999999999</v>
      </c>
      <c r="E699" s="12">
        <f>CHOOSE( CONTROL!$C$32, 20.6526, 20.6523) * CHOOSE( CONTROL!$C$15, $D$11, 100%, $F$11)</f>
        <v>20.6526</v>
      </c>
      <c r="F699" s="4">
        <f>CHOOSE( CONTROL!$C$32, 21.3243, 21.324) * CHOOSE(CONTROL!$C$15, $D$11, 100%, $F$11)</f>
        <v>21.324300000000001</v>
      </c>
      <c r="G699" s="8">
        <f>CHOOSE( CONTROL!$C$32, 20.4264, 20.4262) * CHOOSE( CONTROL!$C$15, $D$11, 100%, $F$11)</f>
        <v>20.426400000000001</v>
      </c>
      <c r="H699" s="4">
        <f>CHOOSE( CONTROL!$C$32, 21.3212, 21.3209) * CHOOSE(CONTROL!$C$15, $D$11, 100%, $F$11)</f>
        <v>21.321200000000001</v>
      </c>
      <c r="I699" s="8">
        <f>CHOOSE( CONTROL!$C$32, 20.2123, 20.212) * CHOOSE(CONTROL!$C$15, $D$11, 100%, $F$11)</f>
        <v>20.212299999999999</v>
      </c>
      <c r="J699" s="4">
        <f>CHOOSE( CONTROL!$C$32, 20.0408, 20.0405) * CHOOSE(CONTROL!$C$15, $D$11, 100%, $F$11)</f>
        <v>20.040800000000001</v>
      </c>
      <c r="K699" s="4"/>
      <c r="L699" s="9">
        <v>28.360600000000002</v>
      </c>
      <c r="M699" s="9">
        <v>11.6745</v>
      </c>
      <c r="N699" s="9">
        <v>4.7850000000000001</v>
      </c>
      <c r="O699" s="9">
        <v>0.36199999999999999</v>
      </c>
      <c r="P699" s="9">
        <v>1.2509999999999999</v>
      </c>
      <c r="Q699" s="9">
        <v>19.053000000000001</v>
      </c>
      <c r="R699" s="9"/>
      <c r="S699" s="11"/>
    </row>
    <row r="700" spans="1:19" ht="15.75">
      <c r="A700" s="13">
        <v>62458</v>
      </c>
      <c r="B700" s="8">
        <f>CHOOSE( CONTROL!$C$32, 20.6214, 20.6212) * CHOOSE(CONTROL!$C$15, $D$11, 100%, $F$11)</f>
        <v>20.621400000000001</v>
      </c>
      <c r="C700" s="8">
        <f>CHOOSE( CONTROL!$C$32, 20.6265, 20.6262) * CHOOSE(CONTROL!$C$15, $D$11, 100%, $F$11)</f>
        <v>20.6265</v>
      </c>
      <c r="D700" s="8">
        <f>CHOOSE( CONTROL!$C$32, 20.611, 20.6107) * CHOOSE( CONTROL!$C$15, $D$11, 100%, $F$11)</f>
        <v>20.611000000000001</v>
      </c>
      <c r="E700" s="12">
        <f>CHOOSE( CONTROL!$C$32, 20.6161, 20.6158) * CHOOSE( CONTROL!$C$15, $D$11, 100%, $F$11)</f>
        <v>20.616099999999999</v>
      </c>
      <c r="F700" s="4">
        <f>CHOOSE( CONTROL!$C$32, 21.2867, 21.2864) * CHOOSE(CONTROL!$C$15, $D$11, 100%, $F$11)</f>
        <v>21.2867</v>
      </c>
      <c r="G700" s="8">
        <f>CHOOSE( CONTROL!$C$32, 20.3906, 20.3903) * CHOOSE( CONTROL!$C$15, $D$11, 100%, $F$11)</f>
        <v>20.390599999999999</v>
      </c>
      <c r="H700" s="4">
        <f>CHOOSE( CONTROL!$C$32, 21.2841, 21.2838) * CHOOSE(CONTROL!$C$15, $D$11, 100%, $F$11)</f>
        <v>21.284099999999999</v>
      </c>
      <c r="I700" s="8">
        <f>CHOOSE( CONTROL!$C$32, 20.1814, 20.1811) * CHOOSE(CONTROL!$C$15, $D$11, 100%, $F$11)</f>
        <v>20.1814</v>
      </c>
      <c r="J700" s="4">
        <f>CHOOSE( CONTROL!$C$32, 20.0043, 20.0041) * CHOOSE(CONTROL!$C$15, $D$11, 100%, $F$11)</f>
        <v>20.004300000000001</v>
      </c>
      <c r="K700" s="4"/>
      <c r="L700" s="9">
        <v>29.306000000000001</v>
      </c>
      <c r="M700" s="9">
        <v>12.063700000000001</v>
      </c>
      <c r="N700" s="9">
        <v>4.9444999999999997</v>
      </c>
      <c r="O700" s="9">
        <v>0.37409999999999999</v>
      </c>
      <c r="P700" s="9">
        <v>1.2927</v>
      </c>
      <c r="Q700" s="9">
        <v>19.688099999999999</v>
      </c>
      <c r="R700" s="9"/>
      <c r="S700" s="11"/>
    </row>
    <row r="701" spans="1:19" ht="15.75">
      <c r="A701" s="13">
        <v>62489</v>
      </c>
      <c r="B701" s="8">
        <f>CHOOSE( CONTROL!$C$32, 21.2294, 21.2292) * CHOOSE(CONTROL!$C$15, $D$11, 100%, $F$11)</f>
        <v>21.229399999999998</v>
      </c>
      <c r="C701" s="8">
        <f>CHOOSE( CONTROL!$C$32, 21.2345, 21.2342) * CHOOSE(CONTROL!$C$15, $D$11, 100%, $F$11)</f>
        <v>21.234500000000001</v>
      </c>
      <c r="D701" s="8">
        <f>CHOOSE( CONTROL!$C$32, 21.2249, 21.2247) * CHOOSE( CONTROL!$C$15, $D$11, 100%, $F$11)</f>
        <v>21.224900000000002</v>
      </c>
      <c r="E701" s="12">
        <f>CHOOSE( CONTROL!$C$32, 21.2279, 21.2276) * CHOOSE( CONTROL!$C$15, $D$11, 100%, $F$11)</f>
        <v>21.227900000000002</v>
      </c>
      <c r="F701" s="4">
        <f>CHOOSE( CONTROL!$C$32, 21.8947, 21.8944) * CHOOSE(CONTROL!$C$15, $D$11, 100%, $F$11)</f>
        <v>21.8947</v>
      </c>
      <c r="G701" s="8">
        <f>CHOOSE( CONTROL!$C$32, 20.9922, 20.9919) * CHOOSE( CONTROL!$C$15, $D$11, 100%, $F$11)</f>
        <v>20.9922</v>
      </c>
      <c r="H701" s="4">
        <f>CHOOSE( CONTROL!$C$32, 21.8849, 21.8847) * CHOOSE(CONTROL!$C$15, $D$11, 100%, $F$11)</f>
        <v>21.884899999999998</v>
      </c>
      <c r="I701" s="8">
        <f>CHOOSE( CONTROL!$C$32, 20.7522, 20.7519) * CHOOSE(CONTROL!$C$15, $D$11, 100%, $F$11)</f>
        <v>20.752199999999998</v>
      </c>
      <c r="J701" s="4">
        <f>CHOOSE( CONTROL!$C$32, 20.5944, 20.5941) * CHOOSE(CONTROL!$C$15, $D$11, 100%, $F$11)</f>
        <v>20.5944</v>
      </c>
      <c r="K701" s="4"/>
      <c r="L701" s="9">
        <v>29.306000000000001</v>
      </c>
      <c r="M701" s="9">
        <v>12.063700000000001</v>
      </c>
      <c r="N701" s="9">
        <v>4.9444999999999997</v>
      </c>
      <c r="O701" s="9">
        <v>0.37409999999999999</v>
      </c>
      <c r="P701" s="9">
        <v>1.2927</v>
      </c>
      <c r="Q701" s="9">
        <v>19.688099999999999</v>
      </c>
      <c r="R701" s="9"/>
      <c r="S701" s="11"/>
    </row>
    <row r="702" spans="1:19" ht="15.75">
      <c r="A702" s="13">
        <v>62517</v>
      </c>
      <c r="B702" s="8">
        <f>CHOOSE( CONTROL!$C$32, 19.8576, 19.8573) * CHOOSE(CONTROL!$C$15, $D$11, 100%, $F$11)</f>
        <v>19.857600000000001</v>
      </c>
      <c r="C702" s="8">
        <f>CHOOSE( CONTROL!$C$32, 19.8627, 19.8624) * CHOOSE(CONTROL!$C$15, $D$11, 100%, $F$11)</f>
        <v>19.8627</v>
      </c>
      <c r="D702" s="8">
        <f>CHOOSE( CONTROL!$C$32, 19.8548, 19.8545) * CHOOSE( CONTROL!$C$15, $D$11, 100%, $F$11)</f>
        <v>19.854800000000001</v>
      </c>
      <c r="E702" s="12">
        <f>CHOOSE( CONTROL!$C$32, 19.8571, 19.8568) * CHOOSE( CONTROL!$C$15, $D$11, 100%, $F$11)</f>
        <v>19.857099999999999</v>
      </c>
      <c r="F702" s="4">
        <f>CHOOSE( CONTROL!$C$32, 20.5229, 20.5226) * CHOOSE(CONTROL!$C$15, $D$11, 100%, $F$11)</f>
        <v>20.5229</v>
      </c>
      <c r="G702" s="8">
        <f>CHOOSE( CONTROL!$C$32, 19.6349, 19.6347) * CHOOSE( CONTROL!$C$15, $D$11, 100%, $F$11)</f>
        <v>19.634899999999998</v>
      </c>
      <c r="H702" s="4">
        <f>CHOOSE( CONTROL!$C$32, 20.5292, 20.5289) * CHOOSE(CONTROL!$C$15, $D$11, 100%, $F$11)</f>
        <v>20.529199999999999</v>
      </c>
      <c r="I702" s="8">
        <f>CHOOSE( CONTROL!$C$32, 19.4048, 19.4045) * CHOOSE(CONTROL!$C$15, $D$11, 100%, $F$11)</f>
        <v>19.404800000000002</v>
      </c>
      <c r="J702" s="4">
        <f>CHOOSE( CONTROL!$C$32, 19.263, 19.2628) * CHOOSE(CONTROL!$C$15, $D$11, 100%, $F$11)</f>
        <v>19.263000000000002</v>
      </c>
      <c r="K702" s="4"/>
      <c r="L702" s="9">
        <v>26.469899999999999</v>
      </c>
      <c r="M702" s="9">
        <v>10.8962</v>
      </c>
      <c r="N702" s="9">
        <v>4.4660000000000002</v>
      </c>
      <c r="O702" s="9">
        <v>0.33789999999999998</v>
      </c>
      <c r="P702" s="9">
        <v>1.1676</v>
      </c>
      <c r="Q702" s="9">
        <v>17.782800000000002</v>
      </c>
      <c r="R702" s="9"/>
      <c r="S702" s="11"/>
    </row>
    <row r="703" spans="1:19" ht="15.75">
      <c r="A703" s="13">
        <v>62548</v>
      </c>
      <c r="B703" s="8">
        <f>CHOOSE( CONTROL!$C$32, 19.4351, 19.4348) * CHOOSE(CONTROL!$C$15, $D$11, 100%, $F$11)</f>
        <v>19.435099999999998</v>
      </c>
      <c r="C703" s="8">
        <f>CHOOSE( CONTROL!$C$32, 19.4401, 19.4399) * CHOOSE(CONTROL!$C$15, $D$11, 100%, $F$11)</f>
        <v>19.440100000000001</v>
      </c>
      <c r="D703" s="8">
        <f>CHOOSE( CONTROL!$C$32, 19.4274, 19.4272) * CHOOSE( CONTROL!$C$15, $D$11, 100%, $F$11)</f>
        <v>19.427399999999999</v>
      </c>
      <c r="E703" s="12">
        <f>CHOOSE( CONTROL!$C$32, 19.4315, 19.4313) * CHOOSE( CONTROL!$C$15, $D$11, 100%, $F$11)</f>
        <v>19.4315</v>
      </c>
      <c r="F703" s="4">
        <f>CHOOSE( CONTROL!$C$32, 20.1003, 20.1001) * CHOOSE(CONTROL!$C$15, $D$11, 100%, $F$11)</f>
        <v>20.100300000000001</v>
      </c>
      <c r="G703" s="8">
        <f>CHOOSE( CONTROL!$C$32, 19.2139, 19.2136) * CHOOSE( CONTROL!$C$15, $D$11, 100%, $F$11)</f>
        <v>19.213899999999999</v>
      </c>
      <c r="H703" s="4">
        <f>CHOOSE( CONTROL!$C$32, 20.1116, 20.1113) * CHOOSE(CONTROL!$C$15, $D$11, 100%, $F$11)</f>
        <v>20.111599999999999</v>
      </c>
      <c r="I703" s="8">
        <f>CHOOSE( CONTROL!$C$32, 18.9929, 18.9926) * CHOOSE(CONTROL!$C$15, $D$11, 100%, $F$11)</f>
        <v>18.992899999999999</v>
      </c>
      <c r="J703" s="4">
        <f>CHOOSE( CONTROL!$C$32, 18.853, 18.8527) * CHOOSE(CONTROL!$C$15, $D$11, 100%, $F$11)</f>
        <v>18.853000000000002</v>
      </c>
      <c r="K703" s="4"/>
      <c r="L703" s="9">
        <v>29.306000000000001</v>
      </c>
      <c r="M703" s="9">
        <v>12.063700000000001</v>
      </c>
      <c r="N703" s="9">
        <v>4.9444999999999997</v>
      </c>
      <c r="O703" s="9">
        <v>0.37409999999999999</v>
      </c>
      <c r="P703" s="9">
        <v>1.2927</v>
      </c>
      <c r="Q703" s="9">
        <v>19.688099999999999</v>
      </c>
      <c r="R703" s="9"/>
      <c r="S703" s="11"/>
    </row>
    <row r="704" spans="1:19" ht="15.75">
      <c r="A704" s="13">
        <v>62578</v>
      </c>
      <c r="B704" s="8">
        <f>CHOOSE( CONTROL!$C$32, 19.7311, 19.7308) * CHOOSE(CONTROL!$C$15, $D$11, 100%, $F$11)</f>
        <v>19.731100000000001</v>
      </c>
      <c r="C704" s="8">
        <f>CHOOSE( CONTROL!$C$32, 19.7356, 19.7353) * CHOOSE(CONTROL!$C$15, $D$11, 100%, $F$11)</f>
        <v>19.735600000000002</v>
      </c>
      <c r="D704" s="8">
        <f>CHOOSE( CONTROL!$C$32, 19.7404, 19.7402) * CHOOSE( CONTROL!$C$15, $D$11, 100%, $F$11)</f>
        <v>19.740400000000001</v>
      </c>
      <c r="E704" s="12">
        <f>CHOOSE( CONTROL!$C$32, 19.7383, 19.7381) * CHOOSE( CONTROL!$C$15, $D$11, 100%, $F$11)</f>
        <v>19.738299999999999</v>
      </c>
      <c r="F704" s="4">
        <f>CHOOSE( CONTROL!$C$32, 20.4353, 20.435) * CHOOSE(CONTROL!$C$15, $D$11, 100%, $F$11)</f>
        <v>20.435300000000002</v>
      </c>
      <c r="G704" s="8">
        <f>CHOOSE( CONTROL!$C$32, 19.5115, 19.5112) * CHOOSE( CONTROL!$C$15, $D$11, 100%, $F$11)</f>
        <v>19.511500000000002</v>
      </c>
      <c r="H704" s="4">
        <f>CHOOSE( CONTROL!$C$32, 20.4426, 20.4423) * CHOOSE(CONTROL!$C$15, $D$11, 100%, $F$11)</f>
        <v>20.442599999999999</v>
      </c>
      <c r="I704" s="8">
        <f>CHOOSE( CONTROL!$C$32, 19.2538, 19.2535) * CHOOSE(CONTROL!$C$15, $D$11, 100%, $F$11)</f>
        <v>19.253799999999998</v>
      </c>
      <c r="J704" s="4">
        <f>CHOOSE( CONTROL!$C$32, 19.1395, 19.1392) * CHOOSE(CONTROL!$C$15, $D$11, 100%, $F$11)</f>
        <v>19.139500000000002</v>
      </c>
      <c r="K704" s="4"/>
      <c r="L704" s="9">
        <v>30.092199999999998</v>
      </c>
      <c r="M704" s="9">
        <v>11.6745</v>
      </c>
      <c r="N704" s="9">
        <v>4.7850000000000001</v>
      </c>
      <c r="O704" s="9">
        <v>0.36199999999999999</v>
      </c>
      <c r="P704" s="9">
        <v>1.2509999999999999</v>
      </c>
      <c r="Q704" s="9">
        <v>19.053000000000001</v>
      </c>
      <c r="R704" s="9"/>
      <c r="S704" s="11"/>
    </row>
    <row r="705" spans="1:19" ht="15.75">
      <c r="A705" s="13">
        <v>62609</v>
      </c>
      <c r="B705" s="8">
        <f>CHOOSE( CONTROL!$C$32, 20.2581, 20.2576) * CHOOSE(CONTROL!$C$15, $D$11, 100%, $F$11)</f>
        <v>20.258099999999999</v>
      </c>
      <c r="C705" s="8">
        <f>CHOOSE( CONTROL!$C$32, 20.2661, 20.2656) * CHOOSE(CONTROL!$C$15, $D$11, 100%, $F$11)</f>
        <v>20.266100000000002</v>
      </c>
      <c r="D705" s="8">
        <f>CHOOSE( CONTROL!$C$32, 20.2649, 20.2644) * CHOOSE( CONTROL!$C$15, $D$11, 100%, $F$11)</f>
        <v>20.264900000000001</v>
      </c>
      <c r="E705" s="12">
        <f>CHOOSE( CONTROL!$C$32, 20.2641, 20.2636) * CHOOSE( CONTROL!$C$15, $D$11, 100%, $F$11)</f>
        <v>20.264099999999999</v>
      </c>
      <c r="F705" s="4">
        <f>CHOOSE( CONTROL!$C$32, 20.9609, 20.9605) * CHOOSE(CONTROL!$C$15, $D$11, 100%, $F$11)</f>
        <v>20.960899999999999</v>
      </c>
      <c r="G705" s="8">
        <f>CHOOSE( CONTROL!$C$32, 20.0308, 20.0303) * CHOOSE( CONTROL!$C$15, $D$11, 100%, $F$11)</f>
        <v>20.030799999999999</v>
      </c>
      <c r="H705" s="4">
        <f>CHOOSE( CONTROL!$C$32, 20.9621, 20.9616) * CHOOSE(CONTROL!$C$15, $D$11, 100%, $F$11)</f>
        <v>20.9621</v>
      </c>
      <c r="I705" s="8">
        <f>CHOOSE( CONTROL!$C$32, 19.7634, 19.7629) * CHOOSE(CONTROL!$C$15, $D$11, 100%, $F$11)</f>
        <v>19.763400000000001</v>
      </c>
      <c r="J705" s="4">
        <f>CHOOSE( CONTROL!$C$32, 19.6497, 19.6492) * CHOOSE(CONTROL!$C$15, $D$11, 100%, $F$11)</f>
        <v>19.649699999999999</v>
      </c>
      <c r="K705" s="4"/>
      <c r="L705" s="9">
        <v>30.7165</v>
      </c>
      <c r="M705" s="9">
        <v>12.063700000000001</v>
      </c>
      <c r="N705" s="9">
        <v>4.9444999999999997</v>
      </c>
      <c r="O705" s="9">
        <v>0.37409999999999999</v>
      </c>
      <c r="P705" s="9">
        <v>1.2927</v>
      </c>
      <c r="Q705" s="9">
        <v>19.688099999999999</v>
      </c>
      <c r="R705" s="9"/>
      <c r="S705" s="11"/>
    </row>
    <row r="706" spans="1:19" ht="15.75">
      <c r="A706" s="13">
        <v>62639</v>
      </c>
      <c r="B706" s="8">
        <f>CHOOSE( CONTROL!$C$32, 19.9326, 19.9321) * CHOOSE(CONTROL!$C$15, $D$11, 100%, $F$11)</f>
        <v>19.932600000000001</v>
      </c>
      <c r="C706" s="8">
        <f>CHOOSE( CONTROL!$C$32, 19.9406, 19.9401) * CHOOSE(CONTROL!$C$15, $D$11, 100%, $F$11)</f>
        <v>19.9406</v>
      </c>
      <c r="D706" s="8">
        <f>CHOOSE( CONTROL!$C$32, 19.9395, 19.9391) * CHOOSE( CONTROL!$C$15, $D$11, 100%, $F$11)</f>
        <v>19.939499999999999</v>
      </c>
      <c r="E706" s="12">
        <f>CHOOSE( CONTROL!$C$32, 19.9387, 19.9382) * CHOOSE( CONTROL!$C$15, $D$11, 100%, $F$11)</f>
        <v>19.938700000000001</v>
      </c>
      <c r="F706" s="4">
        <f>CHOOSE( CONTROL!$C$32, 20.6354, 20.6349) * CHOOSE(CONTROL!$C$15, $D$11, 100%, $F$11)</f>
        <v>20.635400000000001</v>
      </c>
      <c r="G706" s="8">
        <f>CHOOSE( CONTROL!$C$32, 19.7092, 19.7088) * CHOOSE( CONTROL!$C$15, $D$11, 100%, $F$11)</f>
        <v>19.709199999999999</v>
      </c>
      <c r="H706" s="4">
        <f>CHOOSE( CONTROL!$C$32, 20.6404, 20.6399) * CHOOSE(CONTROL!$C$15, $D$11, 100%, $F$11)</f>
        <v>20.6404</v>
      </c>
      <c r="I706" s="8">
        <f>CHOOSE( CONTROL!$C$32, 19.448, 19.4475) * CHOOSE(CONTROL!$C$15, $D$11, 100%, $F$11)</f>
        <v>19.448</v>
      </c>
      <c r="J706" s="4">
        <f>CHOOSE( CONTROL!$C$32, 19.3338, 19.3333) * CHOOSE(CONTROL!$C$15, $D$11, 100%, $F$11)</f>
        <v>19.3338</v>
      </c>
      <c r="K706" s="4"/>
      <c r="L706" s="9">
        <v>29.7257</v>
      </c>
      <c r="M706" s="9">
        <v>11.6745</v>
      </c>
      <c r="N706" s="9">
        <v>4.7850000000000001</v>
      </c>
      <c r="O706" s="9">
        <v>0.36199999999999999</v>
      </c>
      <c r="P706" s="9">
        <v>1.2509999999999999</v>
      </c>
      <c r="Q706" s="9">
        <v>19.053000000000001</v>
      </c>
      <c r="R706" s="9"/>
      <c r="S706" s="11"/>
    </row>
    <row r="707" spans="1:19" ht="15.75">
      <c r="A707" s="13">
        <v>62670</v>
      </c>
      <c r="B707" s="8">
        <f>CHOOSE( CONTROL!$C$32, 20.7898, 20.7893) * CHOOSE(CONTROL!$C$15, $D$11, 100%, $F$11)</f>
        <v>20.7898</v>
      </c>
      <c r="C707" s="8">
        <f>CHOOSE( CONTROL!$C$32, 20.7978, 20.7973) * CHOOSE(CONTROL!$C$15, $D$11, 100%, $F$11)</f>
        <v>20.797799999999999</v>
      </c>
      <c r="D707" s="8">
        <f>CHOOSE( CONTROL!$C$32, 20.797, 20.7965) * CHOOSE( CONTROL!$C$15, $D$11, 100%, $F$11)</f>
        <v>20.797000000000001</v>
      </c>
      <c r="E707" s="12">
        <f>CHOOSE( CONTROL!$C$32, 20.7961, 20.7956) * CHOOSE( CONTROL!$C$15, $D$11, 100%, $F$11)</f>
        <v>20.796099999999999</v>
      </c>
      <c r="F707" s="4">
        <f>CHOOSE( CONTROL!$C$32, 21.4926, 21.4922) * CHOOSE(CONTROL!$C$15, $D$11, 100%, $F$11)</f>
        <v>21.492599999999999</v>
      </c>
      <c r="G707" s="8">
        <f>CHOOSE( CONTROL!$C$32, 20.5566, 20.5561) * CHOOSE( CONTROL!$C$15, $D$11, 100%, $F$11)</f>
        <v>20.5566</v>
      </c>
      <c r="H707" s="4">
        <f>CHOOSE( CONTROL!$C$32, 21.4876, 21.4871) * CHOOSE(CONTROL!$C$15, $D$11, 100%, $F$11)</f>
        <v>21.4876</v>
      </c>
      <c r="I707" s="8">
        <f>CHOOSE( CONTROL!$C$32, 20.2811, 20.2806) * CHOOSE(CONTROL!$C$15, $D$11, 100%, $F$11)</f>
        <v>20.281099999999999</v>
      </c>
      <c r="J707" s="4">
        <f>CHOOSE( CONTROL!$C$32, 20.1657, 20.1652) * CHOOSE(CONTROL!$C$15, $D$11, 100%, $F$11)</f>
        <v>20.165700000000001</v>
      </c>
      <c r="K707" s="4"/>
      <c r="L707" s="9">
        <v>30.7165</v>
      </c>
      <c r="M707" s="9">
        <v>12.063700000000001</v>
      </c>
      <c r="N707" s="9">
        <v>4.9444999999999997</v>
      </c>
      <c r="O707" s="9">
        <v>0.37409999999999999</v>
      </c>
      <c r="P707" s="9">
        <v>1.2927</v>
      </c>
      <c r="Q707" s="9">
        <v>19.688099999999999</v>
      </c>
      <c r="R707" s="9"/>
      <c r="S707" s="11"/>
    </row>
    <row r="708" spans="1:19" ht="15.75">
      <c r="A708" s="13">
        <v>62701</v>
      </c>
      <c r="B708" s="8">
        <f>CHOOSE( CONTROL!$C$32, 19.1859, 19.1854) * CHOOSE(CONTROL!$C$15, $D$11, 100%, $F$11)</f>
        <v>19.1859</v>
      </c>
      <c r="C708" s="8">
        <f>CHOOSE( CONTROL!$C$32, 19.1938, 19.1934) * CHOOSE(CONTROL!$C$15, $D$11, 100%, $F$11)</f>
        <v>19.1938</v>
      </c>
      <c r="D708" s="8">
        <f>CHOOSE( CONTROL!$C$32, 19.1931, 19.1926) * CHOOSE( CONTROL!$C$15, $D$11, 100%, $F$11)</f>
        <v>19.193100000000001</v>
      </c>
      <c r="E708" s="12">
        <f>CHOOSE( CONTROL!$C$32, 19.1921, 19.1917) * CHOOSE( CONTROL!$C$15, $D$11, 100%, $F$11)</f>
        <v>19.1921</v>
      </c>
      <c r="F708" s="4">
        <f>CHOOSE( CONTROL!$C$32, 19.8887, 19.8882) * CHOOSE(CONTROL!$C$15, $D$11, 100%, $F$11)</f>
        <v>19.8887</v>
      </c>
      <c r="G708" s="8">
        <f>CHOOSE( CONTROL!$C$32, 18.9715, 18.971) * CHOOSE( CONTROL!$C$15, $D$11, 100%, $F$11)</f>
        <v>18.971499999999999</v>
      </c>
      <c r="H708" s="4">
        <f>CHOOSE( CONTROL!$C$32, 19.9024, 19.902) * CHOOSE(CONTROL!$C$15, $D$11, 100%, $F$11)</f>
        <v>19.9024</v>
      </c>
      <c r="I708" s="8">
        <f>CHOOSE( CONTROL!$C$32, 18.7239, 18.7234) * CHOOSE(CONTROL!$C$15, $D$11, 100%, $F$11)</f>
        <v>18.7239</v>
      </c>
      <c r="J708" s="4">
        <f>CHOOSE( CONTROL!$C$32, 18.6091, 18.6086) * CHOOSE(CONTROL!$C$15, $D$11, 100%, $F$11)</f>
        <v>18.609100000000002</v>
      </c>
      <c r="K708" s="4"/>
      <c r="L708" s="9">
        <v>30.7165</v>
      </c>
      <c r="M708" s="9">
        <v>12.063700000000001</v>
      </c>
      <c r="N708" s="9">
        <v>4.9444999999999997</v>
      </c>
      <c r="O708" s="9">
        <v>0.37409999999999999</v>
      </c>
      <c r="P708" s="9">
        <v>1.2927</v>
      </c>
      <c r="Q708" s="9">
        <v>19.688099999999999</v>
      </c>
      <c r="R708" s="9"/>
      <c r="S708" s="11"/>
    </row>
    <row r="709" spans="1:19" ht="15.75">
      <c r="A709" s="13">
        <v>62731</v>
      </c>
      <c r="B709" s="8">
        <f>CHOOSE( CONTROL!$C$32, 18.7842, 18.7838) * CHOOSE(CONTROL!$C$15, $D$11, 100%, $F$11)</f>
        <v>18.784199999999998</v>
      </c>
      <c r="C709" s="8">
        <f>CHOOSE( CONTROL!$C$32, 18.7922, 18.7917) * CHOOSE(CONTROL!$C$15, $D$11, 100%, $F$11)</f>
        <v>18.792200000000001</v>
      </c>
      <c r="D709" s="8">
        <f>CHOOSE( CONTROL!$C$32, 18.7913, 18.7908) * CHOOSE( CONTROL!$C$15, $D$11, 100%, $F$11)</f>
        <v>18.7913</v>
      </c>
      <c r="E709" s="12">
        <f>CHOOSE( CONTROL!$C$32, 18.7904, 18.7899) * CHOOSE( CONTROL!$C$15, $D$11, 100%, $F$11)</f>
        <v>18.790400000000002</v>
      </c>
      <c r="F709" s="4">
        <f>CHOOSE( CONTROL!$C$32, 19.487, 19.4866) * CHOOSE(CONTROL!$C$15, $D$11, 100%, $F$11)</f>
        <v>19.486999999999998</v>
      </c>
      <c r="G709" s="8">
        <f>CHOOSE( CONTROL!$C$32, 18.5744, 18.574) * CHOOSE( CONTROL!$C$15, $D$11, 100%, $F$11)</f>
        <v>18.574400000000001</v>
      </c>
      <c r="H709" s="4">
        <f>CHOOSE( CONTROL!$C$32, 19.5055, 19.505) * CHOOSE(CONTROL!$C$15, $D$11, 100%, $F$11)</f>
        <v>19.505500000000001</v>
      </c>
      <c r="I709" s="8">
        <f>CHOOSE( CONTROL!$C$32, 18.3334, 18.3329) * CHOOSE(CONTROL!$C$15, $D$11, 100%, $F$11)</f>
        <v>18.333400000000001</v>
      </c>
      <c r="J709" s="4">
        <f>CHOOSE( CONTROL!$C$32, 18.2193, 18.2188) * CHOOSE(CONTROL!$C$15, $D$11, 100%, $F$11)</f>
        <v>18.2193</v>
      </c>
      <c r="K709" s="4"/>
      <c r="L709" s="9">
        <v>29.7257</v>
      </c>
      <c r="M709" s="9">
        <v>11.6745</v>
      </c>
      <c r="N709" s="9">
        <v>4.7850000000000001</v>
      </c>
      <c r="O709" s="9">
        <v>0.36199999999999999</v>
      </c>
      <c r="P709" s="9">
        <v>1.2509999999999999</v>
      </c>
      <c r="Q709" s="9">
        <v>19.053000000000001</v>
      </c>
      <c r="R709" s="9"/>
      <c r="S709" s="11"/>
    </row>
    <row r="710" spans="1:19" ht="15.75">
      <c r="A710" s="13">
        <v>62762</v>
      </c>
      <c r="B710" s="8">
        <f>CHOOSE( CONTROL!$C$32, 19.6163, 19.616) * CHOOSE(CONTROL!$C$15, $D$11, 100%, $F$11)</f>
        <v>19.616299999999999</v>
      </c>
      <c r="C710" s="8">
        <f>CHOOSE( CONTROL!$C$32, 19.6216, 19.6213) * CHOOSE(CONTROL!$C$15, $D$11, 100%, $F$11)</f>
        <v>19.621600000000001</v>
      </c>
      <c r="D710" s="8">
        <f>CHOOSE( CONTROL!$C$32, 19.6263, 19.626) * CHOOSE( CONTROL!$C$15, $D$11, 100%, $F$11)</f>
        <v>19.626300000000001</v>
      </c>
      <c r="E710" s="12">
        <f>CHOOSE( CONTROL!$C$32, 19.6242, 19.6239) * CHOOSE( CONTROL!$C$15, $D$11, 100%, $F$11)</f>
        <v>19.624199999999998</v>
      </c>
      <c r="F710" s="4">
        <f>CHOOSE( CONTROL!$C$32, 20.3208, 20.3205) * CHOOSE(CONTROL!$C$15, $D$11, 100%, $F$11)</f>
        <v>20.320799999999998</v>
      </c>
      <c r="G710" s="8">
        <f>CHOOSE( CONTROL!$C$32, 19.3986, 19.3983) * CHOOSE( CONTROL!$C$15, $D$11, 100%, $F$11)</f>
        <v>19.398599999999998</v>
      </c>
      <c r="H710" s="4">
        <f>CHOOSE( CONTROL!$C$32, 20.3295, 20.3292) * CHOOSE(CONTROL!$C$15, $D$11, 100%, $F$11)</f>
        <v>20.329499999999999</v>
      </c>
      <c r="I710" s="8">
        <f>CHOOSE( CONTROL!$C$32, 19.1438, 19.1435) * CHOOSE(CONTROL!$C$15, $D$11, 100%, $F$11)</f>
        <v>19.143799999999999</v>
      </c>
      <c r="J710" s="4">
        <f>CHOOSE( CONTROL!$C$32, 19.0284, 19.0282) * CHOOSE(CONTROL!$C$15, $D$11, 100%, $F$11)</f>
        <v>19.028400000000001</v>
      </c>
      <c r="K710" s="4"/>
      <c r="L710" s="9">
        <v>31.095300000000002</v>
      </c>
      <c r="M710" s="9">
        <v>12.063700000000001</v>
      </c>
      <c r="N710" s="9">
        <v>4.9444999999999997</v>
      </c>
      <c r="O710" s="9">
        <v>0.37409999999999999</v>
      </c>
      <c r="P710" s="9">
        <v>1.2927</v>
      </c>
      <c r="Q710" s="9">
        <v>19.688099999999999</v>
      </c>
      <c r="R710" s="9"/>
      <c r="S710" s="11"/>
    </row>
    <row r="711" spans="1:19" ht="15.75">
      <c r="A711" s="13">
        <v>62792</v>
      </c>
      <c r="B711" s="8">
        <f>CHOOSE( CONTROL!$C$32, 21.1552, 21.1549) * CHOOSE(CONTROL!$C$15, $D$11, 100%, $F$11)</f>
        <v>21.155200000000001</v>
      </c>
      <c r="C711" s="8">
        <f>CHOOSE( CONTROL!$C$32, 21.1602, 21.16) * CHOOSE(CONTROL!$C$15, $D$11, 100%, $F$11)</f>
        <v>21.1602</v>
      </c>
      <c r="D711" s="8">
        <f>CHOOSE( CONTROL!$C$32, 21.1429, 21.1427) * CHOOSE( CONTROL!$C$15, $D$11, 100%, $F$11)</f>
        <v>21.142900000000001</v>
      </c>
      <c r="E711" s="12">
        <f>CHOOSE( CONTROL!$C$32, 21.1487, 21.1485) * CHOOSE( CONTROL!$C$15, $D$11, 100%, $F$11)</f>
        <v>21.148700000000002</v>
      </c>
      <c r="F711" s="4">
        <f>CHOOSE( CONTROL!$C$32, 21.8204, 21.8202) * CHOOSE(CONTROL!$C$15, $D$11, 100%, $F$11)</f>
        <v>21.820399999999999</v>
      </c>
      <c r="G711" s="8">
        <f>CHOOSE( CONTROL!$C$32, 20.9168, 20.9165) * CHOOSE( CONTROL!$C$15, $D$11, 100%, $F$11)</f>
        <v>20.916799999999999</v>
      </c>
      <c r="H711" s="4">
        <f>CHOOSE( CONTROL!$C$32, 21.8115, 21.8113) * CHOOSE(CONTROL!$C$15, $D$11, 100%, $F$11)</f>
        <v>21.811499999999999</v>
      </c>
      <c r="I711" s="8">
        <f>CHOOSE( CONTROL!$C$32, 20.694, 20.6938) * CHOOSE(CONTROL!$C$15, $D$11, 100%, $F$11)</f>
        <v>20.693999999999999</v>
      </c>
      <c r="J711" s="4">
        <f>CHOOSE( CONTROL!$C$32, 20.5223, 20.5221) * CHOOSE(CONTROL!$C$15, $D$11, 100%, $F$11)</f>
        <v>20.522300000000001</v>
      </c>
      <c r="K711" s="4"/>
      <c r="L711" s="9">
        <v>28.360600000000002</v>
      </c>
      <c r="M711" s="9">
        <v>11.6745</v>
      </c>
      <c r="N711" s="9">
        <v>4.7850000000000001</v>
      </c>
      <c r="O711" s="9">
        <v>0.36199999999999999</v>
      </c>
      <c r="P711" s="9">
        <v>1.2509999999999999</v>
      </c>
      <c r="Q711" s="9">
        <v>19.053000000000001</v>
      </c>
      <c r="R711" s="9"/>
      <c r="S711" s="11"/>
    </row>
    <row r="712" spans="1:19" ht="15.75">
      <c r="A712" s="13">
        <v>62823</v>
      </c>
      <c r="B712" s="8">
        <f>CHOOSE( CONTROL!$C$32, 21.1167, 21.1164) * CHOOSE(CONTROL!$C$15, $D$11, 100%, $F$11)</f>
        <v>21.116700000000002</v>
      </c>
      <c r="C712" s="8">
        <f>CHOOSE( CONTROL!$C$32, 21.1218, 21.1215) * CHOOSE(CONTROL!$C$15, $D$11, 100%, $F$11)</f>
        <v>21.1218</v>
      </c>
      <c r="D712" s="8">
        <f>CHOOSE( CONTROL!$C$32, 21.1063, 21.106) * CHOOSE( CONTROL!$C$15, $D$11, 100%, $F$11)</f>
        <v>21.106300000000001</v>
      </c>
      <c r="E712" s="12">
        <f>CHOOSE( CONTROL!$C$32, 21.1114, 21.1111) * CHOOSE( CONTROL!$C$15, $D$11, 100%, $F$11)</f>
        <v>21.1114</v>
      </c>
      <c r="F712" s="4">
        <f>CHOOSE( CONTROL!$C$32, 21.782, 21.7817) * CHOOSE(CONTROL!$C$15, $D$11, 100%, $F$11)</f>
        <v>21.782</v>
      </c>
      <c r="G712" s="8">
        <f>CHOOSE( CONTROL!$C$32, 20.8801, 20.8798) * CHOOSE( CONTROL!$C$15, $D$11, 100%, $F$11)</f>
        <v>20.880099999999999</v>
      </c>
      <c r="H712" s="4">
        <f>CHOOSE( CONTROL!$C$32, 21.7735, 21.7733) * CHOOSE(CONTROL!$C$15, $D$11, 100%, $F$11)</f>
        <v>21.773499999999999</v>
      </c>
      <c r="I712" s="8">
        <f>CHOOSE( CONTROL!$C$32, 20.6623, 20.662) * CHOOSE(CONTROL!$C$15, $D$11, 100%, $F$11)</f>
        <v>20.662299999999998</v>
      </c>
      <c r="J712" s="4">
        <f>CHOOSE( CONTROL!$C$32, 20.485, 20.4847) * CHOOSE(CONTROL!$C$15, $D$11, 100%, $F$11)</f>
        <v>20.484999999999999</v>
      </c>
      <c r="K712" s="4"/>
      <c r="L712" s="9">
        <v>29.306000000000001</v>
      </c>
      <c r="M712" s="9">
        <v>12.063700000000001</v>
      </c>
      <c r="N712" s="9">
        <v>4.9444999999999997</v>
      </c>
      <c r="O712" s="9">
        <v>0.37409999999999999</v>
      </c>
      <c r="P712" s="9">
        <v>1.2927</v>
      </c>
      <c r="Q712" s="9">
        <v>19.688099999999999</v>
      </c>
      <c r="R712" s="9"/>
      <c r="S712" s="11"/>
    </row>
    <row r="713" spans="1:19" ht="15.75">
      <c r="A713" s="13">
        <v>62854</v>
      </c>
      <c r="B713" s="8">
        <f>CHOOSE( CONTROL!$C$32, 21.7393, 21.739) * CHOOSE(CONTROL!$C$15, $D$11, 100%, $F$11)</f>
        <v>21.7393</v>
      </c>
      <c r="C713" s="8">
        <f>CHOOSE( CONTROL!$C$32, 21.7444, 21.7441) * CHOOSE(CONTROL!$C$15, $D$11, 100%, $F$11)</f>
        <v>21.744399999999999</v>
      </c>
      <c r="D713" s="8">
        <f>CHOOSE( CONTROL!$C$32, 21.7348, 21.7345) * CHOOSE( CONTROL!$C$15, $D$11, 100%, $F$11)</f>
        <v>21.7348</v>
      </c>
      <c r="E713" s="12">
        <f>CHOOSE( CONTROL!$C$32, 21.7378, 21.7375) * CHOOSE( CONTROL!$C$15, $D$11, 100%, $F$11)</f>
        <v>21.7378</v>
      </c>
      <c r="F713" s="4">
        <f>CHOOSE( CONTROL!$C$32, 22.4046, 22.4043) * CHOOSE(CONTROL!$C$15, $D$11, 100%, $F$11)</f>
        <v>22.404599999999999</v>
      </c>
      <c r="G713" s="8">
        <f>CHOOSE( CONTROL!$C$32, 21.4961, 21.4958) * CHOOSE( CONTROL!$C$15, $D$11, 100%, $F$11)</f>
        <v>21.496099999999998</v>
      </c>
      <c r="H713" s="4">
        <f>CHOOSE( CONTROL!$C$32, 22.3888, 22.3886) * CHOOSE(CONTROL!$C$15, $D$11, 100%, $F$11)</f>
        <v>22.3888</v>
      </c>
      <c r="I713" s="8">
        <f>CHOOSE( CONTROL!$C$32, 21.2473, 21.247) * CHOOSE(CONTROL!$C$15, $D$11, 100%, $F$11)</f>
        <v>21.247299999999999</v>
      </c>
      <c r="J713" s="4">
        <f>CHOOSE( CONTROL!$C$32, 21.0892, 21.089) * CHOOSE(CONTROL!$C$15, $D$11, 100%, $F$11)</f>
        <v>21.089200000000002</v>
      </c>
      <c r="K713" s="4"/>
      <c r="L713" s="9">
        <v>29.306000000000001</v>
      </c>
      <c r="M713" s="9">
        <v>12.063700000000001</v>
      </c>
      <c r="N713" s="9">
        <v>4.9444999999999997</v>
      </c>
      <c r="O713" s="9">
        <v>0.37409999999999999</v>
      </c>
      <c r="P713" s="9">
        <v>1.2927</v>
      </c>
      <c r="Q713" s="9">
        <v>19.688099999999999</v>
      </c>
      <c r="R713" s="9"/>
      <c r="S713" s="11"/>
    </row>
    <row r="714" spans="1:19" ht="15.75">
      <c r="A714" s="13">
        <v>62883</v>
      </c>
      <c r="B714" s="8">
        <f>CHOOSE( CONTROL!$C$32, 20.3345, 20.3342) * CHOOSE(CONTROL!$C$15, $D$11, 100%, $F$11)</f>
        <v>20.334499999999998</v>
      </c>
      <c r="C714" s="8">
        <f>CHOOSE( CONTROL!$C$32, 20.3396, 20.3393) * CHOOSE(CONTROL!$C$15, $D$11, 100%, $F$11)</f>
        <v>20.339600000000001</v>
      </c>
      <c r="D714" s="8">
        <f>CHOOSE( CONTROL!$C$32, 20.3317, 20.3314) * CHOOSE( CONTROL!$C$15, $D$11, 100%, $F$11)</f>
        <v>20.331700000000001</v>
      </c>
      <c r="E714" s="12">
        <f>CHOOSE( CONTROL!$C$32, 20.334, 20.3337) * CHOOSE( CONTROL!$C$15, $D$11, 100%, $F$11)</f>
        <v>20.334</v>
      </c>
      <c r="F714" s="4">
        <f>CHOOSE( CONTROL!$C$32, 20.9998, 20.9995) * CHOOSE(CONTROL!$C$15, $D$11, 100%, $F$11)</f>
        <v>20.9998</v>
      </c>
      <c r="G714" s="8">
        <f>CHOOSE( CONTROL!$C$32, 20.1063, 20.106) * CHOOSE( CONTROL!$C$15, $D$11, 100%, $F$11)</f>
        <v>20.106300000000001</v>
      </c>
      <c r="H714" s="4">
        <f>CHOOSE( CONTROL!$C$32, 21.0005, 21.0002) * CHOOSE(CONTROL!$C$15, $D$11, 100%, $F$11)</f>
        <v>21.000499999999999</v>
      </c>
      <c r="I714" s="8">
        <f>CHOOSE( CONTROL!$C$32, 19.8678, 19.8676) * CHOOSE(CONTROL!$C$15, $D$11, 100%, $F$11)</f>
        <v>19.867799999999999</v>
      </c>
      <c r="J714" s="4">
        <f>CHOOSE( CONTROL!$C$32, 19.7259, 19.7256) * CHOOSE(CONTROL!$C$15, $D$11, 100%, $F$11)</f>
        <v>19.725899999999999</v>
      </c>
      <c r="K714" s="4"/>
      <c r="L714" s="9">
        <v>27.415299999999998</v>
      </c>
      <c r="M714" s="9">
        <v>11.285299999999999</v>
      </c>
      <c r="N714" s="9">
        <v>4.6254999999999997</v>
      </c>
      <c r="O714" s="9">
        <v>0.34989999999999999</v>
      </c>
      <c r="P714" s="9">
        <v>1.2093</v>
      </c>
      <c r="Q714" s="9">
        <v>18.417899999999999</v>
      </c>
      <c r="R714" s="9"/>
      <c r="S714" s="11"/>
    </row>
    <row r="715" spans="1:19" ht="15.75">
      <c r="A715" s="13">
        <v>62914</v>
      </c>
      <c r="B715" s="8">
        <f>CHOOSE( CONTROL!$C$32, 19.9018, 19.9015) * CHOOSE(CONTROL!$C$15, $D$11, 100%, $F$11)</f>
        <v>19.901800000000001</v>
      </c>
      <c r="C715" s="8">
        <f>CHOOSE( CONTROL!$C$32, 19.9069, 19.9066) * CHOOSE(CONTROL!$C$15, $D$11, 100%, $F$11)</f>
        <v>19.9069</v>
      </c>
      <c r="D715" s="8">
        <f>CHOOSE( CONTROL!$C$32, 19.8942, 19.8939) * CHOOSE( CONTROL!$C$15, $D$11, 100%, $F$11)</f>
        <v>19.894200000000001</v>
      </c>
      <c r="E715" s="12">
        <f>CHOOSE( CONTROL!$C$32, 19.8983, 19.898) * CHOOSE( CONTROL!$C$15, $D$11, 100%, $F$11)</f>
        <v>19.898299999999999</v>
      </c>
      <c r="F715" s="4">
        <f>CHOOSE( CONTROL!$C$32, 20.5671, 20.5668) * CHOOSE(CONTROL!$C$15, $D$11, 100%, $F$11)</f>
        <v>20.5671</v>
      </c>
      <c r="G715" s="8">
        <f>CHOOSE( CONTROL!$C$32, 19.6752, 19.6749) * CHOOSE( CONTROL!$C$15, $D$11, 100%, $F$11)</f>
        <v>19.6752</v>
      </c>
      <c r="H715" s="4">
        <f>CHOOSE( CONTROL!$C$32, 20.5729, 20.5726) * CHOOSE(CONTROL!$C$15, $D$11, 100%, $F$11)</f>
        <v>20.572900000000001</v>
      </c>
      <c r="I715" s="8">
        <f>CHOOSE( CONTROL!$C$32, 19.4461, 19.4458) * CHOOSE(CONTROL!$C$15, $D$11, 100%, $F$11)</f>
        <v>19.446100000000001</v>
      </c>
      <c r="J715" s="4">
        <f>CHOOSE( CONTROL!$C$32, 19.306, 19.3057) * CHOOSE(CONTROL!$C$15, $D$11, 100%, $F$11)</f>
        <v>19.306000000000001</v>
      </c>
      <c r="K715" s="4"/>
      <c r="L715" s="9">
        <v>29.306000000000001</v>
      </c>
      <c r="M715" s="9">
        <v>12.063700000000001</v>
      </c>
      <c r="N715" s="9">
        <v>4.9444999999999997</v>
      </c>
      <c r="O715" s="9">
        <v>0.37409999999999999</v>
      </c>
      <c r="P715" s="9">
        <v>1.2927</v>
      </c>
      <c r="Q715" s="9">
        <v>19.688099999999999</v>
      </c>
      <c r="R715" s="9"/>
      <c r="S715" s="11"/>
    </row>
    <row r="716" spans="1:19" ht="15.75">
      <c r="A716" s="13">
        <v>62944</v>
      </c>
      <c r="B716" s="8">
        <f>CHOOSE( CONTROL!$C$32, 20.2049, 20.2046) * CHOOSE(CONTROL!$C$15, $D$11, 100%, $F$11)</f>
        <v>20.204899999999999</v>
      </c>
      <c r="C716" s="8">
        <f>CHOOSE( CONTROL!$C$32, 20.2094, 20.2092) * CHOOSE(CONTROL!$C$15, $D$11, 100%, $F$11)</f>
        <v>20.209399999999999</v>
      </c>
      <c r="D716" s="8">
        <f>CHOOSE( CONTROL!$C$32, 20.2143, 20.214) * CHOOSE( CONTROL!$C$15, $D$11, 100%, $F$11)</f>
        <v>20.214300000000001</v>
      </c>
      <c r="E716" s="12">
        <f>CHOOSE( CONTROL!$C$32, 20.2122, 20.2119) * CHOOSE( CONTROL!$C$15, $D$11, 100%, $F$11)</f>
        <v>20.212199999999999</v>
      </c>
      <c r="F716" s="4">
        <f>CHOOSE( CONTROL!$C$32, 20.9091, 20.9088) * CHOOSE(CONTROL!$C$15, $D$11, 100%, $F$11)</f>
        <v>20.909099999999999</v>
      </c>
      <c r="G716" s="8">
        <f>CHOOSE( CONTROL!$C$32, 19.9797, 19.9795) * CHOOSE( CONTROL!$C$15, $D$11, 100%, $F$11)</f>
        <v>19.979700000000001</v>
      </c>
      <c r="H716" s="4">
        <f>CHOOSE( CONTROL!$C$32, 20.9109, 20.9106) * CHOOSE(CONTROL!$C$15, $D$11, 100%, $F$11)</f>
        <v>20.910900000000002</v>
      </c>
      <c r="I716" s="8">
        <f>CHOOSE( CONTROL!$C$32, 19.7139, 19.7136) * CHOOSE(CONTROL!$C$15, $D$11, 100%, $F$11)</f>
        <v>19.713899999999999</v>
      </c>
      <c r="J716" s="4">
        <f>CHOOSE( CONTROL!$C$32, 19.5994, 19.5991) * CHOOSE(CONTROL!$C$15, $D$11, 100%, $F$11)</f>
        <v>19.599399999999999</v>
      </c>
      <c r="K716" s="4"/>
      <c r="L716" s="9">
        <v>30.092199999999998</v>
      </c>
      <c r="M716" s="9">
        <v>11.6745</v>
      </c>
      <c r="N716" s="9">
        <v>4.7850000000000001</v>
      </c>
      <c r="O716" s="9">
        <v>0.36199999999999999</v>
      </c>
      <c r="P716" s="9">
        <v>1.2509999999999999</v>
      </c>
      <c r="Q716" s="9">
        <v>19.053000000000001</v>
      </c>
      <c r="R716" s="9"/>
      <c r="S716" s="11"/>
    </row>
    <row r="717" spans="1:19" ht="15.75">
      <c r="A717" s="13">
        <v>62975</v>
      </c>
      <c r="B717" s="8">
        <f>CHOOSE( CONTROL!$C$32, 20.7446, 20.7441) * CHOOSE(CONTROL!$C$15, $D$11, 100%, $F$11)</f>
        <v>20.744599999999998</v>
      </c>
      <c r="C717" s="8">
        <f>CHOOSE( CONTROL!$C$32, 20.7525, 20.7521) * CHOOSE(CONTROL!$C$15, $D$11, 100%, $F$11)</f>
        <v>20.752500000000001</v>
      </c>
      <c r="D717" s="8">
        <f>CHOOSE( CONTROL!$C$32, 20.7513, 20.7509) * CHOOSE( CONTROL!$C$15, $D$11, 100%, $F$11)</f>
        <v>20.751300000000001</v>
      </c>
      <c r="E717" s="12">
        <f>CHOOSE( CONTROL!$C$32, 20.7505, 20.7501) * CHOOSE( CONTROL!$C$15, $D$11, 100%, $F$11)</f>
        <v>20.750499999999999</v>
      </c>
      <c r="F717" s="4">
        <f>CHOOSE( CONTROL!$C$32, 21.4474, 21.4469) * CHOOSE(CONTROL!$C$15, $D$11, 100%, $F$11)</f>
        <v>21.447399999999998</v>
      </c>
      <c r="G717" s="8">
        <f>CHOOSE( CONTROL!$C$32, 20.5115, 20.5111) * CHOOSE( CONTROL!$C$15, $D$11, 100%, $F$11)</f>
        <v>20.511500000000002</v>
      </c>
      <c r="H717" s="4">
        <f>CHOOSE( CONTROL!$C$32, 21.4429, 21.4424) * CHOOSE(CONTROL!$C$15, $D$11, 100%, $F$11)</f>
        <v>21.442900000000002</v>
      </c>
      <c r="I717" s="8">
        <f>CHOOSE( CONTROL!$C$32, 20.2357, 20.2353) * CHOOSE(CONTROL!$C$15, $D$11, 100%, $F$11)</f>
        <v>20.235700000000001</v>
      </c>
      <c r="J717" s="4">
        <f>CHOOSE( CONTROL!$C$32, 20.1218, 20.1213) * CHOOSE(CONTROL!$C$15, $D$11, 100%, $F$11)</f>
        <v>20.1218</v>
      </c>
      <c r="K717" s="4"/>
      <c r="L717" s="9">
        <v>30.7165</v>
      </c>
      <c r="M717" s="9">
        <v>12.063700000000001</v>
      </c>
      <c r="N717" s="9">
        <v>4.9444999999999997</v>
      </c>
      <c r="O717" s="9">
        <v>0.37409999999999999</v>
      </c>
      <c r="P717" s="9">
        <v>1.2927</v>
      </c>
      <c r="Q717" s="9">
        <v>19.688099999999999</v>
      </c>
      <c r="R717" s="9"/>
      <c r="S717" s="11"/>
    </row>
    <row r="718" spans="1:19" ht="15.75">
      <c r="A718" s="13">
        <v>63005</v>
      </c>
      <c r="B718" s="8">
        <f>CHOOSE( CONTROL!$C$32, 20.4112, 20.4108) * CHOOSE(CONTROL!$C$15, $D$11, 100%, $F$11)</f>
        <v>20.411200000000001</v>
      </c>
      <c r="C718" s="8">
        <f>CHOOSE( CONTROL!$C$32, 20.4192, 20.4188) * CHOOSE(CONTROL!$C$15, $D$11, 100%, $F$11)</f>
        <v>20.4192</v>
      </c>
      <c r="D718" s="8">
        <f>CHOOSE( CONTROL!$C$32, 20.4182, 20.4177) * CHOOSE( CONTROL!$C$15, $D$11, 100%, $F$11)</f>
        <v>20.418199999999999</v>
      </c>
      <c r="E718" s="12">
        <f>CHOOSE( CONTROL!$C$32, 20.4173, 20.4169) * CHOOSE( CONTROL!$C$15, $D$11, 100%, $F$11)</f>
        <v>20.417300000000001</v>
      </c>
      <c r="F718" s="4">
        <f>CHOOSE( CONTROL!$C$32, 21.1141, 21.1136) * CHOOSE(CONTROL!$C$15, $D$11, 100%, $F$11)</f>
        <v>21.114100000000001</v>
      </c>
      <c r="G718" s="8">
        <f>CHOOSE( CONTROL!$C$32, 20.1823, 20.1818) * CHOOSE( CONTROL!$C$15, $D$11, 100%, $F$11)</f>
        <v>20.182300000000001</v>
      </c>
      <c r="H718" s="4">
        <f>CHOOSE( CONTROL!$C$32, 21.1134, 21.113) * CHOOSE(CONTROL!$C$15, $D$11, 100%, $F$11)</f>
        <v>21.113399999999999</v>
      </c>
      <c r="I718" s="8">
        <f>CHOOSE( CONTROL!$C$32, 19.9127, 19.9123) * CHOOSE(CONTROL!$C$15, $D$11, 100%, $F$11)</f>
        <v>19.912700000000001</v>
      </c>
      <c r="J718" s="4">
        <f>CHOOSE( CONTROL!$C$32, 19.7983, 19.7978) * CHOOSE(CONTROL!$C$15, $D$11, 100%, $F$11)</f>
        <v>19.798300000000001</v>
      </c>
      <c r="K718" s="4"/>
      <c r="L718" s="9">
        <v>29.7257</v>
      </c>
      <c r="M718" s="9">
        <v>11.6745</v>
      </c>
      <c r="N718" s="9">
        <v>4.7850000000000001</v>
      </c>
      <c r="O718" s="9">
        <v>0.36199999999999999</v>
      </c>
      <c r="P718" s="9">
        <v>1.2509999999999999</v>
      </c>
      <c r="Q718" s="9">
        <v>19.053000000000001</v>
      </c>
      <c r="R718" s="9"/>
      <c r="S718" s="11"/>
    </row>
    <row r="719" spans="1:19" ht="15.75">
      <c r="A719" s="13">
        <v>63036</v>
      </c>
      <c r="B719" s="8">
        <f>CHOOSE( CONTROL!$C$32, 21.289, 21.2886) * CHOOSE(CONTROL!$C$15, $D$11, 100%, $F$11)</f>
        <v>21.289000000000001</v>
      </c>
      <c r="C719" s="8">
        <f>CHOOSE( CONTROL!$C$32, 21.297, 21.2966) * CHOOSE(CONTROL!$C$15, $D$11, 100%, $F$11)</f>
        <v>21.297000000000001</v>
      </c>
      <c r="D719" s="8">
        <f>CHOOSE( CONTROL!$C$32, 21.2962, 21.2958) * CHOOSE( CONTROL!$C$15, $D$11, 100%, $F$11)</f>
        <v>21.296199999999999</v>
      </c>
      <c r="E719" s="12">
        <f>CHOOSE( CONTROL!$C$32, 21.2953, 21.2949) * CHOOSE( CONTROL!$C$15, $D$11, 100%, $F$11)</f>
        <v>21.295300000000001</v>
      </c>
      <c r="F719" s="4">
        <f>CHOOSE( CONTROL!$C$32, 21.9919, 21.9914) * CHOOSE(CONTROL!$C$15, $D$11, 100%, $F$11)</f>
        <v>21.991900000000001</v>
      </c>
      <c r="G719" s="8">
        <f>CHOOSE( CONTROL!$C$32, 21.05, 21.0495) * CHOOSE( CONTROL!$C$15, $D$11, 100%, $F$11)</f>
        <v>21.05</v>
      </c>
      <c r="H719" s="4">
        <f>CHOOSE( CONTROL!$C$32, 21.981, 21.9805) * CHOOSE(CONTROL!$C$15, $D$11, 100%, $F$11)</f>
        <v>21.981000000000002</v>
      </c>
      <c r="I719" s="8">
        <f>CHOOSE( CONTROL!$C$32, 20.7658, 20.7654) * CHOOSE(CONTROL!$C$15, $D$11, 100%, $F$11)</f>
        <v>20.765799999999999</v>
      </c>
      <c r="J719" s="4">
        <f>CHOOSE( CONTROL!$C$32, 20.6502, 20.6497) * CHOOSE(CONTROL!$C$15, $D$11, 100%, $F$11)</f>
        <v>20.650200000000002</v>
      </c>
      <c r="K719" s="4"/>
      <c r="L719" s="9">
        <v>30.7165</v>
      </c>
      <c r="M719" s="9">
        <v>12.063700000000001</v>
      </c>
      <c r="N719" s="9">
        <v>4.9444999999999997</v>
      </c>
      <c r="O719" s="9">
        <v>0.37409999999999999</v>
      </c>
      <c r="P719" s="9">
        <v>1.2927</v>
      </c>
      <c r="Q719" s="9">
        <v>19.688099999999999</v>
      </c>
      <c r="R719" s="9"/>
      <c r="S719" s="11"/>
    </row>
    <row r="720" spans="1:19" ht="15.75">
      <c r="A720" s="13">
        <v>63067</v>
      </c>
      <c r="B720" s="8">
        <f>CHOOSE( CONTROL!$C$32, 19.6466, 19.6461) * CHOOSE(CONTROL!$C$15, $D$11, 100%, $F$11)</f>
        <v>19.646599999999999</v>
      </c>
      <c r="C720" s="8">
        <f>CHOOSE( CONTROL!$C$32, 19.6545, 19.6541) * CHOOSE(CONTROL!$C$15, $D$11, 100%, $F$11)</f>
        <v>19.654499999999999</v>
      </c>
      <c r="D720" s="8">
        <f>CHOOSE( CONTROL!$C$32, 19.6538, 19.6533) * CHOOSE( CONTROL!$C$15, $D$11, 100%, $F$11)</f>
        <v>19.6538</v>
      </c>
      <c r="E720" s="12">
        <f>CHOOSE( CONTROL!$C$32, 19.6528, 19.6524) * CHOOSE( CONTROL!$C$15, $D$11, 100%, $F$11)</f>
        <v>19.652799999999999</v>
      </c>
      <c r="F720" s="4">
        <f>CHOOSE( CONTROL!$C$32, 20.3494, 20.3489) * CHOOSE(CONTROL!$C$15, $D$11, 100%, $F$11)</f>
        <v>20.349399999999999</v>
      </c>
      <c r="G720" s="8">
        <f>CHOOSE( CONTROL!$C$32, 19.4268, 19.4263) * CHOOSE( CONTROL!$C$15, $D$11, 100%, $F$11)</f>
        <v>19.4268</v>
      </c>
      <c r="H720" s="4">
        <f>CHOOSE( CONTROL!$C$32, 20.3577, 20.3573) * CHOOSE(CONTROL!$C$15, $D$11, 100%, $F$11)</f>
        <v>20.357700000000001</v>
      </c>
      <c r="I720" s="8">
        <f>CHOOSE( CONTROL!$C$32, 19.1712, 19.1708) * CHOOSE(CONTROL!$C$15, $D$11, 100%, $F$11)</f>
        <v>19.171199999999999</v>
      </c>
      <c r="J720" s="4">
        <f>CHOOSE( CONTROL!$C$32, 19.0562, 19.0557) * CHOOSE(CONTROL!$C$15, $D$11, 100%, $F$11)</f>
        <v>19.0562</v>
      </c>
      <c r="K720" s="4"/>
      <c r="L720" s="9">
        <v>30.7165</v>
      </c>
      <c r="M720" s="9">
        <v>12.063700000000001</v>
      </c>
      <c r="N720" s="9">
        <v>4.9444999999999997</v>
      </c>
      <c r="O720" s="9">
        <v>0.37409999999999999</v>
      </c>
      <c r="P720" s="9">
        <v>1.2927</v>
      </c>
      <c r="Q720" s="9">
        <v>19.688099999999999</v>
      </c>
      <c r="R720" s="9"/>
      <c r="S720" s="11"/>
    </row>
    <row r="721" spans="1:19" ht="15.75">
      <c r="A721" s="13">
        <v>63097</v>
      </c>
      <c r="B721" s="8">
        <f>CHOOSE( CONTROL!$C$32, 19.2353, 19.2348) * CHOOSE(CONTROL!$C$15, $D$11, 100%, $F$11)</f>
        <v>19.235299999999999</v>
      </c>
      <c r="C721" s="8">
        <f>CHOOSE( CONTROL!$C$32, 19.2433, 19.2428) * CHOOSE(CONTROL!$C$15, $D$11, 100%, $F$11)</f>
        <v>19.243300000000001</v>
      </c>
      <c r="D721" s="8">
        <f>CHOOSE( CONTROL!$C$32, 19.2424, 19.2419) * CHOOSE( CONTROL!$C$15, $D$11, 100%, $F$11)</f>
        <v>19.2424</v>
      </c>
      <c r="E721" s="12">
        <f>CHOOSE( CONTROL!$C$32, 19.2415, 19.241) * CHOOSE( CONTROL!$C$15, $D$11, 100%, $F$11)</f>
        <v>19.241499999999998</v>
      </c>
      <c r="F721" s="4">
        <f>CHOOSE( CONTROL!$C$32, 19.9381, 19.9376) * CHOOSE(CONTROL!$C$15, $D$11, 100%, $F$11)</f>
        <v>19.938099999999999</v>
      </c>
      <c r="G721" s="8">
        <f>CHOOSE( CONTROL!$C$32, 19.0202, 19.0197) * CHOOSE( CONTROL!$C$15, $D$11, 100%, $F$11)</f>
        <v>19.020199999999999</v>
      </c>
      <c r="H721" s="4">
        <f>CHOOSE( CONTROL!$C$32, 19.9513, 19.9508) * CHOOSE(CONTROL!$C$15, $D$11, 100%, $F$11)</f>
        <v>19.9513</v>
      </c>
      <c r="I721" s="8">
        <f>CHOOSE( CONTROL!$C$32, 18.7713, 18.7709) * CHOOSE(CONTROL!$C$15, $D$11, 100%, $F$11)</f>
        <v>18.7713</v>
      </c>
      <c r="J721" s="4">
        <f>CHOOSE( CONTROL!$C$32, 18.657, 18.6566) * CHOOSE(CONTROL!$C$15, $D$11, 100%, $F$11)</f>
        <v>18.657</v>
      </c>
      <c r="K721" s="4"/>
      <c r="L721" s="9">
        <v>29.7257</v>
      </c>
      <c r="M721" s="9">
        <v>11.6745</v>
      </c>
      <c r="N721" s="9">
        <v>4.7850000000000001</v>
      </c>
      <c r="O721" s="9">
        <v>0.36199999999999999</v>
      </c>
      <c r="P721" s="9">
        <v>1.2509999999999999</v>
      </c>
      <c r="Q721" s="9">
        <v>19.053000000000001</v>
      </c>
      <c r="R721" s="9"/>
      <c r="S721" s="11"/>
    </row>
    <row r="722" spans="1:19" ht="15.75">
      <c r="A722" s="13">
        <v>63128</v>
      </c>
      <c r="B722" s="8">
        <f>CHOOSE( CONTROL!$C$32, 20.0874, 20.0871) * CHOOSE(CONTROL!$C$15, $D$11, 100%, $F$11)</f>
        <v>20.087399999999999</v>
      </c>
      <c r="C722" s="8">
        <f>CHOOSE( CONTROL!$C$32, 20.0927, 20.0924) * CHOOSE(CONTROL!$C$15, $D$11, 100%, $F$11)</f>
        <v>20.092700000000001</v>
      </c>
      <c r="D722" s="8">
        <f>CHOOSE( CONTROL!$C$32, 20.0974, 20.0971) * CHOOSE( CONTROL!$C$15, $D$11, 100%, $F$11)</f>
        <v>20.0974</v>
      </c>
      <c r="E722" s="12">
        <f>CHOOSE( CONTROL!$C$32, 20.0953, 20.095) * CHOOSE( CONTROL!$C$15, $D$11, 100%, $F$11)</f>
        <v>20.095300000000002</v>
      </c>
      <c r="F722" s="4">
        <f>CHOOSE( CONTROL!$C$32, 20.7919, 20.7916) * CHOOSE(CONTROL!$C$15, $D$11, 100%, $F$11)</f>
        <v>20.791899999999998</v>
      </c>
      <c r="G722" s="8">
        <f>CHOOSE( CONTROL!$C$32, 19.8642, 19.8639) * CHOOSE( CONTROL!$C$15, $D$11, 100%, $F$11)</f>
        <v>19.8642</v>
      </c>
      <c r="H722" s="4">
        <f>CHOOSE( CONTROL!$C$32, 20.7951, 20.7948) * CHOOSE(CONTROL!$C$15, $D$11, 100%, $F$11)</f>
        <v>20.795100000000001</v>
      </c>
      <c r="I722" s="8">
        <f>CHOOSE( CONTROL!$C$32, 19.6012, 19.6009) * CHOOSE(CONTROL!$C$15, $D$11, 100%, $F$11)</f>
        <v>19.601199999999999</v>
      </c>
      <c r="J722" s="4">
        <f>CHOOSE( CONTROL!$C$32, 19.4856, 19.4854) * CHOOSE(CONTROL!$C$15, $D$11, 100%, $F$11)</f>
        <v>19.485600000000002</v>
      </c>
      <c r="K722" s="4"/>
      <c r="L722" s="9">
        <v>31.095300000000002</v>
      </c>
      <c r="M722" s="9">
        <v>12.063700000000001</v>
      </c>
      <c r="N722" s="9">
        <v>4.9444999999999997</v>
      </c>
      <c r="O722" s="9">
        <v>0.37409999999999999</v>
      </c>
      <c r="P722" s="9">
        <v>1.2927</v>
      </c>
      <c r="Q722" s="9">
        <v>19.688099999999999</v>
      </c>
      <c r="R722" s="9"/>
      <c r="S722" s="11"/>
    </row>
    <row r="723" spans="1:19" ht="15.75">
      <c r="A723" s="13">
        <v>63158</v>
      </c>
      <c r="B723" s="8">
        <f>CHOOSE( CONTROL!$C$32, 21.6632, 21.663) * CHOOSE(CONTROL!$C$15, $D$11, 100%, $F$11)</f>
        <v>21.6632</v>
      </c>
      <c r="C723" s="8">
        <f>CHOOSE( CONTROL!$C$32, 21.6683, 21.668) * CHOOSE(CONTROL!$C$15, $D$11, 100%, $F$11)</f>
        <v>21.668299999999999</v>
      </c>
      <c r="D723" s="8">
        <f>CHOOSE( CONTROL!$C$32, 21.651, 21.6507) * CHOOSE( CONTROL!$C$15, $D$11, 100%, $F$11)</f>
        <v>21.651</v>
      </c>
      <c r="E723" s="12">
        <f>CHOOSE( CONTROL!$C$32, 21.6568, 21.6565) * CHOOSE( CONTROL!$C$15, $D$11, 100%, $F$11)</f>
        <v>21.6568</v>
      </c>
      <c r="F723" s="4">
        <f>CHOOSE( CONTROL!$C$32, 22.3285, 22.3282) * CHOOSE(CONTROL!$C$15, $D$11, 100%, $F$11)</f>
        <v>22.328499999999998</v>
      </c>
      <c r="G723" s="8">
        <f>CHOOSE( CONTROL!$C$32, 21.4189, 21.4186) * CHOOSE( CONTROL!$C$15, $D$11, 100%, $F$11)</f>
        <v>21.418900000000001</v>
      </c>
      <c r="H723" s="4">
        <f>CHOOSE( CONTROL!$C$32, 22.3137, 22.3134) * CHOOSE(CONTROL!$C$15, $D$11, 100%, $F$11)</f>
        <v>22.313700000000001</v>
      </c>
      <c r="I723" s="8">
        <f>CHOOSE( CONTROL!$C$32, 21.1874, 21.1871) * CHOOSE(CONTROL!$C$15, $D$11, 100%, $F$11)</f>
        <v>21.1874</v>
      </c>
      <c r="J723" s="4">
        <f>CHOOSE( CONTROL!$C$32, 21.0154, 21.0151) * CHOOSE(CONTROL!$C$15, $D$11, 100%, $F$11)</f>
        <v>21.0154</v>
      </c>
      <c r="K723" s="4"/>
      <c r="L723" s="9">
        <v>28.360600000000002</v>
      </c>
      <c r="M723" s="9">
        <v>11.6745</v>
      </c>
      <c r="N723" s="9">
        <v>4.7850000000000001</v>
      </c>
      <c r="O723" s="9">
        <v>0.36199999999999999</v>
      </c>
      <c r="P723" s="9">
        <v>1.2509999999999999</v>
      </c>
      <c r="Q723" s="9">
        <v>19.053000000000001</v>
      </c>
      <c r="R723" s="9"/>
      <c r="S723" s="11"/>
    </row>
    <row r="724" spans="1:19" ht="15.75">
      <c r="A724" s="13">
        <v>63189</v>
      </c>
      <c r="B724" s="8">
        <f>CHOOSE( CONTROL!$C$32, 21.6238, 21.6236) * CHOOSE(CONTROL!$C$15, $D$11, 100%, $F$11)</f>
        <v>21.623799999999999</v>
      </c>
      <c r="C724" s="8">
        <f>CHOOSE( CONTROL!$C$32, 21.6289, 21.6287) * CHOOSE(CONTROL!$C$15, $D$11, 100%, $F$11)</f>
        <v>21.628900000000002</v>
      </c>
      <c r="D724" s="8">
        <f>CHOOSE( CONTROL!$C$32, 21.6134, 21.6132) * CHOOSE( CONTROL!$C$15, $D$11, 100%, $F$11)</f>
        <v>21.613399999999999</v>
      </c>
      <c r="E724" s="12">
        <f>CHOOSE( CONTROL!$C$32, 21.6185, 21.6183) * CHOOSE( CONTROL!$C$15, $D$11, 100%, $F$11)</f>
        <v>21.618500000000001</v>
      </c>
      <c r="F724" s="4">
        <f>CHOOSE( CONTROL!$C$32, 22.2891, 22.2889) * CHOOSE(CONTROL!$C$15, $D$11, 100%, $F$11)</f>
        <v>22.289100000000001</v>
      </c>
      <c r="G724" s="8">
        <f>CHOOSE( CONTROL!$C$32, 21.3813, 21.381) * CHOOSE( CONTROL!$C$15, $D$11, 100%, $F$11)</f>
        <v>21.3813</v>
      </c>
      <c r="H724" s="4">
        <f>CHOOSE( CONTROL!$C$32, 22.2747, 22.2745) * CHOOSE(CONTROL!$C$15, $D$11, 100%, $F$11)</f>
        <v>22.274699999999999</v>
      </c>
      <c r="I724" s="8">
        <f>CHOOSE( CONTROL!$C$32, 21.1547, 21.1544) * CHOOSE(CONTROL!$C$15, $D$11, 100%, $F$11)</f>
        <v>21.154699999999998</v>
      </c>
      <c r="J724" s="4">
        <f>CHOOSE( CONTROL!$C$32, 20.9772, 20.9769) * CHOOSE(CONTROL!$C$15, $D$11, 100%, $F$11)</f>
        <v>20.9772</v>
      </c>
      <c r="K724" s="4"/>
      <c r="L724" s="9">
        <v>29.306000000000001</v>
      </c>
      <c r="M724" s="9">
        <v>12.063700000000001</v>
      </c>
      <c r="N724" s="9">
        <v>4.9444999999999997</v>
      </c>
      <c r="O724" s="9">
        <v>0.37409999999999999</v>
      </c>
      <c r="P724" s="9">
        <v>1.2927</v>
      </c>
      <c r="Q724" s="9">
        <v>19.688099999999999</v>
      </c>
      <c r="R724" s="9"/>
      <c r="S724" s="11"/>
    </row>
    <row r="725" spans="1:19" ht="15.75">
      <c r="A725" s="13">
        <v>63220</v>
      </c>
      <c r="B725" s="8">
        <f>CHOOSE( CONTROL!$C$32, 22.2614, 22.2611) * CHOOSE(CONTROL!$C$15, $D$11, 100%, $F$11)</f>
        <v>22.261399999999998</v>
      </c>
      <c r="C725" s="8">
        <f>CHOOSE( CONTROL!$C$32, 22.2665, 22.2662) * CHOOSE(CONTROL!$C$15, $D$11, 100%, $F$11)</f>
        <v>22.266500000000001</v>
      </c>
      <c r="D725" s="8">
        <f>CHOOSE( CONTROL!$C$32, 22.2569, 22.2567) * CHOOSE( CONTROL!$C$15, $D$11, 100%, $F$11)</f>
        <v>22.256900000000002</v>
      </c>
      <c r="E725" s="12">
        <f>CHOOSE( CONTROL!$C$32, 22.2599, 22.2596) * CHOOSE( CONTROL!$C$15, $D$11, 100%, $F$11)</f>
        <v>22.259899999999998</v>
      </c>
      <c r="F725" s="4">
        <f>CHOOSE( CONTROL!$C$32, 22.9267, 22.9264) * CHOOSE(CONTROL!$C$15, $D$11, 100%, $F$11)</f>
        <v>22.9267</v>
      </c>
      <c r="G725" s="8">
        <f>CHOOSE( CONTROL!$C$32, 22.0121, 22.0118) * CHOOSE( CONTROL!$C$15, $D$11, 100%, $F$11)</f>
        <v>22.0121</v>
      </c>
      <c r="H725" s="4">
        <f>CHOOSE( CONTROL!$C$32, 22.9048, 22.9046) * CHOOSE(CONTROL!$C$15, $D$11, 100%, $F$11)</f>
        <v>22.904800000000002</v>
      </c>
      <c r="I725" s="8">
        <f>CHOOSE( CONTROL!$C$32, 21.7542, 21.754) * CHOOSE(CONTROL!$C$15, $D$11, 100%, $F$11)</f>
        <v>21.754200000000001</v>
      </c>
      <c r="J725" s="4">
        <f>CHOOSE( CONTROL!$C$32, 21.5959, 21.5957) * CHOOSE(CONTROL!$C$15, $D$11, 100%, $F$11)</f>
        <v>21.5959</v>
      </c>
      <c r="K725" s="4"/>
      <c r="L725" s="9">
        <v>29.306000000000001</v>
      </c>
      <c r="M725" s="9">
        <v>12.063700000000001</v>
      </c>
      <c r="N725" s="9">
        <v>4.9444999999999997</v>
      </c>
      <c r="O725" s="9">
        <v>0.37409999999999999</v>
      </c>
      <c r="P725" s="9">
        <v>1.2927</v>
      </c>
      <c r="Q725" s="9">
        <v>19.688099999999999</v>
      </c>
      <c r="R725" s="9"/>
      <c r="S725" s="11"/>
    </row>
    <row r="726" spans="1:19" ht="15.75">
      <c r="A726" s="13">
        <v>63248</v>
      </c>
      <c r="B726" s="8">
        <f>CHOOSE( CONTROL!$C$32, 20.8228, 20.8226) * CHOOSE(CONTROL!$C$15, $D$11, 100%, $F$11)</f>
        <v>20.822800000000001</v>
      </c>
      <c r="C726" s="8">
        <f>CHOOSE( CONTROL!$C$32, 20.8279, 20.8277) * CHOOSE(CONTROL!$C$15, $D$11, 100%, $F$11)</f>
        <v>20.8279</v>
      </c>
      <c r="D726" s="8">
        <f>CHOOSE( CONTROL!$C$32, 20.82, 20.8198) * CHOOSE( CONTROL!$C$15, $D$11, 100%, $F$11)</f>
        <v>20.82</v>
      </c>
      <c r="E726" s="12">
        <f>CHOOSE( CONTROL!$C$32, 20.8223, 20.8221) * CHOOSE( CONTROL!$C$15, $D$11, 100%, $F$11)</f>
        <v>20.822299999999998</v>
      </c>
      <c r="F726" s="4">
        <f>CHOOSE( CONTROL!$C$32, 21.4881, 21.4879) * CHOOSE(CONTROL!$C$15, $D$11, 100%, $F$11)</f>
        <v>21.488099999999999</v>
      </c>
      <c r="G726" s="8">
        <f>CHOOSE( CONTROL!$C$32, 20.5889, 20.5886) * CHOOSE( CONTROL!$C$15, $D$11, 100%, $F$11)</f>
        <v>20.588899999999999</v>
      </c>
      <c r="H726" s="4">
        <f>CHOOSE( CONTROL!$C$32, 21.4831, 21.4829) * CHOOSE(CONTROL!$C$15, $D$11, 100%, $F$11)</f>
        <v>21.4831</v>
      </c>
      <c r="I726" s="8">
        <f>CHOOSE( CONTROL!$C$32, 20.342, 20.3418) * CHOOSE(CONTROL!$C$15, $D$11, 100%, $F$11)</f>
        <v>20.341999999999999</v>
      </c>
      <c r="J726" s="4">
        <f>CHOOSE( CONTROL!$C$32, 20.1998, 20.1996) * CHOOSE(CONTROL!$C$15, $D$11, 100%, $F$11)</f>
        <v>20.1998</v>
      </c>
      <c r="K726" s="4"/>
      <c r="L726" s="9">
        <v>26.469899999999999</v>
      </c>
      <c r="M726" s="9">
        <v>10.8962</v>
      </c>
      <c r="N726" s="9">
        <v>4.4660000000000002</v>
      </c>
      <c r="O726" s="9">
        <v>0.33789999999999998</v>
      </c>
      <c r="P726" s="9">
        <v>1.1676</v>
      </c>
      <c r="Q726" s="9">
        <v>17.782800000000002</v>
      </c>
      <c r="R726" s="9"/>
      <c r="S726" s="11"/>
    </row>
    <row r="727" spans="1:19" ht="15.75">
      <c r="A727" s="13">
        <v>63279</v>
      </c>
      <c r="B727" s="8">
        <f>CHOOSE( CONTROL!$C$32, 20.3798, 20.3795) * CHOOSE(CONTROL!$C$15, $D$11, 100%, $F$11)</f>
        <v>20.379799999999999</v>
      </c>
      <c r="C727" s="8">
        <f>CHOOSE( CONTROL!$C$32, 20.3849, 20.3846) * CHOOSE(CONTROL!$C$15, $D$11, 100%, $F$11)</f>
        <v>20.384899999999998</v>
      </c>
      <c r="D727" s="8">
        <f>CHOOSE( CONTROL!$C$32, 20.3722, 20.3719) * CHOOSE( CONTROL!$C$15, $D$11, 100%, $F$11)</f>
        <v>20.372199999999999</v>
      </c>
      <c r="E727" s="12">
        <f>CHOOSE( CONTROL!$C$32, 20.3763, 20.376) * CHOOSE( CONTROL!$C$15, $D$11, 100%, $F$11)</f>
        <v>20.376300000000001</v>
      </c>
      <c r="F727" s="4">
        <f>CHOOSE( CONTROL!$C$32, 21.0451, 21.0448) * CHOOSE(CONTROL!$C$15, $D$11, 100%, $F$11)</f>
        <v>21.045100000000001</v>
      </c>
      <c r="G727" s="8">
        <f>CHOOSE( CONTROL!$C$32, 20.1475, 20.1473) * CHOOSE( CONTROL!$C$15, $D$11, 100%, $F$11)</f>
        <v>20.147500000000001</v>
      </c>
      <c r="H727" s="4">
        <f>CHOOSE( CONTROL!$C$32, 21.0452, 21.045) * CHOOSE(CONTROL!$C$15, $D$11, 100%, $F$11)</f>
        <v>21.045200000000001</v>
      </c>
      <c r="I727" s="8">
        <f>CHOOSE( CONTROL!$C$32, 19.9102, 19.9099) * CHOOSE(CONTROL!$C$15, $D$11, 100%, $F$11)</f>
        <v>19.9102</v>
      </c>
      <c r="J727" s="4">
        <f>CHOOSE( CONTROL!$C$32, 19.7698, 19.7696) * CHOOSE(CONTROL!$C$15, $D$11, 100%, $F$11)</f>
        <v>19.7698</v>
      </c>
      <c r="K727" s="4"/>
      <c r="L727" s="9">
        <v>29.306000000000001</v>
      </c>
      <c r="M727" s="9">
        <v>12.063700000000001</v>
      </c>
      <c r="N727" s="9">
        <v>4.9444999999999997</v>
      </c>
      <c r="O727" s="9">
        <v>0.37409999999999999</v>
      </c>
      <c r="P727" s="9">
        <v>1.2927</v>
      </c>
      <c r="Q727" s="9">
        <v>19.688099999999999</v>
      </c>
      <c r="R727" s="9"/>
      <c r="S727" s="11"/>
    </row>
    <row r="728" spans="1:19" ht="15.75">
      <c r="A728" s="13">
        <v>63309</v>
      </c>
      <c r="B728" s="8">
        <f>CHOOSE( CONTROL!$C$32, 20.6902, 20.6899) * CHOOSE(CONTROL!$C$15, $D$11, 100%, $F$11)</f>
        <v>20.690200000000001</v>
      </c>
      <c r="C728" s="8">
        <f>CHOOSE( CONTROL!$C$32, 20.6947, 20.6944) * CHOOSE(CONTROL!$C$15, $D$11, 100%, $F$11)</f>
        <v>20.694700000000001</v>
      </c>
      <c r="D728" s="8">
        <f>CHOOSE( CONTROL!$C$32, 20.6995, 20.6993) * CHOOSE( CONTROL!$C$15, $D$11, 100%, $F$11)</f>
        <v>20.6995</v>
      </c>
      <c r="E728" s="12">
        <f>CHOOSE( CONTROL!$C$32, 20.6974, 20.6972) * CHOOSE( CONTROL!$C$15, $D$11, 100%, $F$11)</f>
        <v>20.697399999999998</v>
      </c>
      <c r="F728" s="4">
        <f>CHOOSE( CONTROL!$C$32, 21.3943, 21.3941) * CHOOSE(CONTROL!$C$15, $D$11, 100%, $F$11)</f>
        <v>21.394300000000001</v>
      </c>
      <c r="G728" s="8">
        <f>CHOOSE( CONTROL!$C$32, 20.4593, 20.459) * CHOOSE( CONTROL!$C$15, $D$11, 100%, $F$11)</f>
        <v>20.459299999999999</v>
      </c>
      <c r="H728" s="4">
        <f>CHOOSE( CONTROL!$C$32, 21.3904, 21.3902) * CHOOSE(CONTROL!$C$15, $D$11, 100%, $F$11)</f>
        <v>21.3904</v>
      </c>
      <c r="I728" s="8">
        <f>CHOOSE( CONTROL!$C$32, 20.185, 20.1848) * CHOOSE(CONTROL!$C$15, $D$11, 100%, $F$11)</f>
        <v>20.184999999999999</v>
      </c>
      <c r="J728" s="4">
        <f>CHOOSE( CONTROL!$C$32, 20.0703, 20.07) * CHOOSE(CONTROL!$C$15, $D$11, 100%, $F$11)</f>
        <v>20.0703</v>
      </c>
      <c r="K728" s="4"/>
      <c r="L728" s="9">
        <v>30.092199999999998</v>
      </c>
      <c r="M728" s="9">
        <v>11.6745</v>
      </c>
      <c r="N728" s="9">
        <v>4.7850000000000001</v>
      </c>
      <c r="O728" s="9">
        <v>0.36199999999999999</v>
      </c>
      <c r="P728" s="9">
        <v>1.2509999999999999</v>
      </c>
      <c r="Q728" s="9">
        <v>19.053000000000001</v>
      </c>
      <c r="R728" s="9"/>
      <c r="S728" s="11"/>
    </row>
    <row r="729" spans="1:19" ht="15.75">
      <c r="A729" s="13">
        <v>63340</v>
      </c>
      <c r="B729" s="8">
        <f>CHOOSE( CONTROL!$C$32, 21.2427, 21.2423) * CHOOSE(CONTROL!$C$15, $D$11, 100%, $F$11)</f>
        <v>21.242699999999999</v>
      </c>
      <c r="C729" s="8">
        <f>CHOOSE( CONTROL!$C$32, 21.2507, 21.2503) * CHOOSE(CONTROL!$C$15, $D$11, 100%, $F$11)</f>
        <v>21.250699999999998</v>
      </c>
      <c r="D729" s="8">
        <f>CHOOSE( CONTROL!$C$32, 21.2495, 21.249) * CHOOSE( CONTROL!$C$15, $D$11, 100%, $F$11)</f>
        <v>21.249500000000001</v>
      </c>
      <c r="E729" s="12">
        <f>CHOOSE( CONTROL!$C$32, 21.2487, 21.2483) * CHOOSE( CONTROL!$C$15, $D$11, 100%, $F$11)</f>
        <v>21.248699999999999</v>
      </c>
      <c r="F729" s="4">
        <f>CHOOSE( CONTROL!$C$32, 21.9456, 21.9451) * CHOOSE(CONTROL!$C$15, $D$11, 100%, $F$11)</f>
        <v>21.945599999999999</v>
      </c>
      <c r="G729" s="8">
        <f>CHOOSE( CONTROL!$C$32, 21.0039, 21.0034) * CHOOSE( CONTROL!$C$15, $D$11, 100%, $F$11)</f>
        <v>21.003900000000002</v>
      </c>
      <c r="H729" s="4">
        <f>CHOOSE( CONTROL!$C$32, 21.9352, 21.9347) * CHOOSE(CONTROL!$C$15, $D$11, 100%, $F$11)</f>
        <v>21.935199999999998</v>
      </c>
      <c r="I729" s="8">
        <f>CHOOSE( CONTROL!$C$32, 20.7194, 20.719) * CHOOSE(CONTROL!$C$15, $D$11, 100%, $F$11)</f>
        <v>20.7194</v>
      </c>
      <c r="J729" s="4">
        <f>CHOOSE( CONTROL!$C$32, 20.6053, 20.6048) * CHOOSE(CONTROL!$C$15, $D$11, 100%, $F$11)</f>
        <v>20.6053</v>
      </c>
      <c r="K729" s="4"/>
      <c r="L729" s="9">
        <v>30.7165</v>
      </c>
      <c r="M729" s="9">
        <v>12.063700000000001</v>
      </c>
      <c r="N729" s="9">
        <v>4.9444999999999997</v>
      </c>
      <c r="O729" s="9">
        <v>0.37409999999999999</v>
      </c>
      <c r="P729" s="9">
        <v>1.2927</v>
      </c>
      <c r="Q729" s="9">
        <v>19.688099999999999</v>
      </c>
      <c r="R729" s="9"/>
      <c r="S729" s="11"/>
    </row>
    <row r="730" spans="1:19" ht="15.75">
      <c r="A730" s="13">
        <v>63370</v>
      </c>
      <c r="B730" s="8">
        <f>CHOOSE( CONTROL!$C$32, 20.9014, 20.9009) * CHOOSE(CONTROL!$C$15, $D$11, 100%, $F$11)</f>
        <v>20.901399999999999</v>
      </c>
      <c r="C730" s="8">
        <f>CHOOSE( CONTROL!$C$32, 20.9094, 20.9089) * CHOOSE(CONTROL!$C$15, $D$11, 100%, $F$11)</f>
        <v>20.909400000000002</v>
      </c>
      <c r="D730" s="8">
        <f>CHOOSE( CONTROL!$C$32, 20.9083, 20.9079) * CHOOSE( CONTROL!$C$15, $D$11, 100%, $F$11)</f>
        <v>20.908300000000001</v>
      </c>
      <c r="E730" s="12">
        <f>CHOOSE( CONTROL!$C$32, 20.9075, 20.907) * CHOOSE( CONTROL!$C$15, $D$11, 100%, $F$11)</f>
        <v>20.907499999999999</v>
      </c>
      <c r="F730" s="4">
        <f>CHOOSE( CONTROL!$C$32, 21.6042, 21.6037) * CHOOSE(CONTROL!$C$15, $D$11, 100%, $F$11)</f>
        <v>21.604199999999999</v>
      </c>
      <c r="G730" s="8">
        <f>CHOOSE( CONTROL!$C$32, 20.6667, 20.6662) * CHOOSE( CONTROL!$C$15, $D$11, 100%, $F$11)</f>
        <v>20.666699999999999</v>
      </c>
      <c r="H730" s="4">
        <f>CHOOSE( CONTROL!$C$32, 21.5978, 21.5974) * CHOOSE(CONTROL!$C$15, $D$11, 100%, $F$11)</f>
        <v>21.597799999999999</v>
      </c>
      <c r="I730" s="8">
        <f>CHOOSE( CONTROL!$C$32, 20.3886, 20.3882) * CHOOSE(CONTROL!$C$15, $D$11, 100%, $F$11)</f>
        <v>20.3886</v>
      </c>
      <c r="J730" s="4">
        <f>CHOOSE( CONTROL!$C$32, 20.274, 20.2735) * CHOOSE(CONTROL!$C$15, $D$11, 100%, $F$11)</f>
        <v>20.274000000000001</v>
      </c>
      <c r="K730" s="4"/>
      <c r="L730" s="9">
        <v>29.7257</v>
      </c>
      <c r="M730" s="9">
        <v>11.6745</v>
      </c>
      <c r="N730" s="9">
        <v>4.7850000000000001</v>
      </c>
      <c r="O730" s="9">
        <v>0.36199999999999999</v>
      </c>
      <c r="P730" s="9">
        <v>1.2509999999999999</v>
      </c>
      <c r="Q730" s="9">
        <v>19.053000000000001</v>
      </c>
      <c r="R730" s="9"/>
      <c r="S730" s="11"/>
    </row>
    <row r="731" spans="1:19" ht="15.75">
      <c r="A731" s="13">
        <v>63401</v>
      </c>
      <c r="B731" s="8">
        <f>CHOOSE( CONTROL!$C$32, 21.8003, 21.7998) * CHOOSE(CONTROL!$C$15, $D$11, 100%, $F$11)</f>
        <v>21.8003</v>
      </c>
      <c r="C731" s="8">
        <f>CHOOSE( CONTROL!$C$32, 21.8083, 21.8078) * CHOOSE(CONTROL!$C$15, $D$11, 100%, $F$11)</f>
        <v>21.808299999999999</v>
      </c>
      <c r="D731" s="8">
        <f>CHOOSE( CONTROL!$C$32, 21.8075, 21.807) * CHOOSE( CONTROL!$C$15, $D$11, 100%, $F$11)</f>
        <v>21.807500000000001</v>
      </c>
      <c r="E731" s="12">
        <f>CHOOSE( CONTROL!$C$32, 21.8066, 21.8061) * CHOOSE( CONTROL!$C$15, $D$11, 100%, $F$11)</f>
        <v>21.8066</v>
      </c>
      <c r="F731" s="4">
        <f>CHOOSE( CONTROL!$C$32, 22.5031, 22.5026) * CHOOSE(CONTROL!$C$15, $D$11, 100%, $F$11)</f>
        <v>22.5031</v>
      </c>
      <c r="G731" s="8">
        <f>CHOOSE( CONTROL!$C$32, 21.5552, 21.5548) * CHOOSE( CONTROL!$C$15, $D$11, 100%, $F$11)</f>
        <v>21.555199999999999</v>
      </c>
      <c r="H731" s="4">
        <f>CHOOSE( CONTROL!$C$32, 22.4862, 22.4858) * CHOOSE(CONTROL!$C$15, $D$11, 100%, $F$11)</f>
        <v>22.4862</v>
      </c>
      <c r="I731" s="8">
        <f>CHOOSE( CONTROL!$C$32, 21.2622, 21.2618) * CHOOSE(CONTROL!$C$15, $D$11, 100%, $F$11)</f>
        <v>21.2622</v>
      </c>
      <c r="J731" s="4">
        <f>CHOOSE( CONTROL!$C$32, 21.1463, 21.1459) * CHOOSE(CONTROL!$C$15, $D$11, 100%, $F$11)</f>
        <v>21.1463</v>
      </c>
      <c r="K731" s="4"/>
      <c r="L731" s="9">
        <v>30.7165</v>
      </c>
      <c r="M731" s="9">
        <v>12.063700000000001</v>
      </c>
      <c r="N731" s="9">
        <v>4.9444999999999997</v>
      </c>
      <c r="O731" s="9">
        <v>0.37409999999999999</v>
      </c>
      <c r="P731" s="9">
        <v>1.2927</v>
      </c>
      <c r="Q731" s="9">
        <v>19.688099999999999</v>
      </c>
      <c r="R731" s="9"/>
      <c r="S731" s="11"/>
    </row>
    <row r="732" spans="1:19" ht="15.75">
      <c r="A732" s="13">
        <v>63432</v>
      </c>
      <c r="B732" s="8">
        <f>CHOOSE( CONTROL!$C$32, 20.1184, 20.1179) * CHOOSE(CONTROL!$C$15, $D$11, 100%, $F$11)</f>
        <v>20.118400000000001</v>
      </c>
      <c r="C732" s="8">
        <f>CHOOSE( CONTROL!$C$32, 20.1263, 20.1259) * CHOOSE(CONTROL!$C$15, $D$11, 100%, $F$11)</f>
        <v>20.126300000000001</v>
      </c>
      <c r="D732" s="8">
        <f>CHOOSE( CONTROL!$C$32, 20.1256, 20.1251) * CHOOSE( CONTROL!$C$15, $D$11, 100%, $F$11)</f>
        <v>20.125599999999999</v>
      </c>
      <c r="E732" s="12">
        <f>CHOOSE( CONTROL!$C$32, 20.1246, 20.1242) * CHOOSE( CONTROL!$C$15, $D$11, 100%, $F$11)</f>
        <v>20.124600000000001</v>
      </c>
      <c r="F732" s="4">
        <f>CHOOSE( CONTROL!$C$32, 20.8212, 20.8207) * CHOOSE(CONTROL!$C$15, $D$11, 100%, $F$11)</f>
        <v>20.821200000000001</v>
      </c>
      <c r="G732" s="8">
        <f>CHOOSE( CONTROL!$C$32, 19.893, 19.8926) * CHOOSE( CONTROL!$C$15, $D$11, 100%, $F$11)</f>
        <v>19.893000000000001</v>
      </c>
      <c r="H732" s="4">
        <f>CHOOSE( CONTROL!$C$32, 20.824, 20.8235) * CHOOSE(CONTROL!$C$15, $D$11, 100%, $F$11)</f>
        <v>20.824000000000002</v>
      </c>
      <c r="I732" s="8">
        <f>CHOOSE( CONTROL!$C$32, 19.6293, 19.6289) * CHOOSE(CONTROL!$C$15, $D$11, 100%, $F$11)</f>
        <v>19.629300000000001</v>
      </c>
      <c r="J732" s="4">
        <f>CHOOSE( CONTROL!$C$32, 19.514, 19.5136) * CHOOSE(CONTROL!$C$15, $D$11, 100%, $F$11)</f>
        <v>19.513999999999999</v>
      </c>
      <c r="K732" s="4"/>
      <c r="L732" s="9">
        <v>30.7165</v>
      </c>
      <c r="M732" s="9">
        <v>12.063700000000001</v>
      </c>
      <c r="N732" s="9">
        <v>4.9444999999999997</v>
      </c>
      <c r="O732" s="9">
        <v>0.37409999999999999</v>
      </c>
      <c r="P732" s="9">
        <v>1.2927</v>
      </c>
      <c r="Q732" s="9">
        <v>19.688099999999999</v>
      </c>
      <c r="R732" s="9"/>
      <c r="S732" s="11"/>
    </row>
    <row r="733" spans="1:19" ht="15.75">
      <c r="A733" s="13">
        <v>63462</v>
      </c>
      <c r="B733" s="8">
        <f>CHOOSE( CONTROL!$C$32, 19.6972, 19.6967) * CHOOSE(CONTROL!$C$15, $D$11, 100%, $F$11)</f>
        <v>19.697199999999999</v>
      </c>
      <c r="C733" s="8">
        <f>CHOOSE( CONTROL!$C$32, 19.7052, 19.7047) * CHOOSE(CONTROL!$C$15, $D$11, 100%, $F$11)</f>
        <v>19.705200000000001</v>
      </c>
      <c r="D733" s="8">
        <f>CHOOSE( CONTROL!$C$32, 19.7043, 19.7038) * CHOOSE( CONTROL!$C$15, $D$11, 100%, $F$11)</f>
        <v>19.7043</v>
      </c>
      <c r="E733" s="12">
        <f>CHOOSE( CONTROL!$C$32, 19.7034, 19.7029) * CHOOSE( CONTROL!$C$15, $D$11, 100%, $F$11)</f>
        <v>19.703399999999998</v>
      </c>
      <c r="F733" s="4">
        <f>CHOOSE( CONTROL!$C$32, 20.4, 20.3995) * CHOOSE(CONTROL!$C$15, $D$11, 100%, $F$11)</f>
        <v>20.399999999999999</v>
      </c>
      <c r="G733" s="8">
        <f>CHOOSE( CONTROL!$C$32, 19.4767, 19.4762) * CHOOSE( CONTROL!$C$15, $D$11, 100%, $F$11)</f>
        <v>19.476700000000001</v>
      </c>
      <c r="H733" s="4">
        <f>CHOOSE( CONTROL!$C$32, 20.4077, 20.4073) * CHOOSE(CONTROL!$C$15, $D$11, 100%, $F$11)</f>
        <v>20.407699999999998</v>
      </c>
      <c r="I733" s="8">
        <f>CHOOSE( CONTROL!$C$32, 19.2198, 19.2194) * CHOOSE(CONTROL!$C$15, $D$11, 100%, $F$11)</f>
        <v>19.219799999999999</v>
      </c>
      <c r="J733" s="4">
        <f>CHOOSE( CONTROL!$C$32, 19.1053, 19.1048) * CHOOSE(CONTROL!$C$15, $D$11, 100%, $F$11)</f>
        <v>19.1053</v>
      </c>
      <c r="K733" s="4"/>
      <c r="L733" s="9">
        <v>29.7257</v>
      </c>
      <c r="M733" s="9">
        <v>11.6745</v>
      </c>
      <c r="N733" s="9">
        <v>4.7850000000000001</v>
      </c>
      <c r="O733" s="9">
        <v>0.36199999999999999</v>
      </c>
      <c r="P733" s="9">
        <v>1.2509999999999999</v>
      </c>
      <c r="Q733" s="9">
        <v>19.053000000000001</v>
      </c>
      <c r="R733" s="9"/>
      <c r="S733" s="11"/>
    </row>
    <row r="734" spans="1:19" ht="15.75">
      <c r="A734" s="13">
        <v>63493</v>
      </c>
      <c r="B734" s="8">
        <f>CHOOSE( CONTROL!$C$32, 20.5698, 20.5695) * CHOOSE(CONTROL!$C$15, $D$11, 100%, $F$11)</f>
        <v>20.569800000000001</v>
      </c>
      <c r="C734" s="8">
        <f>CHOOSE( CONTROL!$C$32, 20.5751, 20.5748) * CHOOSE(CONTROL!$C$15, $D$11, 100%, $F$11)</f>
        <v>20.575099999999999</v>
      </c>
      <c r="D734" s="8">
        <f>CHOOSE( CONTROL!$C$32, 20.5798, 20.5795) * CHOOSE( CONTROL!$C$15, $D$11, 100%, $F$11)</f>
        <v>20.579799999999999</v>
      </c>
      <c r="E734" s="12">
        <f>CHOOSE( CONTROL!$C$32, 20.5777, 20.5774) * CHOOSE( CONTROL!$C$15, $D$11, 100%, $F$11)</f>
        <v>20.5777</v>
      </c>
      <c r="F734" s="4">
        <f>CHOOSE( CONTROL!$C$32, 21.2743, 21.274) * CHOOSE(CONTROL!$C$15, $D$11, 100%, $F$11)</f>
        <v>21.2743</v>
      </c>
      <c r="G734" s="8">
        <f>CHOOSE( CONTROL!$C$32, 20.3409, 20.3407) * CHOOSE( CONTROL!$C$15, $D$11, 100%, $F$11)</f>
        <v>20.340900000000001</v>
      </c>
      <c r="H734" s="4">
        <f>CHOOSE( CONTROL!$C$32, 21.2718, 21.2716) * CHOOSE(CONTROL!$C$15, $D$11, 100%, $F$11)</f>
        <v>21.271799999999999</v>
      </c>
      <c r="I734" s="8">
        <f>CHOOSE( CONTROL!$C$32, 20.0696, 20.0693) * CHOOSE(CONTROL!$C$15, $D$11, 100%, $F$11)</f>
        <v>20.069600000000001</v>
      </c>
      <c r="J734" s="4">
        <f>CHOOSE( CONTROL!$C$32, 19.9538, 19.9536) * CHOOSE(CONTROL!$C$15, $D$11, 100%, $F$11)</f>
        <v>19.953800000000001</v>
      </c>
      <c r="K734" s="4"/>
      <c r="L734" s="9">
        <v>31.095300000000002</v>
      </c>
      <c r="M734" s="9">
        <v>12.063700000000001</v>
      </c>
      <c r="N734" s="9">
        <v>4.9444999999999997</v>
      </c>
      <c r="O734" s="9">
        <v>0.37409999999999999</v>
      </c>
      <c r="P734" s="9">
        <v>1.2927</v>
      </c>
      <c r="Q734" s="9">
        <v>19.688099999999999</v>
      </c>
      <c r="R734" s="9"/>
      <c r="S734" s="11"/>
    </row>
    <row r="735" spans="1:19" ht="15.75">
      <c r="A735" s="13">
        <v>63523</v>
      </c>
      <c r="B735" s="8">
        <f>CHOOSE( CONTROL!$C$32, 22.1835, 22.1832) * CHOOSE(CONTROL!$C$15, $D$11, 100%, $F$11)</f>
        <v>22.183499999999999</v>
      </c>
      <c r="C735" s="8">
        <f>CHOOSE( CONTROL!$C$32, 22.1886, 22.1883) * CHOOSE(CONTROL!$C$15, $D$11, 100%, $F$11)</f>
        <v>22.188600000000001</v>
      </c>
      <c r="D735" s="8">
        <f>CHOOSE( CONTROL!$C$32, 22.1713, 22.171) * CHOOSE( CONTROL!$C$15, $D$11, 100%, $F$11)</f>
        <v>22.171299999999999</v>
      </c>
      <c r="E735" s="12">
        <f>CHOOSE( CONTROL!$C$32, 22.1771, 22.1768) * CHOOSE( CONTROL!$C$15, $D$11, 100%, $F$11)</f>
        <v>22.177099999999999</v>
      </c>
      <c r="F735" s="4">
        <f>CHOOSE( CONTROL!$C$32, 22.8488, 22.8485) * CHOOSE(CONTROL!$C$15, $D$11, 100%, $F$11)</f>
        <v>22.848800000000001</v>
      </c>
      <c r="G735" s="8">
        <f>CHOOSE( CONTROL!$C$32, 21.9331, 21.9328) * CHOOSE( CONTROL!$C$15, $D$11, 100%, $F$11)</f>
        <v>21.9331</v>
      </c>
      <c r="H735" s="4">
        <f>CHOOSE( CONTROL!$C$32, 22.8279, 22.8276) * CHOOSE(CONTROL!$C$15, $D$11, 100%, $F$11)</f>
        <v>22.8279</v>
      </c>
      <c r="I735" s="8">
        <f>CHOOSE( CONTROL!$C$32, 21.6926, 21.6923) * CHOOSE(CONTROL!$C$15, $D$11, 100%, $F$11)</f>
        <v>21.692599999999999</v>
      </c>
      <c r="J735" s="4">
        <f>CHOOSE( CONTROL!$C$32, 21.5204, 21.5201) * CHOOSE(CONTROL!$C$15, $D$11, 100%, $F$11)</f>
        <v>21.520399999999999</v>
      </c>
      <c r="K735" s="4"/>
      <c r="L735" s="9">
        <v>28.360600000000002</v>
      </c>
      <c r="M735" s="9">
        <v>11.6745</v>
      </c>
      <c r="N735" s="9">
        <v>4.7850000000000001</v>
      </c>
      <c r="O735" s="9">
        <v>0.36199999999999999</v>
      </c>
      <c r="P735" s="9">
        <v>1.2509999999999999</v>
      </c>
      <c r="Q735" s="9">
        <v>19.053000000000001</v>
      </c>
      <c r="R735" s="9"/>
      <c r="S735" s="11"/>
    </row>
    <row r="736" spans="1:19" ht="15.75">
      <c r="A736" s="13">
        <v>63554</v>
      </c>
      <c r="B736" s="8">
        <f>CHOOSE( CONTROL!$C$32, 22.1432, 22.1429) * CHOOSE(CONTROL!$C$15, $D$11, 100%, $F$11)</f>
        <v>22.1432</v>
      </c>
      <c r="C736" s="8">
        <f>CHOOSE( CONTROL!$C$32, 22.1483, 22.148) * CHOOSE(CONTROL!$C$15, $D$11, 100%, $F$11)</f>
        <v>22.148299999999999</v>
      </c>
      <c r="D736" s="8">
        <f>CHOOSE( CONTROL!$C$32, 22.1328, 22.1325) * CHOOSE( CONTROL!$C$15, $D$11, 100%, $F$11)</f>
        <v>22.1328</v>
      </c>
      <c r="E736" s="12">
        <f>CHOOSE( CONTROL!$C$32, 22.1379, 22.1376) * CHOOSE( CONTROL!$C$15, $D$11, 100%, $F$11)</f>
        <v>22.137899999999998</v>
      </c>
      <c r="F736" s="4">
        <f>CHOOSE( CONTROL!$C$32, 22.8085, 22.8082) * CHOOSE(CONTROL!$C$15, $D$11, 100%, $F$11)</f>
        <v>22.808499999999999</v>
      </c>
      <c r="G736" s="8">
        <f>CHOOSE( CONTROL!$C$32, 21.8945, 21.8943) * CHOOSE( CONTROL!$C$15, $D$11, 100%, $F$11)</f>
        <v>21.894500000000001</v>
      </c>
      <c r="H736" s="4">
        <f>CHOOSE( CONTROL!$C$32, 22.788, 22.7877) * CHOOSE(CONTROL!$C$15, $D$11, 100%, $F$11)</f>
        <v>22.788</v>
      </c>
      <c r="I736" s="8">
        <f>CHOOSE( CONTROL!$C$32, 21.659, 21.6587) * CHOOSE(CONTROL!$C$15, $D$11, 100%, $F$11)</f>
        <v>21.658999999999999</v>
      </c>
      <c r="J736" s="4">
        <f>CHOOSE( CONTROL!$C$32, 21.4812, 21.481) * CHOOSE(CONTROL!$C$15, $D$11, 100%, $F$11)</f>
        <v>21.481200000000001</v>
      </c>
      <c r="K736" s="4"/>
      <c r="L736" s="9">
        <v>29.306000000000001</v>
      </c>
      <c r="M736" s="9">
        <v>12.063700000000001</v>
      </c>
      <c r="N736" s="9">
        <v>4.9444999999999997</v>
      </c>
      <c r="O736" s="9">
        <v>0.37409999999999999</v>
      </c>
      <c r="P736" s="9">
        <v>1.2927</v>
      </c>
      <c r="Q736" s="9">
        <v>19.688099999999999</v>
      </c>
      <c r="R736" s="9"/>
      <c r="S736" s="11"/>
    </row>
    <row r="737" spans="1:19" ht="15.75">
      <c r="A737" s="13">
        <v>63585</v>
      </c>
      <c r="B737" s="8">
        <f>CHOOSE( CONTROL!$C$32, 22.7961, 22.7958) * CHOOSE(CONTROL!$C$15, $D$11, 100%, $F$11)</f>
        <v>22.796099999999999</v>
      </c>
      <c r="C737" s="8">
        <f>CHOOSE( CONTROL!$C$32, 22.8011, 22.8009) * CHOOSE(CONTROL!$C$15, $D$11, 100%, $F$11)</f>
        <v>22.801100000000002</v>
      </c>
      <c r="D737" s="8">
        <f>CHOOSE( CONTROL!$C$32, 22.7916, 22.7913) * CHOOSE( CONTROL!$C$15, $D$11, 100%, $F$11)</f>
        <v>22.791599999999999</v>
      </c>
      <c r="E737" s="12">
        <f>CHOOSE( CONTROL!$C$32, 22.7945, 22.7943) * CHOOSE( CONTROL!$C$15, $D$11, 100%, $F$11)</f>
        <v>22.794499999999999</v>
      </c>
      <c r="F737" s="4">
        <f>CHOOSE( CONTROL!$C$32, 23.4614, 23.4611) * CHOOSE(CONTROL!$C$15, $D$11, 100%, $F$11)</f>
        <v>23.461400000000001</v>
      </c>
      <c r="G737" s="8">
        <f>CHOOSE( CONTROL!$C$32, 22.5405, 22.5402) * CHOOSE( CONTROL!$C$15, $D$11, 100%, $F$11)</f>
        <v>22.540500000000002</v>
      </c>
      <c r="H737" s="4">
        <f>CHOOSE( CONTROL!$C$32, 23.4332, 23.433) * CHOOSE(CONTROL!$C$15, $D$11, 100%, $F$11)</f>
        <v>23.433199999999999</v>
      </c>
      <c r="I737" s="8">
        <f>CHOOSE( CONTROL!$C$32, 22.2734, 22.2731) * CHOOSE(CONTROL!$C$15, $D$11, 100%, $F$11)</f>
        <v>22.273399999999999</v>
      </c>
      <c r="J737" s="4">
        <f>CHOOSE( CONTROL!$C$32, 22.1148, 22.1146) * CHOOSE(CONTROL!$C$15, $D$11, 100%, $F$11)</f>
        <v>22.114799999999999</v>
      </c>
      <c r="K737" s="4"/>
      <c r="L737" s="9">
        <v>29.306000000000001</v>
      </c>
      <c r="M737" s="9">
        <v>12.063700000000001</v>
      </c>
      <c r="N737" s="9">
        <v>4.9444999999999997</v>
      </c>
      <c r="O737" s="9">
        <v>0.37409999999999999</v>
      </c>
      <c r="P737" s="9">
        <v>1.2927</v>
      </c>
      <c r="Q737" s="9">
        <v>19.688099999999999</v>
      </c>
      <c r="R737" s="9"/>
      <c r="S737" s="11"/>
    </row>
    <row r="738" spans="1:19" ht="15.75">
      <c r="A738" s="13">
        <v>63613</v>
      </c>
      <c r="B738" s="8">
        <f>CHOOSE( CONTROL!$C$32, 21.3229, 21.3227) * CHOOSE(CONTROL!$C$15, $D$11, 100%, $F$11)</f>
        <v>21.322900000000001</v>
      </c>
      <c r="C738" s="8">
        <f>CHOOSE( CONTROL!$C$32, 21.328, 21.3277) * CHOOSE(CONTROL!$C$15, $D$11, 100%, $F$11)</f>
        <v>21.327999999999999</v>
      </c>
      <c r="D738" s="8">
        <f>CHOOSE( CONTROL!$C$32, 21.3201, 21.3199) * CHOOSE( CONTROL!$C$15, $D$11, 100%, $F$11)</f>
        <v>21.3201</v>
      </c>
      <c r="E738" s="12">
        <f>CHOOSE( CONTROL!$C$32, 21.3224, 21.3222) * CHOOSE( CONTROL!$C$15, $D$11, 100%, $F$11)</f>
        <v>21.322399999999998</v>
      </c>
      <c r="F738" s="4">
        <f>CHOOSE( CONTROL!$C$32, 21.9882, 21.988) * CHOOSE(CONTROL!$C$15, $D$11, 100%, $F$11)</f>
        <v>21.988199999999999</v>
      </c>
      <c r="G738" s="8">
        <f>CHOOSE( CONTROL!$C$32, 21.0831, 21.0829) * CHOOSE( CONTROL!$C$15, $D$11, 100%, $F$11)</f>
        <v>21.083100000000002</v>
      </c>
      <c r="H738" s="4">
        <f>CHOOSE( CONTROL!$C$32, 21.9774, 21.9771) * CHOOSE(CONTROL!$C$15, $D$11, 100%, $F$11)</f>
        <v>21.977399999999999</v>
      </c>
      <c r="I738" s="8">
        <f>CHOOSE( CONTROL!$C$32, 20.8276, 20.8273) * CHOOSE(CONTROL!$C$15, $D$11, 100%, $F$11)</f>
        <v>20.8276</v>
      </c>
      <c r="J738" s="4">
        <f>CHOOSE( CONTROL!$C$32, 20.6852, 20.6849) * CHOOSE(CONTROL!$C$15, $D$11, 100%, $F$11)</f>
        <v>20.685199999999998</v>
      </c>
      <c r="K738" s="4"/>
      <c r="L738" s="9">
        <v>26.469899999999999</v>
      </c>
      <c r="M738" s="9">
        <v>10.8962</v>
      </c>
      <c r="N738" s="9">
        <v>4.4660000000000002</v>
      </c>
      <c r="O738" s="9">
        <v>0.33789999999999998</v>
      </c>
      <c r="P738" s="9">
        <v>1.1676</v>
      </c>
      <c r="Q738" s="9">
        <v>17.782800000000002</v>
      </c>
      <c r="R738" s="9"/>
      <c r="S738" s="11"/>
    </row>
    <row r="739" spans="1:19" ht="15.75">
      <c r="A739" s="13">
        <v>63644</v>
      </c>
      <c r="B739" s="8">
        <f>CHOOSE( CONTROL!$C$32, 20.8692, 20.869) * CHOOSE(CONTROL!$C$15, $D$11, 100%, $F$11)</f>
        <v>20.869199999999999</v>
      </c>
      <c r="C739" s="8">
        <f>CHOOSE( CONTROL!$C$32, 20.8743, 20.874) * CHOOSE(CONTROL!$C$15, $D$11, 100%, $F$11)</f>
        <v>20.874300000000002</v>
      </c>
      <c r="D739" s="8">
        <f>CHOOSE( CONTROL!$C$32, 20.8616, 20.8613) * CHOOSE( CONTROL!$C$15, $D$11, 100%, $F$11)</f>
        <v>20.861599999999999</v>
      </c>
      <c r="E739" s="12">
        <f>CHOOSE( CONTROL!$C$32, 20.8657, 20.8654) * CHOOSE( CONTROL!$C$15, $D$11, 100%, $F$11)</f>
        <v>20.8657</v>
      </c>
      <c r="F739" s="4">
        <f>CHOOSE( CONTROL!$C$32, 21.5345, 21.5342) * CHOOSE(CONTROL!$C$15, $D$11, 100%, $F$11)</f>
        <v>21.534500000000001</v>
      </c>
      <c r="G739" s="8">
        <f>CHOOSE( CONTROL!$C$32, 20.6313, 20.631) * CHOOSE( CONTROL!$C$15, $D$11, 100%, $F$11)</f>
        <v>20.6313</v>
      </c>
      <c r="H739" s="4">
        <f>CHOOSE( CONTROL!$C$32, 21.529, 21.5287) * CHOOSE(CONTROL!$C$15, $D$11, 100%, $F$11)</f>
        <v>21.529</v>
      </c>
      <c r="I739" s="8">
        <f>CHOOSE( CONTROL!$C$32, 20.3854, 20.3852) * CHOOSE(CONTROL!$C$15, $D$11, 100%, $F$11)</f>
        <v>20.385400000000001</v>
      </c>
      <c r="J739" s="4">
        <f>CHOOSE( CONTROL!$C$32, 20.2448, 20.2446) * CHOOSE(CONTROL!$C$15, $D$11, 100%, $F$11)</f>
        <v>20.244800000000001</v>
      </c>
      <c r="K739" s="4"/>
      <c r="L739" s="9">
        <v>29.306000000000001</v>
      </c>
      <c r="M739" s="9">
        <v>12.063700000000001</v>
      </c>
      <c r="N739" s="9">
        <v>4.9444999999999997</v>
      </c>
      <c r="O739" s="9">
        <v>0.37409999999999999</v>
      </c>
      <c r="P739" s="9">
        <v>1.2927</v>
      </c>
      <c r="Q739" s="9">
        <v>19.688099999999999</v>
      </c>
      <c r="R739" s="9"/>
      <c r="S739" s="11"/>
    </row>
    <row r="740" spans="1:19" ht="15.75">
      <c r="A740" s="13">
        <v>63674</v>
      </c>
      <c r="B740" s="8">
        <f>CHOOSE( CONTROL!$C$32, 21.187, 21.1868) * CHOOSE(CONTROL!$C$15, $D$11, 100%, $F$11)</f>
        <v>21.187000000000001</v>
      </c>
      <c r="C740" s="8">
        <f>CHOOSE( CONTROL!$C$32, 21.1915, 21.1913) * CHOOSE(CONTROL!$C$15, $D$11, 100%, $F$11)</f>
        <v>21.191500000000001</v>
      </c>
      <c r="D740" s="8">
        <f>CHOOSE( CONTROL!$C$32, 21.1964, 21.1961) * CHOOSE( CONTROL!$C$15, $D$11, 100%, $F$11)</f>
        <v>21.196400000000001</v>
      </c>
      <c r="E740" s="12">
        <f>CHOOSE( CONTROL!$C$32, 21.1943, 21.194) * CHOOSE( CONTROL!$C$15, $D$11, 100%, $F$11)</f>
        <v>21.194299999999998</v>
      </c>
      <c r="F740" s="4">
        <f>CHOOSE( CONTROL!$C$32, 21.8912, 21.891) * CHOOSE(CONTROL!$C$15, $D$11, 100%, $F$11)</f>
        <v>21.891200000000001</v>
      </c>
      <c r="G740" s="8">
        <f>CHOOSE( CONTROL!$C$32, 20.9504, 20.9501) * CHOOSE( CONTROL!$C$15, $D$11, 100%, $F$11)</f>
        <v>20.950399999999998</v>
      </c>
      <c r="H740" s="4">
        <f>CHOOSE( CONTROL!$C$32, 21.8815, 21.8812) * CHOOSE(CONTROL!$C$15, $D$11, 100%, $F$11)</f>
        <v>21.881499999999999</v>
      </c>
      <c r="I740" s="8">
        <f>CHOOSE( CONTROL!$C$32, 20.6675, 20.6672) * CHOOSE(CONTROL!$C$15, $D$11, 100%, $F$11)</f>
        <v>20.6675</v>
      </c>
      <c r="J740" s="4">
        <f>CHOOSE( CONTROL!$C$32, 20.5525, 20.5523) * CHOOSE(CONTROL!$C$15, $D$11, 100%, $F$11)</f>
        <v>20.552499999999998</v>
      </c>
      <c r="K740" s="4"/>
      <c r="L740" s="9">
        <v>30.092199999999998</v>
      </c>
      <c r="M740" s="9">
        <v>11.6745</v>
      </c>
      <c r="N740" s="9">
        <v>4.7850000000000001</v>
      </c>
      <c r="O740" s="9">
        <v>0.36199999999999999</v>
      </c>
      <c r="P740" s="9">
        <v>1.2509999999999999</v>
      </c>
      <c r="Q740" s="9">
        <v>19.053000000000001</v>
      </c>
      <c r="R740" s="9"/>
      <c r="S740" s="11"/>
    </row>
    <row r="741" spans="1:19" ht="15.75">
      <c r="A741" s="13">
        <v>63705</v>
      </c>
      <c r="B741" s="8">
        <f>CHOOSE( CONTROL!$C$32, 21.7529, 21.7524) * CHOOSE(CONTROL!$C$15, $D$11, 100%, $F$11)</f>
        <v>21.7529</v>
      </c>
      <c r="C741" s="8">
        <f>CHOOSE( CONTROL!$C$32, 21.7608, 21.7604) * CHOOSE(CONTROL!$C$15, $D$11, 100%, $F$11)</f>
        <v>21.7608</v>
      </c>
      <c r="D741" s="8">
        <f>CHOOSE( CONTROL!$C$32, 21.7596, 21.7592) * CHOOSE( CONTROL!$C$15, $D$11, 100%, $F$11)</f>
        <v>21.759599999999999</v>
      </c>
      <c r="E741" s="12">
        <f>CHOOSE( CONTROL!$C$32, 21.7588, 21.7584) * CHOOSE( CONTROL!$C$15, $D$11, 100%, $F$11)</f>
        <v>21.758800000000001</v>
      </c>
      <c r="F741" s="4">
        <f>CHOOSE( CONTROL!$C$32, 22.4557, 22.4552) * CHOOSE(CONTROL!$C$15, $D$11, 100%, $F$11)</f>
        <v>22.4557</v>
      </c>
      <c r="G741" s="8">
        <f>CHOOSE( CONTROL!$C$32, 21.508, 21.5076) * CHOOSE( CONTROL!$C$15, $D$11, 100%, $F$11)</f>
        <v>21.507999999999999</v>
      </c>
      <c r="H741" s="4">
        <f>CHOOSE( CONTROL!$C$32, 22.4394, 22.4389) * CHOOSE(CONTROL!$C$15, $D$11, 100%, $F$11)</f>
        <v>22.439399999999999</v>
      </c>
      <c r="I741" s="8">
        <f>CHOOSE( CONTROL!$C$32, 21.2148, 21.2143) * CHOOSE(CONTROL!$C$15, $D$11, 100%, $F$11)</f>
        <v>21.2148</v>
      </c>
      <c r="J741" s="4">
        <f>CHOOSE( CONTROL!$C$32, 21.1003, 21.0999) * CHOOSE(CONTROL!$C$15, $D$11, 100%, $F$11)</f>
        <v>21.100300000000001</v>
      </c>
      <c r="K741" s="4"/>
      <c r="L741" s="9">
        <v>30.7165</v>
      </c>
      <c r="M741" s="9">
        <v>12.063700000000001</v>
      </c>
      <c r="N741" s="9">
        <v>4.9444999999999997</v>
      </c>
      <c r="O741" s="9">
        <v>0.37409999999999999</v>
      </c>
      <c r="P741" s="9">
        <v>1.2927</v>
      </c>
      <c r="Q741" s="9">
        <v>19.688099999999999</v>
      </c>
      <c r="R741" s="9"/>
      <c r="S741" s="11"/>
    </row>
    <row r="742" spans="1:19" ht="15.75">
      <c r="A742" s="13">
        <v>63735</v>
      </c>
      <c r="B742" s="8">
        <f>CHOOSE( CONTROL!$C$32, 21.4033, 21.4029) * CHOOSE(CONTROL!$C$15, $D$11, 100%, $F$11)</f>
        <v>21.403300000000002</v>
      </c>
      <c r="C742" s="8">
        <f>CHOOSE( CONTROL!$C$32, 21.4113, 21.4108) * CHOOSE(CONTROL!$C$15, $D$11, 100%, $F$11)</f>
        <v>21.411300000000001</v>
      </c>
      <c r="D742" s="8">
        <f>CHOOSE( CONTROL!$C$32, 21.4103, 21.4098) * CHOOSE( CONTROL!$C$15, $D$11, 100%, $F$11)</f>
        <v>21.410299999999999</v>
      </c>
      <c r="E742" s="12">
        <f>CHOOSE( CONTROL!$C$32, 21.4094, 21.409) * CHOOSE( CONTROL!$C$15, $D$11, 100%, $F$11)</f>
        <v>21.409400000000002</v>
      </c>
      <c r="F742" s="4">
        <f>CHOOSE( CONTROL!$C$32, 22.1061, 22.1057) * CHOOSE(CONTROL!$C$15, $D$11, 100%, $F$11)</f>
        <v>22.106100000000001</v>
      </c>
      <c r="G742" s="8">
        <f>CHOOSE( CONTROL!$C$32, 21.1627, 21.1623) * CHOOSE( CONTROL!$C$15, $D$11, 100%, $F$11)</f>
        <v>21.162700000000001</v>
      </c>
      <c r="H742" s="4">
        <f>CHOOSE( CONTROL!$C$32, 22.0939, 22.0934) * CHOOSE(CONTROL!$C$15, $D$11, 100%, $F$11)</f>
        <v>22.093900000000001</v>
      </c>
      <c r="I742" s="8">
        <f>CHOOSE( CONTROL!$C$32, 20.876, 20.8756) * CHOOSE(CONTROL!$C$15, $D$11, 100%, $F$11)</f>
        <v>20.876000000000001</v>
      </c>
      <c r="J742" s="4">
        <f>CHOOSE( CONTROL!$C$32, 20.7611, 20.7607) * CHOOSE(CONTROL!$C$15, $D$11, 100%, $F$11)</f>
        <v>20.761099999999999</v>
      </c>
      <c r="K742" s="4"/>
      <c r="L742" s="9">
        <v>29.7257</v>
      </c>
      <c r="M742" s="9">
        <v>11.6745</v>
      </c>
      <c r="N742" s="9">
        <v>4.7850000000000001</v>
      </c>
      <c r="O742" s="9">
        <v>0.36199999999999999</v>
      </c>
      <c r="P742" s="9">
        <v>1.2509999999999999</v>
      </c>
      <c r="Q742" s="9">
        <v>19.053000000000001</v>
      </c>
      <c r="R742" s="9"/>
      <c r="S742" s="11"/>
    </row>
    <row r="743" spans="1:19" ht="15.75">
      <c r="A743" s="13">
        <v>63766</v>
      </c>
      <c r="B743" s="8">
        <f>CHOOSE( CONTROL!$C$32, 22.3238, 22.3233) * CHOOSE(CONTROL!$C$15, $D$11, 100%, $F$11)</f>
        <v>22.323799999999999</v>
      </c>
      <c r="C743" s="8">
        <f>CHOOSE( CONTROL!$C$32, 22.3318, 22.3313) * CHOOSE(CONTROL!$C$15, $D$11, 100%, $F$11)</f>
        <v>22.331800000000001</v>
      </c>
      <c r="D743" s="8">
        <f>CHOOSE( CONTROL!$C$32, 22.331, 22.3305) * CHOOSE( CONTROL!$C$15, $D$11, 100%, $F$11)</f>
        <v>22.331</v>
      </c>
      <c r="E743" s="12">
        <f>CHOOSE( CONTROL!$C$32, 22.3301, 22.3296) * CHOOSE( CONTROL!$C$15, $D$11, 100%, $F$11)</f>
        <v>22.330100000000002</v>
      </c>
      <c r="F743" s="4">
        <f>CHOOSE( CONTROL!$C$32, 23.0266, 23.0262) * CHOOSE(CONTROL!$C$15, $D$11, 100%, $F$11)</f>
        <v>23.026599999999998</v>
      </c>
      <c r="G743" s="8">
        <f>CHOOSE( CONTROL!$C$32, 22.0726, 22.0722) * CHOOSE( CONTROL!$C$15, $D$11, 100%, $F$11)</f>
        <v>22.072600000000001</v>
      </c>
      <c r="H743" s="4">
        <f>CHOOSE( CONTROL!$C$32, 23.0036, 23.0032) * CHOOSE(CONTROL!$C$15, $D$11, 100%, $F$11)</f>
        <v>23.003599999999999</v>
      </c>
      <c r="I743" s="8">
        <f>CHOOSE( CONTROL!$C$32, 21.7706, 21.7701) * CHOOSE(CONTROL!$C$15, $D$11, 100%, $F$11)</f>
        <v>21.770600000000002</v>
      </c>
      <c r="J743" s="4">
        <f>CHOOSE( CONTROL!$C$32, 21.6544, 21.654) * CHOOSE(CONTROL!$C$15, $D$11, 100%, $F$11)</f>
        <v>21.654399999999999</v>
      </c>
      <c r="K743" s="4"/>
      <c r="L743" s="9">
        <v>30.7165</v>
      </c>
      <c r="M743" s="9">
        <v>12.063700000000001</v>
      </c>
      <c r="N743" s="9">
        <v>4.9444999999999997</v>
      </c>
      <c r="O743" s="9">
        <v>0.37409999999999999</v>
      </c>
      <c r="P743" s="9">
        <v>1.2927</v>
      </c>
      <c r="Q743" s="9">
        <v>19.688099999999999</v>
      </c>
      <c r="R743" s="9"/>
      <c r="S743" s="11"/>
    </row>
    <row r="744" spans="1:19" ht="15.75">
      <c r="A744" s="13">
        <v>63797</v>
      </c>
      <c r="B744" s="8">
        <f>CHOOSE( CONTROL!$C$32, 20.6015, 20.601) * CHOOSE(CONTROL!$C$15, $D$11, 100%, $F$11)</f>
        <v>20.601500000000001</v>
      </c>
      <c r="C744" s="8">
        <f>CHOOSE( CONTROL!$C$32, 20.6094, 20.609) * CHOOSE(CONTROL!$C$15, $D$11, 100%, $F$11)</f>
        <v>20.609400000000001</v>
      </c>
      <c r="D744" s="8">
        <f>CHOOSE( CONTROL!$C$32, 20.6087, 20.6082) * CHOOSE( CONTROL!$C$15, $D$11, 100%, $F$11)</f>
        <v>20.608699999999999</v>
      </c>
      <c r="E744" s="12">
        <f>CHOOSE( CONTROL!$C$32, 20.6077, 20.6073) * CHOOSE( CONTROL!$C$15, $D$11, 100%, $F$11)</f>
        <v>20.607700000000001</v>
      </c>
      <c r="F744" s="4">
        <f>CHOOSE( CONTROL!$C$32, 21.3043, 21.3038) * CHOOSE(CONTROL!$C$15, $D$11, 100%, $F$11)</f>
        <v>21.304300000000001</v>
      </c>
      <c r="G744" s="8">
        <f>CHOOSE( CONTROL!$C$32, 20.3705, 20.37) * CHOOSE( CONTROL!$C$15, $D$11, 100%, $F$11)</f>
        <v>20.3705</v>
      </c>
      <c r="H744" s="4">
        <f>CHOOSE( CONTROL!$C$32, 21.3014, 21.301) * CHOOSE(CONTROL!$C$15, $D$11, 100%, $F$11)</f>
        <v>21.301400000000001</v>
      </c>
      <c r="I744" s="8">
        <f>CHOOSE( CONTROL!$C$32, 20.0984, 20.098) * CHOOSE(CONTROL!$C$15, $D$11, 100%, $F$11)</f>
        <v>20.098400000000002</v>
      </c>
      <c r="J744" s="4">
        <f>CHOOSE( CONTROL!$C$32, 19.9829, 19.9825) * CHOOSE(CONTROL!$C$15, $D$11, 100%, $F$11)</f>
        <v>19.982900000000001</v>
      </c>
      <c r="K744" s="4"/>
      <c r="L744" s="9">
        <v>30.7165</v>
      </c>
      <c r="M744" s="9">
        <v>12.063700000000001</v>
      </c>
      <c r="N744" s="9">
        <v>4.9444999999999997</v>
      </c>
      <c r="O744" s="9">
        <v>0.37409999999999999</v>
      </c>
      <c r="P744" s="9">
        <v>1.2927</v>
      </c>
      <c r="Q744" s="9">
        <v>19.688099999999999</v>
      </c>
      <c r="R744" s="9"/>
      <c r="S744" s="11"/>
    </row>
    <row r="745" spans="1:19" ht="15.75">
      <c r="A745" s="13">
        <v>63827</v>
      </c>
      <c r="B745" s="8">
        <f>CHOOSE( CONTROL!$C$32, 20.1702, 20.1697) * CHOOSE(CONTROL!$C$15, $D$11, 100%, $F$11)</f>
        <v>20.170200000000001</v>
      </c>
      <c r="C745" s="8">
        <f>CHOOSE( CONTROL!$C$32, 20.1781, 20.1777) * CHOOSE(CONTROL!$C$15, $D$11, 100%, $F$11)</f>
        <v>20.178100000000001</v>
      </c>
      <c r="D745" s="8">
        <f>CHOOSE( CONTROL!$C$32, 20.1773, 20.1768) * CHOOSE( CONTROL!$C$15, $D$11, 100%, $F$11)</f>
        <v>20.177299999999999</v>
      </c>
      <c r="E745" s="12">
        <f>CHOOSE( CONTROL!$C$32, 20.1764, 20.1759) * CHOOSE( CONTROL!$C$15, $D$11, 100%, $F$11)</f>
        <v>20.176400000000001</v>
      </c>
      <c r="F745" s="4">
        <f>CHOOSE( CONTROL!$C$32, 20.873, 20.8725) * CHOOSE(CONTROL!$C$15, $D$11, 100%, $F$11)</f>
        <v>20.873000000000001</v>
      </c>
      <c r="G745" s="8">
        <f>CHOOSE( CONTROL!$C$32, 19.9441, 19.9437) * CHOOSE( CONTROL!$C$15, $D$11, 100%, $F$11)</f>
        <v>19.944099999999999</v>
      </c>
      <c r="H745" s="4">
        <f>CHOOSE( CONTROL!$C$32, 20.8752, 20.8747) * CHOOSE(CONTROL!$C$15, $D$11, 100%, $F$11)</f>
        <v>20.8752</v>
      </c>
      <c r="I745" s="8">
        <f>CHOOSE( CONTROL!$C$32, 19.6791, 19.6787) * CHOOSE(CONTROL!$C$15, $D$11, 100%, $F$11)</f>
        <v>19.679099999999998</v>
      </c>
      <c r="J745" s="4">
        <f>CHOOSE( CONTROL!$C$32, 19.5643, 19.5639) * CHOOSE(CONTROL!$C$15, $D$11, 100%, $F$11)</f>
        <v>19.564299999999999</v>
      </c>
      <c r="K745" s="4"/>
      <c r="L745" s="9">
        <v>29.7257</v>
      </c>
      <c r="M745" s="9">
        <v>11.6745</v>
      </c>
      <c r="N745" s="9">
        <v>4.7850000000000001</v>
      </c>
      <c r="O745" s="9">
        <v>0.36199999999999999</v>
      </c>
      <c r="P745" s="9">
        <v>1.2509999999999999</v>
      </c>
      <c r="Q745" s="9">
        <v>19.053000000000001</v>
      </c>
      <c r="R745" s="9"/>
      <c r="S745" s="11"/>
    </row>
    <row r="746" spans="1:19" ht="15.75">
      <c r="A746" s="13">
        <v>63858</v>
      </c>
      <c r="B746" s="8">
        <f>CHOOSE( CONTROL!$C$32, 21.0638, 21.0635) * CHOOSE(CONTROL!$C$15, $D$11, 100%, $F$11)</f>
        <v>21.063800000000001</v>
      </c>
      <c r="C746" s="8">
        <f>CHOOSE( CONTROL!$C$32, 21.0691, 21.0688) * CHOOSE(CONTROL!$C$15, $D$11, 100%, $F$11)</f>
        <v>21.069099999999999</v>
      </c>
      <c r="D746" s="8">
        <f>CHOOSE( CONTROL!$C$32, 21.0738, 21.0735) * CHOOSE( CONTROL!$C$15, $D$11, 100%, $F$11)</f>
        <v>21.073799999999999</v>
      </c>
      <c r="E746" s="12">
        <f>CHOOSE( CONTROL!$C$32, 21.0717, 21.0714) * CHOOSE( CONTROL!$C$15, $D$11, 100%, $F$11)</f>
        <v>21.0717</v>
      </c>
      <c r="F746" s="4">
        <f>CHOOSE( CONTROL!$C$32, 21.7683, 21.7681) * CHOOSE(CONTROL!$C$15, $D$11, 100%, $F$11)</f>
        <v>21.7683</v>
      </c>
      <c r="G746" s="8">
        <f>CHOOSE( CONTROL!$C$32, 20.8292, 20.8289) * CHOOSE( CONTROL!$C$15, $D$11, 100%, $F$11)</f>
        <v>20.8292</v>
      </c>
      <c r="H746" s="4">
        <f>CHOOSE( CONTROL!$C$32, 21.76, 21.7598) * CHOOSE(CONTROL!$C$15, $D$11, 100%, $F$11)</f>
        <v>21.76</v>
      </c>
      <c r="I746" s="8">
        <f>CHOOSE( CONTROL!$C$32, 20.5493, 20.549) * CHOOSE(CONTROL!$C$15, $D$11, 100%, $F$11)</f>
        <v>20.549299999999999</v>
      </c>
      <c r="J746" s="4">
        <f>CHOOSE( CONTROL!$C$32, 20.4333, 20.433) * CHOOSE(CONTROL!$C$15, $D$11, 100%, $F$11)</f>
        <v>20.433299999999999</v>
      </c>
      <c r="K746" s="4"/>
      <c r="L746" s="9">
        <v>31.095300000000002</v>
      </c>
      <c r="M746" s="9">
        <v>12.063700000000001</v>
      </c>
      <c r="N746" s="9">
        <v>4.9444999999999997</v>
      </c>
      <c r="O746" s="9">
        <v>0.37409999999999999</v>
      </c>
      <c r="P746" s="9">
        <v>1.2927</v>
      </c>
      <c r="Q746" s="9">
        <v>19.688099999999999</v>
      </c>
      <c r="R746" s="9"/>
      <c r="S746" s="11"/>
    </row>
    <row r="747" spans="1:19" ht="15.75">
      <c r="A747" s="13">
        <v>63888</v>
      </c>
      <c r="B747" s="8">
        <f>CHOOSE( CONTROL!$C$32, 22.7163, 22.716) * CHOOSE(CONTROL!$C$15, $D$11, 100%, $F$11)</f>
        <v>22.7163</v>
      </c>
      <c r="C747" s="8">
        <f>CHOOSE( CONTROL!$C$32, 22.7214, 22.7211) * CHOOSE(CONTROL!$C$15, $D$11, 100%, $F$11)</f>
        <v>22.721399999999999</v>
      </c>
      <c r="D747" s="8">
        <f>CHOOSE( CONTROL!$C$32, 22.7041, 22.7038) * CHOOSE( CONTROL!$C$15, $D$11, 100%, $F$11)</f>
        <v>22.7041</v>
      </c>
      <c r="E747" s="12">
        <f>CHOOSE( CONTROL!$C$32, 22.7099, 22.7096) * CHOOSE( CONTROL!$C$15, $D$11, 100%, $F$11)</f>
        <v>22.709900000000001</v>
      </c>
      <c r="F747" s="4">
        <f>CHOOSE( CONTROL!$C$32, 23.3816, 23.3813) * CHOOSE(CONTROL!$C$15, $D$11, 100%, $F$11)</f>
        <v>23.381599999999999</v>
      </c>
      <c r="G747" s="8">
        <f>CHOOSE( CONTROL!$C$32, 22.4597, 22.4594) * CHOOSE( CONTROL!$C$15, $D$11, 100%, $F$11)</f>
        <v>22.459700000000002</v>
      </c>
      <c r="H747" s="4">
        <f>CHOOSE( CONTROL!$C$32, 23.3544, 23.3541) * CHOOSE(CONTROL!$C$15, $D$11, 100%, $F$11)</f>
        <v>23.354399999999998</v>
      </c>
      <c r="I747" s="8">
        <f>CHOOSE( CONTROL!$C$32, 22.2099, 22.2096) * CHOOSE(CONTROL!$C$15, $D$11, 100%, $F$11)</f>
        <v>22.209900000000001</v>
      </c>
      <c r="J747" s="4">
        <f>CHOOSE( CONTROL!$C$32, 22.0374, 22.0372) * CHOOSE(CONTROL!$C$15, $D$11, 100%, $F$11)</f>
        <v>22.037400000000002</v>
      </c>
      <c r="K747" s="4"/>
      <c r="L747" s="9">
        <v>28.360600000000002</v>
      </c>
      <c r="M747" s="9">
        <v>11.6745</v>
      </c>
      <c r="N747" s="9">
        <v>4.7850000000000001</v>
      </c>
      <c r="O747" s="9">
        <v>0.36199999999999999</v>
      </c>
      <c r="P747" s="9">
        <v>1.2509999999999999</v>
      </c>
      <c r="Q747" s="9">
        <v>19.053000000000001</v>
      </c>
      <c r="R747" s="9"/>
      <c r="S747" s="11"/>
    </row>
    <row r="748" spans="1:19" ht="15.75">
      <c r="A748" s="13">
        <v>63919</v>
      </c>
      <c r="B748" s="8">
        <f>CHOOSE( CONTROL!$C$32, 22.675, 22.6747) * CHOOSE(CONTROL!$C$15, $D$11, 100%, $F$11)</f>
        <v>22.675000000000001</v>
      </c>
      <c r="C748" s="8">
        <f>CHOOSE( CONTROL!$C$32, 22.6801, 22.6798) * CHOOSE(CONTROL!$C$15, $D$11, 100%, $F$11)</f>
        <v>22.680099999999999</v>
      </c>
      <c r="D748" s="8">
        <f>CHOOSE( CONTROL!$C$32, 22.6646, 22.6643) * CHOOSE( CONTROL!$C$15, $D$11, 100%, $F$11)</f>
        <v>22.6646</v>
      </c>
      <c r="E748" s="12">
        <f>CHOOSE( CONTROL!$C$32, 22.6697, 22.6694) * CHOOSE( CONTROL!$C$15, $D$11, 100%, $F$11)</f>
        <v>22.669699999999999</v>
      </c>
      <c r="F748" s="4">
        <f>CHOOSE( CONTROL!$C$32, 23.3403, 23.34) * CHOOSE(CONTROL!$C$15, $D$11, 100%, $F$11)</f>
        <v>23.340299999999999</v>
      </c>
      <c r="G748" s="8">
        <f>CHOOSE( CONTROL!$C$32, 22.4201, 22.4199) * CHOOSE( CONTROL!$C$15, $D$11, 100%, $F$11)</f>
        <v>22.420100000000001</v>
      </c>
      <c r="H748" s="4">
        <f>CHOOSE( CONTROL!$C$32, 23.3136, 23.3133) * CHOOSE(CONTROL!$C$15, $D$11, 100%, $F$11)</f>
        <v>23.313600000000001</v>
      </c>
      <c r="I748" s="8">
        <f>CHOOSE( CONTROL!$C$32, 22.1754, 22.1751) * CHOOSE(CONTROL!$C$15, $D$11, 100%, $F$11)</f>
        <v>22.1754</v>
      </c>
      <c r="J748" s="4">
        <f>CHOOSE( CONTROL!$C$32, 21.9973, 21.9971) * CHOOSE(CONTROL!$C$15, $D$11, 100%, $F$11)</f>
        <v>21.997299999999999</v>
      </c>
      <c r="K748" s="4"/>
      <c r="L748" s="9">
        <v>29.306000000000001</v>
      </c>
      <c r="M748" s="9">
        <v>12.063700000000001</v>
      </c>
      <c r="N748" s="9">
        <v>4.9444999999999997</v>
      </c>
      <c r="O748" s="9">
        <v>0.37409999999999999</v>
      </c>
      <c r="P748" s="9">
        <v>1.2927</v>
      </c>
      <c r="Q748" s="9">
        <v>19.688099999999999</v>
      </c>
      <c r="R748" s="9"/>
      <c r="S748" s="11"/>
    </row>
    <row r="749" spans="1:19" ht="15.75">
      <c r="A749" s="13">
        <v>63950</v>
      </c>
      <c r="B749" s="8">
        <f>CHOOSE( CONTROL!$C$32, 23.3436, 23.3433) * CHOOSE(CONTROL!$C$15, $D$11, 100%, $F$11)</f>
        <v>23.343599999999999</v>
      </c>
      <c r="C749" s="8">
        <f>CHOOSE( CONTROL!$C$32, 23.3487, 23.3484) * CHOOSE(CONTROL!$C$15, $D$11, 100%, $F$11)</f>
        <v>23.348700000000001</v>
      </c>
      <c r="D749" s="8">
        <f>CHOOSE( CONTROL!$C$32, 23.3391, 23.3388) * CHOOSE( CONTROL!$C$15, $D$11, 100%, $F$11)</f>
        <v>23.339099999999998</v>
      </c>
      <c r="E749" s="12">
        <f>CHOOSE( CONTROL!$C$32, 23.3421, 23.3418) * CHOOSE( CONTROL!$C$15, $D$11, 100%, $F$11)</f>
        <v>23.342099999999999</v>
      </c>
      <c r="F749" s="4">
        <f>CHOOSE( CONTROL!$C$32, 24.0089, 24.0086) * CHOOSE(CONTROL!$C$15, $D$11, 100%, $F$11)</f>
        <v>24.008900000000001</v>
      </c>
      <c r="G749" s="8">
        <f>CHOOSE( CONTROL!$C$32, 23.0816, 23.0813) * CHOOSE( CONTROL!$C$15, $D$11, 100%, $F$11)</f>
        <v>23.081600000000002</v>
      </c>
      <c r="H749" s="4">
        <f>CHOOSE( CONTROL!$C$32, 23.9743, 23.9741) * CHOOSE(CONTROL!$C$15, $D$11, 100%, $F$11)</f>
        <v>23.974299999999999</v>
      </c>
      <c r="I749" s="8">
        <f>CHOOSE( CONTROL!$C$32, 22.805, 22.8047) * CHOOSE(CONTROL!$C$15, $D$11, 100%, $F$11)</f>
        <v>22.805</v>
      </c>
      <c r="J749" s="4">
        <f>CHOOSE( CONTROL!$C$32, 22.6462, 22.6459) * CHOOSE(CONTROL!$C$15, $D$11, 100%, $F$11)</f>
        <v>22.6462</v>
      </c>
      <c r="K749" s="4"/>
      <c r="L749" s="9">
        <v>29.306000000000001</v>
      </c>
      <c r="M749" s="9">
        <v>12.063700000000001</v>
      </c>
      <c r="N749" s="9">
        <v>4.9444999999999997</v>
      </c>
      <c r="O749" s="9">
        <v>0.37409999999999999</v>
      </c>
      <c r="P749" s="9">
        <v>1.2927</v>
      </c>
      <c r="Q749" s="9">
        <v>19.688099999999999</v>
      </c>
      <c r="R749" s="9"/>
      <c r="S749" s="11"/>
    </row>
    <row r="750" spans="1:19" ht="15.75">
      <c r="A750" s="13">
        <v>63978</v>
      </c>
      <c r="B750" s="8">
        <f>CHOOSE( CONTROL!$C$32, 21.8351, 21.8348) * CHOOSE(CONTROL!$C$15, $D$11, 100%, $F$11)</f>
        <v>21.835100000000001</v>
      </c>
      <c r="C750" s="8">
        <f>CHOOSE( CONTROL!$C$32, 21.8401, 21.8399) * CHOOSE(CONTROL!$C$15, $D$11, 100%, $F$11)</f>
        <v>21.8401</v>
      </c>
      <c r="D750" s="8">
        <f>CHOOSE( CONTROL!$C$32, 21.8322, 21.832) * CHOOSE( CONTROL!$C$15, $D$11, 100%, $F$11)</f>
        <v>21.8322</v>
      </c>
      <c r="E750" s="12">
        <f>CHOOSE( CONTROL!$C$32, 21.8346, 21.8343) * CHOOSE( CONTROL!$C$15, $D$11, 100%, $F$11)</f>
        <v>21.834599999999998</v>
      </c>
      <c r="F750" s="4">
        <f>CHOOSE( CONTROL!$C$32, 22.5003, 22.5001) * CHOOSE(CONTROL!$C$15, $D$11, 100%, $F$11)</f>
        <v>22.500299999999999</v>
      </c>
      <c r="G750" s="8">
        <f>CHOOSE( CONTROL!$C$32, 21.5893, 21.589) * CHOOSE( CONTROL!$C$15, $D$11, 100%, $F$11)</f>
        <v>21.589300000000001</v>
      </c>
      <c r="H750" s="4">
        <f>CHOOSE( CONTROL!$C$32, 22.4835, 22.4832) * CHOOSE(CONTROL!$C$15, $D$11, 100%, $F$11)</f>
        <v>22.483499999999999</v>
      </c>
      <c r="I750" s="8">
        <f>CHOOSE( CONTROL!$C$32, 21.3249, 21.3246) * CHOOSE(CONTROL!$C$15, $D$11, 100%, $F$11)</f>
        <v>21.3249</v>
      </c>
      <c r="J750" s="4">
        <f>CHOOSE( CONTROL!$C$32, 21.1822, 21.1819) * CHOOSE(CONTROL!$C$15, $D$11, 100%, $F$11)</f>
        <v>21.182200000000002</v>
      </c>
      <c r="K750" s="4"/>
      <c r="L750" s="9">
        <v>26.469899999999999</v>
      </c>
      <c r="M750" s="9">
        <v>10.8962</v>
      </c>
      <c r="N750" s="9">
        <v>4.4660000000000002</v>
      </c>
      <c r="O750" s="9">
        <v>0.33789999999999998</v>
      </c>
      <c r="P750" s="9">
        <v>1.1676</v>
      </c>
      <c r="Q750" s="9">
        <v>17.782800000000002</v>
      </c>
      <c r="R750" s="9"/>
      <c r="S750" s="11"/>
    </row>
    <row r="751" spans="1:19" ht="15.75">
      <c r="A751" s="13">
        <v>64009</v>
      </c>
      <c r="B751" s="8">
        <f>CHOOSE( CONTROL!$C$32, 21.3704, 21.3702) * CHOOSE(CONTROL!$C$15, $D$11, 100%, $F$11)</f>
        <v>21.3704</v>
      </c>
      <c r="C751" s="8">
        <f>CHOOSE( CONTROL!$C$32, 21.3755, 21.3752) * CHOOSE(CONTROL!$C$15, $D$11, 100%, $F$11)</f>
        <v>21.375499999999999</v>
      </c>
      <c r="D751" s="8">
        <f>CHOOSE( CONTROL!$C$32, 21.3628, 21.3625) * CHOOSE( CONTROL!$C$15, $D$11, 100%, $F$11)</f>
        <v>21.3628</v>
      </c>
      <c r="E751" s="12">
        <f>CHOOSE( CONTROL!$C$32, 21.3669, 21.3666) * CHOOSE( CONTROL!$C$15, $D$11, 100%, $F$11)</f>
        <v>21.366900000000001</v>
      </c>
      <c r="F751" s="4">
        <f>CHOOSE( CONTROL!$C$32, 22.0357, 22.0354) * CHOOSE(CONTROL!$C$15, $D$11, 100%, $F$11)</f>
        <v>22.035699999999999</v>
      </c>
      <c r="G751" s="8">
        <f>CHOOSE( CONTROL!$C$32, 21.1266, 21.1263) * CHOOSE( CONTROL!$C$15, $D$11, 100%, $F$11)</f>
        <v>21.1266</v>
      </c>
      <c r="H751" s="4">
        <f>CHOOSE( CONTROL!$C$32, 22.0243, 22.024) * CHOOSE(CONTROL!$C$15, $D$11, 100%, $F$11)</f>
        <v>22.0243</v>
      </c>
      <c r="I751" s="8">
        <f>CHOOSE( CONTROL!$C$32, 20.8721, 20.8718) * CHOOSE(CONTROL!$C$15, $D$11, 100%, $F$11)</f>
        <v>20.8721</v>
      </c>
      <c r="J751" s="4">
        <f>CHOOSE( CONTROL!$C$32, 20.7313, 20.731) * CHOOSE(CONTROL!$C$15, $D$11, 100%, $F$11)</f>
        <v>20.731300000000001</v>
      </c>
      <c r="K751" s="4"/>
      <c r="L751" s="9">
        <v>29.306000000000001</v>
      </c>
      <c r="M751" s="9">
        <v>12.063700000000001</v>
      </c>
      <c r="N751" s="9">
        <v>4.9444999999999997</v>
      </c>
      <c r="O751" s="9">
        <v>0.37409999999999999</v>
      </c>
      <c r="P751" s="9">
        <v>1.2927</v>
      </c>
      <c r="Q751" s="9">
        <v>19.688099999999999</v>
      </c>
      <c r="R751" s="9"/>
      <c r="S751" s="11"/>
    </row>
    <row r="752" spans="1:19" ht="15.75">
      <c r="A752" s="13">
        <v>64039</v>
      </c>
      <c r="B752" s="8">
        <f>CHOOSE( CONTROL!$C$32, 21.6959, 21.6956) * CHOOSE(CONTROL!$C$15, $D$11, 100%, $F$11)</f>
        <v>21.695900000000002</v>
      </c>
      <c r="C752" s="8">
        <f>CHOOSE( CONTROL!$C$32, 21.7004, 21.7001) * CHOOSE(CONTROL!$C$15, $D$11, 100%, $F$11)</f>
        <v>21.700399999999998</v>
      </c>
      <c r="D752" s="8">
        <f>CHOOSE( CONTROL!$C$32, 21.7052, 21.705) * CHOOSE( CONTROL!$C$15, $D$11, 100%, $F$11)</f>
        <v>21.705200000000001</v>
      </c>
      <c r="E752" s="12">
        <f>CHOOSE( CONTROL!$C$32, 21.7031, 21.7029) * CHOOSE( CONTROL!$C$15, $D$11, 100%, $F$11)</f>
        <v>21.703099999999999</v>
      </c>
      <c r="F752" s="4">
        <f>CHOOSE( CONTROL!$C$32, 22.4001, 22.3998) * CHOOSE(CONTROL!$C$15, $D$11, 100%, $F$11)</f>
        <v>22.400099999999998</v>
      </c>
      <c r="G752" s="8">
        <f>CHOOSE( CONTROL!$C$32, 21.4532, 21.453) * CHOOSE( CONTROL!$C$15, $D$11, 100%, $F$11)</f>
        <v>21.453199999999999</v>
      </c>
      <c r="H752" s="4">
        <f>CHOOSE( CONTROL!$C$32, 22.3844, 22.3841) * CHOOSE(CONTROL!$C$15, $D$11, 100%, $F$11)</f>
        <v>22.384399999999999</v>
      </c>
      <c r="I752" s="8">
        <f>CHOOSE( CONTROL!$C$32, 21.1616, 21.1613) * CHOOSE(CONTROL!$C$15, $D$11, 100%, $F$11)</f>
        <v>21.1616</v>
      </c>
      <c r="J752" s="4">
        <f>CHOOSE( CONTROL!$C$32, 21.0463, 21.0461) * CHOOSE(CONTROL!$C$15, $D$11, 100%, $F$11)</f>
        <v>21.046299999999999</v>
      </c>
      <c r="K752" s="4"/>
      <c r="L752" s="9">
        <v>30.092199999999998</v>
      </c>
      <c r="M752" s="9">
        <v>11.6745</v>
      </c>
      <c r="N752" s="9">
        <v>4.7850000000000001</v>
      </c>
      <c r="O752" s="9">
        <v>0.36199999999999999</v>
      </c>
      <c r="P752" s="9">
        <v>1.2509999999999999</v>
      </c>
      <c r="Q752" s="9">
        <v>19.053000000000001</v>
      </c>
      <c r="R752" s="9"/>
      <c r="S752" s="11"/>
    </row>
    <row r="753" spans="1:19" ht="15.75">
      <c r="A753" s="13">
        <v>64070</v>
      </c>
      <c r="B753" s="8">
        <f>CHOOSE( CONTROL!$C$32, 22.2752, 22.2748) * CHOOSE(CONTROL!$C$15, $D$11, 100%, $F$11)</f>
        <v>22.275200000000002</v>
      </c>
      <c r="C753" s="8">
        <f>CHOOSE( CONTROL!$C$32, 22.2832, 22.2828) * CHOOSE(CONTROL!$C$15, $D$11, 100%, $F$11)</f>
        <v>22.283200000000001</v>
      </c>
      <c r="D753" s="8">
        <f>CHOOSE( CONTROL!$C$32, 22.282, 22.2816) * CHOOSE( CONTROL!$C$15, $D$11, 100%, $F$11)</f>
        <v>22.282</v>
      </c>
      <c r="E753" s="12">
        <f>CHOOSE( CONTROL!$C$32, 22.2812, 22.2808) * CHOOSE( CONTROL!$C$15, $D$11, 100%, $F$11)</f>
        <v>22.281199999999998</v>
      </c>
      <c r="F753" s="4">
        <f>CHOOSE( CONTROL!$C$32, 22.9781, 22.9776) * CHOOSE(CONTROL!$C$15, $D$11, 100%, $F$11)</f>
        <v>22.978100000000001</v>
      </c>
      <c r="G753" s="8">
        <f>CHOOSE( CONTROL!$C$32, 22.0243, 22.0238) * CHOOSE( CONTROL!$C$15, $D$11, 100%, $F$11)</f>
        <v>22.0243</v>
      </c>
      <c r="H753" s="4">
        <f>CHOOSE( CONTROL!$C$32, 22.9556, 22.9552) * CHOOSE(CONTROL!$C$15, $D$11, 100%, $F$11)</f>
        <v>22.9556</v>
      </c>
      <c r="I753" s="8">
        <f>CHOOSE( CONTROL!$C$32, 21.722, 21.7215) * CHOOSE(CONTROL!$C$15, $D$11, 100%, $F$11)</f>
        <v>21.722000000000001</v>
      </c>
      <c r="J753" s="4">
        <f>CHOOSE( CONTROL!$C$32, 21.6073, 21.6069) * CHOOSE(CONTROL!$C$15, $D$11, 100%, $F$11)</f>
        <v>21.607299999999999</v>
      </c>
      <c r="K753" s="4"/>
      <c r="L753" s="9">
        <v>30.7165</v>
      </c>
      <c r="M753" s="9">
        <v>12.063700000000001</v>
      </c>
      <c r="N753" s="9">
        <v>4.9444999999999997</v>
      </c>
      <c r="O753" s="9">
        <v>0.37409999999999999</v>
      </c>
      <c r="P753" s="9">
        <v>1.2927</v>
      </c>
      <c r="Q753" s="9">
        <v>19.688099999999999</v>
      </c>
      <c r="R753" s="9"/>
      <c r="S753" s="11"/>
    </row>
    <row r="754" spans="1:19" ht="15.75">
      <c r="A754" s="13">
        <v>64100</v>
      </c>
      <c r="B754" s="8">
        <f>CHOOSE( CONTROL!$C$32, 21.9173, 21.9168) * CHOOSE(CONTROL!$C$15, $D$11, 100%, $F$11)</f>
        <v>21.917300000000001</v>
      </c>
      <c r="C754" s="8">
        <f>CHOOSE( CONTROL!$C$32, 21.9253, 21.9248) * CHOOSE(CONTROL!$C$15, $D$11, 100%, $F$11)</f>
        <v>21.9253</v>
      </c>
      <c r="D754" s="8">
        <f>CHOOSE( CONTROL!$C$32, 21.9242, 21.9238) * CHOOSE( CONTROL!$C$15, $D$11, 100%, $F$11)</f>
        <v>21.924199999999999</v>
      </c>
      <c r="E754" s="12">
        <f>CHOOSE( CONTROL!$C$32, 21.9234, 21.9229) * CHOOSE( CONTROL!$C$15, $D$11, 100%, $F$11)</f>
        <v>21.923400000000001</v>
      </c>
      <c r="F754" s="4">
        <f>CHOOSE( CONTROL!$C$32, 22.6201, 22.6197) * CHOOSE(CONTROL!$C$15, $D$11, 100%, $F$11)</f>
        <v>22.620100000000001</v>
      </c>
      <c r="G754" s="8">
        <f>CHOOSE( CONTROL!$C$32, 21.6707, 21.6702) * CHOOSE( CONTROL!$C$15, $D$11, 100%, $F$11)</f>
        <v>21.6707</v>
      </c>
      <c r="H754" s="4">
        <f>CHOOSE( CONTROL!$C$32, 22.6019, 22.6014) * CHOOSE(CONTROL!$C$15, $D$11, 100%, $F$11)</f>
        <v>22.601900000000001</v>
      </c>
      <c r="I754" s="8">
        <f>CHOOSE( CONTROL!$C$32, 21.3751, 21.3746) * CHOOSE(CONTROL!$C$15, $D$11, 100%, $F$11)</f>
        <v>21.3751</v>
      </c>
      <c r="J754" s="4">
        <f>CHOOSE( CONTROL!$C$32, 21.2599, 21.2595) * CHOOSE(CONTROL!$C$15, $D$11, 100%, $F$11)</f>
        <v>21.259899999999998</v>
      </c>
      <c r="K754" s="4"/>
      <c r="L754" s="9">
        <v>29.7257</v>
      </c>
      <c r="M754" s="9">
        <v>11.6745</v>
      </c>
      <c r="N754" s="9">
        <v>4.7850000000000001</v>
      </c>
      <c r="O754" s="9">
        <v>0.36199999999999999</v>
      </c>
      <c r="P754" s="9">
        <v>1.2509999999999999</v>
      </c>
      <c r="Q754" s="9">
        <v>19.053000000000001</v>
      </c>
      <c r="R754" s="9"/>
      <c r="S754" s="11"/>
    </row>
    <row r="755" spans="1:19" ht="15.75">
      <c r="A755" s="13">
        <v>64131</v>
      </c>
      <c r="B755" s="8">
        <f>CHOOSE( CONTROL!$C$32, 22.8599, 22.8595) * CHOOSE(CONTROL!$C$15, $D$11, 100%, $F$11)</f>
        <v>22.8599</v>
      </c>
      <c r="C755" s="8">
        <f>CHOOSE( CONTROL!$C$32, 22.8679, 22.8674) * CHOOSE(CONTROL!$C$15, $D$11, 100%, $F$11)</f>
        <v>22.867899999999999</v>
      </c>
      <c r="D755" s="8">
        <f>CHOOSE( CONTROL!$C$32, 22.8671, 22.8666) * CHOOSE( CONTROL!$C$15, $D$11, 100%, $F$11)</f>
        <v>22.867100000000001</v>
      </c>
      <c r="E755" s="12">
        <f>CHOOSE( CONTROL!$C$32, 22.8662, 22.8657) * CHOOSE( CONTROL!$C$15, $D$11, 100%, $F$11)</f>
        <v>22.866199999999999</v>
      </c>
      <c r="F755" s="4">
        <f>CHOOSE( CONTROL!$C$32, 23.5627, 23.5623) * CHOOSE(CONTROL!$C$15, $D$11, 100%, $F$11)</f>
        <v>23.5627</v>
      </c>
      <c r="G755" s="8">
        <f>CHOOSE( CONTROL!$C$32, 22.6024, 22.602) * CHOOSE( CONTROL!$C$15, $D$11, 100%, $F$11)</f>
        <v>22.602399999999999</v>
      </c>
      <c r="H755" s="4">
        <f>CHOOSE( CONTROL!$C$32, 23.5334, 23.533) * CHOOSE(CONTROL!$C$15, $D$11, 100%, $F$11)</f>
        <v>23.5334</v>
      </c>
      <c r="I755" s="8">
        <f>CHOOSE( CONTROL!$C$32, 22.2911, 22.2907) * CHOOSE(CONTROL!$C$15, $D$11, 100%, $F$11)</f>
        <v>22.2911</v>
      </c>
      <c r="J755" s="4">
        <f>CHOOSE( CONTROL!$C$32, 22.1747, 22.1743) * CHOOSE(CONTROL!$C$15, $D$11, 100%, $F$11)</f>
        <v>22.174700000000001</v>
      </c>
      <c r="K755" s="4"/>
      <c r="L755" s="9">
        <v>30.7165</v>
      </c>
      <c r="M755" s="9">
        <v>12.063700000000001</v>
      </c>
      <c r="N755" s="9">
        <v>4.9444999999999997</v>
      </c>
      <c r="O755" s="9">
        <v>0.37409999999999999</v>
      </c>
      <c r="P755" s="9">
        <v>1.2927</v>
      </c>
      <c r="Q755" s="9">
        <v>19.688099999999999</v>
      </c>
      <c r="R755" s="9"/>
      <c r="S755" s="11"/>
    </row>
    <row r="756" spans="1:19" ht="15.75">
      <c r="A756" s="13">
        <v>64162</v>
      </c>
      <c r="B756" s="8">
        <f>CHOOSE( CONTROL!$C$32, 21.0962, 21.0957) * CHOOSE(CONTROL!$C$15, $D$11, 100%, $F$11)</f>
        <v>21.0962</v>
      </c>
      <c r="C756" s="8">
        <f>CHOOSE( CONTROL!$C$32, 21.1042, 21.1037) * CHOOSE(CONTROL!$C$15, $D$11, 100%, $F$11)</f>
        <v>21.104199999999999</v>
      </c>
      <c r="D756" s="8">
        <f>CHOOSE( CONTROL!$C$32, 21.1034, 21.103) * CHOOSE( CONTROL!$C$15, $D$11, 100%, $F$11)</f>
        <v>21.103400000000001</v>
      </c>
      <c r="E756" s="12">
        <f>CHOOSE( CONTROL!$C$32, 21.1025, 21.102) * CHOOSE( CONTROL!$C$15, $D$11, 100%, $F$11)</f>
        <v>21.102499999999999</v>
      </c>
      <c r="F756" s="4">
        <f>CHOOSE( CONTROL!$C$32, 21.799, 21.7986) * CHOOSE(CONTROL!$C$15, $D$11, 100%, $F$11)</f>
        <v>21.798999999999999</v>
      </c>
      <c r="G756" s="8">
        <f>CHOOSE( CONTROL!$C$32, 20.8594, 20.859) * CHOOSE( CONTROL!$C$15, $D$11, 100%, $F$11)</f>
        <v>20.859400000000001</v>
      </c>
      <c r="H756" s="4">
        <f>CHOOSE( CONTROL!$C$32, 21.7904, 21.7899) * CHOOSE(CONTROL!$C$15, $D$11, 100%, $F$11)</f>
        <v>21.790400000000002</v>
      </c>
      <c r="I756" s="8">
        <f>CHOOSE( CONTROL!$C$32, 20.5788, 20.5783) * CHOOSE(CONTROL!$C$15, $D$11, 100%, $F$11)</f>
        <v>20.578800000000001</v>
      </c>
      <c r="J756" s="4">
        <f>CHOOSE( CONTROL!$C$32, 20.463, 20.4626) * CHOOSE(CONTROL!$C$15, $D$11, 100%, $F$11)</f>
        <v>20.463000000000001</v>
      </c>
      <c r="K756" s="4"/>
      <c r="L756" s="9">
        <v>30.7165</v>
      </c>
      <c r="M756" s="9">
        <v>12.063700000000001</v>
      </c>
      <c r="N756" s="9">
        <v>4.9444999999999997</v>
      </c>
      <c r="O756" s="9">
        <v>0.37409999999999999</v>
      </c>
      <c r="P756" s="9">
        <v>1.2927</v>
      </c>
      <c r="Q756" s="9">
        <v>19.688099999999999</v>
      </c>
      <c r="R756" s="9"/>
      <c r="S756" s="11"/>
    </row>
    <row r="757" spans="1:19" ht="15.75">
      <c r="A757" s="13">
        <v>64192</v>
      </c>
      <c r="B757" s="8">
        <f>CHOOSE( CONTROL!$C$32, 20.6545, 20.6541) * CHOOSE(CONTROL!$C$15, $D$11, 100%, $F$11)</f>
        <v>20.654499999999999</v>
      </c>
      <c r="C757" s="8">
        <f>CHOOSE( CONTROL!$C$32, 20.6625, 20.6621) * CHOOSE(CONTROL!$C$15, $D$11, 100%, $F$11)</f>
        <v>20.662500000000001</v>
      </c>
      <c r="D757" s="8">
        <f>CHOOSE( CONTROL!$C$32, 20.6616, 20.6612) * CHOOSE( CONTROL!$C$15, $D$11, 100%, $F$11)</f>
        <v>20.6616</v>
      </c>
      <c r="E757" s="12">
        <f>CHOOSE( CONTROL!$C$32, 20.6607, 20.6603) * CHOOSE( CONTROL!$C$15, $D$11, 100%, $F$11)</f>
        <v>20.660699999999999</v>
      </c>
      <c r="F757" s="4">
        <f>CHOOSE( CONTROL!$C$32, 21.3574, 21.3569) * CHOOSE(CONTROL!$C$15, $D$11, 100%, $F$11)</f>
        <v>21.357399999999998</v>
      </c>
      <c r="G757" s="8">
        <f>CHOOSE( CONTROL!$C$32, 20.4228, 20.4224) * CHOOSE( CONTROL!$C$15, $D$11, 100%, $F$11)</f>
        <v>20.422799999999999</v>
      </c>
      <c r="H757" s="4">
        <f>CHOOSE( CONTROL!$C$32, 21.3539, 21.3534) * CHOOSE(CONTROL!$C$15, $D$11, 100%, $F$11)</f>
        <v>21.353899999999999</v>
      </c>
      <c r="I757" s="8">
        <f>CHOOSE( CONTROL!$C$32, 20.1494, 20.149) * CHOOSE(CONTROL!$C$15, $D$11, 100%, $F$11)</f>
        <v>20.1494</v>
      </c>
      <c r="J757" s="4">
        <f>CHOOSE( CONTROL!$C$32, 20.0344, 20.034) * CHOOSE(CONTROL!$C$15, $D$11, 100%, $F$11)</f>
        <v>20.034400000000002</v>
      </c>
      <c r="K757" s="4"/>
      <c r="L757" s="9">
        <v>29.7257</v>
      </c>
      <c r="M757" s="9">
        <v>11.6745</v>
      </c>
      <c r="N757" s="9">
        <v>4.7850000000000001</v>
      </c>
      <c r="O757" s="9">
        <v>0.36199999999999999</v>
      </c>
      <c r="P757" s="9">
        <v>1.2509999999999999</v>
      </c>
      <c r="Q757" s="9">
        <v>19.053000000000001</v>
      </c>
      <c r="R757" s="9"/>
      <c r="S757" s="11"/>
    </row>
    <row r="758" spans="1:19" ht="15.75">
      <c r="A758" s="13">
        <v>64223</v>
      </c>
      <c r="B758" s="8">
        <f>CHOOSE( CONTROL!$C$32, 21.5697, 21.5694) * CHOOSE(CONTROL!$C$15, $D$11, 100%, $F$11)</f>
        <v>21.569700000000001</v>
      </c>
      <c r="C758" s="8">
        <f>CHOOSE( CONTROL!$C$32, 21.575, 21.5747) * CHOOSE(CONTROL!$C$15, $D$11, 100%, $F$11)</f>
        <v>21.574999999999999</v>
      </c>
      <c r="D758" s="8">
        <f>CHOOSE( CONTROL!$C$32, 21.5797, 21.5794) * CHOOSE( CONTROL!$C$15, $D$11, 100%, $F$11)</f>
        <v>21.579699999999999</v>
      </c>
      <c r="E758" s="12">
        <f>CHOOSE( CONTROL!$C$32, 21.5776, 21.5773) * CHOOSE( CONTROL!$C$15, $D$11, 100%, $F$11)</f>
        <v>21.5776</v>
      </c>
      <c r="F758" s="4">
        <f>CHOOSE( CONTROL!$C$32, 22.2742, 22.2739) * CHOOSE(CONTROL!$C$15, $D$11, 100%, $F$11)</f>
        <v>22.2742</v>
      </c>
      <c r="G758" s="8">
        <f>CHOOSE( CONTROL!$C$32, 21.3291, 21.3288) * CHOOSE( CONTROL!$C$15, $D$11, 100%, $F$11)</f>
        <v>21.3291</v>
      </c>
      <c r="H758" s="4">
        <f>CHOOSE( CONTROL!$C$32, 22.26, 22.2597) * CHOOSE(CONTROL!$C$15, $D$11, 100%, $F$11)</f>
        <v>22.26</v>
      </c>
      <c r="I758" s="8">
        <f>CHOOSE( CONTROL!$C$32, 21.0405, 21.0402) * CHOOSE(CONTROL!$C$15, $D$11, 100%, $F$11)</f>
        <v>21.040500000000002</v>
      </c>
      <c r="J758" s="4">
        <f>CHOOSE( CONTROL!$C$32, 20.9242, 20.9239) * CHOOSE(CONTROL!$C$15, $D$11, 100%, $F$11)</f>
        <v>20.924199999999999</v>
      </c>
      <c r="K758" s="4"/>
      <c r="L758" s="9">
        <v>31.095300000000002</v>
      </c>
      <c r="M758" s="9">
        <v>12.063700000000001</v>
      </c>
      <c r="N758" s="9">
        <v>4.9444999999999997</v>
      </c>
      <c r="O758" s="9">
        <v>0.37409999999999999</v>
      </c>
      <c r="P758" s="9">
        <v>1.2927</v>
      </c>
      <c r="Q758" s="9">
        <v>19.688099999999999</v>
      </c>
      <c r="R758" s="9"/>
      <c r="S758" s="11"/>
    </row>
    <row r="759" spans="1:19" ht="15.75">
      <c r="A759" s="13">
        <v>64253</v>
      </c>
      <c r="B759" s="8">
        <f>CHOOSE( CONTROL!$C$32, 23.2619, 23.2616) * CHOOSE(CONTROL!$C$15, $D$11, 100%, $F$11)</f>
        <v>23.261900000000001</v>
      </c>
      <c r="C759" s="8">
        <f>CHOOSE( CONTROL!$C$32, 23.267, 23.2667) * CHOOSE(CONTROL!$C$15, $D$11, 100%, $F$11)</f>
        <v>23.266999999999999</v>
      </c>
      <c r="D759" s="8">
        <f>CHOOSE( CONTROL!$C$32, 23.2497, 23.2494) * CHOOSE( CONTROL!$C$15, $D$11, 100%, $F$11)</f>
        <v>23.249700000000001</v>
      </c>
      <c r="E759" s="12">
        <f>CHOOSE( CONTROL!$C$32, 23.2555, 23.2552) * CHOOSE( CONTROL!$C$15, $D$11, 100%, $F$11)</f>
        <v>23.255500000000001</v>
      </c>
      <c r="F759" s="4">
        <f>CHOOSE( CONTROL!$C$32, 23.9272, 23.9269) * CHOOSE(CONTROL!$C$15, $D$11, 100%, $F$11)</f>
        <v>23.927199999999999</v>
      </c>
      <c r="G759" s="8">
        <f>CHOOSE( CONTROL!$C$32, 22.9989, 22.9986) * CHOOSE( CONTROL!$C$15, $D$11, 100%, $F$11)</f>
        <v>22.998899999999999</v>
      </c>
      <c r="H759" s="4">
        <f>CHOOSE( CONTROL!$C$32, 23.8936, 23.8934) * CHOOSE(CONTROL!$C$15, $D$11, 100%, $F$11)</f>
        <v>23.893599999999999</v>
      </c>
      <c r="I759" s="8">
        <f>CHOOSE( CONTROL!$C$32, 22.7396, 22.7394) * CHOOSE(CONTROL!$C$15, $D$11, 100%, $F$11)</f>
        <v>22.739599999999999</v>
      </c>
      <c r="J759" s="4">
        <f>CHOOSE( CONTROL!$C$32, 22.5669, 22.5667) * CHOOSE(CONTROL!$C$15, $D$11, 100%, $F$11)</f>
        <v>22.5669</v>
      </c>
      <c r="K759" s="4"/>
      <c r="L759" s="9">
        <v>28.360600000000002</v>
      </c>
      <c r="M759" s="9">
        <v>11.6745</v>
      </c>
      <c r="N759" s="9">
        <v>4.7850000000000001</v>
      </c>
      <c r="O759" s="9">
        <v>0.36199999999999999</v>
      </c>
      <c r="P759" s="9">
        <v>1.2509999999999999</v>
      </c>
      <c r="Q759" s="9">
        <v>19.053000000000001</v>
      </c>
      <c r="R759" s="9"/>
      <c r="S759" s="11"/>
    </row>
    <row r="760" spans="1:19" ht="15.75">
      <c r="A760" s="13">
        <v>64284</v>
      </c>
      <c r="B760" s="8">
        <f>CHOOSE( CONTROL!$C$32, 23.2196, 23.2193) * CHOOSE(CONTROL!$C$15, $D$11, 100%, $F$11)</f>
        <v>23.2196</v>
      </c>
      <c r="C760" s="8">
        <f>CHOOSE( CONTROL!$C$32, 23.2247, 23.2244) * CHOOSE(CONTROL!$C$15, $D$11, 100%, $F$11)</f>
        <v>23.224699999999999</v>
      </c>
      <c r="D760" s="8">
        <f>CHOOSE( CONTROL!$C$32, 23.2092, 23.2089) * CHOOSE( CONTROL!$C$15, $D$11, 100%, $F$11)</f>
        <v>23.209199999999999</v>
      </c>
      <c r="E760" s="12">
        <f>CHOOSE( CONTROL!$C$32, 23.2143, 23.214) * CHOOSE( CONTROL!$C$15, $D$11, 100%, $F$11)</f>
        <v>23.214300000000001</v>
      </c>
      <c r="F760" s="4">
        <f>CHOOSE( CONTROL!$C$32, 23.8849, 23.8846) * CHOOSE(CONTROL!$C$15, $D$11, 100%, $F$11)</f>
        <v>23.884899999999998</v>
      </c>
      <c r="G760" s="8">
        <f>CHOOSE( CONTROL!$C$32, 22.9584, 22.9581) * CHOOSE( CONTROL!$C$15, $D$11, 100%, $F$11)</f>
        <v>22.958400000000001</v>
      </c>
      <c r="H760" s="4">
        <f>CHOOSE( CONTROL!$C$32, 23.8518, 23.8516) * CHOOSE(CONTROL!$C$15, $D$11, 100%, $F$11)</f>
        <v>23.851800000000001</v>
      </c>
      <c r="I760" s="8">
        <f>CHOOSE( CONTROL!$C$32, 22.7042, 22.7039) * CHOOSE(CONTROL!$C$15, $D$11, 100%, $F$11)</f>
        <v>22.7042</v>
      </c>
      <c r="J760" s="4">
        <f>CHOOSE( CONTROL!$C$32, 22.5259, 22.5256) * CHOOSE(CONTROL!$C$15, $D$11, 100%, $F$11)</f>
        <v>22.5259</v>
      </c>
      <c r="K760" s="4"/>
      <c r="L760" s="9">
        <v>29.306000000000001</v>
      </c>
      <c r="M760" s="9">
        <v>12.063700000000001</v>
      </c>
      <c r="N760" s="9">
        <v>4.9444999999999997</v>
      </c>
      <c r="O760" s="9">
        <v>0.37409999999999999</v>
      </c>
      <c r="P760" s="9">
        <v>1.2927</v>
      </c>
      <c r="Q760" s="9">
        <v>19.688099999999999</v>
      </c>
      <c r="R760" s="9"/>
      <c r="S760" s="11"/>
    </row>
    <row r="761" spans="1:19" ht="15.75">
      <c r="A761" s="13">
        <v>64315</v>
      </c>
      <c r="B761" s="8">
        <f>CHOOSE( CONTROL!$C$32, 23.9042, 23.904) * CHOOSE(CONTROL!$C$15, $D$11, 100%, $F$11)</f>
        <v>23.904199999999999</v>
      </c>
      <c r="C761" s="8">
        <f>CHOOSE( CONTROL!$C$32, 23.9093, 23.909) * CHOOSE(CONTROL!$C$15, $D$11, 100%, $F$11)</f>
        <v>23.909300000000002</v>
      </c>
      <c r="D761" s="8">
        <f>CHOOSE( CONTROL!$C$32, 23.8998, 23.8995) * CHOOSE( CONTROL!$C$15, $D$11, 100%, $F$11)</f>
        <v>23.899799999999999</v>
      </c>
      <c r="E761" s="12">
        <f>CHOOSE( CONTROL!$C$32, 23.9027, 23.9024) * CHOOSE( CONTROL!$C$15, $D$11, 100%, $F$11)</f>
        <v>23.902699999999999</v>
      </c>
      <c r="F761" s="4">
        <f>CHOOSE( CONTROL!$C$32, 24.5695, 24.5693) * CHOOSE(CONTROL!$C$15, $D$11, 100%, $F$11)</f>
        <v>24.569500000000001</v>
      </c>
      <c r="G761" s="8">
        <f>CHOOSE( CONTROL!$C$32, 23.6357, 23.6354) * CHOOSE( CONTROL!$C$15, $D$11, 100%, $F$11)</f>
        <v>23.6357</v>
      </c>
      <c r="H761" s="4">
        <f>CHOOSE( CONTROL!$C$32, 24.5284, 24.5282) * CHOOSE(CONTROL!$C$15, $D$11, 100%, $F$11)</f>
        <v>24.528400000000001</v>
      </c>
      <c r="I761" s="8">
        <f>CHOOSE( CONTROL!$C$32, 23.3494, 23.3491) * CHOOSE(CONTROL!$C$15, $D$11, 100%, $F$11)</f>
        <v>23.349399999999999</v>
      </c>
      <c r="J761" s="4">
        <f>CHOOSE( CONTROL!$C$32, 23.1903, 23.1901) * CHOOSE(CONTROL!$C$15, $D$11, 100%, $F$11)</f>
        <v>23.190300000000001</v>
      </c>
      <c r="K761" s="4"/>
      <c r="L761" s="9">
        <v>29.306000000000001</v>
      </c>
      <c r="M761" s="9">
        <v>12.063700000000001</v>
      </c>
      <c r="N761" s="9">
        <v>4.9444999999999997</v>
      </c>
      <c r="O761" s="9">
        <v>0.37409999999999999</v>
      </c>
      <c r="P761" s="9">
        <v>1.2927</v>
      </c>
      <c r="Q761" s="9">
        <v>19.688099999999999</v>
      </c>
      <c r="R761" s="9"/>
      <c r="S761" s="11"/>
    </row>
    <row r="762" spans="1:19" ht="15.75">
      <c r="A762" s="13">
        <v>64344</v>
      </c>
      <c r="B762" s="8">
        <f>CHOOSE( CONTROL!$C$32, 22.3595, 22.3592) * CHOOSE(CONTROL!$C$15, $D$11, 100%, $F$11)</f>
        <v>22.359500000000001</v>
      </c>
      <c r="C762" s="8">
        <f>CHOOSE( CONTROL!$C$32, 22.3646, 22.3643) * CHOOSE(CONTROL!$C$15, $D$11, 100%, $F$11)</f>
        <v>22.364599999999999</v>
      </c>
      <c r="D762" s="8">
        <f>CHOOSE( CONTROL!$C$32, 22.3567, 22.3564) * CHOOSE( CONTROL!$C$15, $D$11, 100%, $F$11)</f>
        <v>22.3567</v>
      </c>
      <c r="E762" s="12">
        <f>CHOOSE( CONTROL!$C$32, 22.359, 22.3587) * CHOOSE( CONTROL!$C$15, $D$11, 100%, $F$11)</f>
        <v>22.359000000000002</v>
      </c>
      <c r="F762" s="4">
        <f>CHOOSE( CONTROL!$C$32, 23.0248, 23.0245) * CHOOSE(CONTROL!$C$15, $D$11, 100%, $F$11)</f>
        <v>23.024799999999999</v>
      </c>
      <c r="G762" s="8">
        <f>CHOOSE( CONTROL!$C$32, 22.1075, 22.1073) * CHOOSE( CONTROL!$C$15, $D$11, 100%, $F$11)</f>
        <v>22.107500000000002</v>
      </c>
      <c r="H762" s="4">
        <f>CHOOSE( CONTROL!$C$32, 23.0018, 23.0015) * CHOOSE(CONTROL!$C$15, $D$11, 100%, $F$11)</f>
        <v>23.001799999999999</v>
      </c>
      <c r="I762" s="8">
        <f>CHOOSE( CONTROL!$C$32, 21.8341, 21.8338) * CHOOSE(CONTROL!$C$15, $D$11, 100%, $F$11)</f>
        <v>21.834099999999999</v>
      </c>
      <c r="J762" s="4">
        <f>CHOOSE( CONTROL!$C$32, 21.6911, 21.6909) * CHOOSE(CONTROL!$C$15, $D$11, 100%, $F$11)</f>
        <v>21.691099999999999</v>
      </c>
      <c r="K762" s="4"/>
      <c r="L762" s="9">
        <v>27.415299999999998</v>
      </c>
      <c r="M762" s="9">
        <v>11.285299999999999</v>
      </c>
      <c r="N762" s="9">
        <v>4.6254999999999997</v>
      </c>
      <c r="O762" s="9">
        <v>0.34989999999999999</v>
      </c>
      <c r="P762" s="9">
        <v>1.2093</v>
      </c>
      <c r="Q762" s="9">
        <v>18.417899999999999</v>
      </c>
      <c r="R762" s="9"/>
      <c r="S762" s="11"/>
    </row>
    <row r="763" spans="1:19" ht="15.75">
      <c r="A763" s="13">
        <v>64375</v>
      </c>
      <c r="B763" s="8">
        <f>CHOOSE( CONTROL!$C$32, 21.8837, 21.8834) * CHOOSE(CONTROL!$C$15, $D$11, 100%, $F$11)</f>
        <v>21.883700000000001</v>
      </c>
      <c r="C763" s="8">
        <f>CHOOSE( CONTROL!$C$32, 21.8888, 21.8885) * CHOOSE(CONTROL!$C$15, $D$11, 100%, $F$11)</f>
        <v>21.8888</v>
      </c>
      <c r="D763" s="8">
        <f>CHOOSE( CONTROL!$C$32, 21.8761, 21.8758) * CHOOSE( CONTROL!$C$15, $D$11, 100%, $F$11)</f>
        <v>21.876100000000001</v>
      </c>
      <c r="E763" s="12">
        <f>CHOOSE( CONTROL!$C$32, 21.8802, 21.8799) * CHOOSE( CONTROL!$C$15, $D$11, 100%, $F$11)</f>
        <v>21.880199999999999</v>
      </c>
      <c r="F763" s="4">
        <f>CHOOSE( CONTROL!$C$32, 22.549, 22.5487) * CHOOSE(CONTROL!$C$15, $D$11, 100%, $F$11)</f>
        <v>22.548999999999999</v>
      </c>
      <c r="G763" s="8">
        <f>CHOOSE( CONTROL!$C$32, 21.6339, 21.6336) * CHOOSE( CONTROL!$C$15, $D$11, 100%, $F$11)</f>
        <v>21.633900000000001</v>
      </c>
      <c r="H763" s="4">
        <f>CHOOSE( CONTROL!$C$32, 22.5315, 22.5313) * CHOOSE(CONTROL!$C$15, $D$11, 100%, $F$11)</f>
        <v>22.531500000000001</v>
      </c>
      <c r="I763" s="8">
        <f>CHOOSE( CONTROL!$C$32, 21.3705, 21.3702) * CHOOSE(CONTROL!$C$15, $D$11, 100%, $F$11)</f>
        <v>21.3705</v>
      </c>
      <c r="J763" s="4">
        <f>CHOOSE( CONTROL!$C$32, 21.2294, 21.2291) * CHOOSE(CONTROL!$C$15, $D$11, 100%, $F$11)</f>
        <v>21.229399999999998</v>
      </c>
      <c r="K763" s="4"/>
      <c r="L763" s="9">
        <v>29.306000000000001</v>
      </c>
      <c r="M763" s="9">
        <v>12.063700000000001</v>
      </c>
      <c r="N763" s="9">
        <v>4.9444999999999997</v>
      </c>
      <c r="O763" s="9">
        <v>0.37409999999999999</v>
      </c>
      <c r="P763" s="9">
        <v>1.2927</v>
      </c>
      <c r="Q763" s="9">
        <v>19.688099999999999</v>
      </c>
      <c r="R763" s="9"/>
      <c r="S763" s="11"/>
    </row>
    <row r="764" spans="1:19" ht="15.75">
      <c r="A764" s="13">
        <v>64405</v>
      </c>
      <c r="B764" s="8">
        <f>CHOOSE( CONTROL!$C$32, 22.2169, 22.2167) * CHOOSE(CONTROL!$C$15, $D$11, 100%, $F$11)</f>
        <v>22.216899999999999</v>
      </c>
      <c r="C764" s="8">
        <f>CHOOSE( CONTROL!$C$32, 22.2214, 22.2212) * CHOOSE(CONTROL!$C$15, $D$11, 100%, $F$11)</f>
        <v>22.221399999999999</v>
      </c>
      <c r="D764" s="8">
        <f>CHOOSE( CONTROL!$C$32, 22.2263, 22.226) * CHOOSE( CONTROL!$C$15, $D$11, 100%, $F$11)</f>
        <v>22.226299999999998</v>
      </c>
      <c r="E764" s="12">
        <f>CHOOSE( CONTROL!$C$32, 22.2242, 22.2239) * CHOOSE( CONTROL!$C$15, $D$11, 100%, $F$11)</f>
        <v>22.2242</v>
      </c>
      <c r="F764" s="4">
        <f>CHOOSE( CONTROL!$C$32, 22.9211, 22.9208) * CHOOSE(CONTROL!$C$15, $D$11, 100%, $F$11)</f>
        <v>22.921099999999999</v>
      </c>
      <c r="G764" s="8">
        <f>CHOOSE( CONTROL!$C$32, 21.9682, 21.9679) * CHOOSE( CONTROL!$C$15, $D$11, 100%, $F$11)</f>
        <v>21.9682</v>
      </c>
      <c r="H764" s="4">
        <f>CHOOSE( CONTROL!$C$32, 22.8993, 22.8991) * CHOOSE(CONTROL!$C$15, $D$11, 100%, $F$11)</f>
        <v>22.8993</v>
      </c>
      <c r="I764" s="8">
        <f>CHOOSE( CONTROL!$C$32, 21.6675, 21.6672) * CHOOSE(CONTROL!$C$15, $D$11, 100%, $F$11)</f>
        <v>21.6675</v>
      </c>
      <c r="J764" s="4">
        <f>CHOOSE( CONTROL!$C$32, 21.552, 21.5518) * CHOOSE(CONTROL!$C$15, $D$11, 100%, $F$11)</f>
        <v>21.552</v>
      </c>
      <c r="K764" s="4"/>
      <c r="L764" s="9">
        <v>30.092199999999998</v>
      </c>
      <c r="M764" s="9">
        <v>11.6745</v>
      </c>
      <c r="N764" s="9">
        <v>4.7850000000000001</v>
      </c>
      <c r="O764" s="9">
        <v>0.36199999999999999</v>
      </c>
      <c r="P764" s="9">
        <v>1.2509999999999999</v>
      </c>
      <c r="Q764" s="9">
        <v>19.053000000000001</v>
      </c>
      <c r="R764" s="9"/>
      <c r="S764" s="11"/>
    </row>
    <row r="765" spans="1:19" ht="15.75">
      <c r="A765" s="13">
        <v>64436</v>
      </c>
      <c r="B765" s="8">
        <f>CHOOSE( CONTROL!$C$32, 22.8102, 22.8097) * CHOOSE(CONTROL!$C$15, $D$11, 100%, $F$11)</f>
        <v>22.810199999999998</v>
      </c>
      <c r="C765" s="8">
        <f>CHOOSE( CONTROL!$C$32, 22.8182, 22.8177) * CHOOSE(CONTROL!$C$15, $D$11, 100%, $F$11)</f>
        <v>22.818200000000001</v>
      </c>
      <c r="D765" s="8">
        <f>CHOOSE( CONTROL!$C$32, 22.8169, 22.8165) * CHOOSE( CONTROL!$C$15, $D$11, 100%, $F$11)</f>
        <v>22.8169</v>
      </c>
      <c r="E765" s="12">
        <f>CHOOSE( CONTROL!$C$32, 22.8162, 22.8157) * CHOOSE( CONTROL!$C$15, $D$11, 100%, $F$11)</f>
        <v>22.816199999999998</v>
      </c>
      <c r="F765" s="4">
        <f>CHOOSE( CONTROL!$C$32, 23.513, 23.5126) * CHOOSE(CONTROL!$C$15, $D$11, 100%, $F$11)</f>
        <v>23.513000000000002</v>
      </c>
      <c r="G765" s="8">
        <f>CHOOSE( CONTROL!$C$32, 22.553, 22.5525) * CHOOSE( CONTROL!$C$15, $D$11, 100%, $F$11)</f>
        <v>22.553000000000001</v>
      </c>
      <c r="H765" s="4">
        <f>CHOOSE( CONTROL!$C$32, 23.4843, 23.4838) * CHOOSE(CONTROL!$C$15, $D$11, 100%, $F$11)</f>
        <v>23.484300000000001</v>
      </c>
      <c r="I765" s="8">
        <f>CHOOSE( CONTROL!$C$32, 22.2414, 22.241) * CHOOSE(CONTROL!$C$15, $D$11, 100%, $F$11)</f>
        <v>22.241399999999999</v>
      </c>
      <c r="J765" s="4">
        <f>CHOOSE( CONTROL!$C$32, 22.1265, 22.126) * CHOOSE(CONTROL!$C$15, $D$11, 100%, $F$11)</f>
        <v>22.1265</v>
      </c>
      <c r="K765" s="4"/>
      <c r="L765" s="9">
        <v>30.7165</v>
      </c>
      <c r="M765" s="9">
        <v>12.063700000000001</v>
      </c>
      <c r="N765" s="9">
        <v>4.9444999999999997</v>
      </c>
      <c r="O765" s="9">
        <v>0.37409999999999999</v>
      </c>
      <c r="P765" s="9">
        <v>1.2927</v>
      </c>
      <c r="Q765" s="9">
        <v>19.688099999999999</v>
      </c>
      <c r="R765" s="9"/>
      <c r="S765" s="11"/>
    </row>
    <row r="766" spans="1:19" ht="15.75">
      <c r="A766" s="13">
        <v>64466</v>
      </c>
      <c r="B766" s="8">
        <f>CHOOSE( CONTROL!$C$32, 22.4436, 22.4432) * CHOOSE(CONTROL!$C$15, $D$11, 100%, $F$11)</f>
        <v>22.4436</v>
      </c>
      <c r="C766" s="8">
        <f>CHOOSE( CONTROL!$C$32, 22.4516, 22.4512) * CHOOSE(CONTROL!$C$15, $D$11, 100%, $F$11)</f>
        <v>22.451599999999999</v>
      </c>
      <c r="D766" s="8">
        <f>CHOOSE( CONTROL!$C$32, 22.4506, 22.4501) * CHOOSE( CONTROL!$C$15, $D$11, 100%, $F$11)</f>
        <v>22.450600000000001</v>
      </c>
      <c r="E766" s="12">
        <f>CHOOSE( CONTROL!$C$32, 22.4497, 22.4493) * CHOOSE( CONTROL!$C$15, $D$11, 100%, $F$11)</f>
        <v>22.4497</v>
      </c>
      <c r="F766" s="4">
        <f>CHOOSE( CONTROL!$C$32, 23.1465, 23.146) * CHOOSE(CONTROL!$C$15, $D$11, 100%, $F$11)</f>
        <v>23.1465</v>
      </c>
      <c r="G766" s="8">
        <f>CHOOSE( CONTROL!$C$32, 22.1909, 22.1904) * CHOOSE( CONTROL!$C$15, $D$11, 100%, $F$11)</f>
        <v>22.190899999999999</v>
      </c>
      <c r="H766" s="4">
        <f>CHOOSE( CONTROL!$C$32, 23.122, 23.1216) * CHOOSE(CONTROL!$C$15, $D$11, 100%, $F$11)</f>
        <v>23.122</v>
      </c>
      <c r="I766" s="8">
        <f>CHOOSE( CONTROL!$C$32, 21.8862, 21.8857) * CHOOSE(CONTROL!$C$15, $D$11, 100%, $F$11)</f>
        <v>21.886199999999999</v>
      </c>
      <c r="J766" s="4">
        <f>CHOOSE( CONTROL!$C$32, 21.7707, 21.7703) * CHOOSE(CONTROL!$C$15, $D$11, 100%, $F$11)</f>
        <v>21.770700000000001</v>
      </c>
      <c r="K766" s="4"/>
      <c r="L766" s="9">
        <v>29.7257</v>
      </c>
      <c r="M766" s="9">
        <v>11.6745</v>
      </c>
      <c r="N766" s="9">
        <v>4.7850000000000001</v>
      </c>
      <c r="O766" s="9">
        <v>0.36199999999999999</v>
      </c>
      <c r="P766" s="9">
        <v>1.2509999999999999</v>
      </c>
      <c r="Q766" s="9">
        <v>19.053000000000001</v>
      </c>
      <c r="R766" s="9"/>
      <c r="S766" s="11"/>
    </row>
    <row r="767" spans="1:19" ht="15.75">
      <c r="A767" s="13">
        <v>64497</v>
      </c>
      <c r="B767" s="8">
        <f>CHOOSE( CONTROL!$C$32, 23.4089, 23.4084) * CHOOSE(CONTROL!$C$15, $D$11, 100%, $F$11)</f>
        <v>23.408899999999999</v>
      </c>
      <c r="C767" s="8">
        <f>CHOOSE( CONTROL!$C$32, 23.4169, 23.4164) * CHOOSE(CONTROL!$C$15, $D$11, 100%, $F$11)</f>
        <v>23.416899999999998</v>
      </c>
      <c r="D767" s="8">
        <f>CHOOSE( CONTROL!$C$32, 23.4161, 23.4156) * CHOOSE( CONTROL!$C$15, $D$11, 100%, $F$11)</f>
        <v>23.4161</v>
      </c>
      <c r="E767" s="12">
        <f>CHOOSE( CONTROL!$C$32, 23.4152, 23.4147) * CHOOSE( CONTROL!$C$15, $D$11, 100%, $F$11)</f>
        <v>23.415199999999999</v>
      </c>
      <c r="F767" s="4">
        <f>CHOOSE( CONTROL!$C$32, 24.1117, 24.1113) * CHOOSE(CONTROL!$C$15, $D$11, 100%, $F$11)</f>
        <v>24.111699999999999</v>
      </c>
      <c r="G767" s="8">
        <f>CHOOSE( CONTROL!$C$32, 23.145, 23.1446) * CHOOSE( CONTROL!$C$15, $D$11, 100%, $F$11)</f>
        <v>23.145</v>
      </c>
      <c r="H767" s="4">
        <f>CHOOSE( CONTROL!$C$32, 24.076, 24.0755) * CHOOSE(CONTROL!$C$15, $D$11, 100%, $F$11)</f>
        <v>24.076000000000001</v>
      </c>
      <c r="I767" s="8">
        <f>CHOOSE( CONTROL!$C$32, 22.8242, 22.8237) * CHOOSE(CONTROL!$C$15, $D$11, 100%, $F$11)</f>
        <v>22.824200000000001</v>
      </c>
      <c r="J767" s="4">
        <f>CHOOSE( CONTROL!$C$32, 22.7075, 22.7071) * CHOOSE(CONTROL!$C$15, $D$11, 100%, $F$11)</f>
        <v>22.7075</v>
      </c>
      <c r="K767" s="4"/>
      <c r="L767" s="9">
        <v>30.7165</v>
      </c>
      <c r="M767" s="9">
        <v>12.063700000000001</v>
      </c>
      <c r="N767" s="9">
        <v>4.9444999999999997</v>
      </c>
      <c r="O767" s="9">
        <v>0.37409999999999999</v>
      </c>
      <c r="P767" s="9">
        <v>1.2927</v>
      </c>
      <c r="Q767" s="9">
        <v>19.688099999999999</v>
      </c>
      <c r="R767" s="9"/>
      <c r="S767" s="11"/>
    </row>
    <row r="768" spans="1:19" ht="15.75">
      <c r="A768" s="13">
        <v>64528</v>
      </c>
      <c r="B768" s="8">
        <f>CHOOSE( CONTROL!$C$32, 21.6028, 21.6023) * CHOOSE(CONTROL!$C$15, $D$11, 100%, $F$11)</f>
        <v>21.602799999999998</v>
      </c>
      <c r="C768" s="8">
        <f>CHOOSE( CONTROL!$C$32, 21.6108, 21.6103) * CHOOSE(CONTROL!$C$15, $D$11, 100%, $F$11)</f>
        <v>21.610800000000001</v>
      </c>
      <c r="D768" s="8">
        <f>CHOOSE( CONTROL!$C$32, 21.61, 21.6096) * CHOOSE( CONTROL!$C$15, $D$11, 100%, $F$11)</f>
        <v>21.61</v>
      </c>
      <c r="E768" s="12">
        <f>CHOOSE( CONTROL!$C$32, 21.6091, 21.6086) * CHOOSE( CONTROL!$C$15, $D$11, 100%, $F$11)</f>
        <v>21.609100000000002</v>
      </c>
      <c r="F768" s="4">
        <f>CHOOSE( CONTROL!$C$32, 22.3056, 22.3052) * CHOOSE(CONTROL!$C$15, $D$11, 100%, $F$11)</f>
        <v>22.305599999999998</v>
      </c>
      <c r="G768" s="8">
        <f>CHOOSE( CONTROL!$C$32, 21.3601, 21.3597) * CHOOSE( CONTROL!$C$15, $D$11, 100%, $F$11)</f>
        <v>21.360099999999999</v>
      </c>
      <c r="H768" s="4">
        <f>CHOOSE( CONTROL!$C$32, 22.291, 22.2906) * CHOOSE(CONTROL!$C$15, $D$11, 100%, $F$11)</f>
        <v>22.291</v>
      </c>
      <c r="I768" s="8">
        <f>CHOOSE( CONTROL!$C$32, 21.0707, 21.0702) * CHOOSE(CONTROL!$C$15, $D$11, 100%, $F$11)</f>
        <v>21.070699999999999</v>
      </c>
      <c r="J768" s="4">
        <f>CHOOSE( CONTROL!$C$32, 20.9547, 20.9543) * CHOOSE(CONTROL!$C$15, $D$11, 100%, $F$11)</f>
        <v>20.954699999999999</v>
      </c>
      <c r="K768" s="4"/>
      <c r="L768" s="9">
        <v>30.7165</v>
      </c>
      <c r="M768" s="9">
        <v>12.063700000000001</v>
      </c>
      <c r="N768" s="9">
        <v>4.9444999999999997</v>
      </c>
      <c r="O768" s="9">
        <v>0.37409999999999999</v>
      </c>
      <c r="P768" s="9">
        <v>1.2927</v>
      </c>
      <c r="Q768" s="9">
        <v>19.688099999999999</v>
      </c>
      <c r="R768" s="9"/>
      <c r="S768" s="11"/>
    </row>
    <row r="769" spans="1:19" ht="15.75">
      <c r="A769" s="13">
        <v>64558</v>
      </c>
      <c r="B769" s="8">
        <f>CHOOSE( CONTROL!$C$32, 21.1505, 21.1501) * CHOOSE(CONTROL!$C$15, $D$11, 100%, $F$11)</f>
        <v>21.150500000000001</v>
      </c>
      <c r="C769" s="8">
        <f>CHOOSE( CONTROL!$C$32, 21.1585, 21.158) * CHOOSE(CONTROL!$C$15, $D$11, 100%, $F$11)</f>
        <v>21.1585</v>
      </c>
      <c r="D769" s="8">
        <f>CHOOSE( CONTROL!$C$32, 21.1576, 21.1572) * CHOOSE( CONTROL!$C$15, $D$11, 100%, $F$11)</f>
        <v>21.157599999999999</v>
      </c>
      <c r="E769" s="12">
        <f>CHOOSE( CONTROL!$C$32, 21.1567, 21.1563) * CHOOSE( CONTROL!$C$15, $D$11, 100%, $F$11)</f>
        <v>21.156700000000001</v>
      </c>
      <c r="F769" s="4">
        <f>CHOOSE( CONTROL!$C$32, 21.8533, 21.8529) * CHOOSE(CONTROL!$C$15, $D$11, 100%, $F$11)</f>
        <v>21.853300000000001</v>
      </c>
      <c r="G769" s="8">
        <f>CHOOSE( CONTROL!$C$32, 20.913, 20.9126) * CHOOSE( CONTROL!$C$15, $D$11, 100%, $F$11)</f>
        <v>20.913</v>
      </c>
      <c r="H769" s="4">
        <f>CHOOSE( CONTROL!$C$32, 21.8441, 21.8436) * CHOOSE(CONTROL!$C$15, $D$11, 100%, $F$11)</f>
        <v>21.844100000000001</v>
      </c>
      <c r="I769" s="8">
        <f>CHOOSE( CONTROL!$C$32, 20.631, 20.6306) * CHOOSE(CONTROL!$C$15, $D$11, 100%, $F$11)</f>
        <v>20.631</v>
      </c>
      <c r="J769" s="4">
        <f>CHOOSE( CONTROL!$C$32, 20.5158, 20.5153) * CHOOSE(CONTROL!$C$15, $D$11, 100%, $F$11)</f>
        <v>20.515799999999999</v>
      </c>
      <c r="K769" s="4"/>
      <c r="L769" s="9">
        <v>29.7257</v>
      </c>
      <c r="M769" s="9">
        <v>11.6745</v>
      </c>
      <c r="N769" s="9">
        <v>4.7850000000000001</v>
      </c>
      <c r="O769" s="9">
        <v>0.36199999999999999</v>
      </c>
      <c r="P769" s="9">
        <v>1.2509999999999999</v>
      </c>
      <c r="Q769" s="9">
        <v>19.053000000000001</v>
      </c>
      <c r="R769" s="9"/>
      <c r="S769" s="11"/>
    </row>
    <row r="770" spans="1:19" ht="15.75">
      <c r="A770" s="13">
        <v>64589</v>
      </c>
      <c r="B770" s="8">
        <f>CHOOSE( CONTROL!$C$32, 22.0877, 22.0874) * CHOOSE(CONTROL!$C$15, $D$11, 100%, $F$11)</f>
        <v>22.087700000000002</v>
      </c>
      <c r="C770" s="8">
        <f>CHOOSE( CONTROL!$C$32, 22.093, 22.0927) * CHOOSE(CONTROL!$C$15, $D$11, 100%, $F$11)</f>
        <v>22.093</v>
      </c>
      <c r="D770" s="8">
        <f>CHOOSE( CONTROL!$C$32, 22.0977, 22.0974) * CHOOSE( CONTROL!$C$15, $D$11, 100%, $F$11)</f>
        <v>22.0977</v>
      </c>
      <c r="E770" s="12">
        <f>CHOOSE( CONTROL!$C$32, 22.0956, 22.0953) * CHOOSE( CONTROL!$C$15, $D$11, 100%, $F$11)</f>
        <v>22.095600000000001</v>
      </c>
      <c r="F770" s="4">
        <f>CHOOSE( CONTROL!$C$32, 22.7922, 22.792) * CHOOSE(CONTROL!$C$15, $D$11, 100%, $F$11)</f>
        <v>22.792200000000001</v>
      </c>
      <c r="G770" s="8">
        <f>CHOOSE( CONTROL!$C$32, 21.8411, 21.8408) * CHOOSE( CONTROL!$C$15, $D$11, 100%, $F$11)</f>
        <v>21.841100000000001</v>
      </c>
      <c r="H770" s="4">
        <f>CHOOSE( CONTROL!$C$32, 22.772, 22.7717) * CHOOSE(CONTROL!$C$15, $D$11, 100%, $F$11)</f>
        <v>22.771999999999998</v>
      </c>
      <c r="I770" s="8">
        <f>CHOOSE( CONTROL!$C$32, 21.5435, 21.5432) * CHOOSE(CONTROL!$C$15, $D$11, 100%, $F$11)</f>
        <v>21.543500000000002</v>
      </c>
      <c r="J770" s="4">
        <f>CHOOSE( CONTROL!$C$32, 21.427, 21.4267) * CHOOSE(CONTROL!$C$15, $D$11, 100%, $F$11)</f>
        <v>21.427</v>
      </c>
      <c r="K770" s="4"/>
      <c r="L770" s="9">
        <v>31.095300000000002</v>
      </c>
      <c r="M770" s="9">
        <v>12.063700000000001</v>
      </c>
      <c r="N770" s="9">
        <v>4.9444999999999997</v>
      </c>
      <c r="O770" s="9">
        <v>0.37409999999999999</v>
      </c>
      <c r="P770" s="9">
        <v>1.2927</v>
      </c>
      <c r="Q770" s="9">
        <v>19.688099999999999</v>
      </c>
      <c r="R770" s="9"/>
      <c r="S770" s="11"/>
    </row>
    <row r="771" spans="1:19" ht="15.75">
      <c r="A771" s="13">
        <v>64619</v>
      </c>
      <c r="B771" s="8">
        <f>CHOOSE( CONTROL!$C$32, 23.8206, 23.8203) * CHOOSE(CONTROL!$C$15, $D$11, 100%, $F$11)</f>
        <v>23.820599999999999</v>
      </c>
      <c r="C771" s="8">
        <f>CHOOSE( CONTROL!$C$32, 23.8257, 23.8254) * CHOOSE(CONTROL!$C$15, $D$11, 100%, $F$11)</f>
        <v>23.825700000000001</v>
      </c>
      <c r="D771" s="8">
        <f>CHOOSE( CONTROL!$C$32, 23.8084, 23.8081) * CHOOSE( CONTROL!$C$15, $D$11, 100%, $F$11)</f>
        <v>23.808399999999999</v>
      </c>
      <c r="E771" s="12">
        <f>CHOOSE( CONTROL!$C$32, 23.8142, 23.8139) * CHOOSE( CONTROL!$C$15, $D$11, 100%, $F$11)</f>
        <v>23.8142</v>
      </c>
      <c r="F771" s="4">
        <f>CHOOSE( CONTROL!$C$32, 24.4859, 24.4856) * CHOOSE(CONTROL!$C$15, $D$11, 100%, $F$11)</f>
        <v>24.485900000000001</v>
      </c>
      <c r="G771" s="8">
        <f>CHOOSE( CONTROL!$C$32, 23.551, 23.5507) * CHOOSE( CONTROL!$C$15, $D$11, 100%, $F$11)</f>
        <v>23.550999999999998</v>
      </c>
      <c r="H771" s="4">
        <f>CHOOSE( CONTROL!$C$32, 24.4458, 24.4455) * CHOOSE(CONTROL!$C$15, $D$11, 100%, $F$11)</f>
        <v>24.445799999999998</v>
      </c>
      <c r="I771" s="8">
        <f>CHOOSE( CONTROL!$C$32, 23.2821, 23.2819) * CHOOSE(CONTROL!$C$15, $D$11, 100%, $F$11)</f>
        <v>23.2821</v>
      </c>
      <c r="J771" s="4">
        <f>CHOOSE( CONTROL!$C$32, 23.1091, 23.1089) * CHOOSE(CONTROL!$C$15, $D$11, 100%, $F$11)</f>
        <v>23.109100000000002</v>
      </c>
      <c r="K771" s="4"/>
      <c r="L771" s="9">
        <v>28.360600000000002</v>
      </c>
      <c r="M771" s="9">
        <v>11.6745</v>
      </c>
      <c r="N771" s="9">
        <v>4.7850000000000001</v>
      </c>
      <c r="O771" s="9">
        <v>0.36199999999999999</v>
      </c>
      <c r="P771" s="9">
        <v>1.2509999999999999</v>
      </c>
      <c r="Q771" s="9">
        <v>19.053000000000001</v>
      </c>
      <c r="R771" s="9"/>
      <c r="S771" s="11"/>
    </row>
    <row r="772" spans="1:19" ht="15.75">
      <c r="A772" s="13">
        <v>64650</v>
      </c>
      <c r="B772" s="8">
        <f>CHOOSE( CONTROL!$C$32, 23.7773, 23.777) * CHOOSE(CONTROL!$C$15, $D$11, 100%, $F$11)</f>
        <v>23.7773</v>
      </c>
      <c r="C772" s="8">
        <f>CHOOSE( CONTROL!$C$32, 23.7824, 23.7821) * CHOOSE(CONTROL!$C$15, $D$11, 100%, $F$11)</f>
        <v>23.782399999999999</v>
      </c>
      <c r="D772" s="8">
        <f>CHOOSE( CONTROL!$C$32, 23.7669, 23.7666) * CHOOSE( CONTROL!$C$15, $D$11, 100%, $F$11)</f>
        <v>23.7669</v>
      </c>
      <c r="E772" s="12">
        <f>CHOOSE( CONTROL!$C$32, 23.772, 23.7717) * CHOOSE( CONTROL!$C$15, $D$11, 100%, $F$11)</f>
        <v>23.771999999999998</v>
      </c>
      <c r="F772" s="4">
        <f>CHOOSE( CONTROL!$C$32, 24.4426, 24.4423) * CHOOSE(CONTROL!$C$15, $D$11, 100%, $F$11)</f>
        <v>24.442599999999999</v>
      </c>
      <c r="G772" s="8">
        <f>CHOOSE( CONTROL!$C$32, 23.5095, 23.5092) * CHOOSE( CONTROL!$C$15, $D$11, 100%, $F$11)</f>
        <v>23.509499999999999</v>
      </c>
      <c r="H772" s="4">
        <f>CHOOSE( CONTROL!$C$32, 24.403, 24.4027) * CHOOSE(CONTROL!$C$15, $D$11, 100%, $F$11)</f>
        <v>24.402999999999999</v>
      </c>
      <c r="I772" s="8">
        <f>CHOOSE( CONTROL!$C$32, 23.2457, 23.2454) * CHOOSE(CONTROL!$C$15, $D$11, 100%, $F$11)</f>
        <v>23.245699999999999</v>
      </c>
      <c r="J772" s="4">
        <f>CHOOSE( CONTROL!$C$32, 23.0671, 23.0669) * CHOOSE(CONTROL!$C$15, $D$11, 100%, $F$11)</f>
        <v>23.0671</v>
      </c>
      <c r="K772" s="4"/>
      <c r="L772" s="9">
        <v>29.306000000000001</v>
      </c>
      <c r="M772" s="9">
        <v>12.063700000000001</v>
      </c>
      <c r="N772" s="9">
        <v>4.9444999999999997</v>
      </c>
      <c r="O772" s="9">
        <v>0.37409999999999999</v>
      </c>
      <c r="P772" s="9">
        <v>1.2927</v>
      </c>
      <c r="Q772" s="9">
        <v>19.688099999999999</v>
      </c>
      <c r="R772" s="9"/>
      <c r="S772" s="11"/>
    </row>
    <row r="773" spans="1:19" ht="15.75">
      <c r="A773" s="13">
        <v>64681</v>
      </c>
      <c r="B773" s="8">
        <f>CHOOSE( CONTROL!$C$32, 24.4784, 24.4781) * CHOOSE(CONTROL!$C$15, $D$11, 100%, $F$11)</f>
        <v>24.478400000000001</v>
      </c>
      <c r="C773" s="8">
        <f>CHOOSE( CONTROL!$C$32, 24.4835, 24.4832) * CHOOSE(CONTROL!$C$15, $D$11, 100%, $F$11)</f>
        <v>24.483499999999999</v>
      </c>
      <c r="D773" s="8">
        <f>CHOOSE( CONTROL!$C$32, 24.4739, 24.4736) * CHOOSE( CONTROL!$C$15, $D$11, 100%, $F$11)</f>
        <v>24.4739</v>
      </c>
      <c r="E773" s="12">
        <f>CHOOSE( CONTROL!$C$32, 24.4769, 24.4766) * CHOOSE( CONTROL!$C$15, $D$11, 100%, $F$11)</f>
        <v>24.476900000000001</v>
      </c>
      <c r="F773" s="4">
        <f>CHOOSE( CONTROL!$C$32, 25.1437, 25.1434) * CHOOSE(CONTROL!$C$15, $D$11, 100%, $F$11)</f>
        <v>25.143699999999999</v>
      </c>
      <c r="G773" s="8">
        <f>CHOOSE( CONTROL!$C$32, 24.2031, 24.2028) * CHOOSE( CONTROL!$C$15, $D$11, 100%, $F$11)</f>
        <v>24.203099999999999</v>
      </c>
      <c r="H773" s="4">
        <f>CHOOSE( CONTROL!$C$32, 25.0958, 25.0956) * CHOOSE(CONTROL!$C$15, $D$11, 100%, $F$11)</f>
        <v>25.095800000000001</v>
      </c>
      <c r="I773" s="8">
        <f>CHOOSE( CONTROL!$C$32, 23.9069, 23.9066) * CHOOSE(CONTROL!$C$15, $D$11, 100%, $F$11)</f>
        <v>23.9069</v>
      </c>
      <c r="J773" s="4">
        <f>CHOOSE( CONTROL!$C$32, 23.7475, 23.7472) * CHOOSE(CONTROL!$C$15, $D$11, 100%, $F$11)</f>
        <v>23.747499999999999</v>
      </c>
      <c r="K773" s="4"/>
      <c r="L773" s="9">
        <v>29.306000000000001</v>
      </c>
      <c r="M773" s="9">
        <v>12.063700000000001</v>
      </c>
      <c r="N773" s="9">
        <v>4.9444999999999997</v>
      </c>
      <c r="O773" s="9">
        <v>0.37409999999999999</v>
      </c>
      <c r="P773" s="9">
        <v>1.2927</v>
      </c>
      <c r="Q773" s="9">
        <v>19.688099999999999</v>
      </c>
      <c r="R773" s="9"/>
      <c r="S773" s="11"/>
    </row>
    <row r="774" spans="1:19" ht="15.75">
      <c r="A774" s="13">
        <v>64709</v>
      </c>
      <c r="B774" s="8">
        <f>CHOOSE( CONTROL!$C$32, 22.8965, 22.8962) * CHOOSE(CONTROL!$C$15, $D$11, 100%, $F$11)</f>
        <v>22.8965</v>
      </c>
      <c r="C774" s="8">
        <f>CHOOSE( CONTROL!$C$32, 22.9016, 22.9013) * CHOOSE(CONTROL!$C$15, $D$11, 100%, $F$11)</f>
        <v>22.901599999999998</v>
      </c>
      <c r="D774" s="8">
        <f>CHOOSE( CONTROL!$C$32, 22.8937, 22.8934) * CHOOSE( CONTROL!$C$15, $D$11, 100%, $F$11)</f>
        <v>22.893699999999999</v>
      </c>
      <c r="E774" s="12">
        <f>CHOOSE( CONTROL!$C$32, 22.896, 22.8957) * CHOOSE( CONTROL!$C$15, $D$11, 100%, $F$11)</f>
        <v>22.896000000000001</v>
      </c>
      <c r="F774" s="4">
        <f>CHOOSE( CONTROL!$C$32, 23.5618, 23.5615) * CHOOSE(CONTROL!$C$15, $D$11, 100%, $F$11)</f>
        <v>23.561800000000002</v>
      </c>
      <c r="G774" s="8">
        <f>CHOOSE( CONTROL!$C$32, 22.6383, 22.638) * CHOOSE( CONTROL!$C$15, $D$11, 100%, $F$11)</f>
        <v>22.638300000000001</v>
      </c>
      <c r="H774" s="4">
        <f>CHOOSE( CONTROL!$C$32, 23.5325, 23.5322) * CHOOSE(CONTROL!$C$15, $D$11, 100%, $F$11)</f>
        <v>23.532499999999999</v>
      </c>
      <c r="I774" s="8">
        <f>CHOOSE( CONTROL!$C$32, 22.3555, 22.3552) * CHOOSE(CONTROL!$C$15, $D$11, 100%, $F$11)</f>
        <v>22.355499999999999</v>
      </c>
      <c r="J774" s="4">
        <f>CHOOSE( CONTROL!$C$32, 22.2123, 22.212) * CHOOSE(CONTROL!$C$15, $D$11, 100%, $F$11)</f>
        <v>22.212299999999999</v>
      </c>
      <c r="K774" s="4"/>
      <c r="L774" s="9">
        <v>26.469899999999999</v>
      </c>
      <c r="M774" s="9">
        <v>10.8962</v>
      </c>
      <c r="N774" s="9">
        <v>4.4660000000000002</v>
      </c>
      <c r="O774" s="9">
        <v>0.33789999999999998</v>
      </c>
      <c r="P774" s="9">
        <v>1.1676</v>
      </c>
      <c r="Q774" s="9">
        <v>17.782800000000002</v>
      </c>
      <c r="R774" s="9"/>
      <c r="S774" s="11"/>
    </row>
    <row r="775" spans="1:19" ht="15.75">
      <c r="A775" s="13">
        <v>64740</v>
      </c>
      <c r="B775" s="8">
        <f>CHOOSE( CONTROL!$C$32, 22.4093, 22.409) * CHOOSE(CONTROL!$C$15, $D$11, 100%, $F$11)</f>
        <v>22.409300000000002</v>
      </c>
      <c r="C775" s="8">
        <f>CHOOSE( CONTROL!$C$32, 22.4144, 22.4141) * CHOOSE(CONTROL!$C$15, $D$11, 100%, $F$11)</f>
        <v>22.414400000000001</v>
      </c>
      <c r="D775" s="8">
        <f>CHOOSE( CONTROL!$C$32, 22.4017, 22.4014) * CHOOSE( CONTROL!$C$15, $D$11, 100%, $F$11)</f>
        <v>22.401700000000002</v>
      </c>
      <c r="E775" s="12">
        <f>CHOOSE( CONTROL!$C$32, 22.4058, 22.4055) * CHOOSE( CONTROL!$C$15, $D$11, 100%, $F$11)</f>
        <v>22.405799999999999</v>
      </c>
      <c r="F775" s="4">
        <f>CHOOSE( CONTROL!$C$32, 23.0746, 23.0743) * CHOOSE(CONTROL!$C$15, $D$11, 100%, $F$11)</f>
        <v>23.0746</v>
      </c>
      <c r="G775" s="8">
        <f>CHOOSE( CONTROL!$C$32, 22.1533, 22.153) * CHOOSE( CONTROL!$C$15, $D$11, 100%, $F$11)</f>
        <v>22.153300000000002</v>
      </c>
      <c r="H775" s="4">
        <f>CHOOSE( CONTROL!$C$32, 23.051, 23.0507) * CHOOSE(CONTROL!$C$15, $D$11, 100%, $F$11)</f>
        <v>23.050999999999998</v>
      </c>
      <c r="I775" s="8">
        <f>CHOOSE( CONTROL!$C$32, 21.8808, 21.8805) * CHOOSE(CONTROL!$C$15, $D$11, 100%, $F$11)</f>
        <v>21.880800000000001</v>
      </c>
      <c r="J775" s="4">
        <f>CHOOSE( CONTROL!$C$32, 21.7395, 21.7392) * CHOOSE(CONTROL!$C$15, $D$11, 100%, $F$11)</f>
        <v>21.7395</v>
      </c>
      <c r="K775" s="4"/>
      <c r="L775" s="9">
        <v>29.306000000000001</v>
      </c>
      <c r="M775" s="9">
        <v>12.063700000000001</v>
      </c>
      <c r="N775" s="9">
        <v>4.9444999999999997</v>
      </c>
      <c r="O775" s="9">
        <v>0.37409999999999999</v>
      </c>
      <c r="P775" s="9">
        <v>1.2927</v>
      </c>
      <c r="Q775" s="9">
        <v>19.688099999999999</v>
      </c>
      <c r="R775" s="9"/>
      <c r="S775" s="11"/>
    </row>
    <row r="776" spans="1:19" ht="15.75">
      <c r="A776" s="13">
        <v>64770</v>
      </c>
      <c r="B776" s="8">
        <f>CHOOSE( CONTROL!$C$32, 22.7505, 22.7502) * CHOOSE(CONTROL!$C$15, $D$11, 100%, $F$11)</f>
        <v>22.750499999999999</v>
      </c>
      <c r="C776" s="8">
        <f>CHOOSE( CONTROL!$C$32, 22.755, 22.7547) * CHOOSE(CONTROL!$C$15, $D$11, 100%, $F$11)</f>
        <v>22.754999999999999</v>
      </c>
      <c r="D776" s="8">
        <f>CHOOSE( CONTROL!$C$32, 22.7599, 22.7596) * CHOOSE( CONTROL!$C$15, $D$11, 100%, $F$11)</f>
        <v>22.759899999999998</v>
      </c>
      <c r="E776" s="12">
        <f>CHOOSE( CONTROL!$C$32, 22.7578, 22.7575) * CHOOSE( CONTROL!$C$15, $D$11, 100%, $F$11)</f>
        <v>22.7578</v>
      </c>
      <c r="F776" s="4">
        <f>CHOOSE( CONTROL!$C$32, 23.4547, 23.4544) * CHOOSE(CONTROL!$C$15, $D$11, 100%, $F$11)</f>
        <v>23.454699999999999</v>
      </c>
      <c r="G776" s="8">
        <f>CHOOSE( CONTROL!$C$32, 22.4955, 22.4952) * CHOOSE( CONTROL!$C$15, $D$11, 100%, $F$11)</f>
        <v>22.4955</v>
      </c>
      <c r="H776" s="4">
        <f>CHOOSE( CONTROL!$C$32, 23.4267, 23.4264) * CHOOSE(CONTROL!$C$15, $D$11, 100%, $F$11)</f>
        <v>23.4267</v>
      </c>
      <c r="I776" s="8">
        <f>CHOOSE( CONTROL!$C$32, 22.1856, 22.1853) * CHOOSE(CONTROL!$C$15, $D$11, 100%, $F$11)</f>
        <v>22.185600000000001</v>
      </c>
      <c r="J776" s="4">
        <f>CHOOSE( CONTROL!$C$32, 22.0699, 22.0696) * CHOOSE(CONTROL!$C$15, $D$11, 100%, $F$11)</f>
        <v>22.069900000000001</v>
      </c>
      <c r="K776" s="4"/>
      <c r="L776" s="9">
        <v>30.092199999999998</v>
      </c>
      <c r="M776" s="9">
        <v>11.6745</v>
      </c>
      <c r="N776" s="9">
        <v>4.7850000000000001</v>
      </c>
      <c r="O776" s="9">
        <v>0.36199999999999999</v>
      </c>
      <c r="P776" s="9">
        <v>1.2509999999999999</v>
      </c>
      <c r="Q776" s="9">
        <v>19.053000000000001</v>
      </c>
      <c r="R776" s="9"/>
      <c r="S776" s="11"/>
    </row>
    <row r="777" spans="1:19" ht="15.75">
      <c r="A777" s="13">
        <v>64801</v>
      </c>
      <c r="B777" s="8">
        <f>CHOOSE( CONTROL!$C$32, 23.358, 23.3575) * CHOOSE(CONTROL!$C$15, $D$11, 100%, $F$11)</f>
        <v>23.358000000000001</v>
      </c>
      <c r="C777" s="8">
        <f>CHOOSE( CONTROL!$C$32, 23.366, 23.3655) * CHOOSE(CONTROL!$C$15, $D$11, 100%, $F$11)</f>
        <v>23.366</v>
      </c>
      <c r="D777" s="8">
        <f>CHOOSE( CONTROL!$C$32, 23.3647, 23.3643) * CHOOSE( CONTROL!$C$15, $D$11, 100%, $F$11)</f>
        <v>23.364699999999999</v>
      </c>
      <c r="E777" s="12">
        <f>CHOOSE( CONTROL!$C$32, 23.364, 23.3635) * CHOOSE( CONTROL!$C$15, $D$11, 100%, $F$11)</f>
        <v>23.364000000000001</v>
      </c>
      <c r="F777" s="4">
        <f>CHOOSE( CONTROL!$C$32, 24.0608, 24.0603) * CHOOSE(CONTROL!$C$15, $D$11, 100%, $F$11)</f>
        <v>24.0608</v>
      </c>
      <c r="G777" s="8">
        <f>CHOOSE( CONTROL!$C$32, 23.0943, 23.0939) * CHOOSE( CONTROL!$C$15, $D$11, 100%, $F$11)</f>
        <v>23.0943</v>
      </c>
      <c r="H777" s="4">
        <f>CHOOSE( CONTROL!$C$32, 24.0257, 24.0252) * CHOOSE(CONTROL!$C$15, $D$11, 100%, $F$11)</f>
        <v>24.025700000000001</v>
      </c>
      <c r="I777" s="8">
        <f>CHOOSE( CONTROL!$C$32, 22.7733, 22.7729) * CHOOSE(CONTROL!$C$15, $D$11, 100%, $F$11)</f>
        <v>22.773299999999999</v>
      </c>
      <c r="J777" s="4">
        <f>CHOOSE( CONTROL!$C$32, 22.6581, 22.6577) * CHOOSE(CONTROL!$C$15, $D$11, 100%, $F$11)</f>
        <v>22.658100000000001</v>
      </c>
      <c r="K777" s="4"/>
      <c r="L777" s="9">
        <v>30.7165</v>
      </c>
      <c r="M777" s="9">
        <v>12.063700000000001</v>
      </c>
      <c r="N777" s="9">
        <v>4.9444999999999997</v>
      </c>
      <c r="O777" s="9">
        <v>0.37409999999999999</v>
      </c>
      <c r="P777" s="9">
        <v>1.2927</v>
      </c>
      <c r="Q777" s="9">
        <v>19.688099999999999</v>
      </c>
      <c r="R777" s="9"/>
      <c r="S777" s="11"/>
    </row>
    <row r="778" spans="1:19" ht="15.75">
      <c r="A778" s="13">
        <v>64831</v>
      </c>
      <c r="B778" s="8">
        <f>CHOOSE( CONTROL!$C$32, 22.9826, 22.9822) * CHOOSE(CONTROL!$C$15, $D$11, 100%, $F$11)</f>
        <v>22.982600000000001</v>
      </c>
      <c r="C778" s="8">
        <f>CHOOSE( CONTROL!$C$32, 22.9906, 22.9901) * CHOOSE(CONTROL!$C$15, $D$11, 100%, $F$11)</f>
        <v>22.990600000000001</v>
      </c>
      <c r="D778" s="8">
        <f>CHOOSE( CONTROL!$C$32, 22.9896, 22.9891) * CHOOSE( CONTROL!$C$15, $D$11, 100%, $F$11)</f>
        <v>22.989599999999999</v>
      </c>
      <c r="E778" s="12">
        <f>CHOOSE( CONTROL!$C$32, 22.9887, 22.9883) * CHOOSE( CONTROL!$C$15, $D$11, 100%, $F$11)</f>
        <v>22.988700000000001</v>
      </c>
      <c r="F778" s="4">
        <f>CHOOSE( CONTROL!$C$32, 23.6854, 23.685) * CHOOSE(CONTROL!$C$15, $D$11, 100%, $F$11)</f>
        <v>23.685400000000001</v>
      </c>
      <c r="G778" s="8">
        <f>CHOOSE( CONTROL!$C$32, 22.7235, 22.7231) * CHOOSE( CONTROL!$C$15, $D$11, 100%, $F$11)</f>
        <v>22.723500000000001</v>
      </c>
      <c r="H778" s="4">
        <f>CHOOSE( CONTROL!$C$32, 23.6547, 23.6543) * CHOOSE(CONTROL!$C$15, $D$11, 100%, $F$11)</f>
        <v>23.654699999999998</v>
      </c>
      <c r="I778" s="8">
        <f>CHOOSE( CONTROL!$C$32, 22.4095, 22.4091) * CHOOSE(CONTROL!$C$15, $D$11, 100%, $F$11)</f>
        <v>22.409500000000001</v>
      </c>
      <c r="J778" s="4">
        <f>CHOOSE( CONTROL!$C$32, 22.2938, 22.2934) * CHOOSE(CONTROL!$C$15, $D$11, 100%, $F$11)</f>
        <v>22.293800000000001</v>
      </c>
      <c r="K778" s="4"/>
      <c r="L778" s="9">
        <v>29.7257</v>
      </c>
      <c r="M778" s="9">
        <v>11.6745</v>
      </c>
      <c r="N778" s="9">
        <v>4.7850000000000001</v>
      </c>
      <c r="O778" s="9">
        <v>0.36199999999999999</v>
      </c>
      <c r="P778" s="9">
        <v>1.2509999999999999</v>
      </c>
      <c r="Q778" s="9">
        <v>19.053000000000001</v>
      </c>
      <c r="R778" s="9"/>
      <c r="S778" s="11"/>
    </row>
    <row r="779" spans="1:19" ht="15.75">
      <c r="A779" s="13">
        <v>64862</v>
      </c>
      <c r="B779" s="8">
        <f>CHOOSE( CONTROL!$C$32, 23.9711, 23.9706) * CHOOSE(CONTROL!$C$15, $D$11, 100%, $F$11)</f>
        <v>23.9711</v>
      </c>
      <c r="C779" s="8">
        <f>CHOOSE( CONTROL!$C$32, 23.979, 23.9786) * CHOOSE(CONTROL!$C$15, $D$11, 100%, $F$11)</f>
        <v>23.978999999999999</v>
      </c>
      <c r="D779" s="8">
        <f>CHOOSE( CONTROL!$C$32, 23.9782, 23.9778) * CHOOSE( CONTROL!$C$15, $D$11, 100%, $F$11)</f>
        <v>23.978200000000001</v>
      </c>
      <c r="E779" s="12">
        <f>CHOOSE( CONTROL!$C$32, 23.9773, 23.9769) * CHOOSE( CONTROL!$C$15, $D$11, 100%, $F$11)</f>
        <v>23.9773</v>
      </c>
      <c r="F779" s="4">
        <f>CHOOSE( CONTROL!$C$32, 24.6739, 24.6734) * CHOOSE(CONTROL!$C$15, $D$11, 100%, $F$11)</f>
        <v>24.6739</v>
      </c>
      <c r="G779" s="8">
        <f>CHOOSE( CONTROL!$C$32, 23.7006, 23.7001) * CHOOSE( CONTROL!$C$15, $D$11, 100%, $F$11)</f>
        <v>23.700600000000001</v>
      </c>
      <c r="H779" s="4">
        <f>CHOOSE( CONTROL!$C$32, 24.6316, 24.6311) * CHOOSE(CONTROL!$C$15, $D$11, 100%, $F$11)</f>
        <v>24.631599999999999</v>
      </c>
      <c r="I779" s="8">
        <f>CHOOSE( CONTROL!$C$32, 23.37, 23.3696) * CHOOSE(CONTROL!$C$15, $D$11, 100%, $F$11)</f>
        <v>23.37</v>
      </c>
      <c r="J779" s="4">
        <f>CHOOSE( CONTROL!$C$32, 23.2531, 23.2527) * CHOOSE(CONTROL!$C$15, $D$11, 100%, $F$11)</f>
        <v>23.2531</v>
      </c>
      <c r="K779" s="4"/>
      <c r="L779" s="9">
        <v>30.7165</v>
      </c>
      <c r="M779" s="9">
        <v>12.063700000000001</v>
      </c>
      <c r="N779" s="9">
        <v>4.9444999999999997</v>
      </c>
      <c r="O779" s="9">
        <v>0.37409999999999999</v>
      </c>
      <c r="P779" s="9">
        <v>1.2927</v>
      </c>
      <c r="Q779" s="9">
        <v>19.688099999999999</v>
      </c>
      <c r="R779" s="9"/>
      <c r="S779" s="11"/>
    </row>
    <row r="780" spans="1:19" ht="15.75">
      <c r="A780" s="13">
        <v>64893</v>
      </c>
      <c r="B780" s="8">
        <f>CHOOSE( CONTROL!$C$32, 22.1216, 22.1211) * CHOOSE(CONTROL!$C$15, $D$11, 100%, $F$11)</f>
        <v>22.121600000000001</v>
      </c>
      <c r="C780" s="8">
        <f>CHOOSE( CONTROL!$C$32, 22.1296, 22.1291) * CHOOSE(CONTROL!$C$15, $D$11, 100%, $F$11)</f>
        <v>22.1296</v>
      </c>
      <c r="D780" s="8">
        <f>CHOOSE( CONTROL!$C$32, 22.1288, 22.1284) * CHOOSE( CONTROL!$C$15, $D$11, 100%, $F$11)</f>
        <v>22.128799999999998</v>
      </c>
      <c r="E780" s="12">
        <f>CHOOSE( CONTROL!$C$32, 22.1279, 22.1274) * CHOOSE( CONTROL!$C$15, $D$11, 100%, $F$11)</f>
        <v>22.1279</v>
      </c>
      <c r="F780" s="4">
        <f>CHOOSE( CONTROL!$C$32, 22.8244, 22.8239) * CHOOSE(CONTROL!$C$15, $D$11, 100%, $F$11)</f>
        <v>22.824400000000001</v>
      </c>
      <c r="G780" s="8">
        <f>CHOOSE( CONTROL!$C$32, 21.8728, 21.8724) * CHOOSE( CONTROL!$C$15, $D$11, 100%, $F$11)</f>
        <v>21.872800000000002</v>
      </c>
      <c r="H780" s="4">
        <f>CHOOSE( CONTROL!$C$32, 22.8037, 22.8033) * CHOOSE(CONTROL!$C$15, $D$11, 100%, $F$11)</f>
        <v>22.803699999999999</v>
      </c>
      <c r="I780" s="8">
        <f>CHOOSE( CONTROL!$C$32, 21.5744, 21.574) * CHOOSE(CONTROL!$C$15, $D$11, 100%, $F$11)</f>
        <v>21.574400000000001</v>
      </c>
      <c r="J780" s="4">
        <f>CHOOSE( CONTROL!$C$32, 21.4582, 21.4577) * CHOOSE(CONTROL!$C$15, $D$11, 100%, $F$11)</f>
        <v>21.458200000000001</v>
      </c>
      <c r="K780" s="4"/>
      <c r="L780" s="9">
        <v>30.7165</v>
      </c>
      <c r="M780" s="9">
        <v>12.063700000000001</v>
      </c>
      <c r="N780" s="9">
        <v>4.9444999999999997</v>
      </c>
      <c r="O780" s="9">
        <v>0.37409999999999999</v>
      </c>
      <c r="P780" s="9">
        <v>1.2927</v>
      </c>
      <c r="Q780" s="9">
        <v>19.688099999999999</v>
      </c>
      <c r="R780" s="9"/>
      <c r="S780" s="11"/>
    </row>
    <row r="781" spans="1:19" ht="15.75">
      <c r="A781" s="13">
        <v>64923</v>
      </c>
      <c r="B781" s="8">
        <f>CHOOSE( CONTROL!$C$32, 21.6584, 21.658) * CHOOSE(CONTROL!$C$15, $D$11, 100%, $F$11)</f>
        <v>21.6584</v>
      </c>
      <c r="C781" s="8">
        <f>CHOOSE( CONTROL!$C$32, 21.6664, 21.666) * CHOOSE(CONTROL!$C$15, $D$11, 100%, $F$11)</f>
        <v>21.666399999999999</v>
      </c>
      <c r="D781" s="8">
        <f>CHOOSE( CONTROL!$C$32, 21.6655, 21.6651) * CHOOSE( CONTROL!$C$15, $D$11, 100%, $F$11)</f>
        <v>21.665500000000002</v>
      </c>
      <c r="E781" s="12">
        <f>CHOOSE( CONTROL!$C$32, 21.6646, 21.6642) * CHOOSE( CONTROL!$C$15, $D$11, 100%, $F$11)</f>
        <v>21.6646</v>
      </c>
      <c r="F781" s="4">
        <f>CHOOSE( CONTROL!$C$32, 22.3613, 22.3608) * CHOOSE(CONTROL!$C$15, $D$11, 100%, $F$11)</f>
        <v>22.3613</v>
      </c>
      <c r="G781" s="8">
        <f>CHOOSE( CONTROL!$C$32, 21.415, 21.4145) * CHOOSE( CONTROL!$C$15, $D$11, 100%, $F$11)</f>
        <v>21.414999999999999</v>
      </c>
      <c r="H781" s="4">
        <f>CHOOSE( CONTROL!$C$32, 22.346, 22.3456) * CHOOSE(CONTROL!$C$15, $D$11, 100%, $F$11)</f>
        <v>22.346</v>
      </c>
      <c r="I781" s="8">
        <f>CHOOSE( CONTROL!$C$32, 21.1242, 21.1238) * CHOOSE(CONTROL!$C$15, $D$11, 100%, $F$11)</f>
        <v>21.124199999999998</v>
      </c>
      <c r="J781" s="4">
        <f>CHOOSE( CONTROL!$C$32, 21.0087, 21.0083) * CHOOSE(CONTROL!$C$15, $D$11, 100%, $F$11)</f>
        <v>21.008700000000001</v>
      </c>
      <c r="K781" s="4"/>
      <c r="L781" s="9">
        <v>29.7257</v>
      </c>
      <c r="M781" s="9">
        <v>11.6745</v>
      </c>
      <c r="N781" s="9">
        <v>4.7850000000000001</v>
      </c>
      <c r="O781" s="9">
        <v>0.36199999999999999</v>
      </c>
      <c r="P781" s="9">
        <v>1.2509999999999999</v>
      </c>
      <c r="Q781" s="9">
        <v>19.053000000000001</v>
      </c>
      <c r="R781" s="9"/>
      <c r="S781" s="11"/>
    </row>
    <row r="782" spans="1:19" ht="15.75">
      <c r="A782" s="13">
        <v>64954</v>
      </c>
      <c r="B782" s="8">
        <f>CHOOSE( CONTROL!$C$32, 22.6182, 22.6179) * CHOOSE(CONTROL!$C$15, $D$11, 100%, $F$11)</f>
        <v>22.618200000000002</v>
      </c>
      <c r="C782" s="8">
        <f>CHOOSE( CONTROL!$C$32, 22.6235, 22.6232) * CHOOSE(CONTROL!$C$15, $D$11, 100%, $F$11)</f>
        <v>22.6235</v>
      </c>
      <c r="D782" s="8">
        <f>CHOOSE( CONTROL!$C$32, 22.6282, 22.6279) * CHOOSE( CONTROL!$C$15, $D$11, 100%, $F$11)</f>
        <v>22.6282</v>
      </c>
      <c r="E782" s="12">
        <f>CHOOSE( CONTROL!$C$32, 22.6261, 22.6258) * CHOOSE( CONTROL!$C$15, $D$11, 100%, $F$11)</f>
        <v>22.626100000000001</v>
      </c>
      <c r="F782" s="4">
        <f>CHOOSE( CONTROL!$C$32, 23.3227, 23.3224) * CHOOSE(CONTROL!$C$15, $D$11, 100%, $F$11)</f>
        <v>23.322700000000001</v>
      </c>
      <c r="G782" s="8">
        <f>CHOOSE( CONTROL!$C$32, 22.3653, 22.3651) * CHOOSE( CONTROL!$C$15, $D$11, 100%, $F$11)</f>
        <v>22.365300000000001</v>
      </c>
      <c r="H782" s="4">
        <f>CHOOSE( CONTROL!$C$32, 23.2962, 23.296) * CHOOSE(CONTROL!$C$15, $D$11, 100%, $F$11)</f>
        <v>23.296199999999999</v>
      </c>
      <c r="I782" s="8">
        <f>CHOOSE( CONTROL!$C$32, 22.0586, 22.0583) * CHOOSE(CONTROL!$C$15, $D$11, 100%, $F$11)</f>
        <v>22.058599999999998</v>
      </c>
      <c r="J782" s="4">
        <f>CHOOSE( CONTROL!$C$32, 21.9418, 21.9415) * CHOOSE(CONTROL!$C$15, $D$11, 100%, $F$11)</f>
        <v>21.941800000000001</v>
      </c>
      <c r="K782" s="4"/>
      <c r="L782" s="9">
        <v>31.095300000000002</v>
      </c>
      <c r="M782" s="9">
        <v>12.063700000000001</v>
      </c>
      <c r="N782" s="9">
        <v>4.9444999999999997</v>
      </c>
      <c r="O782" s="9">
        <v>0.37409999999999999</v>
      </c>
      <c r="P782" s="9">
        <v>1.2927</v>
      </c>
      <c r="Q782" s="9">
        <v>19.688099999999999</v>
      </c>
      <c r="R782" s="9"/>
      <c r="S782" s="11"/>
    </row>
    <row r="783" spans="1:19" ht="15.75">
      <c r="A783" s="13">
        <v>64984</v>
      </c>
      <c r="B783" s="8">
        <f>CHOOSE( CONTROL!$C$32, 24.3927, 24.3925) * CHOOSE(CONTROL!$C$15, $D$11, 100%, $F$11)</f>
        <v>24.392700000000001</v>
      </c>
      <c r="C783" s="8">
        <f>CHOOSE( CONTROL!$C$32, 24.3978, 24.3975) * CHOOSE(CONTROL!$C$15, $D$11, 100%, $F$11)</f>
        <v>24.3978</v>
      </c>
      <c r="D783" s="8">
        <f>CHOOSE( CONTROL!$C$32, 24.3805, 24.3802) * CHOOSE( CONTROL!$C$15, $D$11, 100%, $F$11)</f>
        <v>24.380500000000001</v>
      </c>
      <c r="E783" s="12">
        <f>CHOOSE( CONTROL!$C$32, 24.3863, 24.386) * CHOOSE( CONTROL!$C$15, $D$11, 100%, $F$11)</f>
        <v>24.386299999999999</v>
      </c>
      <c r="F783" s="4">
        <f>CHOOSE( CONTROL!$C$32, 25.058, 25.0577) * CHOOSE(CONTROL!$C$15, $D$11, 100%, $F$11)</f>
        <v>25.058</v>
      </c>
      <c r="G783" s="8">
        <f>CHOOSE( CONTROL!$C$32, 24.1164, 24.1162) * CHOOSE( CONTROL!$C$15, $D$11, 100%, $F$11)</f>
        <v>24.116399999999999</v>
      </c>
      <c r="H783" s="4">
        <f>CHOOSE( CONTROL!$C$32, 25.0112, 25.0109) * CHOOSE(CONTROL!$C$15, $D$11, 100%, $F$11)</f>
        <v>25.011199999999999</v>
      </c>
      <c r="I783" s="8">
        <f>CHOOSE( CONTROL!$C$32, 23.8377, 23.8374) * CHOOSE(CONTROL!$C$15, $D$11, 100%, $F$11)</f>
        <v>23.837700000000002</v>
      </c>
      <c r="J783" s="4">
        <f>CHOOSE( CONTROL!$C$32, 23.6644, 23.6641) * CHOOSE(CONTROL!$C$15, $D$11, 100%, $F$11)</f>
        <v>23.664400000000001</v>
      </c>
      <c r="K783" s="4"/>
      <c r="L783" s="9">
        <v>28.360600000000002</v>
      </c>
      <c r="M783" s="9">
        <v>11.6745</v>
      </c>
      <c r="N783" s="9">
        <v>4.7850000000000001</v>
      </c>
      <c r="O783" s="9">
        <v>0.36199999999999999</v>
      </c>
      <c r="P783" s="9">
        <v>1.2509999999999999</v>
      </c>
      <c r="Q783" s="9">
        <v>19.053000000000001</v>
      </c>
      <c r="R783" s="9"/>
      <c r="S783" s="11"/>
    </row>
    <row r="784" spans="1:19" ht="15.75">
      <c r="A784" s="13">
        <v>65015</v>
      </c>
      <c r="B784" s="8">
        <f>CHOOSE( CONTROL!$C$32, 24.3484, 24.3481) * CHOOSE(CONTROL!$C$15, $D$11, 100%, $F$11)</f>
        <v>24.348400000000002</v>
      </c>
      <c r="C784" s="8">
        <f>CHOOSE( CONTROL!$C$32, 24.3535, 24.3532) * CHOOSE(CONTROL!$C$15, $D$11, 100%, $F$11)</f>
        <v>24.3535</v>
      </c>
      <c r="D784" s="8">
        <f>CHOOSE( CONTROL!$C$32, 24.338, 24.3377) * CHOOSE( CONTROL!$C$15, $D$11, 100%, $F$11)</f>
        <v>24.338000000000001</v>
      </c>
      <c r="E784" s="12">
        <f>CHOOSE( CONTROL!$C$32, 24.3431, 24.3428) * CHOOSE( CONTROL!$C$15, $D$11, 100%, $F$11)</f>
        <v>24.3431</v>
      </c>
      <c r="F784" s="4">
        <f>CHOOSE( CONTROL!$C$32, 25.0137, 25.0134) * CHOOSE(CONTROL!$C$15, $D$11, 100%, $F$11)</f>
        <v>25.0137</v>
      </c>
      <c r="G784" s="8">
        <f>CHOOSE( CONTROL!$C$32, 24.0739, 24.0736) * CHOOSE( CONTROL!$C$15, $D$11, 100%, $F$11)</f>
        <v>24.073899999999998</v>
      </c>
      <c r="H784" s="4">
        <f>CHOOSE( CONTROL!$C$32, 24.9674, 24.9671) * CHOOSE(CONTROL!$C$15, $D$11, 100%, $F$11)</f>
        <v>24.967400000000001</v>
      </c>
      <c r="I784" s="8">
        <f>CHOOSE( CONTROL!$C$32, 23.8002, 23.7999) * CHOOSE(CONTROL!$C$15, $D$11, 100%, $F$11)</f>
        <v>23.8002</v>
      </c>
      <c r="J784" s="4">
        <f>CHOOSE( CONTROL!$C$32, 23.6214, 23.6211) * CHOOSE(CONTROL!$C$15, $D$11, 100%, $F$11)</f>
        <v>23.621400000000001</v>
      </c>
      <c r="K784" s="4"/>
      <c r="L784" s="9">
        <v>29.306000000000001</v>
      </c>
      <c r="M784" s="9">
        <v>12.063700000000001</v>
      </c>
      <c r="N784" s="9">
        <v>4.9444999999999997</v>
      </c>
      <c r="O784" s="9">
        <v>0.37409999999999999</v>
      </c>
      <c r="P784" s="9">
        <v>1.2927</v>
      </c>
      <c r="Q784" s="9">
        <v>19.688099999999999</v>
      </c>
      <c r="R784" s="9"/>
      <c r="S784" s="11"/>
    </row>
    <row r="785" spans="1:19" ht="15.75">
      <c r="A785" s="13">
        <v>65046</v>
      </c>
      <c r="B785" s="8">
        <f>CHOOSE( CONTROL!$C$32, 25.0663, 25.066) * CHOOSE(CONTROL!$C$15, $D$11, 100%, $F$11)</f>
        <v>25.066299999999998</v>
      </c>
      <c r="C785" s="8">
        <f>CHOOSE( CONTROL!$C$32, 25.0714, 25.0711) * CHOOSE(CONTROL!$C$15, $D$11, 100%, $F$11)</f>
        <v>25.071400000000001</v>
      </c>
      <c r="D785" s="8">
        <f>CHOOSE( CONTROL!$C$32, 25.0618, 25.0615) * CHOOSE( CONTROL!$C$15, $D$11, 100%, $F$11)</f>
        <v>25.061800000000002</v>
      </c>
      <c r="E785" s="12">
        <f>CHOOSE( CONTROL!$C$32, 25.0648, 25.0645) * CHOOSE( CONTROL!$C$15, $D$11, 100%, $F$11)</f>
        <v>25.064800000000002</v>
      </c>
      <c r="F785" s="4">
        <f>CHOOSE( CONTROL!$C$32, 25.7316, 25.7313) * CHOOSE(CONTROL!$C$15, $D$11, 100%, $F$11)</f>
        <v>25.7316</v>
      </c>
      <c r="G785" s="8">
        <f>CHOOSE( CONTROL!$C$32, 24.7841, 24.7839) * CHOOSE( CONTROL!$C$15, $D$11, 100%, $F$11)</f>
        <v>24.784099999999999</v>
      </c>
      <c r="H785" s="4">
        <f>CHOOSE( CONTROL!$C$32, 25.6769, 25.6766) * CHOOSE(CONTROL!$C$15, $D$11, 100%, $F$11)</f>
        <v>25.6769</v>
      </c>
      <c r="I785" s="8">
        <f>CHOOSE( CONTROL!$C$32, 24.4777, 24.4775) * CHOOSE(CONTROL!$C$15, $D$11, 100%, $F$11)</f>
        <v>24.477699999999999</v>
      </c>
      <c r="J785" s="4">
        <f>CHOOSE( CONTROL!$C$32, 24.3181, 24.3178) * CHOOSE(CONTROL!$C$15, $D$11, 100%, $F$11)</f>
        <v>24.318100000000001</v>
      </c>
      <c r="K785" s="4"/>
      <c r="L785" s="9">
        <v>29.306000000000001</v>
      </c>
      <c r="M785" s="9">
        <v>12.063700000000001</v>
      </c>
      <c r="N785" s="9">
        <v>4.9444999999999997</v>
      </c>
      <c r="O785" s="9">
        <v>0.37409999999999999</v>
      </c>
      <c r="P785" s="9">
        <v>1.2927</v>
      </c>
      <c r="Q785" s="9">
        <v>19.688099999999999</v>
      </c>
      <c r="R785" s="9"/>
      <c r="S785" s="11"/>
    </row>
    <row r="786" spans="1:19" ht="15.75">
      <c r="A786" s="13">
        <v>65074</v>
      </c>
      <c r="B786" s="8">
        <f>CHOOSE( CONTROL!$C$32, 23.4464, 23.4461) * CHOOSE(CONTROL!$C$15, $D$11, 100%, $F$11)</f>
        <v>23.446400000000001</v>
      </c>
      <c r="C786" s="8">
        <f>CHOOSE( CONTROL!$C$32, 23.4515, 23.4512) * CHOOSE(CONTROL!$C$15, $D$11, 100%, $F$11)</f>
        <v>23.451499999999999</v>
      </c>
      <c r="D786" s="8">
        <f>CHOOSE( CONTROL!$C$32, 23.4436, 23.4433) * CHOOSE( CONTROL!$C$15, $D$11, 100%, $F$11)</f>
        <v>23.4436</v>
      </c>
      <c r="E786" s="12">
        <f>CHOOSE( CONTROL!$C$32, 23.4459, 23.4456) * CHOOSE( CONTROL!$C$15, $D$11, 100%, $F$11)</f>
        <v>23.445900000000002</v>
      </c>
      <c r="F786" s="4">
        <f>CHOOSE( CONTROL!$C$32, 24.1117, 24.1114) * CHOOSE(CONTROL!$C$15, $D$11, 100%, $F$11)</f>
        <v>24.111699999999999</v>
      </c>
      <c r="G786" s="8">
        <f>CHOOSE( CONTROL!$C$32, 23.1817, 23.1815) * CHOOSE( CONTROL!$C$15, $D$11, 100%, $F$11)</f>
        <v>23.181699999999999</v>
      </c>
      <c r="H786" s="4">
        <f>CHOOSE( CONTROL!$C$32, 24.076, 24.0757) * CHOOSE(CONTROL!$C$15, $D$11, 100%, $F$11)</f>
        <v>24.076000000000001</v>
      </c>
      <c r="I786" s="8">
        <f>CHOOSE( CONTROL!$C$32, 22.8895, 22.8892) * CHOOSE(CONTROL!$C$15, $D$11, 100%, $F$11)</f>
        <v>22.889500000000002</v>
      </c>
      <c r="J786" s="4">
        <f>CHOOSE( CONTROL!$C$32, 22.746, 22.7457) * CHOOSE(CONTROL!$C$15, $D$11, 100%, $F$11)</f>
        <v>22.745999999999999</v>
      </c>
      <c r="K786" s="4"/>
      <c r="L786" s="9">
        <v>26.469899999999999</v>
      </c>
      <c r="M786" s="9">
        <v>10.8962</v>
      </c>
      <c r="N786" s="9">
        <v>4.4660000000000002</v>
      </c>
      <c r="O786" s="9">
        <v>0.33789999999999998</v>
      </c>
      <c r="P786" s="9">
        <v>1.1676</v>
      </c>
      <c r="Q786" s="9">
        <v>17.782800000000002</v>
      </c>
      <c r="R786" s="9"/>
      <c r="S786" s="11"/>
    </row>
    <row r="787" spans="1:19" ht="15.75">
      <c r="A787" s="13">
        <v>65105</v>
      </c>
      <c r="B787" s="8">
        <f>CHOOSE( CONTROL!$C$32, 22.9475, 22.9472) * CHOOSE(CONTROL!$C$15, $D$11, 100%, $F$11)</f>
        <v>22.947500000000002</v>
      </c>
      <c r="C787" s="8">
        <f>CHOOSE( CONTROL!$C$32, 22.9526, 22.9523) * CHOOSE(CONTROL!$C$15, $D$11, 100%, $F$11)</f>
        <v>22.9526</v>
      </c>
      <c r="D787" s="8">
        <f>CHOOSE( CONTROL!$C$32, 22.9399, 22.9396) * CHOOSE( CONTROL!$C$15, $D$11, 100%, $F$11)</f>
        <v>22.939900000000002</v>
      </c>
      <c r="E787" s="12">
        <f>CHOOSE( CONTROL!$C$32, 22.944, 22.9437) * CHOOSE( CONTROL!$C$15, $D$11, 100%, $F$11)</f>
        <v>22.943999999999999</v>
      </c>
      <c r="F787" s="4">
        <f>CHOOSE( CONTROL!$C$32, 23.6128, 23.6125) * CHOOSE(CONTROL!$C$15, $D$11, 100%, $F$11)</f>
        <v>23.6128</v>
      </c>
      <c r="G787" s="8">
        <f>CHOOSE( CONTROL!$C$32, 22.6852, 22.6849) * CHOOSE( CONTROL!$C$15, $D$11, 100%, $F$11)</f>
        <v>22.685199999999998</v>
      </c>
      <c r="H787" s="4">
        <f>CHOOSE( CONTROL!$C$32, 23.5829, 23.5826) * CHOOSE(CONTROL!$C$15, $D$11, 100%, $F$11)</f>
        <v>23.582899999999999</v>
      </c>
      <c r="I787" s="8">
        <f>CHOOSE( CONTROL!$C$32, 22.4034, 22.4031) * CHOOSE(CONTROL!$C$15, $D$11, 100%, $F$11)</f>
        <v>22.403400000000001</v>
      </c>
      <c r="J787" s="4">
        <f>CHOOSE( CONTROL!$C$32, 22.2618, 22.2615) * CHOOSE(CONTROL!$C$15, $D$11, 100%, $F$11)</f>
        <v>22.261800000000001</v>
      </c>
      <c r="K787" s="4"/>
      <c r="L787" s="9">
        <v>29.306000000000001</v>
      </c>
      <c r="M787" s="9">
        <v>12.063700000000001</v>
      </c>
      <c r="N787" s="9">
        <v>4.9444999999999997</v>
      </c>
      <c r="O787" s="9">
        <v>0.37409999999999999</v>
      </c>
      <c r="P787" s="9">
        <v>1.2927</v>
      </c>
      <c r="Q787" s="9">
        <v>19.688099999999999</v>
      </c>
      <c r="R787" s="9"/>
      <c r="S787" s="11"/>
    </row>
    <row r="788" spans="1:19" ht="15.75">
      <c r="A788" s="13">
        <v>65135</v>
      </c>
      <c r="B788" s="8">
        <f>CHOOSE( CONTROL!$C$32, 23.2969, 23.2966) * CHOOSE(CONTROL!$C$15, $D$11, 100%, $F$11)</f>
        <v>23.296900000000001</v>
      </c>
      <c r="C788" s="8">
        <f>CHOOSE( CONTROL!$C$32, 23.3014, 23.3011) * CHOOSE(CONTROL!$C$15, $D$11, 100%, $F$11)</f>
        <v>23.301400000000001</v>
      </c>
      <c r="D788" s="8">
        <f>CHOOSE( CONTROL!$C$32, 23.3063, 23.306) * CHOOSE( CONTROL!$C$15, $D$11, 100%, $F$11)</f>
        <v>23.3063</v>
      </c>
      <c r="E788" s="12">
        <f>CHOOSE( CONTROL!$C$32, 23.3042, 23.3039) * CHOOSE( CONTROL!$C$15, $D$11, 100%, $F$11)</f>
        <v>23.304200000000002</v>
      </c>
      <c r="F788" s="4">
        <f>CHOOSE( CONTROL!$C$32, 24.0011, 24.0008) * CHOOSE(CONTROL!$C$15, $D$11, 100%, $F$11)</f>
        <v>24.001100000000001</v>
      </c>
      <c r="G788" s="8">
        <f>CHOOSE( CONTROL!$C$32, 23.0355, 23.0352) * CHOOSE( CONTROL!$C$15, $D$11, 100%, $F$11)</f>
        <v>23.035499999999999</v>
      </c>
      <c r="H788" s="4">
        <f>CHOOSE( CONTROL!$C$32, 23.9667, 23.9664) * CHOOSE(CONTROL!$C$15, $D$11, 100%, $F$11)</f>
        <v>23.966699999999999</v>
      </c>
      <c r="I788" s="8">
        <f>CHOOSE( CONTROL!$C$32, 22.7161, 22.7159) * CHOOSE(CONTROL!$C$15, $D$11, 100%, $F$11)</f>
        <v>22.716100000000001</v>
      </c>
      <c r="J788" s="4">
        <f>CHOOSE( CONTROL!$C$32, 22.6001, 22.5999) * CHOOSE(CONTROL!$C$15, $D$11, 100%, $F$11)</f>
        <v>22.600100000000001</v>
      </c>
      <c r="K788" s="4"/>
      <c r="L788" s="9">
        <v>30.092199999999998</v>
      </c>
      <c r="M788" s="9">
        <v>11.6745</v>
      </c>
      <c r="N788" s="9">
        <v>4.7850000000000001</v>
      </c>
      <c r="O788" s="9">
        <v>0.36199999999999999</v>
      </c>
      <c r="P788" s="9">
        <v>1.2509999999999999</v>
      </c>
      <c r="Q788" s="9">
        <v>19.053000000000001</v>
      </c>
      <c r="R788" s="9"/>
      <c r="S788" s="11"/>
    </row>
    <row r="789" spans="1:19" ht="15.75">
      <c r="A789" s="13">
        <v>65166</v>
      </c>
      <c r="B789" s="8">
        <f>CHOOSE( CONTROL!$C$32, 23.9189, 23.9185) * CHOOSE(CONTROL!$C$15, $D$11, 100%, $F$11)</f>
        <v>23.918900000000001</v>
      </c>
      <c r="C789" s="8">
        <f>CHOOSE( CONTROL!$C$32, 23.9269, 23.9265) * CHOOSE(CONTROL!$C$15, $D$11, 100%, $F$11)</f>
        <v>23.9269</v>
      </c>
      <c r="D789" s="8">
        <f>CHOOSE( CONTROL!$C$32, 23.9257, 23.9252) * CHOOSE( CONTROL!$C$15, $D$11, 100%, $F$11)</f>
        <v>23.925699999999999</v>
      </c>
      <c r="E789" s="12">
        <f>CHOOSE( CONTROL!$C$32, 23.9249, 23.9245) * CHOOSE( CONTROL!$C$15, $D$11, 100%, $F$11)</f>
        <v>23.924900000000001</v>
      </c>
      <c r="F789" s="4">
        <f>CHOOSE( CONTROL!$C$32, 24.6218, 24.6213) * CHOOSE(CONTROL!$C$15, $D$11, 100%, $F$11)</f>
        <v>24.6218</v>
      </c>
      <c r="G789" s="8">
        <f>CHOOSE( CONTROL!$C$32, 23.6487, 23.6483) * CHOOSE( CONTROL!$C$15, $D$11, 100%, $F$11)</f>
        <v>23.648700000000002</v>
      </c>
      <c r="H789" s="4">
        <f>CHOOSE( CONTROL!$C$32, 24.5801, 24.5796) * CHOOSE(CONTROL!$C$15, $D$11, 100%, $F$11)</f>
        <v>24.580100000000002</v>
      </c>
      <c r="I789" s="8">
        <f>CHOOSE( CONTROL!$C$32, 23.318, 23.3175) * CHOOSE(CONTROL!$C$15, $D$11, 100%, $F$11)</f>
        <v>23.318000000000001</v>
      </c>
      <c r="J789" s="4">
        <f>CHOOSE( CONTROL!$C$32, 23.2025, 23.2021) * CHOOSE(CONTROL!$C$15, $D$11, 100%, $F$11)</f>
        <v>23.202500000000001</v>
      </c>
      <c r="K789" s="4"/>
      <c r="L789" s="9">
        <v>30.7165</v>
      </c>
      <c r="M789" s="9">
        <v>12.063700000000001</v>
      </c>
      <c r="N789" s="9">
        <v>4.9444999999999997</v>
      </c>
      <c r="O789" s="9">
        <v>0.37409999999999999</v>
      </c>
      <c r="P789" s="9">
        <v>1.2927</v>
      </c>
      <c r="Q789" s="9">
        <v>19.688099999999999</v>
      </c>
      <c r="R789" s="9"/>
      <c r="S789" s="11"/>
    </row>
    <row r="790" spans="1:19" ht="15.75">
      <c r="A790" s="13">
        <v>65196</v>
      </c>
      <c r="B790" s="8">
        <f>CHOOSE( CONTROL!$C$32, 23.5346, 23.5341) * CHOOSE(CONTROL!$C$15, $D$11, 100%, $F$11)</f>
        <v>23.534600000000001</v>
      </c>
      <c r="C790" s="8">
        <f>CHOOSE( CONTROL!$C$32, 23.5425, 23.5421) * CHOOSE(CONTROL!$C$15, $D$11, 100%, $F$11)</f>
        <v>23.5425</v>
      </c>
      <c r="D790" s="8">
        <f>CHOOSE( CONTROL!$C$32, 23.5415, 23.5411) * CHOOSE( CONTROL!$C$15, $D$11, 100%, $F$11)</f>
        <v>23.541499999999999</v>
      </c>
      <c r="E790" s="12">
        <f>CHOOSE( CONTROL!$C$32, 23.5407, 23.5402) * CHOOSE( CONTROL!$C$15, $D$11, 100%, $F$11)</f>
        <v>23.540700000000001</v>
      </c>
      <c r="F790" s="4">
        <f>CHOOSE( CONTROL!$C$32, 24.2374, 24.2369) * CHOOSE(CONTROL!$C$15, $D$11, 100%, $F$11)</f>
        <v>24.237400000000001</v>
      </c>
      <c r="G790" s="8">
        <f>CHOOSE( CONTROL!$C$32, 23.269, 23.2686) * CHOOSE( CONTROL!$C$15, $D$11, 100%, $F$11)</f>
        <v>23.268999999999998</v>
      </c>
      <c r="H790" s="4">
        <f>CHOOSE( CONTROL!$C$32, 24.2002, 24.1997) * CHOOSE(CONTROL!$C$15, $D$11, 100%, $F$11)</f>
        <v>24.200199999999999</v>
      </c>
      <c r="I790" s="8">
        <f>CHOOSE( CONTROL!$C$32, 22.9454, 22.945) * CHOOSE(CONTROL!$C$15, $D$11, 100%, $F$11)</f>
        <v>22.945399999999999</v>
      </c>
      <c r="J790" s="4">
        <f>CHOOSE( CONTROL!$C$32, 22.8295, 22.829) * CHOOSE(CONTROL!$C$15, $D$11, 100%, $F$11)</f>
        <v>22.829499999999999</v>
      </c>
      <c r="K790" s="4"/>
      <c r="L790" s="9">
        <v>29.7257</v>
      </c>
      <c r="M790" s="9">
        <v>11.6745</v>
      </c>
      <c r="N790" s="9">
        <v>4.7850000000000001</v>
      </c>
      <c r="O790" s="9">
        <v>0.36199999999999999</v>
      </c>
      <c r="P790" s="9">
        <v>1.2509999999999999</v>
      </c>
      <c r="Q790" s="9">
        <v>19.053000000000001</v>
      </c>
      <c r="R790" s="9"/>
      <c r="S790" s="11"/>
    </row>
    <row r="791" spans="1:19" ht="15.75">
      <c r="A791" s="13">
        <v>65227</v>
      </c>
      <c r="B791" s="8">
        <f>CHOOSE( CONTROL!$C$32, 24.5468, 24.5463) * CHOOSE(CONTROL!$C$15, $D$11, 100%, $F$11)</f>
        <v>24.546800000000001</v>
      </c>
      <c r="C791" s="8">
        <f>CHOOSE( CONTROL!$C$32, 24.5547, 24.5543) * CHOOSE(CONTROL!$C$15, $D$11, 100%, $F$11)</f>
        <v>24.5547</v>
      </c>
      <c r="D791" s="8">
        <f>CHOOSE( CONTROL!$C$32, 24.5539, 24.5535) * CHOOSE( CONTROL!$C$15, $D$11, 100%, $F$11)</f>
        <v>24.553899999999999</v>
      </c>
      <c r="E791" s="12">
        <f>CHOOSE( CONTROL!$C$32, 24.553, 24.5526) * CHOOSE( CONTROL!$C$15, $D$11, 100%, $F$11)</f>
        <v>24.553000000000001</v>
      </c>
      <c r="F791" s="4">
        <f>CHOOSE( CONTROL!$C$32, 25.2496, 25.2491) * CHOOSE(CONTROL!$C$15, $D$11, 100%, $F$11)</f>
        <v>25.249600000000001</v>
      </c>
      <c r="G791" s="8">
        <f>CHOOSE( CONTROL!$C$32, 24.2695, 24.2691) * CHOOSE( CONTROL!$C$15, $D$11, 100%, $F$11)</f>
        <v>24.269500000000001</v>
      </c>
      <c r="H791" s="4">
        <f>CHOOSE( CONTROL!$C$32, 25.2005, 25.2001) * CHOOSE(CONTROL!$C$15, $D$11, 100%, $F$11)</f>
        <v>25.200500000000002</v>
      </c>
      <c r="I791" s="8">
        <f>CHOOSE( CONTROL!$C$32, 23.929, 23.9286) * CHOOSE(CONTROL!$C$15, $D$11, 100%, $F$11)</f>
        <v>23.928999999999998</v>
      </c>
      <c r="J791" s="4">
        <f>CHOOSE( CONTROL!$C$32, 23.8118, 23.8114) * CHOOSE(CONTROL!$C$15, $D$11, 100%, $F$11)</f>
        <v>23.811800000000002</v>
      </c>
      <c r="K791" s="4"/>
      <c r="L791" s="9">
        <v>30.7165</v>
      </c>
      <c r="M791" s="9">
        <v>12.063700000000001</v>
      </c>
      <c r="N791" s="9">
        <v>4.9444999999999997</v>
      </c>
      <c r="O791" s="9">
        <v>0.37409999999999999</v>
      </c>
      <c r="P791" s="9">
        <v>1.2927</v>
      </c>
      <c r="Q791" s="9">
        <v>19.688099999999999</v>
      </c>
      <c r="R791" s="9"/>
      <c r="S791" s="11"/>
    </row>
    <row r="792" spans="1:19" ht="15.75">
      <c r="A792" s="13">
        <v>65258</v>
      </c>
      <c r="B792" s="8">
        <f>CHOOSE( CONTROL!$C$32, 22.6528, 22.6524) * CHOOSE(CONTROL!$C$15, $D$11, 100%, $F$11)</f>
        <v>22.652799999999999</v>
      </c>
      <c r="C792" s="8">
        <f>CHOOSE( CONTROL!$C$32, 22.6608, 22.6603) * CHOOSE(CONTROL!$C$15, $D$11, 100%, $F$11)</f>
        <v>22.660799999999998</v>
      </c>
      <c r="D792" s="8">
        <f>CHOOSE( CONTROL!$C$32, 22.6601, 22.6596) * CHOOSE( CONTROL!$C$15, $D$11, 100%, $F$11)</f>
        <v>22.6601</v>
      </c>
      <c r="E792" s="12">
        <f>CHOOSE( CONTROL!$C$32, 22.6591, 22.6586) * CHOOSE( CONTROL!$C$15, $D$11, 100%, $F$11)</f>
        <v>22.659099999999999</v>
      </c>
      <c r="F792" s="4">
        <f>CHOOSE( CONTROL!$C$32, 23.3556, 23.3552) * CHOOSE(CONTROL!$C$15, $D$11, 100%, $F$11)</f>
        <v>23.355599999999999</v>
      </c>
      <c r="G792" s="8">
        <f>CHOOSE( CONTROL!$C$32, 22.3978, 22.3974) * CHOOSE( CONTROL!$C$15, $D$11, 100%, $F$11)</f>
        <v>22.3978</v>
      </c>
      <c r="H792" s="4">
        <f>CHOOSE( CONTROL!$C$32, 23.3288, 23.3283) * CHOOSE(CONTROL!$C$15, $D$11, 100%, $F$11)</f>
        <v>23.328800000000001</v>
      </c>
      <c r="I792" s="8">
        <f>CHOOSE( CONTROL!$C$32, 22.0902, 22.0898) * CHOOSE(CONTROL!$C$15, $D$11, 100%, $F$11)</f>
        <v>22.090199999999999</v>
      </c>
      <c r="J792" s="4">
        <f>CHOOSE( CONTROL!$C$32, 21.9737, 21.9733) * CHOOSE(CONTROL!$C$15, $D$11, 100%, $F$11)</f>
        <v>21.973700000000001</v>
      </c>
      <c r="K792" s="4"/>
      <c r="L792" s="9">
        <v>30.7165</v>
      </c>
      <c r="M792" s="9">
        <v>12.063700000000001</v>
      </c>
      <c r="N792" s="9">
        <v>4.9444999999999997</v>
      </c>
      <c r="O792" s="9">
        <v>0.37409999999999999</v>
      </c>
      <c r="P792" s="9">
        <v>1.2927</v>
      </c>
      <c r="Q792" s="9">
        <v>19.688099999999999</v>
      </c>
      <c r="R792" s="9"/>
      <c r="S792" s="11"/>
    </row>
    <row r="793" spans="1:19" ht="15.75">
      <c r="A793" s="13">
        <v>65288</v>
      </c>
      <c r="B793" s="8">
        <f>CHOOSE( CONTROL!$C$32, 22.1786, 22.1781) * CHOOSE(CONTROL!$C$15, $D$11, 100%, $F$11)</f>
        <v>22.178599999999999</v>
      </c>
      <c r="C793" s="8">
        <f>CHOOSE( CONTROL!$C$32, 22.1865, 22.1861) * CHOOSE(CONTROL!$C$15, $D$11, 100%, $F$11)</f>
        <v>22.186499999999999</v>
      </c>
      <c r="D793" s="8">
        <f>CHOOSE( CONTROL!$C$32, 22.1856, 22.1852) * CHOOSE( CONTROL!$C$15, $D$11, 100%, $F$11)</f>
        <v>22.185600000000001</v>
      </c>
      <c r="E793" s="12">
        <f>CHOOSE( CONTROL!$C$32, 22.1847, 22.1843) * CHOOSE( CONTROL!$C$15, $D$11, 100%, $F$11)</f>
        <v>22.184699999999999</v>
      </c>
      <c r="F793" s="4">
        <f>CHOOSE( CONTROL!$C$32, 22.8814, 22.8809) * CHOOSE(CONTROL!$C$15, $D$11, 100%, $F$11)</f>
        <v>22.881399999999999</v>
      </c>
      <c r="G793" s="8">
        <f>CHOOSE( CONTROL!$C$32, 21.929, 21.9286) * CHOOSE( CONTROL!$C$15, $D$11, 100%, $F$11)</f>
        <v>21.928999999999998</v>
      </c>
      <c r="H793" s="4">
        <f>CHOOSE( CONTROL!$C$32, 22.8601, 22.8596) * CHOOSE(CONTROL!$C$15, $D$11, 100%, $F$11)</f>
        <v>22.860099999999999</v>
      </c>
      <c r="I793" s="8">
        <f>CHOOSE( CONTROL!$C$32, 21.6292, 21.6288) * CHOOSE(CONTROL!$C$15, $D$11, 100%, $F$11)</f>
        <v>21.629200000000001</v>
      </c>
      <c r="J793" s="4">
        <f>CHOOSE( CONTROL!$C$32, 21.5135, 21.513) * CHOOSE(CONTROL!$C$15, $D$11, 100%, $F$11)</f>
        <v>21.513500000000001</v>
      </c>
      <c r="K793" s="4"/>
      <c r="L793" s="9">
        <v>29.7257</v>
      </c>
      <c r="M793" s="9">
        <v>11.6745</v>
      </c>
      <c r="N793" s="9">
        <v>4.7850000000000001</v>
      </c>
      <c r="O793" s="9">
        <v>0.36199999999999999</v>
      </c>
      <c r="P793" s="9">
        <v>1.2509999999999999</v>
      </c>
      <c r="Q793" s="9">
        <v>19.053000000000001</v>
      </c>
      <c r="R793" s="9"/>
      <c r="S793" s="11"/>
    </row>
    <row r="794" spans="1:19" ht="15.75">
      <c r="A794" s="13">
        <v>65319</v>
      </c>
      <c r="B794" s="8">
        <f>CHOOSE( CONTROL!$C$32, 23.1614, 23.1611) * CHOOSE(CONTROL!$C$15, $D$11, 100%, $F$11)</f>
        <v>23.1614</v>
      </c>
      <c r="C794" s="8">
        <f>CHOOSE( CONTROL!$C$32, 23.1667, 23.1664) * CHOOSE(CONTROL!$C$15, $D$11, 100%, $F$11)</f>
        <v>23.166699999999999</v>
      </c>
      <c r="D794" s="8">
        <f>CHOOSE( CONTROL!$C$32, 23.1714, 23.1711) * CHOOSE( CONTROL!$C$15, $D$11, 100%, $F$11)</f>
        <v>23.171399999999998</v>
      </c>
      <c r="E794" s="12">
        <f>CHOOSE( CONTROL!$C$32, 23.1693, 23.169) * CHOOSE( CONTROL!$C$15, $D$11, 100%, $F$11)</f>
        <v>23.1693</v>
      </c>
      <c r="F794" s="4">
        <f>CHOOSE( CONTROL!$C$32, 23.8659, 23.8657) * CHOOSE(CONTROL!$C$15, $D$11, 100%, $F$11)</f>
        <v>23.8659</v>
      </c>
      <c r="G794" s="8">
        <f>CHOOSE( CONTROL!$C$32, 22.9022, 22.9019) * CHOOSE( CONTROL!$C$15, $D$11, 100%, $F$11)</f>
        <v>22.902200000000001</v>
      </c>
      <c r="H794" s="4">
        <f>CHOOSE( CONTROL!$C$32, 23.8331, 23.8328) * CHOOSE(CONTROL!$C$15, $D$11, 100%, $F$11)</f>
        <v>23.833100000000002</v>
      </c>
      <c r="I794" s="8">
        <f>CHOOSE( CONTROL!$C$32, 22.586, 22.5858) * CHOOSE(CONTROL!$C$15, $D$11, 100%, $F$11)</f>
        <v>22.585999999999999</v>
      </c>
      <c r="J794" s="4">
        <f>CHOOSE( CONTROL!$C$32, 22.469, 22.4687) * CHOOSE(CONTROL!$C$15, $D$11, 100%, $F$11)</f>
        <v>22.469000000000001</v>
      </c>
      <c r="K794" s="4"/>
      <c r="L794" s="9">
        <v>31.095300000000002</v>
      </c>
      <c r="M794" s="9">
        <v>12.063700000000001</v>
      </c>
      <c r="N794" s="9">
        <v>4.9444999999999997</v>
      </c>
      <c r="O794" s="9">
        <v>0.37409999999999999</v>
      </c>
      <c r="P794" s="9">
        <v>1.2927</v>
      </c>
      <c r="Q794" s="9">
        <v>19.688099999999999</v>
      </c>
      <c r="R794" s="9"/>
      <c r="S794" s="11"/>
    </row>
    <row r="795" spans="1:19" ht="15.75">
      <c r="A795" s="13">
        <v>65349</v>
      </c>
      <c r="B795" s="8">
        <f>CHOOSE( CONTROL!$C$32, 24.9786, 24.9783) * CHOOSE(CONTROL!$C$15, $D$11, 100%, $F$11)</f>
        <v>24.9786</v>
      </c>
      <c r="C795" s="8">
        <f>CHOOSE( CONTROL!$C$32, 24.9837, 24.9834) * CHOOSE(CONTROL!$C$15, $D$11, 100%, $F$11)</f>
        <v>24.983699999999999</v>
      </c>
      <c r="D795" s="8">
        <f>CHOOSE( CONTROL!$C$32, 24.9664, 24.9661) * CHOOSE( CONTROL!$C$15, $D$11, 100%, $F$11)</f>
        <v>24.9664</v>
      </c>
      <c r="E795" s="12">
        <f>CHOOSE( CONTROL!$C$32, 24.9722, 24.9719) * CHOOSE( CONTROL!$C$15, $D$11, 100%, $F$11)</f>
        <v>24.972200000000001</v>
      </c>
      <c r="F795" s="4">
        <f>CHOOSE( CONTROL!$C$32, 25.6439, 25.6436) * CHOOSE(CONTROL!$C$15, $D$11, 100%, $F$11)</f>
        <v>25.643899999999999</v>
      </c>
      <c r="G795" s="8">
        <f>CHOOSE( CONTROL!$C$32, 24.6955, 24.6952) * CHOOSE( CONTROL!$C$15, $D$11, 100%, $F$11)</f>
        <v>24.695499999999999</v>
      </c>
      <c r="H795" s="4">
        <f>CHOOSE( CONTROL!$C$32, 25.5902, 25.5899) * CHOOSE(CONTROL!$C$15, $D$11, 100%, $F$11)</f>
        <v>25.590199999999999</v>
      </c>
      <c r="I795" s="8">
        <f>CHOOSE( CONTROL!$C$32, 24.4065, 24.4063) * CHOOSE(CONTROL!$C$15, $D$11, 100%, $F$11)</f>
        <v>24.406500000000001</v>
      </c>
      <c r="J795" s="4">
        <f>CHOOSE( CONTROL!$C$32, 24.233, 24.2327) * CHOOSE(CONTROL!$C$15, $D$11, 100%, $F$11)</f>
        <v>24.233000000000001</v>
      </c>
      <c r="K795" s="4"/>
      <c r="L795" s="9">
        <v>28.360600000000002</v>
      </c>
      <c r="M795" s="9">
        <v>11.6745</v>
      </c>
      <c r="N795" s="9">
        <v>4.7850000000000001</v>
      </c>
      <c r="O795" s="9">
        <v>0.36199999999999999</v>
      </c>
      <c r="P795" s="9">
        <v>1.2509999999999999</v>
      </c>
      <c r="Q795" s="9">
        <v>19.053000000000001</v>
      </c>
      <c r="R795" s="9"/>
      <c r="S795" s="11"/>
    </row>
    <row r="796" spans="1:19" ht="15.75">
      <c r="A796" s="13">
        <v>65380</v>
      </c>
      <c r="B796" s="8">
        <f>CHOOSE( CONTROL!$C$32, 24.9332, 24.9329) * CHOOSE(CONTROL!$C$15, $D$11, 100%, $F$11)</f>
        <v>24.933199999999999</v>
      </c>
      <c r="C796" s="8">
        <f>CHOOSE( CONTROL!$C$32, 24.9383, 24.938) * CHOOSE(CONTROL!$C$15, $D$11, 100%, $F$11)</f>
        <v>24.938300000000002</v>
      </c>
      <c r="D796" s="8">
        <f>CHOOSE( CONTROL!$C$32, 24.9228, 24.9225) * CHOOSE( CONTROL!$C$15, $D$11, 100%, $F$11)</f>
        <v>24.922799999999999</v>
      </c>
      <c r="E796" s="12">
        <f>CHOOSE( CONTROL!$C$32, 24.9279, 24.9276) * CHOOSE( CONTROL!$C$15, $D$11, 100%, $F$11)</f>
        <v>24.927900000000001</v>
      </c>
      <c r="F796" s="4">
        <f>CHOOSE( CONTROL!$C$32, 25.5985, 25.5982) * CHOOSE(CONTROL!$C$15, $D$11, 100%, $F$11)</f>
        <v>25.598500000000001</v>
      </c>
      <c r="G796" s="8">
        <f>CHOOSE( CONTROL!$C$32, 24.6519, 24.6516) * CHOOSE( CONTROL!$C$15, $D$11, 100%, $F$11)</f>
        <v>24.651900000000001</v>
      </c>
      <c r="H796" s="4">
        <f>CHOOSE( CONTROL!$C$32, 25.5453, 25.5451) * CHOOSE(CONTROL!$C$15, $D$11, 100%, $F$11)</f>
        <v>25.545300000000001</v>
      </c>
      <c r="I796" s="8">
        <f>CHOOSE( CONTROL!$C$32, 24.368, 24.3678) * CHOOSE(CONTROL!$C$15, $D$11, 100%, $F$11)</f>
        <v>24.367999999999999</v>
      </c>
      <c r="J796" s="4">
        <f>CHOOSE( CONTROL!$C$32, 24.1889, 24.1886) * CHOOSE(CONTROL!$C$15, $D$11, 100%, $F$11)</f>
        <v>24.1889</v>
      </c>
      <c r="K796" s="4"/>
      <c r="L796" s="9">
        <v>29.306000000000001</v>
      </c>
      <c r="M796" s="9">
        <v>12.063700000000001</v>
      </c>
      <c r="N796" s="9">
        <v>4.9444999999999997</v>
      </c>
      <c r="O796" s="9">
        <v>0.37409999999999999</v>
      </c>
      <c r="P796" s="9">
        <v>1.2927</v>
      </c>
      <c r="Q796" s="9">
        <v>19.688099999999999</v>
      </c>
      <c r="R796" s="9"/>
      <c r="S796" s="11"/>
    </row>
    <row r="797" spans="1:19" ht="15.75">
      <c r="A797" s="13">
        <v>65411</v>
      </c>
      <c r="B797" s="8">
        <f>CHOOSE( CONTROL!$C$32, 25.6684, 25.6681) * CHOOSE(CONTROL!$C$15, $D$11, 100%, $F$11)</f>
        <v>25.668399999999998</v>
      </c>
      <c r="C797" s="8">
        <f>CHOOSE( CONTROL!$C$32, 25.6734, 25.6732) * CHOOSE(CONTROL!$C$15, $D$11, 100%, $F$11)</f>
        <v>25.673400000000001</v>
      </c>
      <c r="D797" s="8">
        <f>CHOOSE( CONTROL!$C$32, 25.6639, 25.6636) * CHOOSE( CONTROL!$C$15, $D$11, 100%, $F$11)</f>
        <v>25.663900000000002</v>
      </c>
      <c r="E797" s="12">
        <f>CHOOSE( CONTROL!$C$32, 25.6668, 25.6666) * CHOOSE( CONTROL!$C$15, $D$11, 100%, $F$11)</f>
        <v>25.666799999999999</v>
      </c>
      <c r="F797" s="4">
        <f>CHOOSE( CONTROL!$C$32, 26.3336, 26.3334) * CHOOSE(CONTROL!$C$15, $D$11, 100%, $F$11)</f>
        <v>26.333600000000001</v>
      </c>
      <c r="G797" s="8">
        <f>CHOOSE( CONTROL!$C$32, 25.3791, 25.3789) * CHOOSE( CONTROL!$C$15, $D$11, 100%, $F$11)</f>
        <v>25.379100000000001</v>
      </c>
      <c r="H797" s="4">
        <f>CHOOSE( CONTROL!$C$32, 26.2719, 26.2716) * CHOOSE(CONTROL!$C$15, $D$11, 100%, $F$11)</f>
        <v>26.271899999999999</v>
      </c>
      <c r="I797" s="8">
        <f>CHOOSE( CONTROL!$C$32, 25.0623, 25.0621) * CHOOSE(CONTROL!$C$15, $D$11, 100%, $F$11)</f>
        <v>25.0623</v>
      </c>
      <c r="J797" s="4">
        <f>CHOOSE( CONTROL!$C$32, 24.9024, 24.9021) * CHOOSE(CONTROL!$C$15, $D$11, 100%, $F$11)</f>
        <v>24.9024</v>
      </c>
      <c r="K797" s="4"/>
      <c r="L797" s="9">
        <v>29.306000000000001</v>
      </c>
      <c r="M797" s="9">
        <v>12.063700000000001</v>
      </c>
      <c r="N797" s="9">
        <v>4.9444999999999997</v>
      </c>
      <c r="O797" s="9">
        <v>0.37409999999999999</v>
      </c>
      <c r="P797" s="9">
        <v>1.2927</v>
      </c>
      <c r="Q797" s="9">
        <v>19.688099999999999</v>
      </c>
      <c r="R797" s="9"/>
      <c r="S797" s="11"/>
    </row>
    <row r="798" spans="1:19" ht="15.75">
      <c r="A798" s="13">
        <v>65439</v>
      </c>
      <c r="B798" s="8">
        <f>CHOOSE( CONTROL!$C$32, 24.0095, 24.0093) * CHOOSE(CONTROL!$C$15, $D$11, 100%, $F$11)</f>
        <v>24.009499999999999</v>
      </c>
      <c r="C798" s="8">
        <f>CHOOSE( CONTROL!$C$32, 24.0146, 24.0144) * CHOOSE(CONTROL!$C$15, $D$11, 100%, $F$11)</f>
        <v>24.014600000000002</v>
      </c>
      <c r="D798" s="8">
        <f>CHOOSE( CONTROL!$C$32, 24.0067, 24.0065) * CHOOSE( CONTROL!$C$15, $D$11, 100%, $F$11)</f>
        <v>24.006699999999999</v>
      </c>
      <c r="E798" s="12">
        <f>CHOOSE( CONTROL!$C$32, 24.009, 24.0088) * CHOOSE( CONTROL!$C$15, $D$11, 100%, $F$11)</f>
        <v>24.009</v>
      </c>
      <c r="F798" s="4">
        <f>CHOOSE( CONTROL!$C$32, 24.6748, 24.6746) * CHOOSE(CONTROL!$C$15, $D$11, 100%, $F$11)</f>
        <v>24.674800000000001</v>
      </c>
      <c r="G798" s="8">
        <f>CHOOSE( CONTROL!$C$32, 23.7383, 23.738) * CHOOSE( CONTROL!$C$15, $D$11, 100%, $F$11)</f>
        <v>23.738299999999999</v>
      </c>
      <c r="H798" s="4">
        <f>CHOOSE( CONTROL!$C$32, 24.6325, 24.6322) * CHOOSE(CONTROL!$C$15, $D$11, 100%, $F$11)</f>
        <v>24.6325</v>
      </c>
      <c r="I798" s="8">
        <f>CHOOSE( CONTROL!$C$32, 23.4363, 23.436) * CHOOSE(CONTROL!$C$15, $D$11, 100%, $F$11)</f>
        <v>23.436299999999999</v>
      </c>
      <c r="J798" s="4">
        <f>CHOOSE( CONTROL!$C$32, 23.2925, 23.2922) * CHOOSE(CONTROL!$C$15, $D$11, 100%, $F$11)</f>
        <v>23.2925</v>
      </c>
      <c r="K798" s="4"/>
      <c r="L798" s="9">
        <v>26.469899999999999</v>
      </c>
      <c r="M798" s="9">
        <v>10.8962</v>
      </c>
      <c r="N798" s="9">
        <v>4.4660000000000002</v>
      </c>
      <c r="O798" s="9">
        <v>0.33789999999999998</v>
      </c>
      <c r="P798" s="9">
        <v>1.1676</v>
      </c>
      <c r="Q798" s="9">
        <v>17.782800000000002</v>
      </c>
      <c r="R798" s="9"/>
      <c r="S798" s="11"/>
    </row>
    <row r="799" spans="1:19" ht="15.75">
      <c r="A799" s="13">
        <v>65470</v>
      </c>
      <c r="B799" s="8">
        <f>CHOOSE( CONTROL!$C$32, 23.4986, 23.4984) * CHOOSE(CONTROL!$C$15, $D$11, 100%, $F$11)</f>
        <v>23.4986</v>
      </c>
      <c r="C799" s="8">
        <f>CHOOSE( CONTROL!$C$32, 23.5037, 23.5034) * CHOOSE(CONTROL!$C$15, $D$11, 100%, $F$11)</f>
        <v>23.503699999999998</v>
      </c>
      <c r="D799" s="8">
        <f>CHOOSE( CONTROL!$C$32, 23.491, 23.4907) * CHOOSE( CONTROL!$C$15, $D$11, 100%, $F$11)</f>
        <v>23.491</v>
      </c>
      <c r="E799" s="12">
        <f>CHOOSE( CONTROL!$C$32, 23.4951, 23.4948) * CHOOSE( CONTROL!$C$15, $D$11, 100%, $F$11)</f>
        <v>23.495100000000001</v>
      </c>
      <c r="F799" s="4">
        <f>CHOOSE( CONTROL!$C$32, 24.1639, 24.1636) * CHOOSE(CONTROL!$C$15, $D$11, 100%, $F$11)</f>
        <v>24.163900000000002</v>
      </c>
      <c r="G799" s="8">
        <f>CHOOSE( CONTROL!$C$32, 23.2299, 23.2296) * CHOOSE( CONTROL!$C$15, $D$11, 100%, $F$11)</f>
        <v>23.229900000000001</v>
      </c>
      <c r="H799" s="4">
        <f>CHOOSE( CONTROL!$C$32, 24.1276, 24.1273) * CHOOSE(CONTROL!$C$15, $D$11, 100%, $F$11)</f>
        <v>24.127600000000001</v>
      </c>
      <c r="I799" s="8">
        <f>CHOOSE( CONTROL!$C$32, 22.9386, 22.9383) * CHOOSE(CONTROL!$C$15, $D$11, 100%, $F$11)</f>
        <v>22.938600000000001</v>
      </c>
      <c r="J799" s="4">
        <f>CHOOSE( CONTROL!$C$32, 22.7967, 22.7964) * CHOOSE(CONTROL!$C$15, $D$11, 100%, $F$11)</f>
        <v>22.796700000000001</v>
      </c>
      <c r="K799" s="4"/>
      <c r="L799" s="9">
        <v>29.306000000000001</v>
      </c>
      <c r="M799" s="9">
        <v>12.063700000000001</v>
      </c>
      <c r="N799" s="9">
        <v>4.9444999999999997</v>
      </c>
      <c r="O799" s="9">
        <v>0.37409999999999999</v>
      </c>
      <c r="P799" s="9">
        <v>1.2927</v>
      </c>
      <c r="Q799" s="9">
        <v>19.688099999999999</v>
      </c>
      <c r="R799" s="9"/>
      <c r="S799" s="11"/>
    </row>
    <row r="800" spans="1:19" ht="15.75">
      <c r="A800" s="13">
        <v>65500</v>
      </c>
      <c r="B800" s="8">
        <f>CHOOSE( CONTROL!$C$32, 23.8564, 23.8561) * CHOOSE(CONTROL!$C$15, $D$11, 100%, $F$11)</f>
        <v>23.856400000000001</v>
      </c>
      <c r="C800" s="8">
        <f>CHOOSE( CONTROL!$C$32, 23.8609, 23.8607) * CHOOSE(CONTROL!$C$15, $D$11, 100%, $F$11)</f>
        <v>23.860900000000001</v>
      </c>
      <c r="D800" s="8">
        <f>CHOOSE( CONTROL!$C$32, 23.8658, 23.8655) * CHOOSE( CONTROL!$C$15, $D$11, 100%, $F$11)</f>
        <v>23.8658</v>
      </c>
      <c r="E800" s="12">
        <f>CHOOSE( CONTROL!$C$32, 23.8637, 23.8634) * CHOOSE( CONTROL!$C$15, $D$11, 100%, $F$11)</f>
        <v>23.863700000000001</v>
      </c>
      <c r="F800" s="4">
        <f>CHOOSE( CONTROL!$C$32, 24.5606, 24.5603) * CHOOSE(CONTROL!$C$15, $D$11, 100%, $F$11)</f>
        <v>24.560600000000001</v>
      </c>
      <c r="G800" s="8">
        <f>CHOOSE( CONTROL!$C$32, 23.5885, 23.5882) * CHOOSE( CONTROL!$C$15, $D$11, 100%, $F$11)</f>
        <v>23.5885</v>
      </c>
      <c r="H800" s="4">
        <f>CHOOSE( CONTROL!$C$32, 24.5196, 24.5194) * CHOOSE(CONTROL!$C$15, $D$11, 100%, $F$11)</f>
        <v>24.519600000000001</v>
      </c>
      <c r="I800" s="8">
        <f>CHOOSE( CONTROL!$C$32, 23.2594, 23.2592) * CHOOSE(CONTROL!$C$15, $D$11, 100%, $F$11)</f>
        <v>23.259399999999999</v>
      </c>
      <c r="J800" s="4">
        <f>CHOOSE( CONTROL!$C$32, 23.1432, 23.1429) * CHOOSE(CONTROL!$C$15, $D$11, 100%, $F$11)</f>
        <v>23.1432</v>
      </c>
      <c r="K800" s="4"/>
      <c r="L800" s="9">
        <v>30.092199999999998</v>
      </c>
      <c r="M800" s="9">
        <v>11.6745</v>
      </c>
      <c r="N800" s="9">
        <v>4.7850000000000001</v>
      </c>
      <c r="O800" s="9">
        <v>0.36199999999999999</v>
      </c>
      <c r="P800" s="9">
        <v>1.2509999999999999</v>
      </c>
      <c r="Q800" s="9">
        <v>19.053000000000001</v>
      </c>
      <c r="R800" s="9"/>
      <c r="S800" s="11"/>
    </row>
    <row r="801" spans="1:19" ht="15.75">
      <c r="A801" s="13">
        <v>65531</v>
      </c>
      <c r="B801" s="8">
        <f>CHOOSE( CONTROL!$C$32, 24.4934, 24.4929) * CHOOSE(CONTROL!$C$15, $D$11, 100%, $F$11)</f>
        <v>24.493400000000001</v>
      </c>
      <c r="C801" s="8">
        <f>CHOOSE( CONTROL!$C$32, 24.5013, 24.5009) * CHOOSE(CONTROL!$C$15, $D$11, 100%, $F$11)</f>
        <v>24.501300000000001</v>
      </c>
      <c r="D801" s="8">
        <f>CHOOSE( CONTROL!$C$32, 24.5001, 24.4997) * CHOOSE( CONTROL!$C$15, $D$11, 100%, $F$11)</f>
        <v>24.5001</v>
      </c>
      <c r="E801" s="12">
        <f>CHOOSE( CONTROL!$C$32, 24.4993, 24.4989) * CHOOSE( CONTROL!$C$15, $D$11, 100%, $F$11)</f>
        <v>24.499300000000002</v>
      </c>
      <c r="F801" s="4">
        <f>CHOOSE( CONTROL!$C$32, 25.1962, 25.1957) * CHOOSE(CONTROL!$C$15, $D$11, 100%, $F$11)</f>
        <v>25.196200000000001</v>
      </c>
      <c r="G801" s="8">
        <f>CHOOSE( CONTROL!$C$32, 24.2164, 24.216) * CHOOSE( CONTROL!$C$15, $D$11, 100%, $F$11)</f>
        <v>24.2164</v>
      </c>
      <c r="H801" s="4">
        <f>CHOOSE( CONTROL!$C$32, 25.1478, 25.1473) * CHOOSE(CONTROL!$C$15, $D$11, 100%, $F$11)</f>
        <v>25.1478</v>
      </c>
      <c r="I801" s="8">
        <f>CHOOSE( CONTROL!$C$32, 23.8757, 23.8753) * CHOOSE(CONTROL!$C$15, $D$11, 100%, $F$11)</f>
        <v>23.875699999999998</v>
      </c>
      <c r="J801" s="4">
        <f>CHOOSE( CONTROL!$C$32, 23.76, 23.7595) * CHOOSE(CONTROL!$C$15, $D$11, 100%, $F$11)</f>
        <v>23.76</v>
      </c>
      <c r="K801" s="4"/>
      <c r="L801" s="9">
        <v>30.7165</v>
      </c>
      <c r="M801" s="9">
        <v>12.063700000000001</v>
      </c>
      <c r="N801" s="9">
        <v>4.9444999999999997</v>
      </c>
      <c r="O801" s="9">
        <v>0.37409999999999999</v>
      </c>
      <c r="P801" s="9">
        <v>1.2927</v>
      </c>
      <c r="Q801" s="9">
        <v>19.688099999999999</v>
      </c>
      <c r="R801" s="9"/>
      <c r="S801" s="11"/>
    </row>
    <row r="802" spans="1:19" ht="15.75">
      <c r="A802" s="13">
        <v>65561</v>
      </c>
      <c r="B802" s="8">
        <f>CHOOSE( CONTROL!$C$32, 24.0998, 24.0993) * CHOOSE(CONTROL!$C$15, $D$11, 100%, $F$11)</f>
        <v>24.099799999999998</v>
      </c>
      <c r="C802" s="8">
        <f>CHOOSE( CONTROL!$C$32, 24.1077, 24.1073) * CHOOSE(CONTROL!$C$15, $D$11, 100%, $F$11)</f>
        <v>24.107700000000001</v>
      </c>
      <c r="D802" s="8">
        <f>CHOOSE( CONTROL!$C$32, 24.1067, 24.1062) * CHOOSE( CONTROL!$C$15, $D$11, 100%, $F$11)</f>
        <v>24.1067</v>
      </c>
      <c r="E802" s="12">
        <f>CHOOSE( CONTROL!$C$32, 24.1059, 24.1054) * CHOOSE( CONTROL!$C$15, $D$11, 100%, $F$11)</f>
        <v>24.105899999999998</v>
      </c>
      <c r="F802" s="4">
        <f>CHOOSE( CONTROL!$C$32, 24.8026, 24.8021) * CHOOSE(CONTROL!$C$15, $D$11, 100%, $F$11)</f>
        <v>24.802600000000002</v>
      </c>
      <c r="G802" s="8">
        <f>CHOOSE( CONTROL!$C$32, 23.8276, 23.8271) * CHOOSE( CONTROL!$C$15, $D$11, 100%, $F$11)</f>
        <v>23.8276</v>
      </c>
      <c r="H802" s="4">
        <f>CHOOSE( CONTROL!$C$32, 24.7588, 24.7583) * CHOOSE(CONTROL!$C$15, $D$11, 100%, $F$11)</f>
        <v>24.758800000000001</v>
      </c>
      <c r="I802" s="8">
        <f>CHOOSE( CONTROL!$C$32, 23.4942, 23.4938) * CHOOSE(CONTROL!$C$15, $D$11, 100%, $F$11)</f>
        <v>23.494199999999999</v>
      </c>
      <c r="J802" s="4">
        <f>CHOOSE( CONTROL!$C$32, 23.378, 23.3776) * CHOOSE(CONTROL!$C$15, $D$11, 100%, $F$11)</f>
        <v>23.378</v>
      </c>
      <c r="K802" s="4"/>
      <c r="L802" s="9">
        <v>29.7257</v>
      </c>
      <c r="M802" s="9">
        <v>11.6745</v>
      </c>
      <c r="N802" s="9">
        <v>4.7850000000000001</v>
      </c>
      <c r="O802" s="9">
        <v>0.36199999999999999</v>
      </c>
      <c r="P802" s="9">
        <v>1.2509999999999999</v>
      </c>
      <c r="Q802" s="9">
        <v>19.053000000000001</v>
      </c>
      <c r="R802" s="9"/>
      <c r="S802" s="11"/>
    </row>
    <row r="803" spans="1:19" ht="15.75">
      <c r="A803" s="13">
        <v>65592</v>
      </c>
      <c r="B803" s="8">
        <f>CHOOSE( CONTROL!$C$32, 25.1363, 25.1358) * CHOOSE(CONTROL!$C$15, $D$11, 100%, $F$11)</f>
        <v>25.136299999999999</v>
      </c>
      <c r="C803" s="8">
        <f>CHOOSE( CONTROL!$C$32, 25.1443, 25.1438) * CHOOSE(CONTROL!$C$15, $D$11, 100%, $F$11)</f>
        <v>25.144300000000001</v>
      </c>
      <c r="D803" s="8">
        <f>CHOOSE( CONTROL!$C$32, 25.1434, 25.143) * CHOOSE( CONTROL!$C$15, $D$11, 100%, $F$11)</f>
        <v>25.1434</v>
      </c>
      <c r="E803" s="12">
        <f>CHOOSE( CONTROL!$C$32, 25.1425, 25.1421) * CHOOSE( CONTROL!$C$15, $D$11, 100%, $F$11)</f>
        <v>25.142499999999998</v>
      </c>
      <c r="F803" s="4">
        <f>CHOOSE( CONTROL!$C$32, 25.8391, 25.8386) * CHOOSE(CONTROL!$C$15, $D$11, 100%, $F$11)</f>
        <v>25.839099999999998</v>
      </c>
      <c r="G803" s="8">
        <f>CHOOSE( CONTROL!$C$32, 24.8522, 24.8517) * CHOOSE( CONTROL!$C$15, $D$11, 100%, $F$11)</f>
        <v>24.8522</v>
      </c>
      <c r="H803" s="4">
        <f>CHOOSE( CONTROL!$C$32, 25.7831, 25.7827) * CHOOSE(CONTROL!$C$15, $D$11, 100%, $F$11)</f>
        <v>25.783100000000001</v>
      </c>
      <c r="I803" s="8">
        <f>CHOOSE( CONTROL!$C$32, 24.5014, 24.501) * CHOOSE(CONTROL!$C$15, $D$11, 100%, $F$11)</f>
        <v>24.5014</v>
      </c>
      <c r="J803" s="4">
        <f>CHOOSE( CONTROL!$C$32, 24.3839, 24.3835) * CHOOSE(CONTROL!$C$15, $D$11, 100%, $F$11)</f>
        <v>24.383900000000001</v>
      </c>
      <c r="K803" s="4"/>
      <c r="L803" s="9">
        <v>30.7165</v>
      </c>
      <c r="M803" s="9">
        <v>12.063700000000001</v>
      </c>
      <c r="N803" s="9">
        <v>4.9444999999999997</v>
      </c>
      <c r="O803" s="9">
        <v>0.37409999999999999</v>
      </c>
      <c r="P803" s="9">
        <v>1.2927</v>
      </c>
      <c r="Q803" s="9">
        <v>19.688099999999999</v>
      </c>
      <c r="R803" s="9"/>
      <c r="S803" s="11"/>
    </row>
    <row r="804" spans="1:19" ht="15.75">
      <c r="A804" s="13">
        <v>65623</v>
      </c>
      <c r="B804" s="8">
        <f>CHOOSE( CONTROL!$C$32, 23.1968, 23.1964) * CHOOSE(CONTROL!$C$15, $D$11, 100%, $F$11)</f>
        <v>23.1968</v>
      </c>
      <c r="C804" s="8">
        <f>CHOOSE( CONTROL!$C$32, 23.2048, 23.2044) * CHOOSE(CONTROL!$C$15, $D$11, 100%, $F$11)</f>
        <v>23.204799999999999</v>
      </c>
      <c r="D804" s="8">
        <f>CHOOSE( CONTROL!$C$32, 23.2041, 23.2036) * CHOOSE( CONTROL!$C$15, $D$11, 100%, $F$11)</f>
        <v>23.2041</v>
      </c>
      <c r="E804" s="12">
        <f>CHOOSE( CONTROL!$C$32, 23.2031, 23.2027) * CHOOSE( CONTROL!$C$15, $D$11, 100%, $F$11)</f>
        <v>23.203099999999999</v>
      </c>
      <c r="F804" s="4">
        <f>CHOOSE( CONTROL!$C$32, 23.8997, 23.8992) * CHOOSE(CONTROL!$C$15, $D$11, 100%, $F$11)</f>
        <v>23.899699999999999</v>
      </c>
      <c r="G804" s="8">
        <f>CHOOSE( CONTROL!$C$32, 22.9355, 22.935) * CHOOSE( CONTROL!$C$15, $D$11, 100%, $F$11)</f>
        <v>22.935500000000001</v>
      </c>
      <c r="H804" s="4">
        <f>CHOOSE( CONTROL!$C$32, 23.8664, 23.866) * CHOOSE(CONTROL!$C$15, $D$11, 100%, $F$11)</f>
        <v>23.866399999999999</v>
      </c>
      <c r="I804" s="8">
        <f>CHOOSE( CONTROL!$C$32, 22.6185, 22.618) * CHOOSE(CONTROL!$C$15, $D$11, 100%, $F$11)</f>
        <v>22.618500000000001</v>
      </c>
      <c r="J804" s="4">
        <f>CHOOSE( CONTROL!$C$32, 22.5017, 22.5013) * CHOOSE(CONTROL!$C$15, $D$11, 100%, $F$11)</f>
        <v>22.5017</v>
      </c>
      <c r="K804" s="4"/>
      <c r="L804" s="9">
        <v>30.7165</v>
      </c>
      <c r="M804" s="9">
        <v>12.063700000000001</v>
      </c>
      <c r="N804" s="9">
        <v>4.9444999999999997</v>
      </c>
      <c r="O804" s="9">
        <v>0.37409999999999999</v>
      </c>
      <c r="P804" s="9">
        <v>1.2927</v>
      </c>
      <c r="Q804" s="9">
        <v>19.688099999999999</v>
      </c>
      <c r="R804" s="9"/>
      <c r="S804" s="11"/>
    </row>
    <row r="805" spans="1:19" ht="15.75">
      <c r="A805" s="13">
        <v>65653</v>
      </c>
      <c r="B805" s="8">
        <f>CHOOSE( CONTROL!$C$32, 22.7112, 22.7107) * CHOOSE(CONTROL!$C$15, $D$11, 100%, $F$11)</f>
        <v>22.711200000000002</v>
      </c>
      <c r="C805" s="8">
        <f>CHOOSE( CONTROL!$C$32, 22.7192, 22.7187) * CHOOSE(CONTROL!$C$15, $D$11, 100%, $F$11)</f>
        <v>22.719200000000001</v>
      </c>
      <c r="D805" s="8">
        <f>CHOOSE( CONTROL!$C$32, 22.7183, 22.7178) * CHOOSE( CONTROL!$C$15, $D$11, 100%, $F$11)</f>
        <v>22.718299999999999</v>
      </c>
      <c r="E805" s="12">
        <f>CHOOSE( CONTROL!$C$32, 22.7174, 22.7169) * CHOOSE( CONTROL!$C$15, $D$11, 100%, $F$11)</f>
        <v>22.717400000000001</v>
      </c>
      <c r="F805" s="4">
        <f>CHOOSE( CONTROL!$C$32, 23.414, 23.4135) * CHOOSE(CONTROL!$C$15, $D$11, 100%, $F$11)</f>
        <v>23.414000000000001</v>
      </c>
      <c r="G805" s="8">
        <f>CHOOSE( CONTROL!$C$32, 22.4554, 22.4549) * CHOOSE( CONTROL!$C$15, $D$11, 100%, $F$11)</f>
        <v>22.455400000000001</v>
      </c>
      <c r="H805" s="4">
        <f>CHOOSE( CONTROL!$C$32, 23.3864, 23.386) * CHOOSE(CONTROL!$C$15, $D$11, 100%, $F$11)</f>
        <v>23.386399999999998</v>
      </c>
      <c r="I805" s="8">
        <f>CHOOSE( CONTROL!$C$32, 22.1464, 22.1459) * CHOOSE(CONTROL!$C$15, $D$11, 100%, $F$11)</f>
        <v>22.1464</v>
      </c>
      <c r="J805" s="4">
        <f>CHOOSE( CONTROL!$C$32, 22.0304, 22.0299) * CHOOSE(CONTROL!$C$15, $D$11, 100%, $F$11)</f>
        <v>22.0304</v>
      </c>
      <c r="K805" s="4"/>
      <c r="L805" s="9">
        <v>29.7257</v>
      </c>
      <c r="M805" s="9">
        <v>11.6745</v>
      </c>
      <c r="N805" s="9">
        <v>4.7850000000000001</v>
      </c>
      <c r="O805" s="9">
        <v>0.36199999999999999</v>
      </c>
      <c r="P805" s="9">
        <v>1.2509999999999999</v>
      </c>
      <c r="Q805" s="9">
        <v>19.053000000000001</v>
      </c>
      <c r="R805" s="9"/>
      <c r="S805" s="11"/>
    </row>
    <row r="806" spans="1:19" ht="15.75">
      <c r="A806" s="13">
        <v>65684</v>
      </c>
      <c r="B806" s="8">
        <f>CHOOSE( CONTROL!$C$32, 23.7177, 23.7174) * CHOOSE(CONTROL!$C$15, $D$11, 100%, $F$11)</f>
        <v>23.717700000000001</v>
      </c>
      <c r="C806" s="8">
        <f>CHOOSE( CONTROL!$C$32, 23.723, 23.7227) * CHOOSE(CONTROL!$C$15, $D$11, 100%, $F$11)</f>
        <v>23.722999999999999</v>
      </c>
      <c r="D806" s="8">
        <f>CHOOSE( CONTROL!$C$32, 23.7277, 23.7274) * CHOOSE( CONTROL!$C$15, $D$11, 100%, $F$11)</f>
        <v>23.727699999999999</v>
      </c>
      <c r="E806" s="12">
        <f>CHOOSE( CONTROL!$C$32, 23.7256, 23.7253) * CHOOSE( CONTROL!$C$15, $D$11, 100%, $F$11)</f>
        <v>23.7256</v>
      </c>
      <c r="F806" s="4">
        <f>CHOOSE( CONTROL!$C$32, 24.4222, 24.4219) * CHOOSE(CONTROL!$C$15, $D$11, 100%, $F$11)</f>
        <v>24.4222</v>
      </c>
      <c r="G806" s="8">
        <f>CHOOSE( CONTROL!$C$32, 23.452, 23.4517) * CHOOSE( CONTROL!$C$15, $D$11, 100%, $F$11)</f>
        <v>23.452000000000002</v>
      </c>
      <c r="H806" s="4">
        <f>CHOOSE( CONTROL!$C$32, 24.3828, 24.3826) * CHOOSE(CONTROL!$C$15, $D$11, 100%, $F$11)</f>
        <v>24.3828</v>
      </c>
      <c r="I806" s="8">
        <f>CHOOSE( CONTROL!$C$32, 23.1262, 23.1259) * CHOOSE(CONTROL!$C$15, $D$11, 100%, $F$11)</f>
        <v>23.126200000000001</v>
      </c>
      <c r="J806" s="4">
        <f>CHOOSE( CONTROL!$C$32, 23.0088, 23.0086) * CHOOSE(CONTROL!$C$15, $D$11, 100%, $F$11)</f>
        <v>23.008800000000001</v>
      </c>
      <c r="K806" s="4"/>
      <c r="L806" s="9">
        <v>31.095300000000002</v>
      </c>
      <c r="M806" s="9">
        <v>12.063700000000001</v>
      </c>
      <c r="N806" s="9">
        <v>4.9444999999999997</v>
      </c>
      <c r="O806" s="9">
        <v>0.37409999999999999</v>
      </c>
      <c r="P806" s="9">
        <v>1.2927</v>
      </c>
      <c r="Q806" s="9">
        <v>19.688099999999999</v>
      </c>
      <c r="R806" s="9"/>
      <c r="S806" s="11"/>
    </row>
    <row r="807" spans="1:19" ht="15.75">
      <c r="A807" s="13">
        <v>65714</v>
      </c>
      <c r="B807" s="8">
        <f>CHOOSE( CONTROL!$C$32, 25.5786, 25.5783) * CHOOSE(CONTROL!$C$15, $D$11, 100%, $F$11)</f>
        <v>25.578600000000002</v>
      </c>
      <c r="C807" s="8">
        <f>CHOOSE( CONTROL!$C$32, 25.5836, 25.5834) * CHOOSE(CONTROL!$C$15, $D$11, 100%, $F$11)</f>
        <v>25.583600000000001</v>
      </c>
      <c r="D807" s="8">
        <f>CHOOSE( CONTROL!$C$32, 25.5663, 25.5661) * CHOOSE( CONTROL!$C$15, $D$11, 100%, $F$11)</f>
        <v>25.566299999999998</v>
      </c>
      <c r="E807" s="12">
        <f>CHOOSE( CONTROL!$C$32, 25.5721, 25.5719) * CHOOSE( CONTROL!$C$15, $D$11, 100%, $F$11)</f>
        <v>25.572099999999999</v>
      </c>
      <c r="F807" s="4">
        <f>CHOOSE( CONTROL!$C$32, 26.2438, 26.2436) * CHOOSE(CONTROL!$C$15, $D$11, 100%, $F$11)</f>
        <v>26.2438</v>
      </c>
      <c r="G807" s="8">
        <f>CHOOSE( CONTROL!$C$32, 25.2884, 25.2881) * CHOOSE( CONTROL!$C$15, $D$11, 100%, $F$11)</f>
        <v>25.288399999999999</v>
      </c>
      <c r="H807" s="4">
        <f>CHOOSE( CONTROL!$C$32, 26.1831, 26.1829) * CHOOSE(CONTROL!$C$15, $D$11, 100%, $F$11)</f>
        <v>26.1831</v>
      </c>
      <c r="I807" s="8">
        <f>CHOOSE( CONTROL!$C$32, 24.9891, 24.9888) * CHOOSE(CONTROL!$C$15, $D$11, 100%, $F$11)</f>
        <v>24.989100000000001</v>
      </c>
      <c r="J807" s="4">
        <f>CHOOSE( CONTROL!$C$32, 24.8152, 24.815) * CHOOSE(CONTROL!$C$15, $D$11, 100%, $F$11)</f>
        <v>24.815200000000001</v>
      </c>
      <c r="K807" s="4"/>
      <c r="L807" s="9">
        <v>28.360600000000002</v>
      </c>
      <c r="M807" s="9">
        <v>11.6745</v>
      </c>
      <c r="N807" s="9">
        <v>4.7850000000000001</v>
      </c>
      <c r="O807" s="9">
        <v>0.36199999999999999</v>
      </c>
      <c r="P807" s="9">
        <v>1.2509999999999999</v>
      </c>
      <c r="Q807" s="9">
        <v>19.053000000000001</v>
      </c>
      <c r="R807" s="9"/>
      <c r="S807" s="11"/>
    </row>
    <row r="808" spans="1:19" ht="15.75">
      <c r="A808" s="13">
        <v>65745</v>
      </c>
      <c r="B808" s="8">
        <f>CHOOSE( CONTROL!$C$32, 25.532, 25.5318) * CHOOSE(CONTROL!$C$15, $D$11, 100%, $F$11)</f>
        <v>25.532</v>
      </c>
      <c r="C808" s="8">
        <f>CHOOSE( CONTROL!$C$32, 25.5371, 25.5369) * CHOOSE(CONTROL!$C$15, $D$11, 100%, $F$11)</f>
        <v>25.537099999999999</v>
      </c>
      <c r="D808" s="8">
        <f>CHOOSE( CONTROL!$C$32, 25.5216, 25.5214) * CHOOSE( CONTROL!$C$15, $D$11, 100%, $F$11)</f>
        <v>25.521599999999999</v>
      </c>
      <c r="E808" s="12">
        <f>CHOOSE( CONTROL!$C$32, 25.5267, 25.5265) * CHOOSE( CONTROL!$C$15, $D$11, 100%, $F$11)</f>
        <v>25.526700000000002</v>
      </c>
      <c r="F808" s="4">
        <f>CHOOSE( CONTROL!$C$32, 26.1973, 26.1971) * CHOOSE(CONTROL!$C$15, $D$11, 100%, $F$11)</f>
        <v>26.197299999999998</v>
      </c>
      <c r="G808" s="8">
        <f>CHOOSE( CONTROL!$C$32, 25.2437, 25.2434) * CHOOSE( CONTROL!$C$15, $D$11, 100%, $F$11)</f>
        <v>25.2437</v>
      </c>
      <c r="H808" s="4">
        <f>CHOOSE( CONTROL!$C$32, 26.1372, 26.1369) * CHOOSE(CONTROL!$C$15, $D$11, 100%, $F$11)</f>
        <v>26.1372</v>
      </c>
      <c r="I808" s="8">
        <f>CHOOSE( CONTROL!$C$32, 24.9495, 24.9492) * CHOOSE(CONTROL!$C$15, $D$11, 100%, $F$11)</f>
        <v>24.9495</v>
      </c>
      <c r="J808" s="4">
        <f>CHOOSE( CONTROL!$C$32, 24.7701, 24.7698) * CHOOSE(CONTROL!$C$15, $D$11, 100%, $F$11)</f>
        <v>24.770099999999999</v>
      </c>
      <c r="K808" s="4"/>
      <c r="L808" s="9">
        <v>29.306000000000001</v>
      </c>
      <c r="M808" s="9">
        <v>12.063700000000001</v>
      </c>
      <c r="N808" s="9">
        <v>4.9444999999999997</v>
      </c>
      <c r="O808" s="9">
        <v>0.37409999999999999</v>
      </c>
      <c r="P808" s="9">
        <v>1.2927</v>
      </c>
      <c r="Q808" s="9">
        <v>19.688099999999999</v>
      </c>
      <c r="R808" s="9"/>
      <c r="S808" s="11"/>
    </row>
    <row r="809" spans="1:19" ht="15.75">
      <c r="A809" s="13">
        <v>65776</v>
      </c>
      <c r="B809" s="8">
        <f>CHOOSE( CONTROL!$C$32, 26.2849, 26.2846) * CHOOSE(CONTROL!$C$15, $D$11, 100%, $F$11)</f>
        <v>26.2849</v>
      </c>
      <c r="C809" s="8">
        <f>CHOOSE( CONTROL!$C$32, 26.29, 26.2897) * CHOOSE(CONTROL!$C$15, $D$11, 100%, $F$11)</f>
        <v>26.29</v>
      </c>
      <c r="D809" s="8">
        <f>CHOOSE( CONTROL!$C$32, 26.2804, 26.2801) * CHOOSE( CONTROL!$C$15, $D$11, 100%, $F$11)</f>
        <v>26.2804</v>
      </c>
      <c r="E809" s="12">
        <f>CHOOSE( CONTROL!$C$32, 26.2834, 26.2831) * CHOOSE( CONTROL!$C$15, $D$11, 100%, $F$11)</f>
        <v>26.2834</v>
      </c>
      <c r="F809" s="4">
        <f>CHOOSE( CONTROL!$C$32, 26.9502, 26.9499) * CHOOSE(CONTROL!$C$15, $D$11, 100%, $F$11)</f>
        <v>26.950199999999999</v>
      </c>
      <c r="G809" s="8">
        <f>CHOOSE( CONTROL!$C$32, 25.9884, 25.9882) * CHOOSE( CONTROL!$C$15, $D$11, 100%, $F$11)</f>
        <v>25.988399999999999</v>
      </c>
      <c r="H809" s="4">
        <f>CHOOSE( CONTROL!$C$32, 26.8812, 26.8809) * CHOOSE(CONTROL!$C$15, $D$11, 100%, $F$11)</f>
        <v>26.8812</v>
      </c>
      <c r="I809" s="8">
        <f>CHOOSE( CONTROL!$C$32, 25.661, 25.6607) * CHOOSE(CONTROL!$C$15, $D$11, 100%, $F$11)</f>
        <v>25.661000000000001</v>
      </c>
      <c r="J809" s="4">
        <f>CHOOSE( CONTROL!$C$32, 25.5007, 25.5005) * CHOOSE(CONTROL!$C$15, $D$11, 100%, $F$11)</f>
        <v>25.500699999999998</v>
      </c>
      <c r="K809" s="4"/>
      <c r="L809" s="9">
        <v>29.306000000000001</v>
      </c>
      <c r="M809" s="9">
        <v>12.063700000000001</v>
      </c>
      <c r="N809" s="9">
        <v>4.9444999999999997</v>
      </c>
      <c r="O809" s="9">
        <v>0.37409999999999999</v>
      </c>
      <c r="P809" s="9">
        <v>1.2927</v>
      </c>
      <c r="Q809" s="9">
        <v>19.688099999999999</v>
      </c>
      <c r="R809" s="9"/>
      <c r="S809" s="11"/>
    </row>
    <row r="810" spans="1:19" ht="15.75">
      <c r="A810" s="13">
        <v>65805</v>
      </c>
      <c r="B810" s="8">
        <f>CHOOSE( CONTROL!$C$32, 24.5862, 24.5859) * CHOOSE(CONTROL!$C$15, $D$11, 100%, $F$11)</f>
        <v>24.586200000000002</v>
      </c>
      <c r="C810" s="8">
        <f>CHOOSE( CONTROL!$C$32, 24.5913, 24.591) * CHOOSE(CONTROL!$C$15, $D$11, 100%, $F$11)</f>
        <v>24.5913</v>
      </c>
      <c r="D810" s="8">
        <f>CHOOSE( CONTROL!$C$32, 24.5834, 24.5831) * CHOOSE( CONTROL!$C$15, $D$11, 100%, $F$11)</f>
        <v>24.583400000000001</v>
      </c>
      <c r="E810" s="12">
        <f>CHOOSE( CONTROL!$C$32, 24.5857, 24.5854) * CHOOSE( CONTROL!$C$15, $D$11, 100%, $F$11)</f>
        <v>24.585699999999999</v>
      </c>
      <c r="F810" s="4">
        <f>CHOOSE( CONTROL!$C$32, 25.2515, 25.2512) * CHOOSE(CONTROL!$C$15, $D$11, 100%, $F$11)</f>
        <v>25.2515</v>
      </c>
      <c r="G810" s="8">
        <f>CHOOSE( CONTROL!$C$32, 24.3082, 24.3079) * CHOOSE( CONTROL!$C$15, $D$11, 100%, $F$11)</f>
        <v>24.308199999999999</v>
      </c>
      <c r="H810" s="4">
        <f>CHOOSE( CONTROL!$C$32, 25.2024, 25.2022) * CHOOSE(CONTROL!$C$15, $D$11, 100%, $F$11)</f>
        <v>25.202400000000001</v>
      </c>
      <c r="I810" s="8">
        <f>CHOOSE( CONTROL!$C$32, 23.9962, 23.9959) * CHOOSE(CONTROL!$C$15, $D$11, 100%, $F$11)</f>
        <v>23.996200000000002</v>
      </c>
      <c r="J810" s="4">
        <f>CHOOSE( CONTROL!$C$32, 23.8522, 23.8519) * CHOOSE(CONTROL!$C$15, $D$11, 100%, $F$11)</f>
        <v>23.8522</v>
      </c>
      <c r="K810" s="4"/>
      <c r="L810" s="9">
        <v>27.415299999999998</v>
      </c>
      <c r="M810" s="9">
        <v>11.285299999999999</v>
      </c>
      <c r="N810" s="9">
        <v>4.6254999999999997</v>
      </c>
      <c r="O810" s="9">
        <v>0.34989999999999999</v>
      </c>
      <c r="P810" s="9">
        <v>1.2093</v>
      </c>
      <c r="Q810" s="9">
        <v>18.417899999999999</v>
      </c>
      <c r="R810" s="9"/>
      <c r="S810" s="11"/>
    </row>
    <row r="811" spans="1:19" ht="15.75">
      <c r="A811" s="13">
        <v>65836</v>
      </c>
      <c r="B811" s="8">
        <f>CHOOSE( CONTROL!$C$32, 24.063, 24.0628) * CHOOSE(CONTROL!$C$15, $D$11, 100%, $F$11)</f>
        <v>24.062999999999999</v>
      </c>
      <c r="C811" s="8">
        <f>CHOOSE( CONTROL!$C$32, 24.0681, 24.0678) * CHOOSE(CONTROL!$C$15, $D$11, 100%, $F$11)</f>
        <v>24.068100000000001</v>
      </c>
      <c r="D811" s="8">
        <f>CHOOSE( CONTROL!$C$32, 24.0554, 24.0551) * CHOOSE( CONTROL!$C$15, $D$11, 100%, $F$11)</f>
        <v>24.055399999999999</v>
      </c>
      <c r="E811" s="12">
        <f>CHOOSE( CONTROL!$C$32, 24.0595, 24.0592) * CHOOSE( CONTROL!$C$15, $D$11, 100%, $F$11)</f>
        <v>24.0595</v>
      </c>
      <c r="F811" s="4">
        <f>CHOOSE( CONTROL!$C$32, 24.7283, 24.728) * CHOOSE(CONTROL!$C$15, $D$11, 100%, $F$11)</f>
        <v>24.728300000000001</v>
      </c>
      <c r="G811" s="8">
        <f>CHOOSE( CONTROL!$C$32, 23.7877, 23.7874) * CHOOSE( CONTROL!$C$15, $D$11, 100%, $F$11)</f>
        <v>23.787700000000001</v>
      </c>
      <c r="H811" s="4">
        <f>CHOOSE( CONTROL!$C$32, 24.6854, 24.6851) * CHOOSE(CONTROL!$C$15, $D$11, 100%, $F$11)</f>
        <v>24.685400000000001</v>
      </c>
      <c r="I811" s="8">
        <f>CHOOSE( CONTROL!$C$32, 23.4866, 23.4863) * CHOOSE(CONTROL!$C$15, $D$11, 100%, $F$11)</f>
        <v>23.486599999999999</v>
      </c>
      <c r="J811" s="4">
        <f>CHOOSE( CONTROL!$C$32, 23.3444, 23.3442) * CHOOSE(CONTROL!$C$15, $D$11, 100%, $F$11)</f>
        <v>23.3444</v>
      </c>
      <c r="K811" s="4"/>
      <c r="L811" s="9">
        <v>29.306000000000001</v>
      </c>
      <c r="M811" s="9">
        <v>12.063700000000001</v>
      </c>
      <c r="N811" s="9">
        <v>4.9444999999999997</v>
      </c>
      <c r="O811" s="9">
        <v>0.37409999999999999</v>
      </c>
      <c r="P811" s="9">
        <v>1.2927</v>
      </c>
      <c r="Q811" s="9">
        <v>19.688099999999999</v>
      </c>
      <c r="R811" s="9"/>
      <c r="S811" s="11"/>
    </row>
    <row r="812" spans="1:19" ht="15.75">
      <c r="A812" s="13">
        <v>65866</v>
      </c>
      <c r="B812" s="8">
        <f>CHOOSE( CONTROL!$C$32, 24.4294, 24.4291) * CHOOSE(CONTROL!$C$15, $D$11, 100%, $F$11)</f>
        <v>24.429400000000001</v>
      </c>
      <c r="C812" s="8">
        <f>CHOOSE( CONTROL!$C$32, 24.4339, 24.4336) * CHOOSE(CONTROL!$C$15, $D$11, 100%, $F$11)</f>
        <v>24.433900000000001</v>
      </c>
      <c r="D812" s="8">
        <f>CHOOSE( CONTROL!$C$32, 24.4388, 24.4385) * CHOOSE( CONTROL!$C$15, $D$11, 100%, $F$11)</f>
        <v>24.438800000000001</v>
      </c>
      <c r="E812" s="12">
        <f>CHOOSE( CONTROL!$C$32, 24.4367, 24.4364) * CHOOSE( CONTROL!$C$15, $D$11, 100%, $F$11)</f>
        <v>24.436699999999998</v>
      </c>
      <c r="F812" s="4">
        <f>CHOOSE( CONTROL!$C$32, 25.1336, 25.1333) * CHOOSE(CONTROL!$C$15, $D$11, 100%, $F$11)</f>
        <v>25.133600000000001</v>
      </c>
      <c r="G812" s="8">
        <f>CHOOSE( CONTROL!$C$32, 24.1547, 24.1545) * CHOOSE( CONTROL!$C$15, $D$11, 100%, $F$11)</f>
        <v>24.154699999999998</v>
      </c>
      <c r="H812" s="4">
        <f>CHOOSE( CONTROL!$C$32, 25.0859, 25.0856) * CHOOSE(CONTROL!$C$15, $D$11, 100%, $F$11)</f>
        <v>25.085899999999999</v>
      </c>
      <c r="I812" s="8">
        <f>CHOOSE( CONTROL!$C$32, 23.8158, 23.8155) * CHOOSE(CONTROL!$C$15, $D$11, 100%, $F$11)</f>
        <v>23.815799999999999</v>
      </c>
      <c r="J812" s="4">
        <f>CHOOSE( CONTROL!$C$32, 23.6992, 23.699) * CHOOSE(CONTROL!$C$15, $D$11, 100%, $F$11)</f>
        <v>23.699200000000001</v>
      </c>
      <c r="K812" s="4"/>
      <c r="L812" s="9">
        <v>30.092199999999998</v>
      </c>
      <c r="M812" s="9">
        <v>11.6745</v>
      </c>
      <c r="N812" s="9">
        <v>4.7850000000000001</v>
      </c>
      <c r="O812" s="9">
        <v>0.36199999999999999</v>
      </c>
      <c r="P812" s="9">
        <v>1.2509999999999999</v>
      </c>
      <c r="Q812" s="9">
        <v>19.053000000000001</v>
      </c>
      <c r="R812" s="9"/>
      <c r="S812" s="11"/>
    </row>
    <row r="813" spans="1:19" ht="15.75">
      <c r="A813" s="13">
        <v>65897</v>
      </c>
      <c r="B813" s="8">
        <f>CHOOSE( CONTROL!$C$32, 25.0816, 25.0811) * CHOOSE(CONTROL!$C$15, $D$11, 100%, $F$11)</f>
        <v>25.081600000000002</v>
      </c>
      <c r="C813" s="8">
        <f>CHOOSE( CONTROL!$C$32, 25.0896, 25.0891) * CHOOSE(CONTROL!$C$15, $D$11, 100%, $F$11)</f>
        <v>25.089600000000001</v>
      </c>
      <c r="D813" s="8">
        <f>CHOOSE( CONTROL!$C$32, 25.0884, 25.0879) * CHOOSE( CONTROL!$C$15, $D$11, 100%, $F$11)</f>
        <v>25.0884</v>
      </c>
      <c r="E813" s="12">
        <f>CHOOSE( CONTROL!$C$32, 25.0876, 25.0871) * CHOOSE( CONTROL!$C$15, $D$11, 100%, $F$11)</f>
        <v>25.087599999999998</v>
      </c>
      <c r="F813" s="4">
        <f>CHOOSE( CONTROL!$C$32, 25.7844, 25.784) * CHOOSE(CONTROL!$C$15, $D$11, 100%, $F$11)</f>
        <v>25.784400000000002</v>
      </c>
      <c r="G813" s="8">
        <f>CHOOSE( CONTROL!$C$32, 24.7978, 24.7973) * CHOOSE( CONTROL!$C$15, $D$11, 100%, $F$11)</f>
        <v>24.797799999999999</v>
      </c>
      <c r="H813" s="4">
        <f>CHOOSE( CONTROL!$C$32, 25.7291, 25.7287) * CHOOSE(CONTROL!$C$15, $D$11, 100%, $F$11)</f>
        <v>25.729099999999999</v>
      </c>
      <c r="I813" s="8">
        <f>CHOOSE( CONTROL!$C$32, 24.4469, 24.4465) * CHOOSE(CONTROL!$C$15, $D$11, 100%, $F$11)</f>
        <v>24.446899999999999</v>
      </c>
      <c r="J813" s="4">
        <f>CHOOSE( CONTROL!$C$32, 24.3309, 24.3304) * CHOOSE(CONTROL!$C$15, $D$11, 100%, $F$11)</f>
        <v>24.3309</v>
      </c>
      <c r="K813" s="4"/>
      <c r="L813" s="9">
        <v>30.7165</v>
      </c>
      <c r="M813" s="9">
        <v>12.063700000000001</v>
      </c>
      <c r="N813" s="9">
        <v>4.9444999999999997</v>
      </c>
      <c r="O813" s="9">
        <v>0.37409999999999999</v>
      </c>
      <c r="P813" s="9">
        <v>1.2927</v>
      </c>
      <c r="Q813" s="9">
        <v>19.688099999999999</v>
      </c>
      <c r="R813" s="9"/>
      <c r="S813" s="11"/>
    </row>
    <row r="814" spans="1:19" ht="15.75">
      <c r="A814" s="13">
        <v>65927</v>
      </c>
      <c r="B814" s="8">
        <f>CHOOSE( CONTROL!$C$32, 24.6785, 24.6781) * CHOOSE(CONTROL!$C$15, $D$11, 100%, $F$11)</f>
        <v>24.6785</v>
      </c>
      <c r="C814" s="8">
        <f>CHOOSE( CONTROL!$C$32, 24.6865, 24.6861) * CHOOSE(CONTROL!$C$15, $D$11, 100%, $F$11)</f>
        <v>24.686499999999999</v>
      </c>
      <c r="D814" s="8">
        <f>CHOOSE( CONTROL!$C$32, 24.6855, 24.685) * CHOOSE( CONTROL!$C$15, $D$11, 100%, $F$11)</f>
        <v>24.685500000000001</v>
      </c>
      <c r="E814" s="12">
        <f>CHOOSE( CONTROL!$C$32, 24.6846, 24.6842) * CHOOSE( CONTROL!$C$15, $D$11, 100%, $F$11)</f>
        <v>24.6846</v>
      </c>
      <c r="F814" s="4">
        <f>CHOOSE( CONTROL!$C$32, 25.3814, 25.3809) * CHOOSE(CONTROL!$C$15, $D$11, 100%, $F$11)</f>
        <v>25.381399999999999</v>
      </c>
      <c r="G814" s="8">
        <f>CHOOSE( CONTROL!$C$32, 24.3996, 24.3991) * CHOOSE( CONTROL!$C$15, $D$11, 100%, $F$11)</f>
        <v>24.3996</v>
      </c>
      <c r="H814" s="4">
        <f>CHOOSE( CONTROL!$C$32, 25.3308, 25.3303) * CHOOSE(CONTROL!$C$15, $D$11, 100%, $F$11)</f>
        <v>25.3308</v>
      </c>
      <c r="I814" s="8">
        <f>CHOOSE( CONTROL!$C$32, 24.0562, 24.0558) * CHOOSE(CONTROL!$C$15, $D$11, 100%, $F$11)</f>
        <v>24.0562</v>
      </c>
      <c r="J814" s="4">
        <f>CHOOSE( CONTROL!$C$32, 23.9397, 23.9393) * CHOOSE(CONTROL!$C$15, $D$11, 100%, $F$11)</f>
        <v>23.939699999999998</v>
      </c>
      <c r="K814" s="4"/>
      <c r="L814" s="9">
        <v>29.7257</v>
      </c>
      <c r="M814" s="9">
        <v>11.6745</v>
      </c>
      <c r="N814" s="9">
        <v>4.7850000000000001</v>
      </c>
      <c r="O814" s="9">
        <v>0.36199999999999999</v>
      </c>
      <c r="P814" s="9">
        <v>1.2509999999999999</v>
      </c>
      <c r="Q814" s="9">
        <v>19.053000000000001</v>
      </c>
      <c r="R814" s="9"/>
      <c r="S814" s="11"/>
    </row>
    <row r="815" spans="1:19" ht="15.75">
      <c r="A815" s="13">
        <v>65958</v>
      </c>
      <c r="B815" s="8">
        <f>CHOOSE( CONTROL!$C$32, 25.74, 25.7395) * CHOOSE(CONTROL!$C$15, $D$11, 100%, $F$11)</f>
        <v>25.74</v>
      </c>
      <c r="C815" s="8">
        <f>CHOOSE( CONTROL!$C$32, 25.7479, 25.7475) * CHOOSE(CONTROL!$C$15, $D$11, 100%, $F$11)</f>
        <v>25.747900000000001</v>
      </c>
      <c r="D815" s="8">
        <f>CHOOSE( CONTROL!$C$32, 25.7471, 25.7467) * CHOOSE( CONTROL!$C$15, $D$11, 100%, $F$11)</f>
        <v>25.7471</v>
      </c>
      <c r="E815" s="12">
        <f>CHOOSE( CONTROL!$C$32, 25.7462, 25.7458) * CHOOSE( CONTROL!$C$15, $D$11, 100%, $F$11)</f>
        <v>25.746200000000002</v>
      </c>
      <c r="F815" s="4">
        <f>CHOOSE( CONTROL!$C$32, 26.4428, 26.4423) * CHOOSE(CONTROL!$C$15, $D$11, 100%, $F$11)</f>
        <v>26.442799999999998</v>
      </c>
      <c r="G815" s="8">
        <f>CHOOSE( CONTROL!$C$32, 25.4488, 25.4483) * CHOOSE( CONTROL!$C$15, $D$11, 100%, $F$11)</f>
        <v>25.448799999999999</v>
      </c>
      <c r="H815" s="4">
        <f>CHOOSE( CONTROL!$C$32, 26.3798, 26.3793) * CHOOSE(CONTROL!$C$15, $D$11, 100%, $F$11)</f>
        <v>26.379799999999999</v>
      </c>
      <c r="I815" s="8">
        <f>CHOOSE( CONTROL!$C$32, 25.0876, 25.0872) * CHOOSE(CONTROL!$C$15, $D$11, 100%, $F$11)</f>
        <v>25.087599999999998</v>
      </c>
      <c r="J815" s="4">
        <f>CHOOSE( CONTROL!$C$32, 24.9698, 24.9694) * CHOOSE(CONTROL!$C$15, $D$11, 100%, $F$11)</f>
        <v>24.969799999999999</v>
      </c>
      <c r="K815" s="4"/>
      <c r="L815" s="9">
        <v>30.7165</v>
      </c>
      <c r="M815" s="9">
        <v>12.063700000000001</v>
      </c>
      <c r="N815" s="9">
        <v>4.9444999999999997</v>
      </c>
      <c r="O815" s="9">
        <v>0.37409999999999999</v>
      </c>
      <c r="P815" s="9">
        <v>1.2927</v>
      </c>
      <c r="Q815" s="9">
        <v>19.688099999999999</v>
      </c>
      <c r="R815" s="9"/>
      <c r="S815" s="11"/>
    </row>
    <row r="816" spans="1:19" ht="15.75">
      <c r="A816" s="13">
        <v>65989</v>
      </c>
      <c r="B816" s="8">
        <f>CHOOSE( CONTROL!$C$32, 23.7539, 23.7535) * CHOOSE(CONTROL!$C$15, $D$11, 100%, $F$11)</f>
        <v>23.753900000000002</v>
      </c>
      <c r="C816" s="8">
        <f>CHOOSE( CONTROL!$C$32, 23.7619, 23.7614) * CHOOSE(CONTROL!$C$15, $D$11, 100%, $F$11)</f>
        <v>23.761900000000001</v>
      </c>
      <c r="D816" s="8">
        <f>CHOOSE( CONTROL!$C$32, 23.7611, 23.7607) * CHOOSE( CONTROL!$C$15, $D$11, 100%, $F$11)</f>
        <v>23.761099999999999</v>
      </c>
      <c r="E816" s="12">
        <f>CHOOSE( CONTROL!$C$32, 23.7602, 23.7597) * CHOOSE( CONTROL!$C$15, $D$11, 100%, $F$11)</f>
        <v>23.760200000000001</v>
      </c>
      <c r="F816" s="4">
        <f>CHOOSE( CONTROL!$C$32, 24.4567, 24.4563) * CHOOSE(CONTROL!$C$15, $D$11, 100%, $F$11)</f>
        <v>24.456700000000001</v>
      </c>
      <c r="G816" s="8">
        <f>CHOOSE( CONTROL!$C$32, 23.486, 23.4856) * CHOOSE( CONTROL!$C$15, $D$11, 100%, $F$11)</f>
        <v>23.486000000000001</v>
      </c>
      <c r="H816" s="4">
        <f>CHOOSE( CONTROL!$C$32, 24.417, 24.4165) * CHOOSE(CONTROL!$C$15, $D$11, 100%, $F$11)</f>
        <v>24.417000000000002</v>
      </c>
      <c r="I816" s="8">
        <f>CHOOSE( CONTROL!$C$32, 23.1594, 23.159) * CHOOSE(CONTROL!$C$15, $D$11, 100%, $F$11)</f>
        <v>23.159400000000002</v>
      </c>
      <c r="J816" s="4">
        <f>CHOOSE( CONTROL!$C$32, 23.0424, 23.0419) * CHOOSE(CONTROL!$C$15, $D$11, 100%, $F$11)</f>
        <v>23.042400000000001</v>
      </c>
      <c r="K816" s="4"/>
      <c r="L816" s="9">
        <v>30.7165</v>
      </c>
      <c r="M816" s="9">
        <v>12.063700000000001</v>
      </c>
      <c r="N816" s="9">
        <v>4.9444999999999997</v>
      </c>
      <c r="O816" s="9">
        <v>0.37409999999999999</v>
      </c>
      <c r="P816" s="9">
        <v>1.2927</v>
      </c>
      <c r="Q816" s="9">
        <v>19.688099999999999</v>
      </c>
      <c r="R816" s="9"/>
      <c r="S816" s="11"/>
    </row>
    <row r="817" spans="1:19" ht="15.75">
      <c r="A817" s="13">
        <v>66019</v>
      </c>
      <c r="B817" s="8">
        <f>CHOOSE( CONTROL!$C$32, 23.2566, 23.2561) * CHOOSE(CONTROL!$C$15, $D$11, 100%, $F$11)</f>
        <v>23.256599999999999</v>
      </c>
      <c r="C817" s="8">
        <f>CHOOSE( CONTROL!$C$32, 23.2646, 23.2641) * CHOOSE(CONTROL!$C$15, $D$11, 100%, $F$11)</f>
        <v>23.264600000000002</v>
      </c>
      <c r="D817" s="8">
        <f>CHOOSE( CONTROL!$C$32, 23.2637, 23.2632) * CHOOSE( CONTROL!$C$15, $D$11, 100%, $F$11)</f>
        <v>23.2637</v>
      </c>
      <c r="E817" s="12">
        <f>CHOOSE( CONTROL!$C$32, 23.2628, 23.2623) * CHOOSE( CONTROL!$C$15, $D$11, 100%, $F$11)</f>
        <v>23.262799999999999</v>
      </c>
      <c r="F817" s="4">
        <f>CHOOSE( CONTROL!$C$32, 23.9594, 23.959) * CHOOSE(CONTROL!$C$15, $D$11, 100%, $F$11)</f>
        <v>23.959399999999999</v>
      </c>
      <c r="G817" s="8">
        <f>CHOOSE( CONTROL!$C$32, 22.9944, 22.994) * CHOOSE( CONTROL!$C$15, $D$11, 100%, $F$11)</f>
        <v>22.994399999999999</v>
      </c>
      <c r="H817" s="4">
        <f>CHOOSE( CONTROL!$C$32, 23.9255, 23.925) * CHOOSE(CONTROL!$C$15, $D$11, 100%, $F$11)</f>
        <v>23.9255</v>
      </c>
      <c r="I817" s="8">
        <f>CHOOSE( CONTROL!$C$32, 22.676, 22.6755) * CHOOSE(CONTROL!$C$15, $D$11, 100%, $F$11)</f>
        <v>22.675999999999998</v>
      </c>
      <c r="J817" s="4">
        <f>CHOOSE( CONTROL!$C$32, 22.5597, 22.5593) * CHOOSE(CONTROL!$C$15, $D$11, 100%, $F$11)</f>
        <v>22.559699999999999</v>
      </c>
      <c r="K817" s="4"/>
      <c r="L817" s="9">
        <v>29.7257</v>
      </c>
      <c r="M817" s="9">
        <v>11.6745</v>
      </c>
      <c r="N817" s="9">
        <v>4.7850000000000001</v>
      </c>
      <c r="O817" s="9">
        <v>0.36199999999999999</v>
      </c>
      <c r="P817" s="9">
        <v>1.2509999999999999</v>
      </c>
      <c r="Q817" s="9">
        <v>19.053000000000001</v>
      </c>
      <c r="R817" s="9"/>
      <c r="S817" s="11"/>
    </row>
    <row r="818" spans="1:19" ht="15.75">
      <c r="A818" s="13">
        <v>66050</v>
      </c>
      <c r="B818" s="8">
        <f>CHOOSE( CONTROL!$C$32, 24.2873, 24.287) * CHOOSE(CONTROL!$C$15, $D$11, 100%, $F$11)</f>
        <v>24.287299999999998</v>
      </c>
      <c r="C818" s="8">
        <f>CHOOSE( CONTROL!$C$32, 24.2926, 24.2924) * CHOOSE(CONTROL!$C$15, $D$11, 100%, $F$11)</f>
        <v>24.2926</v>
      </c>
      <c r="D818" s="8">
        <f>CHOOSE( CONTROL!$C$32, 24.2973, 24.2971) * CHOOSE( CONTROL!$C$15, $D$11, 100%, $F$11)</f>
        <v>24.2973</v>
      </c>
      <c r="E818" s="12">
        <f>CHOOSE( CONTROL!$C$32, 24.2952, 24.295) * CHOOSE( CONTROL!$C$15, $D$11, 100%, $F$11)</f>
        <v>24.295200000000001</v>
      </c>
      <c r="F818" s="4">
        <f>CHOOSE( CONTROL!$C$32, 24.9919, 24.9916) * CHOOSE(CONTROL!$C$15, $D$11, 100%, $F$11)</f>
        <v>24.991900000000001</v>
      </c>
      <c r="G818" s="8">
        <f>CHOOSE( CONTROL!$C$32, 24.0149, 24.0147) * CHOOSE( CONTROL!$C$15, $D$11, 100%, $F$11)</f>
        <v>24.014900000000001</v>
      </c>
      <c r="H818" s="4">
        <f>CHOOSE( CONTROL!$C$32, 24.9458, 24.9455) * CHOOSE(CONTROL!$C$15, $D$11, 100%, $F$11)</f>
        <v>24.945799999999998</v>
      </c>
      <c r="I818" s="8">
        <f>CHOOSE( CONTROL!$C$32, 23.6793, 23.679) * CHOOSE(CONTROL!$C$15, $D$11, 100%, $F$11)</f>
        <v>23.679300000000001</v>
      </c>
      <c r="J818" s="4">
        <f>CHOOSE( CONTROL!$C$32, 23.5617, 23.5614) * CHOOSE(CONTROL!$C$15, $D$11, 100%, $F$11)</f>
        <v>23.561699999999998</v>
      </c>
      <c r="K818" s="4"/>
      <c r="L818" s="9">
        <v>31.095300000000002</v>
      </c>
      <c r="M818" s="9">
        <v>12.063700000000001</v>
      </c>
      <c r="N818" s="9">
        <v>4.9444999999999997</v>
      </c>
      <c r="O818" s="9">
        <v>0.37409999999999999</v>
      </c>
      <c r="P818" s="9">
        <v>1.2927</v>
      </c>
      <c r="Q818" s="9">
        <v>19.688099999999999</v>
      </c>
      <c r="R818" s="9"/>
      <c r="S818" s="11"/>
    </row>
    <row r="819" spans="1:19" ht="15.75">
      <c r="A819" s="13">
        <v>66080</v>
      </c>
      <c r="B819" s="8">
        <f>CHOOSE( CONTROL!$C$32, 26.1929, 26.1926) * CHOOSE(CONTROL!$C$15, $D$11, 100%, $F$11)</f>
        <v>26.192900000000002</v>
      </c>
      <c r="C819" s="8">
        <f>CHOOSE( CONTROL!$C$32, 26.198, 26.1977) * CHOOSE(CONTROL!$C$15, $D$11, 100%, $F$11)</f>
        <v>26.198</v>
      </c>
      <c r="D819" s="8">
        <f>CHOOSE( CONTROL!$C$32, 26.1807, 26.1804) * CHOOSE( CONTROL!$C$15, $D$11, 100%, $F$11)</f>
        <v>26.180700000000002</v>
      </c>
      <c r="E819" s="12">
        <f>CHOOSE( CONTROL!$C$32, 26.1865, 26.1862) * CHOOSE( CONTROL!$C$15, $D$11, 100%, $F$11)</f>
        <v>26.186499999999999</v>
      </c>
      <c r="F819" s="4">
        <f>CHOOSE( CONTROL!$C$32, 26.8582, 26.8579) * CHOOSE(CONTROL!$C$15, $D$11, 100%, $F$11)</f>
        <v>26.8582</v>
      </c>
      <c r="G819" s="8">
        <f>CHOOSE( CONTROL!$C$32, 25.8955, 25.8953) * CHOOSE( CONTROL!$C$15, $D$11, 100%, $F$11)</f>
        <v>25.895499999999998</v>
      </c>
      <c r="H819" s="4">
        <f>CHOOSE( CONTROL!$C$32, 26.7903, 26.79) * CHOOSE(CONTROL!$C$15, $D$11, 100%, $F$11)</f>
        <v>26.790299999999998</v>
      </c>
      <c r="I819" s="8">
        <f>CHOOSE( CONTROL!$C$32, 25.5856, 25.5853) * CHOOSE(CONTROL!$C$15, $D$11, 100%, $F$11)</f>
        <v>25.585599999999999</v>
      </c>
      <c r="J819" s="4">
        <f>CHOOSE( CONTROL!$C$32, 25.4115, 25.4112) * CHOOSE(CONTROL!$C$15, $D$11, 100%, $F$11)</f>
        <v>25.4115</v>
      </c>
      <c r="K819" s="4"/>
      <c r="L819" s="9">
        <v>28.360600000000002</v>
      </c>
      <c r="M819" s="9">
        <v>11.6745</v>
      </c>
      <c r="N819" s="9">
        <v>4.7850000000000001</v>
      </c>
      <c r="O819" s="9">
        <v>0.36199999999999999</v>
      </c>
      <c r="P819" s="9">
        <v>1.2509999999999999</v>
      </c>
      <c r="Q819" s="9">
        <v>19.053000000000001</v>
      </c>
      <c r="R819" s="9"/>
      <c r="S819" s="11"/>
    </row>
    <row r="820" spans="1:19" ht="15.75">
      <c r="A820" s="13">
        <v>66111</v>
      </c>
      <c r="B820" s="8">
        <f>CHOOSE( CONTROL!$C$32, 26.1453, 26.145) * CHOOSE(CONTROL!$C$15, $D$11, 100%, $F$11)</f>
        <v>26.145299999999999</v>
      </c>
      <c r="C820" s="8">
        <f>CHOOSE( CONTROL!$C$32, 26.1504, 26.1501) * CHOOSE(CONTROL!$C$15, $D$11, 100%, $F$11)</f>
        <v>26.150400000000001</v>
      </c>
      <c r="D820" s="8">
        <f>CHOOSE( CONTROL!$C$32, 26.1349, 26.1346) * CHOOSE( CONTROL!$C$15, $D$11, 100%, $F$11)</f>
        <v>26.134899999999998</v>
      </c>
      <c r="E820" s="12">
        <f>CHOOSE( CONTROL!$C$32, 26.14, 26.1397) * CHOOSE( CONTROL!$C$15, $D$11, 100%, $F$11)</f>
        <v>26.14</v>
      </c>
      <c r="F820" s="4">
        <f>CHOOSE( CONTROL!$C$32, 26.8106, 26.8103) * CHOOSE(CONTROL!$C$15, $D$11, 100%, $F$11)</f>
        <v>26.810600000000001</v>
      </c>
      <c r="G820" s="8">
        <f>CHOOSE( CONTROL!$C$32, 25.8498, 25.8495) * CHOOSE( CONTROL!$C$15, $D$11, 100%, $F$11)</f>
        <v>25.849799999999998</v>
      </c>
      <c r="H820" s="4">
        <f>CHOOSE( CONTROL!$C$32, 26.7432, 26.743) * CHOOSE(CONTROL!$C$15, $D$11, 100%, $F$11)</f>
        <v>26.743200000000002</v>
      </c>
      <c r="I820" s="8">
        <f>CHOOSE( CONTROL!$C$32, 25.545, 25.5447) * CHOOSE(CONTROL!$C$15, $D$11, 100%, $F$11)</f>
        <v>25.545000000000002</v>
      </c>
      <c r="J820" s="4">
        <f>CHOOSE( CONTROL!$C$32, 25.3653, 25.365) * CHOOSE(CONTROL!$C$15, $D$11, 100%, $F$11)</f>
        <v>25.365300000000001</v>
      </c>
      <c r="K820" s="4"/>
      <c r="L820" s="9">
        <v>29.306000000000001</v>
      </c>
      <c r="M820" s="9">
        <v>12.063700000000001</v>
      </c>
      <c r="N820" s="9">
        <v>4.9444999999999997</v>
      </c>
      <c r="O820" s="9">
        <v>0.37409999999999999</v>
      </c>
      <c r="P820" s="9">
        <v>1.2927</v>
      </c>
      <c r="Q820" s="9">
        <v>19.688099999999999</v>
      </c>
      <c r="R820" s="9"/>
      <c r="S820" s="11"/>
    </row>
    <row r="821" spans="1:19" ht="15.75">
      <c r="A821" s="13">
        <v>66142</v>
      </c>
      <c r="B821" s="8">
        <f>CHOOSE( CONTROL!$C$32, 26.9162, 26.9159) * CHOOSE(CONTROL!$C$15, $D$11, 100%, $F$11)</f>
        <v>26.9162</v>
      </c>
      <c r="C821" s="8">
        <f>CHOOSE( CONTROL!$C$32, 26.9213, 26.921) * CHOOSE(CONTROL!$C$15, $D$11, 100%, $F$11)</f>
        <v>26.921299999999999</v>
      </c>
      <c r="D821" s="8">
        <f>CHOOSE( CONTROL!$C$32, 26.9117, 26.9115) * CHOOSE( CONTROL!$C$15, $D$11, 100%, $F$11)</f>
        <v>26.9117</v>
      </c>
      <c r="E821" s="12">
        <f>CHOOSE( CONTROL!$C$32, 26.9147, 26.9144) * CHOOSE( CONTROL!$C$15, $D$11, 100%, $F$11)</f>
        <v>26.9147</v>
      </c>
      <c r="F821" s="4">
        <f>CHOOSE( CONTROL!$C$32, 27.5815, 27.5812) * CHOOSE(CONTROL!$C$15, $D$11, 100%, $F$11)</f>
        <v>27.581499999999998</v>
      </c>
      <c r="G821" s="8">
        <f>CHOOSE( CONTROL!$C$32, 26.6124, 26.6121) * CHOOSE( CONTROL!$C$15, $D$11, 100%, $F$11)</f>
        <v>26.612400000000001</v>
      </c>
      <c r="H821" s="4">
        <f>CHOOSE( CONTROL!$C$32, 27.5051, 27.5049) * CHOOSE(CONTROL!$C$15, $D$11, 100%, $F$11)</f>
        <v>27.505099999999999</v>
      </c>
      <c r="I821" s="8">
        <f>CHOOSE( CONTROL!$C$32, 26.274, 26.2737) * CHOOSE(CONTROL!$C$15, $D$11, 100%, $F$11)</f>
        <v>26.274000000000001</v>
      </c>
      <c r="J821" s="4">
        <f>CHOOSE( CONTROL!$C$32, 26.1134, 26.1132) * CHOOSE(CONTROL!$C$15, $D$11, 100%, $F$11)</f>
        <v>26.113399999999999</v>
      </c>
      <c r="K821" s="4"/>
      <c r="L821" s="9">
        <v>29.306000000000001</v>
      </c>
      <c r="M821" s="9">
        <v>12.063700000000001</v>
      </c>
      <c r="N821" s="9">
        <v>4.9444999999999997</v>
      </c>
      <c r="O821" s="9">
        <v>0.37409999999999999</v>
      </c>
      <c r="P821" s="9">
        <v>1.2927</v>
      </c>
      <c r="Q821" s="9">
        <v>19.688099999999999</v>
      </c>
      <c r="R821" s="9"/>
      <c r="S821" s="11"/>
    </row>
    <row r="822" spans="1:19" ht="15.75">
      <c r="A822" s="13">
        <v>66170</v>
      </c>
      <c r="B822" s="8">
        <f>CHOOSE( CONTROL!$C$32, 25.1767, 25.1765) * CHOOSE(CONTROL!$C$15, $D$11, 100%, $F$11)</f>
        <v>25.1767</v>
      </c>
      <c r="C822" s="8">
        <f>CHOOSE( CONTROL!$C$32, 25.1818, 25.1815) * CHOOSE(CONTROL!$C$15, $D$11, 100%, $F$11)</f>
        <v>25.181799999999999</v>
      </c>
      <c r="D822" s="8">
        <f>CHOOSE( CONTROL!$C$32, 25.1739, 25.1736) * CHOOSE( CONTROL!$C$15, $D$11, 100%, $F$11)</f>
        <v>25.1739</v>
      </c>
      <c r="E822" s="12">
        <f>CHOOSE( CONTROL!$C$32, 25.1762, 25.176) * CHOOSE( CONTROL!$C$15, $D$11, 100%, $F$11)</f>
        <v>25.176200000000001</v>
      </c>
      <c r="F822" s="4">
        <f>CHOOSE( CONTROL!$C$32, 25.842, 25.8417) * CHOOSE(CONTROL!$C$15, $D$11, 100%, $F$11)</f>
        <v>25.841999999999999</v>
      </c>
      <c r="G822" s="8">
        <f>CHOOSE( CONTROL!$C$32, 24.8918, 24.8915) * CHOOSE( CONTROL!$C$15, $D$11, 100%, $F$11)</f>
        <v>24.8918</v>
      </c>
      <c r="H822" s="4">
        <f>CHOOSE( CONTROL!$C$32, 25.786, 25.7858) * CHOOSE(CONTROL!$C$15, $D$11, 100%, $F$11)</f>
        <v>25.786000000000001</v>
      </c>
      <c r="I822" s="8">
        <f>CHOOSE( CONTROL!$C$32, 24.5696, 24.5693) * CHOOSE(CONTROL!$C$15, $D$11, 100%, $F$11)</f>
        <v>24.569600000000001</v>
      </c>
      <c r="J822" s="4">
        <f>CHOOSE( CONTROL!$C$32, 24.4253, 24.425) * CHOOSE(CONTROL!$C$15, $D$11, 100%, $F$11)</f>
        <v>24.4253</v>
      </c>
      <c r="K822" s="4"/>
      <c r="L822" s="9">
        <v>26.469899999999999</v>
      </c>
      <c r="M822" s="9">
        <v>10.8962</v>
      </c>
      <c r="N822" s="9">
        <v>4.4660000000000002</v>
      </c>
      <c r="O822" s="9">
        <v>0.33789999999999998</v>
      </c>
      <c r="P822" s="9">
        <v>1.1676</v>
      </c>
      <c r="Q822" s="9">
        <v>17.782800000000002</v>
      </c>
      <c r="R822" s="9"/>
      <c r="S822" s="11"/>
    </row>
    <row r="823" spans="1:19" ht="15.75">
      <c r="A823" s="13">
        <v>66201</v>
      </c>
      <c r="B823" s="8">
        <f>CHOOSE( CONTROL!$C$32, 24.641, 24.6407) * CHOOSE(CONTROL!$C$15, $D$11, 100%, $F$11)</f>
        <v>24.640999999999998</v>
      </c>
      <c r="C823" s="8">
        <f>CHOOSE( CONTROL!$C$32, 24.6461, 24.6458) * CHOOSE(CONTROL!$C$15, $D$11, 100%, $F$11)</f>
        <v>24.646100000000001</v>
      </c>
      <c r="D823" s="8">
        <f>CHOOSE( CONTROL!$C$32, 24.6334, 24.6331) * CHOOSE( CONTROL!$C$15, $D$11, 100%, $F$11)</f>
        <v>24.633400000000002</v>
      </c>
      <c r="E823" s="12">
        <f>CHOOSE( CONTROL!$C$32, 24.6375, 24.6372) * CHOOSE( CONTROL!$C$15, $D$11, 100%, $F$11)</f>
        <v>24.637499999999999</v>
      </c>
      <c r="F823" s="4">
        <f>CHOOSE( CONTROL!$C$32, 25.3063, 25.306) * CHOOSE(CONTROL!$C$15, $D$11, 100%, $F$11)</f>
        <v>25.3063</v>
      </c>
      <c r="G823" s="8">
        <f>CHOOSE( CONTROL!$C$32, 24.3589, 24.3586) * CHOOSE( CONTROL!$C$15, $D$11, 100%, $F$11)</f>
        <v>24.358899999999998</v>
      </c>
      <c r="H823" s="4">
        <f>CHOOSE( CONTROL!$C$32, 25.2565, 25.2563) * CHOOSE(CONTROL!$C$15, $D$11, 100%, $F$11)</f>
        <v>25.256499999999999</v>
      </c>
      <c r="I823" s="8">
        <f>CHOOSE( CONTROL!$C$32, 24.0478, 24.0475) * CHOOSE(CONTROL!$C$15, $D$11, 100%, $F$11)</f>
        <v>24.047799999999999</v>
      </c>
      <c r="J823" s="4">
        <f>CHOOSE( CONTROL!$C$32, 23.9053, 23.9051) * CHOOSE(CONTROL!$C$15, $D$11, 100%, $F$11)</f>
        <v>23.9053</v>
      </c>
      <c r="K823" s="4"/>
      <c r="L823" s="9">
        <v>29.306000000000001</v>
      </c>
      <c r="M823" s="9">
        <v>12.063700000000001</v>
      </c>
      <c r="N823" s="9">
        <v>4.9444999999999997</v>
      </c>
      <c r="O823" s="9">
        <v>0.37409999999999999</v>
      </c>
      <c r="P823" s="9">
        <v>1.2927</v>
      </c>
      <c r="Q823" s="9">
        <v>19.688099999999999</v>
      </c>
      <c r="R823" s="9"/>
      <c r="S823" s="11"/>
    </row>
    <row r="824" spans="1:19" ht="15.75">
      <c r="A824" s="13">
        <v>66231</v>
      </c>
      <c r="B824" s="8">
        <f>CHOOSE( CONTROL!$C$32, 25.0161, 25.0158) * CHOOSE(CONTROL!$C$15, $D$11, 100%, $F$11)</f>
        <v>25.016100000000002</v>
      </c>
      <c r="C824" s="8">
        <f>CHOOSE( CONTROL!$C$32, 25.0206, 25.0204) * CHOOSE(CONTROL!$C$15, $D$11, 100%, $F$11)</f>
        <v>25.020600000000002</v>
      </c>
      <c r="D824" s="8">
        <f>CHOOSE( CONTROL!$C$32, 25.0255, 25.0252) * CHOOSE( CONTROL!$C$15, $D$11, 100%, $F$11)</f>
        <v>25.025500000000001</v>
      </c>
      <c r="E824" s="12">
        <f>CHOOSE( CONTROL!$C$32, 25.0234, 25.0231) * CHOOSE( CONTROL!$C$15, $D$11, 100%, $F$11)</f>
        <v>25.023399999999999</v>
      </c>
      <c r="F824" s="4">
        <f>CHOOSE( CONTROL!$C$32, 25.7203, 25.72) * CHOOSE(CONTROL!$C$15, $D$11, 100%, $F$11)</f>
        <v>25.720300000000002</v>
      </c>
      <c r="G824" s="8">
        <f>CHOOSE( CONTROL!$C$32, 24.7346, 24.7343) * CHOOSE( CONTROL!$C$15, $D$11, 100%, $F$11)</f>
        <v>24.7346</v>
      </c>
      <c r="H824" s="4">
        <f>CHOOSE( CONTROL!$C$32, 25.6657, 25.6655) * CHOOSE(CONTROL!$C$15, $D$11, 100%, $F$11)</f>
        <v>25.665700000000001</v>
      </c>
      <c r="I824" s="8">
        <f>CHOOSE( CONTROL!$C$32, 24.3855, 24.3852) * CHOOSE(CONTROL!$C$15, $D$11, 100%, $F$11)</f>
        <v>24.3855</v>
      </c>
      <c r="J824" s="4">
        <f>CHOOSE( CONTROL!$C$32, 24.2686, 24.2684) * CHOOSE(CONTROL!$C$15, $D$11, 100%, $F$11)</f>
        <v>24.268599999999999</v>
      </c>
      <c r="K824" s="4"/>
      <c r="L824" s="9">
        <v>30.092199999999998</v>
      </c>
      <c r="M824" s="9">
        <v>11.6745</v>
      </c>
      <c r="N824" s="9">
        <v>4.7850000000000001</v>
      </c>
      <c r="O824" s="9">
        <v>0.36199999999999999</v>
      </c>
      <c r="P824" s="9">
        <v>1.2509999999999999</v>
      </c>
      <c r="Q824" s="9">
        <v>19.053000000000001</v>
      </c>
      <c r="R824" s="9"/>
      <c r="S824" s="11"/>
    </row>
    <row r="825" spans="1:19" ht="15.75">
      <c r="A825" s="13">
        <v>66262</v>
      </c>
      <c r="B825" s="8">
        <f>CHOOSE( CONTROL!$C$32, 25.684, 25.6835) * CHOOSE(CONTROL!$C$15, $D$11, 100%, $F$11)</f>
        <v>25.684000000000001</v>
      </c>
      <c r="C825" s="8">
        <f>CHOOSE( CONTROL!$C$32, 25.6919, 25.6915) * CHOOSE(CONTROL!$C$15, $D$11, 100%, $F$11)</f>
        <v>25.6919</v>
      </c>
      <c r="D825" s="8">
        <f>CHOOSE( CONTROL!$C$32, 25.6907, 25.6903) * CHOOSE( CONTROL!$C$15, $D$11, 100%, $F$11)</f>
        <v>25.6907</v>
      </c>
      <c r="E825" s="12">
        <f>CHOOSE( CONTROL!$C$32, 25.6899, 25.6895) * CHOOSE( CONTROL!$C$15, $D$11, 100%, $F$11)</f>
        <v>25.689900000000002</v>
      </c>
      <c r="F825" s="4">
        <f>CHOOSE( CONTROL!$C$32, 26.3868, 26.3863) * CHOOSE(CONTROL!$C$15, $D$11, 100%, $F$11)</f>
        <v>26.386800000000001</v>
      </c>
      <c r="G825" s="8">
        <f>CHOOSE( CONTROL!$C$32, 25.3931, 25.3926) * CHOOSE( CONTROL!$C$15, $D$11, 100%, $F$11)</f>
        <v>25.3931</v>
      </c>
      <c r="H825" s="4">
        <f>CHOOSE( CONTROL!$C$32, 26.3244, 26.324) * CHOOSE(CONTROL!$C$15, $D$11, 100%, $F$11)</f>
        <v>26.324400000000001</v>
      </c>
      <c r="I825" s="8">
        <f>CHOOSE( CONTROL!$C$32, 25.0318, 25.0314) * CHOOSE(CONTROL!$C$15, $D$11, 100%, $F$11)</f>
        <v>25.0318</v>
      </c>
      <c r="J825" s="4">
        <f>CHOOSE( CONTROL!$C$32, 24.9155, 24.915) * CHOOSE(CONTROL!$C$15, $D$11, 100%, $F$11)</f>
        <v>24.915500000000002</v>
      </c>
      <c r="K825" s="4"/>
      <c r="L825" s="9">
        <v>30.7165</v>
      </c>
      <c r="M825" s="9">
        <v>12.063700000000001</v>
      </c>
      <c r="N825" s="9">
        <v>4.9444999999999997</v>
      </c>
      <c r="O825" s="9">
        <v>0.37409999999999999</v>
      </c>
      <c r="P825" s="9">
        <v>1.2927</v>
      </c>
      <c r="Q825" s="9">
        <v>19.688099999999999</v>
      </c>
      <c r="R825" s="9"/>
      <c r="S825" s="11"/>
    </row>
    <row r="826" spans="1:19" ht="15.75">
      <c r="A826" s="13">
        <v>66292</v>
      </c>
      <c r="B826" s="8">
        <f>CHOOSE( CONTROL!$C$32, 25.2712, 25.2708) * CHOOSE(CONTROL!$C$15, $D$11, 100%, $F$11)</f>
        <v>25.2712</v>
      </c>
      <c r="C826" s="8">
        <f>CHOOSE( CONTROL!$C$32, 25.2792, 25.2787) * CHOOSE(CONTROL!$C$15, $D$11, 100%, $F$11)</f>
        <v>25.279199999999999</v>
      </c>
      <c r="D826" s="8">
        <f>CHOOSE( CONTROL!$C$32, 25.2782, 25.2777) * CHOOSE( CONTROL!$C$15, $D$11, 100%, $F$11)</f>
        <v>25.278199999999998</v>
      </c>
      <c r="E826" s="12">
        <f>CHOOSE( CONTROL!$C$32, 25.2773, 25.2769) * CHOOSE( CONTROL!$C$15, $D$11, 100%, $F$11)</f>
        <v>25.2773</v>
      </c>
      <c r="F826" s="4">
        <f>CHOOSE( CONTROL!$C$32, 25.974, 25.9736) * CHOOSE(CONTROL!$C$15, $D$11, 100%, $F$11)</f>
        <v>25.974</v>
      </c>
      <c r="G826" s="8">
        <f>CHOOSE( CONTROL!$C$32, 24.9853, 24.9849) * CHOOSE( CONTROL!$C$15, $D$11, 100%, $F$11)</f>
        <v>24.985299999999999</v>
      </c>
      <c r="H826" s="4">
        <f>CHOOSE( CONTROL!$C$32, 25.9165, 25.9161) * CHOOSE(CONTROL!$C$15, $D$11, 100%, $F$11)</f>
        <v>25.916499999999999</v>
      </c>
      <c r="I826" s="8">
        <f>CHOOSE( CONTROL!$C$32, 24.6317, 24.6312) * CHOOSE(CONTROL!$C$15, $D$11, 100%, $F$11)</f>
        <v>24.631699999999999</v>
      </c>
      <c r="J826" s="4">
        <f>CHOOSE( CONTROL!$C$32, 24.5149, 24.5145) * CHOOSE(CONTROL!$C$15, $D$11, 100%, $F$11)</f>
        <v>24.514900000000001</v>
      </c>
      <c r="K826" s="4"/>
      <c r="L826" s="9">
        <v>29.7257</v>
      </c>
      <c r="M826" s="9">
        <v>11.6745</v>
      </c>
      <c r="N826" s="9">
        <v>4.7850000000000001</v>
      </c>
      <c r="O826" s="9">
        <v>0.36199999999999999</v>
      </c>
      <c r="P826" s="9">
        <v>1.2509999999999999</v>
      </c>
      <c r="Q826" s="9">
        <v>19.053000000000001</v>
      </c>
      <c r="R826" s="9"/>
      <c r="S826" s="11"/>
    </row>
    <row r="827" spans="1:19" ht="15.75">
      <c r="A827" s="13">
        <v>66323</v>
      </c>
      <c r="B827" s="8">
        <f>CHOOSE( CONTROL!$C$32, 26.3581, 26.3577) * CHOOSE(CONTROL!$C$15, $D$11, 100%, $F$11)</f>
        <v>26.3581</v>
      </c>
      <c r="C827" s="8">
        <f>CHOOSE( CONTROL!$C$32, 26.3661, 26.3657) * CHOOSE(CONTROL!$C$15, $D$11, 100%, $F$11)</f>
        <v>26.366099999999999</v>
      </c>
      <c r="D827" s="8">
        <f>CHOOSE( CONTROL!$C$32, 26.3653, 26.3649) * CHOOSE( CONTROL!$C$15, $D$11, 100%, $F$11)</f>
        <v>26.365300000000001</v>
      </c>
      <c r="E827" s="12">
        <f>CHOOSE( CONTROL!$C$32, 26.3644, 26.364) * CHOOSE( CONTROL!$C$15, $D$11, 100%, $F$11)</f>
        <v>26.3644</v>
      </c>
      <c r="F827" s="4">
        <f>CHOOSE( CONTROL!$C$32, 27.061, 27.0605) * CHOOSE(CONTROL!$C$15, $D$11, 100%, $F$11)</f>
        <v>27.061</v>
      </c>
      <c r="G827" s="8">
        <f>CHOOSE( CONTROL!$C$32, 26.0597, 26.0593) * CHOOSE( CONTROL!$C$15, $D$11, 100%, $F$11)</f>
        <v>26.059699999999999</v>
      </c>
      <c r="H827" s="4">
        <f>CHOOSE( CONTROL!$C$32, 26.9907, 26.9903) * CHOOSE(CONTROL!$C$15, $D$11, 100%, $F$11)</f>
        <v>26.9907</v>
      </c>
      <c r="I827" s="8">
        <f>CHOOSE( CONTROL!$C$32, 25.6879, 25.6874) * CHOOSE(CONTROL!$C$15, $D$11, 100%, $F$11)</f>
        <v>25.687899999999999</v>
      </c>
      <c r="J827" s="4">
        <f>CHOOSE( CONTROL!$C$32, 25.5698, 25.5693) * CHOOSE(CONTROL!$C$15, $D$11, 100%, $F$11)</f>
        <v>25.569800000000001</v>
      </c>
      <c r="K827" s="4"/>
      <c r="L827" s="9">
        <v>30.7165</v>
      </c>
      <c r="M827" s="9">
        <v>12.063700000000001</v>
      </c>
      <c r="N827" s="9">
        <v>4.9444999999999997</v>
      </c>
      <c r="O827" s="9">
        <v>0.37409999999999999</v>
      </c>
      <c r="P827" s="9">
        <v>1.2927</v>
      </c>
      <c r="Q827" s="9">
        <v>19.688099999999999</v>
      </c>
      <c r="R827" s="9"/>
      <c r="S827" s="11"/>
    </row>
    <row r="828" spans="1:19" ht="15.75">
      <c r="A828" s="13">
        <v>66354</v>
      </c>
      <c r="B828" s="8">
        <f>CHOOSE( CONTROL!$C$32, 24.3244, 24.3239) * CHOOSE(CONTROL!$C$15, $D$11, 100%, $F$11)</f>
        <v>24.324400000000001</v>
      </c>
      <c r="C828" s="8">
        <f>CHOOSE( CONTROL!$C$32, 24.3324, 24.3319) * CHOOSE(CONTROL!$C$15, $D$11, 100%, $F$11)</f>
        <v>24.3324</v>
      </c>
      <c r="D828" s="8">
        <f>CHOOSE( CONTROL!$C$32, 24.3316, 24.3312) * CHOOSE( CONTROL!$C$15, $D$11, 100%, $F$11)</f>
        <v>24.331600000000002</v>
      </c>
      <c r="E828" s="12">
        <f>CHOOSE( CONTROL!$C$32, 24.3307, 24.3302) * CHOOSE( CONTROL!$C$15, $D$11, 100%, $F$11)</f>
        <v>24.3307</v>
      </c>
      <c r="F828" s="4">
        <f>CHOOSE( CONTROL!$C$32, 25.0272, 25.0268) * CHOOSE(CONTROL!$C$15, $D$11, 100%, $F$11)</f>
        <v>25.027200000000001</v>
      </c>
      <c r="G828" s="8">
        <f>CHOOSE( CONTROL!$C$32, 24.0498, 24.0494) * CHOOSE( CONTROL!$C$15, $D$11, 100%, $F$11)</f>
        <v>24.049800000000001</v>
      </c>
      <c r="H828" s="4">
        <f>CHOOSE( CONTROL!$C$32, 24.9808, 24.9803) * CHOOSE(CONTROL!$C$15, $D$11, 100%, $F$11)</f>
        <v>24.980799999999999</v>
      </c>
      <c r="I828" s="8">
        <f>CHOOSE( CONTROL!$C$32, 23.7133, 23.7129) * CHOOSE(CONTROL!$C$15, $D$11, 100%, $F$11)</f>
        <v>23.7133</v>
      </c>
      <c r="J828" s="4">
        <f>CHOOSE( CONTROL!$C$32, 23.596, 23.5956) * CHOOSE(CONTROL!$C$15, $D$11, 100%, $F$11)</f>
        <v>23.596</v>
      </c>
      <c r="K828" s="4"/>
      <c r="L828" s="9">
        <v>30.7165</v>
      </c>
      <c r="M828" s="9">
        <v>12.063700000000001</v>
      </c>
      <c r="N828" s="9">
        <v>4.9444999999999997</v>
      </c>
      <c r="O828" s="9">
        <v>0.37409999999999999</v>
      </c>
      <c r="P828" s="9">
        <v>1.2927</v>
      </c>
      <c r="Q828" s="9">
        <v>19.688099999999999</v>
      </c>
      <c r="R828" s="9"/>
      <c r="S828" s="11"/>
    </row>
    <row r="829" spans="1:19" ht="15.75">
      <c r="A829" s="13">
        <v>66384</v>
      </c>
      <c r="B829" s="8">
        <f>CHOOSE( CONTROL!$C$32, 23.8151, 23.8147) * CHOOSE(CONTROL!$C$15, $D$11, 100%, $F$11)</f>
        <v>23.815100000000001</v>
      </c>
      <c r="C829" s="8">
        <f>CHOOSE( CONTROL!$C$32, 23.8231, 23.8226) * CHOOSE(CONTROL!$C$15, $D$11, 100%, $F$11)</f>
        <v>23.8231</v>
      </c>
      <c r="D829" s="8">
        <f>CHOOSE( CONTROL!$C$32, 23.8222, 23.8217) * CHOOSE( CONTROL!$C$15, $D$11, 100%, $F$11)</f>
        <v>23.822199999999999</v>
      </c>
      <c r="E829" s="12">
        <f>CHOOSE( CONTROL!$C$32, 23.8213, 23.8208) * CHOOSE( CONTROL!$C$15, $D$11, 100%, $F$11)</f>
        <v>23.821300000000001</v>
      </c>
      <c r="F829" s="4">
        <f>CHOOSE( CONTROL!$C$32, 24.5179, 24.5175) * CHOOSE(CONTROL!$C$15, $D$11, 100%, $F$11)</f>
        <v>24.517900000000001</v>
      </c>
      <c r="G829" s="8">
        <f>CHOOSE( CONTROL!$C$32, 23.5464, 23.5459) * CHOOSE( CONTROL!$C$15, $D$11, 100%, $F$11)</f>
        <v>23.546399999999998</v>
      </c>
      <c r="H829" s="4">
        <f>CHOOSE( CONTROL!$C$32, 24.4774, 24.477) * CHOOSE(CONTROL!$C$15, $D$11, 100%, $F$11)</f>
        <v>24.477399999999999</v>
      </c>
      <c r="I829" s="8">
        <f>CHOOSE( CONTROL!$C$32, 23.2183, 23.2178) * CHOOSE(CONTROL!$C$15, $D$11, 100%, $F$11)</f>
        <v>23.218299999999999</v>
      </c>
      <c r="J829" s="4">
        <f>CHOOSE( CONTROL!$C$32, 23.1017, 23.1013) * CHOOSE(CONTROL!$C$15, $D$11, 100%, $F$11)</f>
        <v>23.101700000000001</v>
      </c>
      <c r="K829" s="4"/>
      <c r="L829" s="9">
        <v>29.7257</v>
      </c>
      <c r="M829" s="9">
        <v>11.6745</v>
      </c>
      <c r="N829" s="9">
        <v>4.7850000000000001</v>
      </c>
      <c r="O829" s="9">
        <v>0.36199999999999999</v>
      </c>
      <c r="P829" s="9">
        <v>1.2509999999999999</v>
      </c>
      <c r="Q829" s="9">
        <v>19.053000000000001</v>
      </c>
      <c r="R829" s="9"/>
      <c r="S829" s="11"/>
    </row>
    <row r="830" spans="1:19" ht="15.75">
      <c r="A830" s="13">
        <v>66415</v>
      </c>
      <c r="B830" s="8">
        <f>CHOOSE( CONTROL!$C$32, 24.8706, 24.8704) * CHOOSE(CONTROL!$C$15, $D$11, 100%, $F$11)</f>
        <v>24.8706</v>
      </c>
      <c r="C830" s="8">
        <f>CHOOSE( CONTROL!$C$32, 24.876, 24.8757) * CHOOSE(CONTROL!$C$15, $D$11, 100%, $F$11)</f>
        <v>24.876000000000001</v>
      </c>
      <c r="D830" s="8">
        <f>CHOOSE( CONTROL!$C$32, 24.8807, 24.8804) * CHOOSE( CONTROL!$C$15, $D$11, 100%, $F$11)</f>
        <v>24.880700000000001</v>
      </c>
      <c r="E830" s="12">
        <f>CHOOSE( CONTROL!$C$32, 24.8786, 24.8783) * CHOOSE( CONTROL!$C$15, $D$11, 100%, $F$11)</f>
        <v>24.878599999999999</v>
      </c>
      <c r="F830" s="4">
        <f>CHOOSE( CONTROL!$C$32, 25.5752, 25.5749) * CHOOSE(CONTROL!$C$15, $D$11, 100%, $F$11)</f>
        <v>25.575199999999999</v>
      </c>
      <c r="G830" s="8">
        <f>CHOOSE( CONTROL!$C$32, 24.5914, 24.5912) * CHOOSE( CONTROL!$C$15, $D$11, 100%, $F$11)</f>
        <v>24.5914</v>
      </c>
      <c r="H830" s="4">
        <f>CHOOSE( CONTROL!$C$32, 25.5223, 25.522) * CHOOSE(CONTROL!$C$15, $D$11, 100%, $F$11)</f>
        <v>25.522300000000001</v>
      </c>
      <c r="I830" s="8">
        <f>CHOOSE( CONTROL!$C$32, 24.2457, 24.2454) * CHOOSE(CONTROL!$C$15, $D$11, 100%, $F$11)</f>
        <v>24.245699999999999</v>
      </c>
      <c r="J830" s="4">
        <f>CHOOSE( CONTROL!$C$32, 24.1278, 24.1275) * CHOOSE(CONTROL!$C$15, $D$11, 100%, $F$11)</f>
        <v>24.127800000000001</v>
      </c>
      <c r="K830" s="4"/>
      <c r="L830" s="9">
        <v>31.095300000000002</v>
      </c>
      <c r="M830" s="9">
        <v>12.063700000000001</v>
      </c>
      <c r="N830" s="9">
        <v>4.9444999999999997</v>
      </c>
      <c r="O830" s="9">
        <v>0.37409999999999999</v>
      </c>
      <c r="P830" s="9">
        <v>1.2927</v>
      </c>
      <c r="Q830" s="9">
        <v>19.688099999999999</v>
      </c>
      <c r="R830" s="9"/>
      <c r="S830" s="11"/>
    </row>
    <row r="831" spans="1:19" ht="15.75">
      <c r="A831" s="13">
        <v>66445</v>
      </c>
      <c r="B831" s="8">
        <f>CHOOSE( CONTROL!$C$32, 26.822, 26.8218) * CHOOSE(CONTROL!$C$15, $D$11, 100%, $F$11)</f>
        <v>26.821999999999999</v>
      </c>
      <c r="C831" s="8">
        <f>CHOOSE( CONTROL!$C$32, 26.8271, 26.8268) * CHOOSE(CONTROL!$C$15, $D$11, 100%, $F$11)</f>
        <v>26.827100000000002</v>
      </c>
      <c r="D831" s="8">
        <f>CHOOSE( CONTROL!$C$32, 26.8098, 26.8096) * CHOOSE( CONTROL!$C$15, $D$11, 100%, $F$11)</f>
        <v>26.809799999999999</v>
      </c>
      <c r="E831" s="12">
        <f>CHOOSE( CONTROL!$C$32, 26.8156, 26.8154) * CHOOSE( CONTROL!$C$15, $D$11, 100%, $F$11)</f>
        <v>26.8156</v>
      </c>
      <c r="F831" s="4">
        <f>CHOOSE( CONTROL!$C$32, 27.4873, 27.487) * CHOOSE(CONTROL!$C$15, $D$11, 100%, $F$11)</f>
        <v>27.487300000000001</v>
      </c>
      <c r="G831" s="8">
        <f>CHOOSE( CONTROL!$C$32, 26.5173, 26.517) * CHOOSE( CONTROL!$C$15, $D$11, 100%, $F$11)</f>
        <v>26.517299999999999</v>
      </c>
      <c r="H831" s="4">
        <f>CHOOSE( CONTROL!$C$32, 27.4121, 27.4118) * CHOOSE(CONTROL!$C$15, $D$11, 100%, $F$11)</f>
        <v>27.412099999999999</v>
      </c>
      <c r="I831" s="8">
        <f>CHOOSE( CONTROL!$C$32, 26.1965, 26.1962) * CHOOSE(CONTROL!$C$15, $D$11, 100%, $F$11)</f>
        <v>26.1965</v>
      </c>
      <c r="J831" s="4">
        <f>CHOOSE( CONTROL!$C$32, 26.022, 26.0218) * CHOOSE(CONTROL!$C$15, $D$11, 100%, $F$11)</f>
        <v>26.021999999999998</v>
      </c>
      <c r="K831" s="4"/>
      <c r="L831" s="9">
        <v>28.360600000000002</v>
      </c>
      <c r="M831" s="9">
        <v>11.6745</v>
      </c>
      <c r="N831" s="9">
        <v>4.7850000000000001</v>
      </c>
      <c r="O831" s="9">
        <v>0.36199999999999999</v>
      </c>
      <c r="P831" s="9">
        <v>1.2509999999999999</v>
      </c>
      <c r="Q831" s="9">
        <v>19.053000000000001</v>
      </c>
      <c r="R831" s="9"/>
      <c r="S831" s="11"/>
    </row>
    <row r="832" spans="1:19" ht="15.75">
      <c r="A832" s="13">
        <v>66476</v>
      </c>
      <c r="B832" s="8">
        <f>CHOOSE( CONTROL!$C$32, 26.7733, 26.773) * CHOOSE(CONTROL!$C$15, $D$11, 100%, $F$11)</f>
        <v>26.773299999999999</v>
      </c>
      <c r="C832" s="8">
        <f>CHOOSE( CONTROL!$C$32, 26.7784, 26.7781) * CHOOSE(CONTROL!$C$15, $D$11, 100%, $F$11)</f>
        <v>26.778400000000001</v>
      </c>
      <c r="D832" s="8">
        <f>CHOOSE( CONTROL!$C$32, 26.7629, 26.7626) * CHOOSE( CONTROL!$C$15, $D$11, 100%, $F$11)</f>
        <v>26.762899999999998</v>
      </c>
      <c r="E832" s="12">
        <f>CHOOSE( CONTROL!$C$32, 26.768, 26.7677) * CHOOSE( CONTROL!$C$15, $D$11, 100%, $F$11)</f>
        <v>26.768000000000001</v>
      </c>
      <c r="F832" s="4">
        <f>CHOOSE( CONTROL!$C$32, 27.4386, 27.4383) * CHOOSE(CONTROL!$C$15, $D$11, 100%, $F$11)</f>
        <v>27.438600000000001</v>
      </c>
      <c r="G832" s="8">
        <f>CHOOSE( CONTROL!$C$32, 26.4704, 26.4701) * CHOOSE( CONTROL!$C$15, $D$11, 100%, $F$11)</f>
        <v>26.470400000000001</v>
      </c>
      <c r="H832" s="4">
        <f>CHOOSE( CONTROL!$C$32, 27.3639, 27.3636) * CHOOSE(CONTROL!$C$15, $D$11, 100%, $F$11)</f>
        <v>27.363900000000001</v>
      </c>
      <c r="I832" s="8">
        <f>CHOOSE( CONTROL!$C$32, 26.1547, 26.1545) * CHOOSE(CONTROL!$C$15, $D$11, 100%, $F$11)</f>
        <v>26.154699999999998</v>
      </c>
      <c r="J832" s="4">
        <f>CHOOSE( CONTROL!$C$32, 25.9747, 25.9744) * CHOOSE(CONTROL!$C$15, $D$11, 100%, $F$11)</f>
        <v>25.974699999999999</v>
      </c>
      <c r="K832" s="4"/>
      <c r="L832" s="9">
        <v>29.306000000000001</v>
      </c>
      <c r="M832" s="9">
        <v>12.063700000000001</v>
      </c>
      <c r="N832" s="9">
        <v>4.9444999999999997</v>
      </c>
      <c r="O832" s="9">
        <v>0.37409999999999999</v>
      </c>
      <c r="P832" s="9">
        <v>1.2927</v>
      </c>
      <c r="Q832" s="9">
        <v>19.688099999999999</v>
      </c>
      <c r="R832" s="9"/>
      <c r="S832" s="11"/>
    </row>
    <row r="833" spans="1:19" ht="15.75">
      <c r="A833" s="13">
        <v>66507</v>
      </c>
      <c r="B833" s="8">
        <f>CHOOSE( CONTROL!$C$32, 27.5627, 27.5625) * CHOOSE(CONTROL!$C$15, $D$11, 100%, $F$11)</f>
        <v>27.5627</v>
      </c>
      <c r="C833" s="8">
        <f>CHOOSE( CONTROL!$C$32, 27.5678, 27.5675) * CHOOSE(CONTROL!$C$15, $D$11, 100%, $F$11)</f>
        <v>27.567799999999998</v>
      </c>
      <c r="D833" s="8">
        <f>CHOOSE( CONTROL!$C$32, 27.5582, 27.558) * CHOOSE( CONTROL!$C$15, $D$11, 100%, $F$11)</f>
        <v>27.558199999999999</v>
      </c>
      <c r="E833" s="12">
        <f>CHOOSE( CONTROL!$C$32, 27.5612, 27.5609) * CHOOSE( CONTROL!$C$15, $D$11, 100%, $F$11)</f>
        <v>27.561199999999999</v>
      </c>
      <c r="F833" s="4">
        <f>CHOOSE( CONTROL!$C$32, 28.228, 28.2277) * CHOOSE(CONTROL!$C$15, $D$11, 100%, $F$11)</f>
        <v>28.228000000000002</v>
      </c>
      <c r="G833" s="8">
        <f>CHOOSE( CONTROL!$C$32, 27.2513, 27.251) * CHOOSE( CONTROL!$C$15, $D$11, 100%, $F$11)</f>
        <v>27.251300000000001</v>
      </c>
      <c r="H833" s="4">
        <f>CHOOSE( CONTROL!$C$32, 28.1441, 28.1438) * CHOOSE(CONTROL!$C$15, $D$11, 100%, $F$11)</f>
        <v>28.144100000000002</v>
      </c>
      <c r="I833" s="8">
        <f>CHOOSE( CONTROL!$C$32, 26.9017, 26.9015) * CHOOSE(CONTROL!$C$15, $D$11, 100%, $F$11)</f>
        <v>26.901700000000002</v>
      </c>
      <c r="J833" s="4">
        <f>CHOOSE( CONTROL!$C$32, 26.7409, 26.7406) * CHOOSE(CONTROL!$C$15, $D$11, 100%, $F$11)</f>
        <v>26.7409</v>
      </c>
      <c r="K833" s="4"/>
      <c r="L833" s="9">
        <v>29.306000000000001</v>
      </c>
      <c r="M833" s="9">
        <v>12.063700000000001</v>
      </c>
      <c r="N833" s="9">
        <v>4.9444999999999997</v>
      </c>
      <c r="O833" s="9">
        <v>0.37409999999999999</v>
      </c>
      <c r="P833" s="9">
        <v>1.2927</v>
      </c>
      <c r="Q833" s="9">
        <v>19.688099999999999</v>
      </c>
      <c r="R833" s="9"/>
      <c r="S833" s="11"/>
    </row>
    <row r="834" spans="1:19" ht="15.75">
      <c r="A834" s="13">
        <v>66535</v>
      </c>
      <c r="B834" s="8">
        <f>CHOOSE( CONTROL!$C$32, 25.7814, 25.7812) * CHOOSE(CONTROL!$C$15, $D$11, 100%, $F$11)</f>
        <v>25.781400000000001</v>
      </c>
      <c r="C834" s="8">
        <f>CHOOSE( CONTROL!$C$32, 25.7865, 25.7862) * CHOOSE(CONTROL!$C$15, $D$11, 100%, $F$11)</f>
        <v>25.7865</v>
      </c>
      <c r="D834" s="8">
        <f>CHOOSE( CONTROL!$C$32, 25.7786, 25.7784) * CHOOSE( CONTROL!$C$15, $D$11, 100%, $F$11)</f>
        <v>25.778600000000001</v>
      </c>
      <c r="E834" s="12">
        <f>CHOOSE( CONTROL!$C$32, 25.7809, 25.7807) * CHOOSE( CONTROL!$C$15, $D$11, 100%, $F$11)</f>
        <v>25.780899999999999</v>
      </c>
      <c r="F834" s="4">
        <f>CHOOSE( CONTROL!$C$32, 26.4467, 26.4465) * CHOOSE(CONTROL!$C$15, $D$11, 100%, $F$11)</f>
        <v>26.4467</v>
      </c>
      <c r="G834" s="8">
        <f>CHOOSE( CONTROL!$C$32, 25.4894, 25.4892) * CHOOSE( CONTROL!$C$15, $D$11, 100%, $F$11)</f>
        <v>25.4894</v>
      </c>
      <c r="H834" s="4">
        <f>CHOOSE( CONTROL!$C$32, 26.3837, 26.3834) * CHOOSE(CONTROL!$C$15, $D$11, 100%, $F$11)</f>
        <v>26.383700000000001</v>
      </c>
      <c r="I834" s="8">
        <f>CHOOSE( CONTROL!$C$32, 25.1567, 25.1565) * CHOOSE(CONTROL!$C$15, $D$11, 100%, $F$11)</f>
        <v>25.156700000000001</v>
      </c>
      <c r="J834" s="4">
        <f>CHOOSE( CONTROL!$C$32, 25.0121, 25.0119) * CHOOSE(CONTROL!$C$15, $D$11, 100%, $F$11)</f>
        <v>25.0121</v>
      </c>
      <c r="K834" s="4"/>
      <c r="L834" s="9">
        <v>26.469899999999999</v>
      </c>
      <c r="M834" s="9">
        <v>10.8962</v>
      </c>
      <c r="N834" s="9">
        <v>4.4660000000000002</v>
      </c>
      <c r="O834" s="9">
        <v>0.33789999999999998</v>
      </c>
      <c r="P834" s="9">
        <v>1.1676</v>
      </c>
      <c r="Q834" s="9">
        <v>17.782800000000002</v>
      </c>
      <c r="R834" s="9"/>
      <c r="S834" s="11"/>
    </row>
    <row r="835" spans="1:19" ht="15.75">
      <c r="A835" s="13">
        <v>66566</v>
      </c>
      <c r="B835" s="8">
        <f>CHOOSE( CONTROL!$C$32, 25.2328, 25.2325) * CHOOSE(CONTROL!$C$15, $D$11, 100%, $F$11)</f>
        <v>25.232800000000001</v>
      </c>
      <c r="C835" s="8">
        <f>CHOOSE( CONTROL!$C$32, 25.2379, 25.2376) * CHOOSE(CONTROL!$C$15, $D$11, 100%, $F$11)</f>
        <v>25.2379</v>
      </c>
      <c r="D835" s="8">
        <f>CHOOSE( CONTROL!$C$32, 25.2252, 25.2249) * CHOOSE( CONTROL!$C$15, $D$11, 100%, $F$11)</f>
        <v>25.225200000000001</v>
      </c>
      <c r="E835" s="12">
        <f>CHOOSE( CONTROL!$C$32, 25.2293, 25.229) * CHOOSE( CONTROL!$C$15, $D$11, 100%, $F$11)</f>
        <v>25.229299999999999</v>
      </c>
      <c r="F835" s="4">
        <f>CHOOSE( CONTROL!$C$32, 25.8981, 25.8978) * CHOOSE(CONTROL!$C$15, $D$11, 100%, $F$11)</f>
        <v>25.898099999999999</v>
      </c>
      <c r="G835" s="8">
        <f>CHOOSE( CONTROL!$C$32, 24.9438, 24.9435) * CHOOSE( CONTROL!$C$15, $D$11, 100%, $F$11)</f>
        <v>24.9438</v>
      </c>
      <c r="H835" s="4">
        <f>CHOOSE( CONTROL!$C$32, 25.8415, 25.8412) * CHOOSE(CONTROL!$C$15, $D$11, 100%, $F$11)</f>
        <v>25.8415</v>
      </c>
      <c r="I835" s="8">
        <f>CHOOSE( CONTROL!$C$32, 24.6224, 24.6222) * CHOOSE(CONTROL!$C$15, $D$11, 100%, $F$11)</f>
        <v>24.622399999999999</v>
      </c>
      <c r="J835" s="4">
        <f>CHOOSE( CONTROL!$C$32, 24.4797, 24.4794) * CHOOSE(CONTROL!$C$15, $D$11, 100%, $F$11)</f>
        <v>24.479700000000001</v>
      </c>
      <c r="K835" s="4"/>
      <c r="L835" s="9">
        <v>29.306000000000001</v>
      </c>
      <c r="M835" s="9">
        <v>12.063700000000001</v>
      </c>
      <c r="N835" s="9">
        <v>4.9444999999999997</v>
      </c>
      <c r="O835" s="9">
        <v>0.37409999999999999</v>
      </c>
      <c r="P835" s="9">
        <v>1.2927</v>
      </c>
      <c r="Q835" s="9">
        <v>19.688099999999999</v>
      </c>
      <c r="R835" s="9"/>
      <c r="S835" s="11"/>
    </row>
    <row r="836" spans="1:19" ht="15.75">
      <c r="A836" s="13">
        <v>66596</v>
      </c>
      <c r="B836" s="8">
        <f>CHOOSE( CONTROL!$C$32, 25.617, 25.6167) * CHOOSE(CONTROL!$C$15, $D$11, 100%, $F$11)</f>
        <v>25.617000000000001</v>
      </c>
      <c r="C836" s="8">
        <f>CHOOSE( CONTROL!$C$32, 25.6215, 25.6212) * CHOOSE(CONTROL!$C$15, $D$11, 100%, $F$11)</f>
        <v>25.621500000000001</v>
      </c>
      <c r="D836" s="8">
        <f>CHOOSE( CONTROL!$C$32, 25.6263, 25.6261) * CHOOSE( CONTROL!$C$15, $D$11, 100%, $F$11)</f>
        <v>25.626300000000001</v>
      </c>
      <c r="E836" s="12">
        <f>CHOOSE( CONTROL!$C$32, 25.6242, 25.624) * CHOOSE( CONTROL!$C$15, $D$11, 100%, $F$11)</f>
        <v>25.624199999999998</v>
      </c>
      <c r="F836" s="4">
        <f>CHOOSE( CONTROL!$C$32, 26.3211, 26.3209) * CHOOSE(CONTROL!$C$15, $D$11, 100%, $F$11)</f>
        <v>26.321100000000001</v>
      </c>
      <c r="G836" s="8">
        <f>CHOOSE( CONTROL!$C$32, 25.3284, 25.3281) * CHOOSE( CONTROL!$C$15, $D$11, 100%, $F$11)</f>
        <v>25.328399999999998</v>
      </c>
      <c r="H836" s="4">
        <f>CHOOSE( CONTROL!$C$32, 26.2595, 26.2593) * CHOOSE(CONTROL!$C$15, $D$11, 100%, $F$11)</f>
        <v>26.259499999999999</v>
      </c>
      <c r="I836" s="8">
        <f>CHOOSE( CONTROL!$C$32, 24.9689, 24.9686) * CHOOSE(CONTROL!$C$15, $D$11, 100%, $F$11)</f>
        <v>24.968900000000001</v>
      </c>
      <c r="J836" s="4">
        <f>CHOOSE( CONTROL!$C$32, 24.8518, 24.8515) * CHOOSE(CONTROL!$C$15, $D$11, 100%, $F$11)</f>
        <v>24.851800000000001</v>
      </c>
      <c r="K836" s="4"/>
      <c r="L836" s="9">
        <v>30.092199999999998</v>
      </c>
      <c r="M836" s="9">
        <v>11.6745</v>
      </c>
      <c r="N836" s="9">
        <v>4.7850000000000001</v>
      </c>
      <c r="O836" s="9">
        <v>0.36199999999999999</v>
      </c>
      <c r="P836" s="9">
        <v>1.2509999999999999</v>
      </c>
      <c r="Q836" s="9">
        <v>19.053000000000001</v>
      </c>
      <c r="R836" s="9"/>
      <c r="S836" s="11"/>
    </row>
    <row r="837" spans="1:19" ht="15.75">
      <c r="A837" s="13">
        <v>66627</v>
      </c>
      <c r="B837" s="8">
        <f>CHOOSE( CONTROL!$C$32, 26.3008, 26.3004) * CHOOSE(CONTROL!$C$15, $D$11, 100%, $F$11)</f>
        <v>26.300799999999999</v>
      </c>
      <c r="C837" s="8">
        <f>CHOOSE( CONTROL!$C$32, 26.3088, 26.3083) * CHOOSE(CONTROL!$C$15, $D$11, 100%, $F$11)</f>
        <v>26.308800000000002</v>
      </c>
      <c r="D837" s="8">
        <f>CHOOSE( CONTROL!$C$32, 26.3076, 26.3071) * CHOOSE( CONTROL!$C$15, $D$11, 100%, $F$11)</f>
        <v>26.307600000000001</v>
      </c>
      <c r="E837" s="12">
        <f>CHOOSE( CONTROL!$C$32, 26.3068, 26.3063) * CHOOSE( CONTROL!$C$15, $D$11, 100%, $F$11)</f>
        <v>26.306799999999999</v>
      </c>
      <c r="F837" s="4">
        <f>CHOOSE( CONTROL!$C$32, 27.0036, 27.0032) * CHOOSE(CONTROL!$C$15, $D$11, 100%, $F$11)</f>
        <v>27.003599999999999</v>
      </c>
      <c r="G837" s="8">
        <f>CHOOSE( CONTROL!$C$32, 26.0027, 26.0023) * CHOOSE( CONTROL!$C$15, $D$11, 100%, $F$11)</f>
        <v>26.002700000000001</v>
      </c>
      <c r="H837" s="4">
        <f>CHOOSE( CONTROL!$C$32, 26.934, 26.9336) * CHOOSE(CONTROL!$C$15, $D$11, 100%, $F$11)</f>
        <v>26.934000000000001</v>
      </c>
      <c r="I837" s="8">
        <f>CHOOSE( CONTROL!$C$32, 25.6307, 25.6303) * CHOOSE(CONTROL!$C$15, $D$11, 100%, $F$11)</f>
        <v>25.630700000000001</v>
      </c>
      <c r="J837" s="4">
        <f>CHOOSE( CONTROL!$C$32, 25.5141, 25.5137) * CHOOSE(CONTROL!$C$15, $D$11, 100%, $F$11)</f>
        <v>25.514099999999999</v>
      </c>
      <c r="K837" s="4"/>
      <c r="L837" s="9">
        <v>30.7165</v>
      </c>
      <c r="M837" s="9">
        <v>12.063700000000001</v>
      </c>
      <c r="N837" s="9">
        <v>4.9444999999999997</v>
      </c>
      <c r="O837" s="9">
        <v>0.37409999999999999</v>
      </c>
      <c r="P837" s="9">
        <v>1.2927</v>
      </c>
      <c r="Q837" s="9">
        <v>19.688099999999999</v>
      </c>
      <c r="R837" s="9"/>
      <c r="S837" s="11"/>
    </row>
    <row r="838" spans="1:19" ht="15.75">
      <c r="A838" s="13">
        <v>66657</v>
      </c>
      <c r="B838" s="8">
        <f>CHOOSE( CONTROL!$C$32, 25.8781, 25.8777) * CHOOSE(CONTROL!$C$15, $D$11, 100%, $F$11)</f>
        <v>25.8781</v>
      </c>
      <c r="C838" s="8">
        <f>CHOOSE( CONTROL!$C$32, 25.8861, 25.8857) * CHOOSE(CONTROL!$C$15, $D$11, 100%, $F$11)</f>
        <v>25.886099999999999</v>
      </c>
      <c r="D838" s="8">
        <f>CHOOSE( CONTROL!$C$32, 25.8851, 25.8846) * CHOOSE( CONTROL!$C$15, $D$11, 100%, $F$11)</f>
        <v>25.885100000000001</v>
      </c>
      <c r="E838" s="12">
        <f>CHOOSE( CONTROL!$C$32, 25.8842, 25.8838) * CHOOSE( CONTROL!$C$15, $D$11, 100%, $F$11)</f>
        <v>25.8842</v>
      </c>
      <c r="F838" s="4">
        <f>CHOOSE( CONTROL!$C$32, 26.581, 26.5805) * CHOOSE(CONTROL!$C$15, $D$11, 100%, $F$11)</f>
        <v>26.581</v>
      </c>
      <c r="G838" s="8">
        <f>CHOOSE( CONTROL!$C$32, 25.5852, 25.5847) * CHOOSE( CONTROL!$C$15, $D$11, 100%, $F$11)</f>
        <v>25.5852</v>
      </c>
      <c r="H838" s="4">
        <f>CHOOSE( CONTROL!$C$32, 26.5163, 26.5159) * CHOOSE(CONTROL!$C$15, $D$11, 100%, $F$11)</f>
        <v>26.516300000000001</v>
      </c>
      <c r="I838" s="8">
        <f>CHOOSE( CONTROL!$C$32, 25.221, 25.2206) * CHOOSE(CONTROL!$C$15, $D$11, 100%, $F$11)</f>
        <v>25.221</v>
      </c>
      <c r="J838" s="4">
        <f>CHOOSE( CONTROL!$C$32, 25.1039, 25.1035) * CHOOSE(CONTROL!$C$15, $D$11, 100%, $F$11)</f>
        <v>25.103899999999999</v>
      </c>
      <c r="K838" s="4"/>
      <c r="L838" s="9">
        <v>29.7257</v>
      </c>
      <c r="M838" s="9">
        <v>11.6745</v>
      </c>
      <c r="N838" s="9">
        <v>4.7850000000000001</v>
      </c>
      <c r="O838" s="9">
        <v>0.36199999999999999</v>
      </c>
      <c r="P838" s="9">
        <v>1.2509999999999999</v>
      </c>
      <c r="Q838" s="9">
        <v>19.053000000000001</v>
      </c>
      <c r="R838" s="9"/>
      <c r="S838" s="11"/>
    </row>
    <row r="839" spans="1:19" ht="15.75">
      <c r="A839" s="13">
        <v>66688</v>
      </c>
      <c r="B839" s="8">
        <f>CHOOSE( CONTROL!$C$32, 26.9912, 26.9907) * CHOOSE(CONTROL!$C$15, $D$11, 100%, $F$11)</f>
        <v>26.991199999999999</v>
      </c>
      <c r="C839" s="8">
        <f>CHOOSE( CONTROL!$C$32, 26.9992, 26.9987) * CHOOSE(CONTROL!$C$15, $D$11, 100%, $F$11)</f>
        <v>26.999199999999998</v>
      </c>
      <c r="D839" s="8">
        <f>CHOOSE( CONTROL!$C$32, 26.9984, 26.9979) * CHOOSE( CONTROL!$C$15, $D$11, 100%, $F$11)</f>
        <v>26.9984</v>
      </c>
      <c r="E839" s="12">
        <f>CHOOSE( CONTROL!$C$32, 26.9975, 26.997) * CHOOSE( CONTROL!$C$15, $D$11, 100%, $F$11)</f>
        <v>26.997499999999999</v>
      </c>
      <c r="F839" s="4">
        <f>CHOOSE( CONTROL!$C$32, 27.694, 27.6936) * CHOOSE(CONTROL!$C$15, $D$11, 100%, $F$11)</f>
        <v>27.693999999999999</v>
      </c>
      <c r="G839" s="8">
        <f>CHOOSE( CONTROL!$C$32, 26.6853, 26.6849) * CHOOSE( CONTROL!$C$15, $D$11, 100%, $F$11)</f>
        <v>26.685300000000002</v>
      </c>
      <c r="H839" s="4">
        <f>CHOOSE( CONTROL!$C$32, 27.6163, 27.6159) * CHOOSE(CONTROL!$C$15, $D$11, 100%, $F$11)</f>
        <v>27.616299999999999</v>
      </c>
      <c r="I839" s="8">
        <f>CHOOSE( CONTROL!$C$32, 26.3025, 26.3021) * CHOOSE(CONTROL!$C$15, $D$11, 100%, $F$11)</f>
        <v>26.302499999999998</v>
      </c>
      <c r="J839" s="4">
        <f>CHOOSE( CONTROL!$C$32, 26.1841, 26.1837) * CHOOSE(CONTROL!$C$15, $D$11, 100%, $F$11)</f>
        <v>26.184100000000001</v>
      </c>
      <c r="K839" s="4"/>
      <c r="L839" s="9">
        <v>30.7165</v>
      </c>
      <c r="M839" s="9">
        <v>12.063700000000001</v>
      </c>
      <c r="N839" s="9">
        <v>4.9444999999999997</v>
      </c>
      <c r="O839" s="9">
        <v>0.37409999999999999</v>
      </c>
      <c r="P839" s="9">
        <v>1.2927</v>
      </c>
      <c r="Q839" s="9">
        <v>19.688099999999999</v>
      </c>
      <c r="R839" s="9"/>
      <c r="S839" s="11"/>
    </row>
    <row r="840" spans="1:19" ht="15.75">
      <c r="A840" s="13">
        <v>66719</v>
      </c>
      <c r="B840" s="8">
        <f>CHOOSE( CONTROL!$C$32, 24.9086, 24.9081) * CHOOSE(CONTROL!$C$15, $D$11, 100%, $F$11)</f>
        <v>24.9086</v>
      </c>
      <c r="C840" s="8">
        <f>CHOOSE( CONTROL!$C$32, 24.9165, 24.9161) * CHOOSE(CONTROL!$C$15, $D$11, 100%, $F$11)</f>
        <v>24.916499999999999</v>
      </c>
      <c r="D840" s="8">
        <f>CHOOSE( CONTROL!$C$32, 24.9158, 24.9153) * CHOOSE( CONTROL!$C$15, $D$11, 100%, $F$11)</f>
        <v>24.915800000000001</v>
      </c>
      <c r="E840" s="12">
        <f>CHOOSE( CONTROL!$C$32, 24.9148, 24.9144) * CHOOSE( CONTROL!$C$15, $D$11, 100%, $F$11)</f>
        <v>24.9148</v>
      </c>
      <c r="F840" s="4">
        <f>CHOOSE( CONTROL!$C$32, 25.6114, 25.6109) * CHOOSE(CONTROL!$C$15, $D$11, 100%, $F$11)</f>
        <v>25.6114</v>
      </c>
      <c r="G840" s="8">
        <f>CHOOSE( CONTROL!$C$32, 24.6272, 24.6267) * CHOOSE( CONTROL!$C$15, $D$11, 100%, $F$11)</f>
        <v>24.627199999999998</v>
      </c>
      <c r="H840" s="4">
        <f>CHOOSE( CONTROL!$C$32, 25.5581, 25.5576) * CHOOSE(CONTROL!$C$15, $D$11, 100%, $F$11)</f>
        <v>25.5581</v>
      </c>
      <c r="I840" s="8">
        <f>CHOOSE( CONTROL!$C$32, 24.2805, 24.2801) * CHOOSE(CONTROL!$C$15, $D$11, 100%, $F$11)</f>
        <v>24.2805</v>
      </c>
      <c r="J840" s="4">
        <f>CHOOSE( CONTROL!$C$32, 24.1629, 24.1625) * CHOOSE(CONTROL!$C$15, $D$11, 100%, $F$11)</f>
        <v>24.1629</v>
      </c>
      <c r="K840" s="4"/>
      <c r="L840" s="9">
        <v>30.7165</v>
      </c>
      <c r="M840" s="9">
        <v>12.063700000000001</v>
      </c>
      <c r="N840" s="9">
        <v>4.9444999999999997</v>
      </c>
      <c r="O840" s="9">
        <v>0.37409999999999999</v>
      </c>
      <c r="P840" s="9">
        <v>1.2927</v>
      </c>
      <c r="Q840" s="9">
        <v>19.688099999999999</v>
      </c>
      <c r="R840" s="9"/>
      <c r="S840" s="11"/>
    </row>
    <row r="841" spans="1:19" ht="15.75">
      <c r="A841" s="13">
        <v>66749</v>
      </c>
      <c r="B841" s="8">
        <f>CHOOSE( CONTROL!$C$32, 24.387, 24.3866) * CHOOSE(CONTROL!$C$15, $D$11, 100%, $F$11)</f>
        <v>24.387</v>
      </c>
      <c r="C841" s="8">
        <f>CHOOSE( CONTROL!$C$32, 24.395, 24.3946) * CHOOSE(CONTROL!$C$15, $D$11, 100%, $F$11)</f>
        <v>24.395</v>
      </c>
      <c r="D841" s="8">
        <f>CHOOSE( CONTROL!$C$32, 24.3941, 24.3937) * CHOOSE( CONTROL!$C$15, $D$11, 100%, $F$11)</f>
        <v>24.394100000000002</v>
      </c>
      <c r="E841" s="12">
        <f>CHOOSE( CONTROL!$C$32, 24.3932, 24.3928) * CHOOSE( CONTROL!$C$15, $D$11, 100%, $F$11)</f>
        <v>24.3932</v>
      </c>
      <c r="F841" s="4">
        <f>CHOOSE( CONTROL!$C$32, 25.0899, 25.0894) * CHOOSE(CONTROL!$C$15, $D$11, 100%, $F$11)</f>
        <v>25.0899</v>
      </c>
      <c r="G841" s="8">
        <f>CHOOSE( CONTROL!$C$32, 24.1116, 24.1112) * CHOOSE( CONTROL!$C$15, $D$11, 100%, $F$11)</f>
        <v>24.111599999999999</v>
      </c>
      <c r="H841" s="4">
        <f>CHOOSE( CONTROL!$C$32, 25.0427, 25.0422) * CHOOSE(CONTROL!$C$15, $D$11, 100%, $F$11)</f>
        <v>25.0427</v>
      </c>
      <c r="I841" s="8">
        <f>CHOOSE( CONTROL!$C$32, 23.7736, 23.7732) * CHOOSE(CONTROL!$C$15, $D$11, 100%, $F$11)</f>
        <v>23.773599999999998</v>
      </c>
      <c r="J841" s="4">
        <f>CHOOSE( CONTROL!$C$32, 23.6568, 23.6564) * CHOOSE(CONTROL!$C$15, $D$11, 100%, $F$11)</f>
        <v>23.6568</v>
      </c>
      <c r="K841" s="4"/>
      <c r="L841" s="9">
        <v>29.7257</v>
      </c>
      <c r="M841" s="9">
        <v>11.6745</v>
      </c>
      <c r="N841" s="9">
        <v>4.7850000000000001</v>
      </c>
      <c r="O841" s="9">
        <v>0.36199999999999999</v>
      </c>
      <c r="P841" s="9">
        <v>1.2509999999999999</v>
      </c>
      <c r="Q841" s="9">
        <v>19.053000000000001</v>
      </c>
      <c r="R841" s="9"/>
      <c r="S841" s="11"/>
    </row>
    <row r="842" spans="1:19" ht="15.75">
      <c r="A842" s="13">
        <v>66780</v>
      </c>
      <c r="B842" s="8">
        <f>CHOOSE( CONTROL!$C$32, 25.468, 25.4677) * CHOOSE(CONTROL!$C$15, $D$11, 100%, $F$11)</f>
        <v>25.468</v>
      </c>
      <c r="C842" s="8">
        <f>CHOOSE( CONTROL!$C$32, 25.4733, 25.473) * CHOOSE(CONTROL!$C$15, $D$11, 100%, $F$11)</f>
        <v>25.473299999999998</v>
      </c>
      <c r="D842" s="8">
        <f>CHOOSE( CONTROL!$C$32, 25.478, 25.4777) * CHOOSE( CONTROL!$C$15, $D$11, 100%, $F$11)</f>
        <v>25.478000000000002</v>
      </c>
      <c r="E842" s="12">
        <f>CHOOSE( CONTROL!$C$32, 25.4759, 25.4756) * CHOOSE( CONTROL!$C$15, $D$11, 100%, $F$11)</f>
        <v>25.475899999999999</v>
      </c>
      <c r="F842" s="4">
        <f>CHOOSE( CONTROL!$C$32, 26.1725, 26.1723) * CHOOSE(CONTROL!$C$15, $D$11, 100%, $F$11)</f>
        <v>26.172499999999999</v>
      </c>
      <c r="G842" s="8">
        <f>CHOOSE( CONTROL!$C$32, 25.1818, 25.1815) * CHOOSE( CONTROL!$C$15, $D$11, 100%, $F$11)</f>
        <v>25.181799999999999</v>
      </c>
      <c r="H842" s="4">
        <f>CHOOSE( CONTROL!$C$32, 26.1127, 26.1124) * CHOOSE(CONTROL!$C$15, $D$11, 100%, $F$11)</f>
        <v>26.1127</v>
      </c>
      <c r="I842" s="8">
        <f>CHOOSE( CONTROL!$C$32, 24.8257, 24.8254) * CHOOSE(CONTROL!$C$15, $D$11, 100%, $F$11)</f>
        <v>24.825700000000001</v>
      </c>
      <c r="J842" s="4">
        <f>CHOOSE( CONTROL!$C$32, 24.7075, 24.7073) * CHOOSE(CONTROL!$C$15, $D$11, 100%, $F$11)</f>
        <v>24.7075</v>
      </c>
      <c r="K842" s="4"/>
      <c r="L842" s="9">
        <v>31.095300000000002</v>
      </c>
      <c r="M842" s="9">
        <v>12.063700000000001</v>
      </c>
      <c r="N842" s="9">
        <v>4.9444999999999997</v>
      </c>
      <c r="O842" s="9">
        <v>0.37409999999999999</v>
      </c>
      <c r="P842" s="9">
        <v>1.2927</v>
      </c>
      <c r="Q842" s="9">
        <v>19.688099999999999</v>
      </c>
      <c r="R842" s="9"/>
      <c r="S842" s="11"/>
    </row>
    <row r="843" spans="1:19" ht="15.75">
      <c r="A843" s="13">
        <v>66810</v>
      </c>
      <c r="B843" s="8">
        <f>CHOOSE( CONTROL!$C$32, 27.4663, 27.466) * CHOOSE(CONTROL!$C$15, $D$11, 100%, $F$11)</f>
        <v>27.4663</v>
      </c>
      <c r="C843" s="8">
        <f>CHOOSE( CONTROL!$C$32, 27.4714, 27.4711) * CHOOSE(CONTROL!$C$15, $D$11, 100%, $F$11)</f>
        <v>27.471399999999999</v>
      </c>
      <c r="D843" s="8">
        <f>CHOOSE( CONTROL!$C$32, 27.4541, 27.4538) * CHOOSE( CONTROL!$C$15, $D$11, 100%, $F$11)</f>
        <v>27.4541</v>
      </c>
      <c r="E843" s="12">
        <f>CHOOSE( CONTROL!$C$32, 27.4599, 27.4596) * CHOOSE( CONTROL!$C$15, $D$11, 100%, $F$11)</f>
        <v>27.459900000000001</v>
      </c>
      <c r="F843" s="4">
        <f>CHOOSE( CONTROL!$C$32, 28.1316, 28.1313) * CHOOSE(CONTROL!$C$15, $D$11, 100%, $F$11)</f>
        <v>28.131599999999999</v>
      </c>
      <c r="G843" s="8">
        <f>CHOOSE( CONTROL!$C$32, 27.154, 27.1537) * CHOOSE( CONTROL!$C$15, $D$11, 100%, $F$11)</f>
        <v>27.154</v>
      </c>
      <c r="H843" s="4">
        <f>CHOOSE( CONTROL!$C$32, 28.0488, 28.0485) * CHOOSE(CONTROL!$C$15, $D$11, 100%, $F$11)</f>
        <v>28.0488</v>
      </c>
      <c r="I843" s="8">
        <f>CHOOSE( CONTROL!$C$32, 26.822, 26.8218) * CHOOSE(CONTROL!$C$15, $D$11, 100%, $F$11)</f>
        <v>26.821999999999999</v>
      </c>
      <c r="J843" s="4">
        <f>CHOOSE( CONTROL!$C$32, 26.6473, 26.647) * CHOOSE(CONTROL!$C$15, $D$11, 100%, $F$11)</f>
        <v>26.647300000000001</v>
      </c>
      <c r="K843" s="4"/>
      <c r="L843" s="9">
        <v>28.360600000000002</v>
      </c>
      <c r="M843" s="9">
        <v>11.6745</v>
      </c>
      <c r="N843" s="9">
        <v>4.7850000000000001</v>
      </c>
      <c r="O843" s="9">
        <v>0.36199999999999999</v>
      </c>
      <c r="P843" s="9">
        <v>1.2509999999999999</v>
      </c>
      <c r="Q843" s="9">
        <v>19.053000000000001</v>
      </c>
      <c r="R843" s="9"/>
      <c r="S843" s="11"/>
    </row>
    <row r="844" spans="1:19" ht="15.75">
      <c r="A844" s="13">
        <v>66841</v>
      </c>
      <c r="B844" s="8">
        <f>CHOOSE( CONTROL!$C$32, 27.4163, 27.4161) * CHOOSE(CONTROL!$C$15, $D$11, 100%, $F$11)</f>
        <v>27.4163</v>
      </c>
      <c r="C844" s="8">
        <f>CHOOSE( CONTROL!$C$32, 27.4214, 27.4211) * CHOOSE(CONTROL!$C$15, $D$11, 100%, $F$11)</f>
        <v>27.421399999999998</v>
      </c>
      <c r="D844" s="8">
        <f>CHOOSE( CONTROL!$C$32, 27.4059, 27.4057) * CHOOSE( CONTROL!$C$15, $D$11, 100%, $F$11)</f>
        <v>27.405899999999999</v>
      </c>
      <c r="E844" s="12">
        <f>CHOOSE( CONTROL!$C$32, 27.411, 27.4108) * CHOOSE( CONTROL!$C$15, $D$11, 100%, $F$11)</f>
        <v>27.411000000000001</v>
      </c>
      <c r="F844" s="4">
        <f>CHOOSE( CONTROL!$C$32, 28.0816, 28.0814) * CHOOSE(CONTROL!$C$15, $D$11, 100%, $F$11)</f>
        <v>28.081600000000002</v>
      </c>
      <c r="G844" s="8">
        <f>CHOOSE( CONTROL!$C$32, 27.1059, 27.1057) * CHOOSE( CONTROL!$C$15, $D$11, 100%, $F$11)</f>
        <v>27.105899999999998</v>
      </c>
      <c r="H844" s="4">
        <f>CHOOSE( CONTROL!$C$32, 27.9994, 27.9991) * CHOOSE(CONTROL!$C$15, $D$11, 100%, $F$11)</f>
        <v>27.999400000000001</v>
      </c>
      <c r="I844" s="8">
        <f>CHOOSE( CONTROL!$C$32, 26.7791, 26.7789) * CHOOSE(CONTROL!$C$15, $D$11, 100%, $F$11)</f>
        <v>26.7791</v>
      </c>
      <c r="J844" s="4">
        <f>CHOOSE( CONTROL!$C$32, 26.5988, 26.5985) * CHOOSE(CONTROL!$C$15, $D$11, 100%, $F$11)</f>
        <v>26.598800000000001</v>
      </c>
      <c r="K844" s="4"/>
      <c r="L844" s="9">
        <v>29.306000000000001</v>
      </c>
      <c r="M844" s="9">
        <v>12.063700000000001</v>
      </c>
      <c r="N844" s="9">
        <v>4.9444999999999997</v>
      </c>
      <c r="O844" s="9">
        <v>0.37409999999999999</v>
      </c>
      <c r="P844" s="9">
        <v>1.2927</v>
      </c>
      <c r="Q844" s="9">
        <v>19.688099999999999</v>
      </c>
      <c r="R844" s="9"/>
      <c r="S844" s="11"/>
    </row>
    <row r="845" spans="1:19" ht="15.75">
      <c r="A845" s="13">
        <v>66872</v>
      </c>
      <c r="B845" s="8">
        <f>CHOOSE( CONTROL!$C$32, 28.2248, 28.2245) * CHOOSE(CONTROL!$C$15, $D$11, 100%, $F$11)</f>
        <v>28.224799999999998</v>
      </c>
      <c r="C845" s="8">
        <f>CHOOSE( CONTROL!$C$32, 28.2298, 28.2296) * CHOOSE(CONTROL!$C$15, $D$11, 100%, $F$11)</f>
        <v>28.229800000000001</v>
      </c>
      <c r="D845" s="8">
        <f>CHOOSE( CONTROL!$C$32, 28.2203, 28.22) * CHOOSE( CONTROL!$C$15, $D$11, 100%, $F$11)</f>
        <v>28.220300000000002</v>
      </c>
      <c r="E845" s="12">
        <f>CHOOSE( CONTROL!$C$32, 28.2232, 28.223) * CHOOSE( CONTROL!$C$15, $D$11, 100%, $F$11)</f>
        <v>28.223199999999999</v>
      </c>
      <c r="F845" s="4">
        <f>CHOOSE( CONTROL!$C$32, 28.89, 28.8898) * CHOOSE(CONTROL!$C$15, $D$11, 100%, $F$11)</f>
        <v>28.89</v>
      </c>
      <c r="G845" s="8">
        <f>CHOOSE( CONTROL!$C$32, 27.9056, 27.9053) * CHOOSE( CONTROL!$C$15, $D$11, 100%, $F$11)</f>
        <v>27.9056</v>
      </c>
      <c r="H845" s="4">
        <f>CHOOSE( CONTROL!$C$32, 28.7984, 28.7981) * CHOOSE(CONTROL!$C$15, $D$11, 100%, $F$11)</f>
        <v>28.798400000000001</v>
      </c>
      <c r="I845" s="8">
        <f>CHOOSE( CONTROL!$C$32, 27.5446, 27.5443) * CHOOSE(CONTROL!$C$15, $D$11, 100%, $F$11)</f>
        <v>27.544599999999999</v>
      </c>
      <c r="J845" s="4">
        <f>CHOOSE( CONTROL!$C$32, 27.3834, 27.3831) * CHOOSE(CONTROL!$C$15, $D$11, 100%, $F$11)</f>
        <v>27.383400000000002</v>
      </c>
      <c r="K845" s="4"/>
      <c r="L845" s="9">
        <v>29.306000000000001</v>
      </c>
      <c r="M845" s="9">
        <v>12.063700000000001</v>
      </c>
      <c r="N845" s="9">
        <v>4.9444999999999997</v>
      </c>
      <c r="O845" s="9">
        <v>0.37409999999999999</v>
      </c>
      <c r="P845" s="9">
        <v>1.2927</v>
      </c>
      <c r="Q845" s="9">
        <v>19.688099999999999</v>
      </c>
      <c r="R845" s="9"/>
      <c r="S845" s="11"/>
    </row>
    <row r="846" spans="1:19" ht="15.75">
      <c r="A846" s="13">
        <v>66900</v>
      </c>
      <c r="B846" s="8">
        <f>CHOOSE( CONTROL!$C$32, 26.4007, 26.4004) * CHOOSE(CONTROL!$C$15, $D$11, 100%, $F$11)</f>
        <v>26.400700000000001</v>
      </c>
      <c r="C846" s="8">
        <f>CHOOSE( CONTROL!$C$32, 26.4058, 26.4055) * CHOOSE(CONTROL!$C$15, $D$11, 100%, $F$11)</f>
        <v>26.405799999999999</v>
      </c>
      <c r="D846" s="8">
        <f>CHOOSE( CONTROL!$C$32, 26.3979, 26.3976) * CHOOSE( CONTROL!$C$15, $D$11, 100%, $F$11)</f>
        <v>26.3979</v>
      </c>
      <c r="E846" s="12">
        <f>CHOOSE( CONTROL!$C$32, 26.4002, 26.3999) * CHOOSE( CONTROL!$C$15, $D$11, 100%, $F$11)</f>
        <v>26.400200000000002</v>
      </c>
      <c r="F846" s="4">
        <f>CHOOSE( CONTROL!$C$32, 27.066, 27.0657) * CHOOSE(CONTROL!$C$15, $D$11, 100%, $F$11)</f>
        <v>27.065999999999999</v>
      </c>
      <c r="G846" s="8">
        <f>CHOOSE( CONTROL!$C$32, 26.1014, 26.1011) * CHOOSE( CONTROL!$C$15, $D$11, 100%, $F$11)</f>
        <v>26.101400000000002</v>
      </c>
      <c r="H846" s="4">
        <f>CHOOSE( CONTROL!$C$32, 26.9956, 26.9954) * CHOOSE(CONTROL!$C$15, $D$11, 100%, $F$11)</f>
        <v>26.9956</v>
      </c>
      <c r="I846" s="8">
        <f>CHOOSE( CONTROL!$C$32, 25.758, 25.7577) * CHOOSE(CONTROL!$C$15, $D$11, 100%, $F$11)</f>
        <v>25.757999999999999</v>
      </c>
      <c r="J846" s="4">
        <f>CHOOSE( CONTROL!$C$32, 25.6131, 25.6128) * CHOOSE(CONTROL!$C$15, $D$11, 100%, $F$11)</f>
        <v>25.613099999999999</v>
      </c>
      <c r="K846" s="4"/>
      <c r="L846" s="9">
        <v>26.469899999999999</v>
      </c>
      <c r="M846" s="9">
        <v>10.8962</v>
      </c>
      <c r="N846" s="9">
        <v>4.4660000000000002</v>
      </c>
      <c r="O846" s="9">
        <v>0.33789999999999998</v>
      </c>
      <c r="P846" s="9">
        <v>1.1676</v>
      </c>
      <c r="Q846" s="9">
        <v>17.782800000000002</v>
      </c>
      <c r="R846" s="9"/>
      <c r="S846" s="11"/>
    </row>
    <row r="847" spans="1:19" ht="15.75">
      <c r="A847" s="13">
        <v>66931</v>
      </c>
      <c r="B847" s="8">
        <f>CHOOSE( CONTROL!$C$32, 25.8389, 25.8386) * CHOOSE(CONTROL!$C$15, $D$11, 100%, $F$11)</f>
        <v>25.838899999999999</v>
      </c>
      <c r="C847" s="8">
        <f>CHOOSE( CONTROL!$C$32, 25.8439, 25.8437) * CHOOSE(CONTROL!$C$15, $D$11, 100%, $F$11)</f>
        <v>25.843900000000001</v>
      </c>
      <c r="D847" s="8">
        <f>CHOOSE( CONTROL!$C$32, 25.8313, 25.831) * CHOOSE( CONTROL!$C$15, $D$11, 100%, $F$11)</f>
        <v>25.831299999999999</v>
      </c>
      <c r="E847" s="12">
        <f>CHOOSE( CONTROL!$C$32, 25.8354, 25.8351) * CHOOSE( CONTROL!$C$15, $D$11, 100%, $F$11)</f>
        <v>25.8354</v>
      </c>
      <c r="F847" s="4">
        <f>CHOOSE( CONTROL!$C$32, 26.5042, 26.5039) * CHOOSE(CONTROL!$C$15, $D$11, 100%, $F$11)</f>
        <v>26.504200000000001</v>
      </c>
      <c r="G847" s="8">
        <f>CHOOSE( CONTROL!$C$32, 25.5427, 25.5424) * CHOOSE( CONTROL!$C$15, $D$11, 100%, $F$11)</f>
        <v>25.5427</v>
      </c>
      <c r="H847" s="4">
        <f>CHOOSE( CONTROL!$C$32, 26.4404, 26.4401) * CHOOSE(CONTROL!$C$15, $D$11, 100%, $F$11)</f>
        <v>26.4404</v>
      </c>
      <c r="I847" s="8">
        <f>CHOOSE( CONTROL!$C$32, 25.2109, 25.2106) * CHOOSE(CONTROL!$C$15, $D$11, 100%, $F$11)</f>
        <v>25.210899999999999</v>
      </c>
      <c r="J847" s="4">
        <f>CHOOSE( CONTROL!$C$32, 25.0679, 25.0676) * CHOOSE(CONTROL!$C$15, $D$11, 100%, $F$11)</f>
        <v>25.067900000000002</v>
      </c>
      <c r="K847" s="4"/>
      <c r="L847" s="9">
        <v>29.306000000000001</v>
      </c>
      <c r="M847" s="9">
        <v>12.063700000000001</v>
      </c>
      <c r="N847" s="9">
        <v>4.9444999999999997</v>
      </c>
      <c r="O847" s="9">
        <v>0.37409999999999999</v>
      </c>
      <c r="P847" s="9">
        <v>1.2927</v>
      </c>
      <c r="Q847" s="9">
        <v>19.688099999999999</v>
      </c>
      <c r="R847" s="9"/>
      <c r="S847" s="11"/>
    </row>
    <row r="848" spans="1:19" ht="15.75">
      <c r="A848" s="13">
        <v>66961</v>
      </c>
      <c r="B848" s="8">
        <f>CHOOSE( CONTROL!$C$32, 26.2322, 26.2319) * CHOOSE(CONTROL!$C$15, $D$11, 100%, $F$11)</f>
        <v>26.232199999999999</v>
      </c>
      <c r="C848" s="8">
        <f>CHOOSE( CONTROL!$C$32, 26.2367, 26.2365) * CHOOSE(CONTROL!$C$15, $D$11, 100%, $F$11)</f>
        <v>26.236699999999999</v>
      </c>
      <c r="D848" s="8">
        <f>CHOOSE( CONTROL!$C$32, 26.2416, 26.2413) * CHOOSE( CONTROL!$C$15, $D$11, 100%, $F$11)</f>
        <v>26.241599999999998</v>
      </c>
      <c r="E848" s="12">
        <f>CHOOSE( CONTROL!$C$32, 26.2395, 26.2392) * CHOOSE( CONTROL!$C$15, $D$11, 100%, $F$11)</f>
        <v>26.2395</v>
      </c>
      <c r="F848" s="4">
        <f>CHOOSE( CONTROL!$C$32, 26.9364, 26.9361) * CHOOSE(CONTROL!$C$15, $D$11, 100%, $F$11)</f>
        <v>26.936399999999999</v>
      </c>
      <c r="G848" s="8">
        <f>CHOOSE( CONTROL!$C$32, 25.9365, 25.9362) * CHOOSE( CONTROL!$C$15, $D$11, 100%, $F$11)</f>
        <v>25.936499999999999</v>
      </c>
      <c r="H848" s="4">
        <f>CHOOSE( CONTROL!$C$32, 26.8676, 26.8673) * CHOOSE(CONTROL!$C$15, $D$11, 100%, $F$11)</f>
        <v>26.867599999999999</v>
      </c>
      <c r="I848" s="8">
        <f>CHOOSE( CONTROL!$C$32, 25.5663, 25.566) * CHOOSE(CONTROL!$C$15, $D$11, 100%, $F$11)</f>
        <v>25.566299999999998</v>
      </c>
      <c r="J848" s="4">
        <f>CHOOSE( CONTROL!$C$32, 25.4489, 25.4486) * CHOOSE(CONTROL!$C$15, $D$11, 100%, $F$11)</f>
        <v>25.448899999999998</v>
      </c>
      <c r="K848" s="4"/>
      <c r="L848" s="9">
        <v>30.092199999999998</v>
      </c>
      <c r="M848" s="9">
        <v>11.6745</v>
      </c>
      <c r="N848" s="9">
        <v>4.7850000000000001</v>
      </c>
      <c r="O848" s="9">
        <v>0.36199999999999999</v>
      </c>
      <c r="P848" s="9">
        <v>1.2509999999999999</v>
      </c>
      <c r="Q848" s="9">
        <v>19.053000000000001</v>
      </c>
      <c r="R848" s="9"/>
      <c r="S848" s="11"/>
    </row>
    <row r="849" spans="1:19" ht="15.75">
      <c r="A849" s="13">
        <v>66992</v>
      </c>
      <c r="B849" s="8">
        <f>CHOOSE( CONTROL!$C$32, 26.9325, 26.932) * CHOOSE(CONTROL!$C$15, $D$11, 100%, $F$11)</f>
        <v>26.932500000000001</v>
      </c>
      <c r="C849" s="8">
        <f>CHOOSE( CONTROL!$C$32, 26.9404, 26.94) * CHOOSE(CONTROL!$C$15, $D$11, 100%, $F$11)</f>
        <v>26.9404</v>
      </c>
      <c r="D849" s="8">
        <f>CHOOSE( CONTROL!$C$32, 26.9392, 26.9388) * CHOOSE( CONTROL!$C$15, $D$11, 100%, $F$11)</f>
        <v>26.9392</v>
      </c>
      <c r="E849" s="12">
        <f>CHOOSE( CONTROL!$C$32, 26.9384, 26.938) * CHOOSE( CONTROL!$C$15, $D$11, 100%, $F$11)</f>
        <v>26.938400000000001</v>
      </c>
      <c r="F849" s="4">
        <f>CHOOSE( CONTROL!$C$32, 27.6353, 27.6348) * CHOOSE(CONTROL!$C$15, $D$11, 100%, $F$11)</f>
        <v>27.635300000000001</v>
      </c>
      <c r="G849" s="8">
        <f>CHOOSE( CONTROL!$C$32, 26.627, 26.6265) * CHOOSE( CONTROL!$C$15, $D$11, 100%, $F$11)</f>
        <v>26.626999999999999</v>
      </c>
      <c r="H849" s="4">
        <f>CHOOSE( CONTROL!$C$32, 27.5583, 27.5579) * CHOOSE(CONTROL!$C$15, $D$11, 100%, $F$11)</f>
        <v>27.558299999999999</v>
      </c>
      <c r="I849" s="8">
        <f>CHOOSE( CONTROL!$C$32, 26.2441, 26.2436) * CHOOSE(CONTROL!$C$15, $D$11, 100%, $F$11)</f>
        <v>26.2441</v>
      </c>
      <c r="J849" s="4">
        <f>CHOOSE( CONTROL!$C$32, 26.1271, 26.1267) * CHOOSE(CONTROL!$C$15, $D$11, 100%, $F$11)</f>
        <v>26.127099999999999</v>
      </c>
      <c r="K849" s="4"/>
      <c r="L849" s="9">
        <v>30.7165</v>
      </c>
      <c r="M849" s="9">
        <v>12.063700000000001</v>
      </c>
      <c r="N849" s="9">
        <v>4.9444999999999997</v>
      </c>
      <c r="O849" s="9">
        <v>0.37409999999999999</v>
      </c>
      <c r="P849" s="9">
        <v>1.2927</v>
      </c>
      <c r="Q849" s="9">
        <v>19.688099999999999</v>
      </c>
      <c r="R849" s="9"/>
      <c r="S849" s="11"/>
    </row>
    <row r="850" spans="1:19" ht="15.75">
      <c r="A850" s="13">
        <v>67022</v>
      </c>
      <c r="B850" s="8">
        <f>CHOOSE( CONTROL!$C$32, 26.4996, 26.4992) * CHOOSE(CONTROL!$C$15, $D$11, 100%, $F$11)</f>
        <v>26.499600000000001</v>
      </c>
      <c r="C850" s="8">
        <f>CHOOSE( CONTROL!$C$32, 26.5076, 26.5072) * CHOOSE(CONTROL!$C$15, $D$11, 100%, $F$11)</f>
        <v>26.5076</v>
      </c>
      <c r="D850" s="8">
        <f>CHOOSE( CONTROL!$C$32, 26.5066, 26.5061) * CHOOSE( CONTROL!$C$15, $D$11, 100%, $F$11)</f>
        <v>26.506599999999999</v>
      </c>
      <c r="E850" s="12">
        <f>CHOOSE( CONTROL!$C$32, 26.5057, 26.5053) * CHOOSE( CONTROL!$C$15, $D$11, 100%, $F$11)</f>
        <v>26.505700000000001</v>
      </c>
      <c r="F850" s="4">
        <f>CHOOSE( CONTROL!$C$32, 27.2025, 27.202) * CHOOSE(CONTROL!$C$15, $D$11, 100%, $F$11)</f>
        <v>27.202500000000001</v>
      </c>
      <c r="G850" s="8">
        <f>CHOOSE( CONTROL!$C$32, 26.1994, 26.1989) * CHOOSE( CONTROL!$C$15, $D$11, 100%, $F$11)</f>
        <v>26.199400000000001</v>
      </c>
      <c r="H850" s="4">
        <f>CHOOSE( CONTROL!$C$32, 27.1305, 27.1301) * CHOOSE(CONTROL!$C$15, $D$11, 100%, $F$11)</f>
        <v>27.130500000000001</v>
      </c>
      <c r="I850" s="8">
        <f>CHOOSE( CONTROL!$C$32, 25.8245, 25.824) * CHOOSE(CONTROL!$C$15, $D$11, 100%, $F$11)</f>
        <v>25.8245</v>
      </c>
      <c r="J850" s="4">
        <f>CHOOSE( CONTROL!$C$32, 25.7071, 25.7066) * CHOOSE(CONTROL!$C$15, $D$11, 100%, $F$11)</f>
        <v>25.707100000000001</v>
      </c>
      <c r="K850" s="4"/>
      <c r="L850" s="9">
        <v>29.7257</v>
      </c>
      <c r="M850" s="9">
        <v>11.6745</v>
      </c>
      <c r="N850" s="9">
        <v>4.7850000000000001</v>
      </c>
      <c r="O850" s="9">
        <v>0.36199999999999999</v>
      </c>
      <c r="P850" s="9">
        <v>1.2509999999999999</v>
      </c>
      <c r="Q850" s="9">
        <v>19.053000000000001</v>
      </c>
      <c r="R850" s="9"/>
      <c r="S850" s="11"/>
    </row>
    <row r="851" spans="1:19" ht="15.75">
      <c r="A851" s="13">
        <v>67053</v>
      </c>
      <c r="B851" s="8">
        <f>CHOOSE( CONTROL!$C$32, 27.6394, 27.639) * CHOOSE(CONTROL!$C$15, $D$11, 100%, $F$11)</f>
        <v>27.639399999999998</v>
      </c>
      <c r="C851" s="8">
        <f>CHOOSE( CONTROL!$C$32, 27.6474, 27.647) * CHOOSE(CONTROL!$C$15, $D$11, 100%, $F$11)</f>
        <v>27.647400000000001</v>
      </c>
      <c r="D851" s="8">
        <f>CHOOSE( CONTROL!$C$32, 27.6466, 27.6462) * CHOOSE( CONTROL!$C$15, $D$11, 100%, $F$11)</f>
        <v>27.646599999999999</v>
      </c>
      <c r="E851" s="12">
        <f>CHOOSE( CONTROL!$C$32, 27.6457, 27.6453) * CHOOSE( CONTROL!$C$15, $D$11, 100%, $F$11)</f>
        <v>27.645700000000001</v>
      </c>
      <c r="F851" s="4">
        <f>CHOOSE( CONTROL!$C$32, 28.3423, 28.3418) * CHOOSE(CONTROL!$C$15, $D$11, 100%, $F$11)</f>
        <v>28.342300000000002</v>
      </c>
      <c r="G851" s="8">
        <f>CHOOSE( CONTROL!$C$32, 27.326, 27.3256) * CHOOSE( CONTROL!$C$15, $D$11, 100%, $F$11)</f>
        <v>27.326000000000001</v>
      </c>
      <c r="H851" s="4">
        <f>CHOOSE( CONTROL!$C$32, 28.257, 28.2565) * CHOOSE(CONTROL!$C$15, $D$11, 100%, $F$11)</f>
        <v>28.257000000000001</v>
      </c>
      <c r="I851" s="8">
        <f>CHOOSE( CONTROL!$C$32, 26.932, 26.9315) * CHOOSE(CONTROL!$C$15, $D$11, 100%, $F$11)</f>
        <v>26.931999999999999</v>
      </c>
      <c r="J851" s="4">
        <f>CHOOSE( CONTROL!$C$32, 26.8133, 26.8128) * CHOOSE(CONTROL!$C$15, $D$11, 100%, $F$11)</f>
        <v>26.813300000000002</v>
      </c>
      <c r="K851" s="4"/>
      <c r="L851" s="9">
        <v>30.7165</v>
      </c>
      <c r="M851" s="9">
        <v>12.063700000000001</v>
      </c>
      <c r="N851" s="9">
        <v>4.9444999999999997</v>
      </c>
      <c r="O851" s="9">
        <v>0.37409999999999999</v>
      </c>
      <c r="P851" s="9">
        <v>1.2927</v>
      </c>
      <c r="Q851" s="9">
        <v>19.688099999999999</v>
      </c>
      <c r="R851" s="9"/>
      <c r="S851" s="11"/>
    </row>
    <row r="852" spans="1:19" ht="15.75">
      <c r="A852" s="13">
        <v>67084</v>
      </c>
      <c r="B852" s="8">
        <f>CHOOSE( CONTROL!$C$32, 25.5068, 25.5063) * CHOOSE(CONTROL!$C$15, $D$11, 100%, $F$11)</f>
        <v>25.506799999999998</v>
      </c>
      <c r="C852" s="8">
        <f>CHOOSE( CONTROL!$C$32, 25.5147, 25.5143) * CHOOSE(CONTROL!$C$15, $D$11, 100%, $F$11)</f>
        <v>25.514700000000001</v>
      </c>
      <c r="D852" s="8">
        <f>CHOOSE( CONTROL!$C$32, 25.514, 25.5135) * CHOOSE( CONTROL!$C$15, $D$11, 100%, $F$11)</f>
        <v>25.513999999999999</v>
      </c>
      <c r="E852" s="12">
        <f>CHOOSE( CONTROL!$C$32, 25.513, 25.5126) * CHOOSE( CONTROL!$C$15, $D$11, 100%, $F$11)</f>
        <v>25.513000000000002</v>
      </c>
      <c r="F852" s="4">
        <f>CHOOSE( CONTROL!$C$32, 26.2096, 26.2091) * CHOOSE(CONTROL!$C$15, $D$11, 100%, $F$11)</f>
        <v>26.209599999999998</v>
      </c>
      <c r="G852" s="8">
        <f>CHOOSE( CONTROL!$C$32, 25.2184, 25.2179) * CHOOSE( CONTROL!$C$15, $D$11, 100%, $F$11)</f>
        <v>25.218399999999999</v>
      </c>
      <c r="H852" s="4">
        <f>CHOOSE( CONTROL!$C$32, 26.1493, 26.1488) * CHOOSE(CONTROL!$C$15, $D$11, 100%, $F$11)</f>
        <v>26.1493</v>
      </c>
      <c r="I852" s="8">
        <f>CHOOSE( CONTROL!$C$32, 24.8614, 24.8609) * CHOOSE(CONTROL!$C$15, $D$11, 100%, $F$11)</f>
        <v>24.8614</v>
      </c>
      <c r="J852" s="4">
        <f>CHOOSE( CONTROL!$C$32, 24.7435, 24.7431) * CHOOSE(CONTROL!$C$15, $D$11, 100%, $F$11)</f>
        <v>24.743500000000001</v>
      </c>
      <c r="K852" s="4"/>
      <c r="L852" s="9">
        <v>30.7165</v>
      </c>
      <c r="M852" s="9">
        <v>12.063700000000001</v>
      </c>
      <c r="N852" s="9">
        <v>4.9444999999999997</v>
      </c>
      <c r="O852" s="9">
        <v>0.37409999999999999</v>
      </c>
      <c r="P852" s="9">
        <v>1.2927</v>
      </c>
      <c r="Q852" s="9">
        <v>19.688099999999999</v>
      </c>
      <c r="R852" s="9"/>
      <c r="S852" s="11"/>
    </row>
    <row r="853" spans="1:19" ht="15.75">
      <c r="A853" s="13">
        <v>67114</v>
      </c>
      <c r="B853" s="8">
        <f>CHOOSE( CONTROL!$C$32, 24.9727, 24.9723) * CHOOSE(CONTROL!$C$15, $D$11, 100%, $F$11)</f>
        <v>24.9727</v>
      </c>
      <c r="C853" s="8">
        <f>CHOOSE( CONTROL!$C$32, 24.9807, 24.9802) * CHOOSE(CONTROL!$C$15, $D$11, 100%, $F$11)</f>
        <v>24.980699999999999</v>
      </c>
      <c r="D853" s="8">
        <f>CHOOSE( CONTROL!$C$32, 24.9798, 24.9794) * CHOOSE( CONTROL!$C$15, $D$11, 100%, $F$11)</f>
        <v>24.979800000000001</v>
      </c>
      <c r="E853" s="12">
        <f>CHOOSE( CONTROL!$C$32, 24.9789, 24.9785) * CHOOSE( CONTROL!$C$15, $D$11, 100%, $F$11)</f>
        <v>24.978899999999999</v>
      </c>
      <c r="F853" s="4">
        <f>CHOOSE( CONTROL!$C$32, 25.6755, 25.6751) * CHOOSE(CONTROL!$C$15, $D$11, 100%, $F$11)</f>
        <v>25.6755</v>
      </c>
      <c r="G853" s="8">
        <f>CHOOSE( CONTROL!$C$32, 24.6904, 24.69) * CHOOSE( CONTROL!$C$15, $D$11, 100%, $F$11)</f>
        <v>24.6904</v>
      </c>
      <c r="H853" s="4">
        <f>CHOOSE( CONTROL!$C$32, 25.6215, 25.6211) * CHOOSE(CONTROL!$C$15, $D$11, 100%, $F$11)</f>
        <v>25.621500000000001</v>
      </c>
      <c r="I853" s="8">
        <f>CHOOSE( CONTROL!$C$32, 24.3423, 24.3419) * CHOOSE(CONTROL!$C$15, $D$11, 100%, $F$11)</f>
        <v>24.342300000000002</v>
      </c>
      <c r="J853" s="4">
        <f>CHOOSE( CONTROL!$C$32, 24.2252, 24.2248) * CHOOSE(CONTROL!$C$15, $D$11, 100%, $F$11)</f>
        <v>24.225200000000001</v>
      </c>
      <c r="K853" s="4"/>
      <c r="L853" s="9">
        <v>29.7257</v>
      </c>
      <c r="M853" s="9">
        <v>11.6745</v>
      </c>
      <c r="N853" s="9">
        <v>4.7850000000000001</v>
      </c>
      <c r="O853" s="9">
        <v>0.36199999999999999</v>
      </c>
      <c r="P853" s="9">
        <v>1.2509999999999999</v>
      </c>
      <c r="Q853" s="9">
        <v>19.053000000000001</v>
      </c>
      <c r="R853" s="9"/>
      <c r="S853" s="11"/>
    </row>
    <row r="854" spans="1:19" ht="15.75">
      <c r="A854" s="13">
        <v>67145</v>
      </c>
      <c r="B854" s="8">
        <f>CHOOSE( CONTROL!$C$32, 26.0797, 26.0794) * CHOOSE(CONTROL!$C$15, $D$11, 100%, $F$11)</f>
        <v>26.079699999999999</v>
      </c>
      <c r="C854" s="8">
        <f>CHOOSE( CONTROL!$C$32, 26.085, 26.0847) * CHOOSE(CONTROL!$C$15, $D$11, 100%, $F$11)</f>
        <v>26.085000000000001</v>
      </c>
      <c r="D854" s="8">
        <f>CHOOSE( CONTROL!$C$32, 26.0897, 26.0894) * CHOOSE( CONTROL!$C$15, $D$11, 100%, $F$11)</f>
        <v>26.089700000000001</v>
      </c>
      <c r="E854" s="12">
        <f>CHOOSE( CONTROL!$C$32, 26.0876, 26.0873) * CHOOSE( CONTROL!$C$15, $D$11, 100%, $F$11)</f>
        <v>26.087599999999998</v>
      </c>
      <c r="F854" s="4">
        <f>CHOOSE( CONTROL!$C$32, 26.7842, 26.7839) * CHOOSE(CONTROL!$C$15, $D$11, 100%, $F$11)</f>
        <v>26.784199999999998</v>
      </c>
      <c r="G854" s="8">
        <f>CHOOSE( CONTROL!$C$32, 25.7863, 25.786) * CHOOSE( CONTROL!$C$15, $D$11, 100%, $F$11)</f>
        <v>25.786300000000001</v>
      </c>
      <c r="H854" s="4">
        <f>CHOOSE( CONTROL!$C$32, 26.7172, 26.7169) * CHOOSE(CONTROL!$C$15, $D$11, 100%, $F$11)</f>
        <v>26.717199999999998</v>
      </c>
      <c r="I854" s="8">
        <f>CHOOSE( CONTROL!$C$32, 25.4196, 25.4194) * CHOOSE(CONTROL!$C$15, $D$11, 100%, $F$11)</f>
        <v>25.419599999999999</v>
      </c>
      <c r="J854" s="4">
        <f>CHOOSE( CONTROL!$C$32, 25.3012, 25.3009) * CHOOSE(CONTROL!$C$15, $D$11, 100%, $F$11)</f>
        <v>25.301200000000001</v>
      </c>
      <c r="K854" s="4"/>
      <c r="L854" s="9">
        <v>31.095300000000002</v>
      </c>
      <c r="M854" s="9">
        <v>12.063700000000001</v>
      </c>
      <c r="N854" s="9">
        <v>4.9444999999999997</v>
      </c>
      <c r="O854" s="9">
        <v>0.37409999999999999</v>
      </c>
      <c r="P854" s="9">
        <v>1.2927</v>
      </c>
      <c r="Q854" s="9">
        <v>19.688099999999999</v>
      </c>
      <c r="R854" s="9"/>
      <c r="S854" s="11"/>
    </row>
    <row r="855" spans="1:19" ht="15.75">
      <c r="A855" s="13">
        <v>67175</v>
      </c>
      <c r="B855" s="8">
        <f>CHOOSE( CONTROL!$C$32, 28.126, 28.1257) * CHOOSE(CONTROL!$C$15, $D$11, 100%, $F$11)</f>
        <v>28.126000000000001</v>
      </c>
      <c r="C855" s="8">
        <f>CHOOSE( CONTROL!$C$32, 28.1311, 28.1308) * CHOOSE(CONTROL!$C$15, $D$11, 100%, $F$11)</f>
        <v>28.1311</v>
      </c>
      <c r="D855" s="8">
        <f>CHOOSE( CONTROL!$C$32, 28.1138, 28.1135) * CHOOSE( CONTROL!$C$15, $D$11, 100%, $F$11)</f>
        <v>28.113800000000001</v>
      </c>
      <c r="E855" s="12">
        <f>CHOOSE( CONTROL!$C$32, 28.1196, 28.1193) * CHOOSE( CONTROL!$C$15, $D$11, 100%, $F$11)</f>
        <v>28.119599999999998</v>
      </c>
      <c r="F855" s="4">
        <f>CHOOSE( CONTROL!$C$32, 28.7913, 28.791) * CHOOSE(CONTROL!$C$15, $D$11, 100%, $F$11)</f>
        <v>28.7913</v>
      </c>
      <c r="G855" s="8">
        <f>CHOOSE( CONTROL!$C$32, 27.806, 27.8057) * CHOOSE( CONTROL!$C$15, $D$11, 100%, $F$11)</f>
        <v>27.806000000000001</v>
      </c>
      <c r="H855" s="4">
        <f>CHOOSE( CONTROL!$C$32, 28.7008, 28.7005) * CHOOSE(CONTROL!$C$15, $D$11, 100%, $F$11)</f>
        <v>28.700800000000001</v>
      </c>
      <c r="I855" s="8">
        <f>CHOOSE( CONTROL!$C$32, 27.4626, 27.4624) * CHOOSE(CONTROL!$C$15, $D$11, 100%, $F$11)</f>
        <v>27.462599999999998</v>
      </c>
      <c r="J855" s="4">
        <f>CHOOSE( CONTROL!$C$32, 27.2875, 27.2873) * CHOOSE(CONTROL!$C$15, $D$11, 100%, $F$11)</f>
        <v>27.287500000000001</v>
      </c>
      <c r="K855" s="4"/>
      <c r="L855" s="9">
        <v>28.360600000000002</v>
      </c>
      <c r="M855" s="9">
        <v>11.6745</v>
      </c>
      <c r="N855" s="9">
        <v>4.7850000000000001</v>
      </c>
      <c r="O855" s="9">
        <v>0.36199999999999999</v>
      </c>
      <c r="P855" s="9">
        <v>1.2509999999999999</v>
      </c>
      <c r="Q855" s="9">
        <v>19.053000000000001</v>
      </c>
      <c r="R855" s="9"/>
      <c r="S855" s="11"/>
    </row>
    <row r="856" spans="1:19" ht="15.75">
      <c r="A856" s="13">
        <v>67206</v>
      </c>
      <c r="B856" s="8">
        <f>CHOOSE( CONTROL!$C$32, 28.0749, 28.0746) * CHOOSE(CONTROL!$C$15, $D$11, 100%, $F$11)</f>
        <v>28.0749</v>
      </c>
      <c r="C856" s="8">
        <f>CHOOSE( CONTROL!$C$32, 28.0799, 28.0797) * CHOOSE(CONTROL!$C$15, $D$11, 100%, $F$11)</f>
        <v>28.079899999999999</v>
      </c>
      <c r="D856" s="8">
        <f>CHOOSE( CONTROL!$C$32, 28.0644, 28.0642) * CHOOSE( CONTROL!$C$15, $D$11, 100%, $F$11)</f>
        <v>28.064399999999999</v>
      </c>
      <c r="E856" s="12">
        <f>CHOOSE( CONTROL!$C$32, 28.0695, 28.0693) * CHOOSE( CONTROL!$C$15, $D$11, 100%, $F$11)</f>
        <v>28.069500000000001</v>
      </c>
      <c r="F856" s="4">
        <f>CHOOSE( CONTROL!$C$32, 28.7401, 28.7399) * CHOOSE(CONTROL!$C$15, $D$11, 100%, $F$11)</f>
        <v>28.740100000000002</v>
      </c>
      <c r="G856" s="8">
        <f>CHOOSE( CONTROL!$C$32, 27.7567, 27.7565) * CHOOSE( CONTROL!$C$15, $D$11, 100%, $F$11)</f>
        <v>27.756699999999999</v>
      </c>
      <c r="H856" s="4">
        <f>CHOOSE( CONTROL!$C$32, 28.6502, 28.65) * CHOOSE(CONTROL!$C$15, $D$11, 100%, $F$11)</f>
        <v>28.650200000000002</v>
      </c>
      <c r="I856" s="8">
        <f>CHOOSE( CONTROL!$C$32, 27.4186, 27.4183) * CHOOSE(CONTROL!$C$15, $D$11, 100%, $F$11)</f>
        <v>27.418600000000001</v>
      </c>
      <c r="J856" s="4">
        <f>CHOOSE( CONTROL!$C$32, 27.2379, 27.2376) * CHOOSE(CONTROL!$C$15, $D$11, 100%, $F$11)</f>
        <v>27.2379</v>
      </c>
      <c r="K856" s="4"/>
      <c r="L856" s="9">
        <v>29.306000000000001</v>
      </c>
      <c r="M856" s="9">
        <v>12.063700000000001</v>
      </c>
      <c r="N856" s="9">
        <v>4.9444999999999997</v>
      </c>
      <c r="O856" s="9">
        <v>0.37409999999999999</v>
      </c>
      <c r="P856" s="9">
        <v>1.2927</v>
      </c>
      <c r="Q856" s="9">
        <v>19.688099999999999</v>
      </c>
      <c r="R856" s="9"/>
      <c r="S856" s="11"/>
    </row>
    <row r="857" spans="1:19" ht="15.75">
      <c r="A857" s="13">
        <v>67237</v>
      </c>
      <c r="B857" s="8">
        <f>CHOOSE( CONTROL!$C$32, 28.9027, 28.9024) * CHOOSE(CONTROL!$C$15, $D$11, 100%, $F$11)</f>
        <v>28.902699999999999</v>
      </c>
      <c r="C857" s="8">
        <f>CHOOSE( CONTROL!$C$32, 28.9078, 28.9075) * CHOOSE(CONTROL!$C$15, $D$11, 100%, $F$11)</f>
        <v>28.907800000000002</v>
      </c>
      <c r="D857" s="8">
        <f>CHOOSE( CONTROL!$C$32, 28.8982, 28.898) * CHOOSE( CONTROL!$C$15, $D$11, 100%, $F$11)</f>
        <v>28.898199999999999</v>
      </c>
      <c r="E857" s="12">
        <f>CHOOSE( CONTROL!$C$32, 28.9012, 28.9009) * CHOOSE( CONTROL!$C$15, $D$11, 100%, $F$11)</f>
        <v>28.901199999999999</v>
      </c>
      <c r="F857" s="4">
        <f>CHOOSE( CONTROL!$C$32, 29.568, 29.5677) * CHOOSE(CONTROL!$C$15, $D$11, 100%, $F$11)</f>
        <v>29.568000000000001</v>
      </c>
      <c r="G857" s="8">
        <f>CHOOSE( CONTROL!$C$32, 28.5756, 28.5753) * CHOOSE( CONTROL!$C$15, $D$11, 100%, $F$11)</f>
        <v>28.575600000000001</v>
      </c>
      <c r="H857" s="4">
        <f>CHOOSE( CONTROL!$C$32, 29.4684, 29.4681) * CHOOSE(CONTROL!$C$15, $D$11, 100%, $F$11)</f>
        <v>29.468399999999999</v>
      </c>
      <c r="I857" s="8">
        <f>CHOOSE( CONTROL!$C$32, 28.2028, 28.2026) * CHOOSE(CONTROL!$C$15, $D$11, 100%, $F$11)</f>
        <v>28.2028</v>
      </c>
      <c r="J857" s="4">
        <f>CHOOSE( CONTROL!$C$32, 28.0413, 28.0411) * CHOOSE(CONTROL!$C$15, $D$11, 100%, $F$11)</f>
        <v>28.0413</v>
      </c>
      <c r="K857" s="4"/>
      <c r="L857" s="9">
        <v>29.306000000000001</v>
      </c>
      <c r="M857" s="9">
        <v>12.063700000000001</v>
      </c>
      <c r="N857" s="9">
        <v>4.9444999999999997</v>
      </c>
      <c r="O857" s="9">
        <v>0.37409999999999999</v>
      </c>
      <c r="P857" s="9">
        <v>1.2927</v>
      </c>
      <c r="Q857" s="9">
        <v>19.688099999999999</v>
      </c>
      <c r="R857" s="9"/>
      <c r="S857" s="11"/>
    </row>
    <row r="858" spans="1:19" ht="15.75">
      <c r="A858" s="13">
        <v>67266</v>
      </c>
      <c r="B858" s="8">
        <f>CHOOSE( CONTROL!$C$32, 27.0348, 27.0345) * CHOOSE(CONTROL!$C$15, $D$11, 100%, $F$11)</f>
        <v>27.034800000000001</v>
      </c>
      <c r="C858" s="8">
        <f>CHOOSE( CONTROL!$C$32, 27.0399, 27.0396) * CHOOSE(CONTROL!$C$15, $D$11, 100%, $F$11)</f>
        <v>27.039899999999999</v>
      </c>
      <c r="D858" s="8">
        <f>CHOOSE( CONTROL!$C$32, 27.032, 27.0317) * CHOOSE( CONTROL!$C$15, $D$11, 100%, $F$11)</f>
        <v>27.032</v>
      </c>
      <c r="E858" s="12">
        <f>CHOOSE( CONTROL!$C$32, 27.0343, 27.034) * CHOOSE( CONTROL!$C$15, $D$11, 100%, $F$11)</f>
        <v>27.034300000000002</v>
      </c>
      <c r="F858" s="4">
        <f>CHOOSE( CONTROL!$C$32, 27.7001, 27.6998) * CHOOSE(CONTROL!$C$15, $D$11, 100%, $F$11)</f>
        <v>27.700099999999999</v>
      </c>
      <c r="G858" s="8">
        <f>CHOOSE( CONTROL!$C$32, 26.7281, 26.7278) * CHOOSE( CONTROL!$C$15, $D$11, 100%, $F$11)</f>
        <v>26.728100000000001</v>
      </c>
      <c r="H858" s="4">
        <f>CHOOSE( CONTROL!$C$32, 27.6223, 27.6221) * CHOOSE(CONTROL!$C$15, $D$11, 100%, $F$11)</f>
        <v>27.622299999999999</v>
      </c>
      <c r="I858" s="8">
        <f>CHOOSE( CONTROL!$C$32, 26.3737, 26.3735) * CHOOSE(CONTROL!$C$15, $D$11, 100%, $F$11)</f>
        <v>26.373699999999999</v>
      </c>
      <c r="J858" s="4">
        <f>CHOOSE( CONTROL!$C$32, 26.2285, 26.2283) * CHOOSE(CONTROL!$C$15, $D$11, 100%, $F$11)</f>
        <v>26.2285</v>
      </c>
      <c r="K858" s="4"/>
      <c r="L858" s="9">
        <v>27.415299999999998</v>
      </c>
      <c r="M858" s="9">
        <v>11.285299999999999</v>
      </c>
      <c r="N858" s="9">
        <v>4.6254999999999997</v>
      </c>
      <c r="O858" s="9">
        <v>0.34989999999999999</v>
      </c>
      <c r="P858" s="9">
        <v>1.2093</v>
      </c>
      <c r="Q858" s="9">
        <v>18.417899999999999</v>
      </c>
      <c r="R858" s="9"/>
      <c r="S858" s="11"/>
    </row>
    <row r="859" spans="1:19" ht="15.75">
      <c r="A859" s="13">
        <v>67297</v>
      </c>
      <c r="B859" s="8">
        <f>CHOOSE( CONTROL!$C$32, 26.4595, 26.4592) * CHOOSE(CONTROL!$C$15, $D$11, 100%, $F$11)</f>
        <v>26.459499999999998</v>
      </c>
      <c r="C859" s="8">
        <f>CHOOSE( CONTROL!$C$32, 26.4646, 26.4643) * CHOOSE(CONTROL!$C$15, $D$11, 100%, $F$11)</f>
        <v>26.464600000000001</v>
      </c>
      <c r="D859" s="8">
        <f>CHOOSE( CONTROL!$C$32, 26.4519, 26.4516) * CHOOSE( CONTROL!$C$15, $D$11, 100%, $F$11)</f>
        <v>26.451899999999998</v>
      </c>
      <c r="E859" s="12">
        <f>CHOOSE( CONTROL!$C$32, 26.456, 26.4557) * CHOOSE( CONTROL!$C$15, $D$11, 100%, $F$11)</f>
        <v>26.456</v>
      </c>
      <c r="F859" s="4">
        <f>CHOOSE( CONTROL!$C$32, 27.1248, 27.1245) * CHOOSE(CONTROL!$C$15, $D$11, 100%, $F$11)</f>
        <v>27.1248</v>
      </c>
      <c r="G859" s="8">
        <f>CHOOSE( CONTROL!$C$32, 26.1561, 26.1558) * CHOOSE( CONTROL!$C$15, $D$11, 100%, $F$11)</f>
        <v>26.156099999999999</v>
      </c>
      <c r="H859" s="4">
        <f>CHOOSE( CONTROL!$C$32, 27.0538, 27.0535) * CHOOSE(CONTROL!$C$15, $D$11, 100%, $F$11)</f>
        <v>27.053799999999999</v>
      </c>
      <c r="I859" s="8">
        <f>CHOOSE( CONTROL!$C$32, 25.8135, 25.8132) * CHOOSE(CONTROL!$C$15, $D$11, 100%, $F$11)</f>
        <v>25.813500000000001</v>
      </c>
      <c r="J859" s="4">
        <f>CHOOSE( CONTROL!$C$32, 25.6702, 25.6699) * CHOOSE(CONTROL!$C$15, $D$11, 100%, $F$11)</f>
        <v>25.670200000000001</v>
      </c>
      <c r="K859" s="4"/>
      <c r="L859" s="9">
        <v>29.306000000000001</v>
      </c>
      <c r="M859" s="9">
        <v>12.063700000000001</v>
      </c>
      <c r="N859" s="9">
        <v>4.9444999999999997</v>
      </c>
      <c r="O859" s="9">
        <v>0.37409999999999999</v>
      </c>
      <c r="P859" s="9">
        <v>1.2927</v>
      </c>
      <c r="Q859" s="9">
        <v>19.688099999999999</v>
      </c>
      <c r="R859" s="9"/>
      <c r="S859" s="11"/>
    </row>
    <row r="860" spans="1:19" ht="15.75">
      <c r="A860" s="13">
        <v>67327</v>
      </c>
      <c r="B860" s="8">
        <f>CHOOSE( CONTROL!$C$32, 26.8623, 26.862) * CHOOSE(CONTROL!$C$15, $D$11, 100%, $F$11)</f>
        <v>26.862300000000001</v>
      </c>
      <c r="C860" s="8">
        <f>CHOOSE( CONTROL!$C$32, 26.8668, 26.8665) * CHOOSE(CONTROL!$C$15, $D$11, 100%, $F$11)</f>
        <v>26.866800000000001</v>
      </c>
      <c r="D860" s="8">
        <f>CHOOSE( CONTROL!$C$32, 26.8716, 26.8714) * CHOOSE( CONTROL!$C$15, $D$11, 100%, $F$11)</f>
        <v>26.871600000000001</v>
      </c>
      <c r="E860" s="12">
        <f>CHOOSE( CONTROL!$C$32, 26.8695, 26.8693) * CHOOSE( CONTROL!$C$15, $D$11, 100%, $F$11)</f>
        <v>26.869499999999999</v>
      </c>
      <c r="F860" s="4">
        <f>CHOOSE( CONTROL!$C$32, 27.5665, 27.5662) * CHOOSE(CONTROL!$C$15, $D$11, 100%, $F$11)</f>
        <v>27.566500000000001</v>
      </c>
      <c r="G860" s="8">
        <f>CHOOSE( CONTROL!$C$32, 26.5591, 26.5589) * CHOOSE( CONTROL!$C$15, $D$11, 100%, $F$11)</f>
        <v>26.559100000000001</v>
      </c>
      <c r="H860" s="4">
        <f>CHOOSE( CONTROL!$C$32, 27.4903, 27.49) * CHOOSE(CONTROL!$C$15, $D$11, 100%, $F$11)</f>
        <v>27.490300000000001</v>
      </c>
      <c r="I860" s="8">
        <f>CHOOSE( CONTROL!$C$32, 26.1781, 26.1778) * CHOOSE(CONTROL!$C$15, $D$11, 100%, $F$11)</f>
        <v>26.178100000000001</v>
      </c>
      <c r="J860" s="4">
        <f>CHOOSE( CONTROL!$C$32, 26.0603, 26.0601) * CHOOSE(CONTROL!$C$15, $D$11, 100%, $F$11)</f>
        <v>26.060300000000002</v>
      </c>
      <c r="K860" s="4"/>
      <c r="L860" s="9">
        <v>30.092199999999998</v>
      </c>
      <c r="M860" s="9">
        <v>11.6745</v>
      </c>
      <c r="N860" s="9">
        <v>4.7850000000000001</v>
      </c>
      <c r="O860" s="9">
        <v>0.36199999999999999</v>
      </c>
      <c r="P860" s="9">
        <v>1.2509999999999999</v>
      </c>
      <c r="Q860" s="9">
        <v>19.053000000000001</v>
      </c>
      <c r="R860" s="9"/>
      <c r="S860" s="11"/>
    </row>
    <row r="861" spans="1:19" ht="15.75">
      <c r="A861" s="13">
        <v>67358</v>
      </c>
      <c r="B861" s="8">
        <f>CHOOSE( CONTROL!$C$32, 27.5793, 27.5789) * CHOOSE(CONTROL!$C$15, $D$11, 100%, $F$11)</f>
        <v>27.5793</v>
      </c>
      <c r="C861" s="8">
        <f>CHOOSE( CONTROL!$C$32, 27.5873, 27.5868) * CHOOSE(CONTROL!$C$15, $D$11, 100%, $F$11)</f>
        <v>27.587299999999999</v>
      </c>
      <c r="D861" s="8">
        <f>CHOOSE( CONTROL!$C$32, 27.5861, 27.5856) * CHOOSE( CONTROL!$C$15, $D$11, 100%, $F$11)</f>
        <v>27.586099999999998</v>
      </c>
      <c r="E861" s="12">
        <f>CHOOSE( CONTROL!$C$32, 27.5853, 27.5848) * CHOOSE( CONTROL!$C$15, $D$11, 100%, $F$11)</f>
        <v>27.5853</v>
      </c>
      <c r="F861" s="4">
        <f>CHOOSE( CONTROL!$C$32, 28.2821, 28.2817) * CHOOSE(CONTROL!$C$15, $D$11, 100%, $F$11)</f>
        <v>28.2821</v>
      </c>
      <c r="G861" s="8">
        <f>CHOOSE( CONTROL!$C$32, 27.2662, 27.2658) * CHOOSE( CONTROL!$C$15, $D$11, 100%, $F$11)</f>
        <v>27.266200000000001</v>
      </c>
      <c r="H861" s="4">
        <f>CHOOSE( CONTROL!$C$32, 28.1976, 28.1971) * CHOOSE(CONTROL!$C$15, $D$11, 100%, $F$11)</f>
        <v>28.197600000000001</v>
      </c>
      <c r="I861" s="8">
        <f>CHOOSE( CONTROL!$C$32, 26.8722, 26.8717) * CHOOSE(CONTROL!$C$15, $D$11, 100%, $F$11)</f>
        <v>26.872199999999999</v>
      </c>
      <c r="J861" s="4">
        <f>CHOOSE( CONTROL!$C$32, 26.7549, 26.7545) * CHOOSE(CONTROL!$C$15, $D$11, 100%, $F$11)</f>
        <v>26.754899999999999</v>
      </c>
      <c r="K861" s="4"/>
      <c r="L861" s="9">
        <v>30.7165</v>
      </c>
      <c r="M861" s="9">
        <v>12.063700000000001</v>
      </c>
      <c r="N861" s="9">
        <v>4.9444999999999997</v>
      </c>
      <c r="O861" s="9">
        <v>0.37409999999999999</v>
      </c>
      <c r="P861" s="9">
        <v>1.2927</v>
      </c>
      <c r="Q861" s="9">
        <v>19.688099999999999</v>
      </c>
      <c r="R861" s="9"/>
      <c r="S861" s="11"/>
    </row>
    <row r="862" spans="1:19" ht="15.75">
      <c r="A862" s="13">
        <v>67388</v>
      </c>
      <c r="B862" s="8">
        <f>CHOOSE( CONTROL!$C$32, 27.1361, 27.1356) * CHOOSE(CONTROL!$C$15, $D$11, 100%, $F$11)</f>
        <v>27.136099999999999</v>
      </c>
      <c r="C862" s="8">
        <f>CHOOSE( CONTROL!$C$32, 27.1441, 27.1436) * CHOOSE(CONTROL!$C$15, $D$11, 100%, $F$11)</f>
        <v>27.144100000000002</v>
      </c>
      <c r="D862" s="8">
        <f>CHOOSE( CONTROL!$C$32, 27.143, 27.1426) * CHOOSE( CONTROL!$C$15, $D$11, 100%, $F$11)</f>
        <v>27.143000000000001</v>
      </c>
      <c r="E862" s="12">
        <f>CHOOSE( CONTROL!$C$32, 27.1422, 27.1417) * CHOOSE( CONTROL!$C$15, $D$11, 100%, $F$11)</f>
        <v>27.142199999999999</v>
      </c>
      <c r="F862" s="4">
        <f>CHOOSE( CONTROL!$C$32, 27.8389, 27.8385) * CHOOSE(CONTROL!$C$15, $D$11, 100%, $F$11)</f>
        <v>27.838899999999999</v>
      </c>
      <c r="G862" s="8">
        <f>CHOOSE( CONTROL!$C$32, 26.8284, 26.8279) * CHOOSE( CONTROL!$C$15, $D$11, 100%, $F$11)</f>
        <v>26.828399999999998</v>
      </c>
      <c r="H862" s="4">
        <f>CHOOSE( CONTROL!$C$32, 27.7595, 27.7591) * CHOOSE(CONTROL!$C$15, $D$11, 100%, $F$11)</f>
        <v>27.759499999999999</v>
      </c>
      <c r="I862" s="8">
        <f>CHOOSE( CONTROL!$C$32, 26.4425, 26.442) * CHOOSE(CONTROL!$C$15, $D$11, 100%, $F$11)</f>
        <v>26.442499999999999</v>
      </c>
      <c r="J862" s="4">
        <f>CHOOSE( CONTROL!$C$32, 26.3248, 26.3243) * CHOOSE(CONTROL!$C$15, $D$11, 100%, $F$11)</f>
        <v>26.3248</v>
      </c>
      <c r="K862" s="4"/>
      <c r="L862" s="9">
        <v>29.7257</v>
      </c>
      <c r="M862" s="9">
        <v>11.6745</v>
      </c>
      <c r="N862" s="9">
        <v>4.7850000000000001</v>
      </c>
      <c r="O862" s="9">
        <v>0.36199999999999999</v>
      </c>
      <c r="P862" s="9">
        <v>1.2509999999999999</v>
      </c>
      <c r="Q862" s="9">
        <v>19.053000000000001</v>
      </c>
      <c r="R862" s="9"/>
      <c r="S862" s="11"/>
    </row>
    <row r="863" spans="1:19" ht="15.75">
      <c r="A863" s="13">
        <v>67419</v>
      </c>
      <c r="B863" s="8">
        <f>CHOOSE( CONTROL!$C$32, 28.3033, 28.3028) * CHOOSE(CONTROL!$C$15, $D$11, 100%, $F$11)</f>
        <v>28.3033</v>
      </c>
      <c r="C863" s="8">
        <f>CHOOSE( CONTROL!$C$32, 28.3112, 28.3108) * CHOOSE(CONTROL!$C$15, $D$11, 100%, $F$11)</f>
        <v>28.311199999999999</v>
      </c>
      <c r="D863" s="8">
        <f>CHOOSE( CONTROL!$C$32, 28.3104, 28.31) * CHOOSE( CONTROL!$C$15, $D$11, 100%, $F$11)</f>
        <v>28.310400000000001</v>
      </c>
      <c r="E863" s="12">
        <f>CHOOSE( CONTROL!$C$32, 28.3095, 28.3091) * CHOOSE( CONTROL!$C$15, $D$11, 100%, $F$11)</f>
        <v>28.3095</v>
      </c>
      <c r="F863" s="4">
        <f>CHOOSE( CONTROL!$C$32, 29.0061, 29.0056) * CHOOSE(CONTROL!$C$15, $D$11, 100%, $F$11)</f>
        <v>29.0061</v>
      </c>
      <c r="G863" s="8">
        <f>CHOOSE( CONTROL!$C$32, 27.9821, 27.9816) * CHOOSE( CONTROL!$C$15, $D$11, 100%, $F$11)</f>
        <v>27.982099999999999</v>
      </c>
      <c r="H863" s="4">
        <f>CHOOSE( CONTROL!$C$32, 28.913, 28.9126) * CHOOSE(CONTROL!$C$15, $D$11, 100%, $F$11)</f>
        <v>28.913</v>
      </c>
      <c r="I863" s="8">
        <f>CHOOSE( CONTROL!$C$32, 27.5765, 27.5761) * CHOOSE(CONTROL!$C$15, $D$11, 100%, $F$11)</f>
        <v>27.576499999999999</v>
      </c>
      <c r="J863" s="4">
        <f>CHOOSE( CONTROL!$C$32, 27.4575, 27.4571) * CHOOSE(CONTROL!$C$15, $D$11, 100%, $F$11)</f>
        <v>27.4575</v>
      </c>
      <c r="K863" s="4"/>
      <c r="L863" s="9">
        <v>30.7165</v>
      </c>
      <c r="M863" s="9">
        <v>12.063700000000001</v>
      </c>
      <c r="N863" s="9">
        <v>4.9444999999999997</v>
      </c>
      <c r="O863" s="9">
        <v>0.37409999999999999</v>
      </c>
      <c r="P863" s="9">
        <v>1.2927</v>
      </c>
      <c r="Q863" s="9">
        <v>19.688099999999999</v>
      </c>
      <c r="R863" s="9"/>
      <c r="S863" s="11"/>
    </row>
    <row r="864" spans="1:19" ht="15.75">
      <c r="A864" s="13">
        <v>67450</v>
      </c>
      <c r="B864" s="8">
        <f>CHOOSE( CONTROL!$C$32, 26.1194, 26.1189) * CHOOSE(CONTROL!$C$15, $D$11, 100%, $F$11)</f>
        <v>26.119399999999999</v>
      </c>
      <c r="C864" s="8">
        <f>CHOOSE( CONTROL!$C$32, 26.1273, 26.1269) * CHOOSE(CONTROL!$C$15, $D$11, 100%, $F$11)</f>
        <v>26.127300000000002</v>
      </c>
      <c r="D864" s="8">
        <f>CHOOSE( CONTROL!$C$32, 26.1266, 26.1261) * CHOOSE( CONTROL!$C$15, $D$11, 100%, $F$11)</f>
        <v>26.1266</v>
      </c>
      <c r="E864" s="12">
        <f>CHOOSE( CONTROL!$C$32, 26.1256, 26.1252) * CHOOSE( CONTROL!$C$15, $D$11, 100%, $F$11)</f>
        <v>26.125599999999999</v>
      </c>
      <c r="F864" s="4">
        <f>CHOOSE( CONTROL!$C$32, 26.8222, 26.8217) * CHOOSE(CONTROL!$C$15, $D$11, 100%, $F$11)</f>
        <v>26.822199999999999</v>
      </c>
      <c r="G864" s="8">
        <f>CHOOSE( CONTROL!$C$32, 25.8238, 25.8233) * CHOOSE( CONTROL!$C$15, $D$11, 100%, $F$11)</f>
        <v>25.823799999999999</v>
      </c>
      <c r="H864" s="4">
        <f>CHOOSE( CONTROL!$C$32, 26.7547, 26.7543) * CHOOSE(CONTROL!$C$15, $D$11, 100%, $F$11)</f>
        <v>26.7547</v>
      </c>
      <c r="I864" s="8">
        <f>CHOOSE( CONTROL!$C$32, 25.4562, 25.4558) * CHOOSE(CONTROL!$C$15, $D$11, 100%, $F$11)</f>
        <v>25.456199999999999</v>
      </c>
      <c r="J864" s="4">
        <f>CHOOSE( CONTROL!$C$32, 25.338, 25.3376) * CHOOSE(CONTROL!$C$15, $D$11, 100%, $F$11)</f>
        <v>25.338000000000001</v>
      </c>
      <c r="K864" s="4"/>
      <c r="L864" s="9">
        <v>30.7165</v>
      </c>
      <c r="M864" s="9">
        <v>12.063700000000001</v>
      </c>
      <c r="N864" s="9">
        <v>4.9444999999999997</v>
      </c>
      <c r="O864" s="9">
        <v>0.37409999999999999</v>
      </c>
      <c r="P864" s="9">
        <v>1.2927</v>
      </c>
      <c r="Q864" s="9">
        <v>19.688099999999999</v>
      </c>
      <c r="R864" s="9"/>
      <c r="S864" s="11"/>
    </row>
    <row r="865" spans="1:19" ht="15.75">
      <c r="A865" s="13">
        <v>67480</v>
      </c>
      <c r="B865" s="8">
        <f>CHOOSE( CONTROL!$C$32, 25.5725, 25.572) * CHOOSE(CONTROL!$C$15, $D$11, 100%, $F$11)</f>
        <v>25.572500000000002</v>
      </c>
      <c r="C865" s="8">
        <f>CHOOSE( CONTROL!$C$32, 25.5805, 25.58) * CHOOSE(CONTROL!$C$15, $D$11, 100%, $F$11)</f>
        <v>25.580500000000001</v>
      </c>
      <c r="D865" s="8">
        <f>CHOOSE( CONTROL!$C$32, 25.5796, 25.5791) * CHOOSE( CONTROL!$C$15, $D$11, 100%, $F$11)</f>
        <v>25.579599999999999</v>
      </c>
      <c r="E865" s="12">
        <f>CHOOSE( CONTROL!$C$32, 25.5787, 25.5782) * CHOOSE( CONTROL!$C$15, $D$11, 100%, $F$11)</f>
        <v>25.578700000000001</v>
      </c>
      <c r="F865" s="4">
        <f>CHOOSE( CONTROL!$C$32, 26.2753, 26.2748) * CHOOSE(CONTROL!$C$15, $D$11, 100%, $F$11)</f>
        <v>26.275300000000001</v>
      </c>
      <c r="G865" s="8">
        <f>CHOOSE( CONTROL!$C$32, 25.2832, 25.2827) * CHOOSE( CONTROL!$C$15, $D$11, 100%, $F$11)</f>
        <v>25.283200000000001</v>
      </c>
      <c r="H865" s="4">
        <f>CHOOSE( CONTROL!$C$32, 26.2142, 26.2138) * CHOOSE(CONTROL!$C$15, $D$11, 100%, $F$11)</f>
        <v>26.214200000000002</v>
      </c>
      <c r="I865" s="8">
        <f>CHOOSE( CONTROL!$C$32, 24.9247, 24.9242) * CHOOSE(CONTROL!$C$15, $D$11, 100%, $F$11)</f>
        <v>24.924700000000001</v>
      </c>
      <c r="J865" s="4">
        <f>CHOOSE( CONTROL!$C$32, 24.8073, 24.8068) * CHOOSE(CONTROL!$C$15, $D$11, 100%, $F$11)</f>
        <v>24.807300000000001</v>
      </c>
      <c r="K865" s="4"/>
      <c r="L865" s="9">
        <v>29.7257</v>
      </c>
      <c r="M865" s="9">
        <v>11.6745</v>
      </c>
      <c r="N865" s="9">
        <v>4.7850000000000001</v>
      </c>
      <c r="O865" s="9">
        <v>0.36199999999999999</v>
      </c>
      <c r="P865" s="9">
        <v>1.2509999999999999</v>
      </c>
      <c r="Q865" s="9">
        <v>19.053000000000001</v>
      </c>
      <c r="R865" s="9"/>
      <c r="S865" s="11"/>
    </row>
    <row r="866" spans="1:19" ht="15.75">
      <c r="A866" s="13">
        <v>67511</v>
      </c>
      <c r="B866" s="8">
        <f>CHOOSE( CONTROL!$C$32, 26.7061, 26.7058) * CHOOSE(CONTROL!$C$15, $D$11, 100%, $F$11)</f>
        <v>26.706099999999999</v>
      </c>
      <c r="C866" s="8">
        <f>CHOOSE( CONTROL!$C$32, 26.7114, 26.7111) * CHOOSE(CONTROL!$C$15, $D$11, 100%, $F$11)</f>
        <v>26.711400000000001</v>
      </c>
      <c r="D866" s="8">
        <f>CHOOSE( CONTROL!$C$32, 26.7161, 26.7158) * CHOOSE( CONTROL!$C$15, $D$11, 100%, $F$11)</f>
        <v>26.716100000000001</v>
      </c>
      <c r="E866" s="12">
        <f>CHOOSE( CONTROL!$C$32, 26.714, 26.7137) * CHOOSE( CONTROL!$C$15, $D$11, 100%, $F$11)</f>
        <v>26.713999999999999</v>
      </c>
      <c r="F866" s="4">
        <f>CHOOSE( CONTROL!$C$32, 27.4106, 27.4103) * CHOOSE(CONTROL!$C$15, $D$11, 100%, $F$11)</f>
        <v>27.410599999999999</v>
      </c>
      <c r="G866" s="8">
        <f>CHOOSE( CONTROL!$C$32, 26.4054, 26.4051) * CHOOSE( CONTROL!$C$15, $D$11, 100%, $F$11)</f>
        <v>26.4054</v>
      </c>
      <c r="H866" s="4">
        <f>CHOOSE( CONTROL!$C$32, 27.3363, 27.336) * CHOOSE(CONTROL!$C$15, $D$11, 100%, $F$11)</f>
        <v>27.336300000000001</v>
      </c>
      <c r="I866" s="8">
        <f>CHOOSE( CONTROL!$C$32, 26.0279, 26.0276) * CHOOSE(CONTROL!$C$15, $D$11, 100%, $F$11)</f>
        <v>26.027899999999999</v>
      </c>
      <c r="J866" s="4">
        <f>CHOOSE( CONTROL!$C$32, 25.9091, 25.9088) * CHOOSE(CONTROL!$C$15, $D$11, 100%, $F$11)</f>
        <v>25.909099999999999</v>
      </c>
      <c r="K866" s="4"/>
      <c r="L866" s="9">
        <v>31.095300000000002</v>
      </c>
      <c r="M866" s="9">
        <v>12.063700000000001</v>
      </c>
      <c r="N866" s="9">
        <v>4.9444999999999997</v>
      </c>
      <c r="O866" s="9">
        <v>0.37409999999999999</v>
      </c>
      <c r="P866" s="9">
        <v>1.2927</v>
      </c>
      <c r="Q866" s="9">
        <v>19.688099999999999</v>
      </c>
      <c r="R866" s="9"/>
      <c r="S866" s="11"/>
    </row>
    <row r="867" spans="1:19" ht="15.75">
      <c r="A867" s="13">
        <v>67541</v>
      </c>
      <c r="B867" s="8">
        <f>CHOOSE( CONTROL!$C$32, 28.8016, 28.8013) * CHOOSE(CONTROL!$C$15, $D$11, 100%, $F$11)</f>
        <v>28.801600000000001</v>
      </c>
      <c r="C867" s="8">
        <f>CHOOSE( CONTROL!$C$32, 28.8067, 28.8064) * CHOOSE(CONTROL!$C$15, $D$11, 100%, $F$11)</f>
        <v>28.806699999999999</v>
      </c>
      <c r="D867" s="8">
        <f>CHOOSE( CONTROL!$C$32, 28.7894, 28.7891) * CHOOSE( CONTROL!$C$15, $D$11, 100%, $F$11)</f>
        <v>28.789400000000001</v>
      </c>
      <c r="E867" s="12">
        <f>CHOOSE( CONTROL!$C$32, 28.7952, 28.7949) * CHOOSE( CONTROL!$C$15, $D$11, 100%, $F$11)</f>
        <v>28.795200000000001</v>
      </c>
      <c r="F867" s="4">
        <f>CHOOSE( CONTROL!$C$32, 29.4669, 29.4666) * CHOOSE(CONTROL!$C$15, $D$11, 100%, $F$11)</f>
        <v>29.466899999999999</v>
      </c>
      <c r="G867" s="8">
        <f>CHOOSE( CONTROL!$C$32, 28.4737, 28.4734) * CHOOSE( CONTROL!$C$15, $D$11, 100%, $F$11)</f>
        <v>28.473700000000001</v>
      </c>
      <c r="H867" s="4">
        <f>CHOOSE( CONTROL!$C$32, 29.3684, 29.3682) * CHOOSE(CONTROL!$C$15, $D$11, 100%, $F$11)</f>
        <v>29.368400000000001</v>
      </c>
      <c r="I867" s="8">
        <f>CHOOSE( CONTROL!$C$32, 28.1186, 28.1183) * CHOOSE(CONTROL!$C$15, $D$11, 100%, $F$11)</f>
        <v>28.118600000000001</v>
      </c>
      <c r="J867" s="4">
        <f>CHOOSE( CONTROL!$C$32, 27.9432, 27.9429) * CHOOSE(CONTROL!$C$15, $D$11, 100%, $F$11)</f>
        <v>27.943200000000001</v>
      </c>
      <c r="K867" s="4"/>
      <c r="L867" s="9">
        <v>28.360600000000002</v>
      </c>
      <c r="M867" s="9">
        <v>11.6745</v>
      </c>
      <c r="N867" s="9">
        <v>4.7850000000000001</v>
      </c>
      <c r="O867" s="9">
        <v>0.36199999999999999</v>
      </c>
      <c r="P867" s="9">
        <v>1.2509999999999999</v>
      </c>
      <c r="Q867" s="9">
        <v>19.053000000000001</v>
      </c>
      <c r="R867" s="9"/>
      <c r="S867" s="11"/>
    </row>
    <row r="868" spans="1:19" ht="15.75">
      <c r="A868" s="13">
        <v>67572</v>
      </c>
      <c r="B868" s="8">
        <f>CHOOSE( CONTROL!$C$32, 28.7492, 28.7489) * CHOOSE(CONTROL!$C$15, $D$11, 100%, $F$11)</f>
        <v>28.749199999999998</v>
      </c>
      <c r="C868" s="8">
        <f>CHOOSE( CONTROL!$C$32, 28.7543, 28.754) * CHOOSE(CONTROL!$C$15, $D$11, 100%, $F$11)</f>
        <v>28.754300000000001</v>
      </c>
      <c r="D868" s="8">
        <f>CHOOSE( CONTROL!$C$32, 28.7388, 28.7385) * CHOOSE( CONTROL!$C$15, $D$11, 100%, $F$11)</f>
        <v>28.738800000000001</v>
      </c>
      <c r="E868" s="12">
        <f>CHOOSE( CONTROL!$C$32, 28.7439, 28.7436) * CHOOSE( CONTROL!$C$15, $D$11, 100%, $F$11)</f>
        <v>28.7439</v>
      </c>
      <c r="F868" s="4">
        <f>CHOOSE( CONTROL!$C$32, 29.4145, 29.4142) * CHOOSE(CONTROL!$C$15, $D$11, 100%, $F$11)</f>
        <v>29.4145</v>
      </c>
      <c r="G868" s="8">
        <f>CHOOSE( CONTROL!$C$32, 28.4232, 28.4229) * CHOOSE( CONTROL!$C$15, $D$11, 100%, $F$11)</f>
        <v>28.423200000000001</v>
      </c>
      <c r="H868" s="4">
        <f>CHOOSE( CONTROL!$C$32, 29.3167, 29.3164) * CHOOSE(CONTROL!$C$15, $D$11, 100%, $F$11)</f>
        <v>29.316700000000001</v>
      </c>
      <c r="I868" s="8">
        <f>CHOOSE( CONTROL!$C$32, 28.0733, 28.0731) * CHOOSE(CONTROL!$C$15, $D$11, 100%, $F$11)</f>
        <v>28.0733</v>
      </c>
      <c r="J868" s="4">
        <f>CHOOSE( CONTROL!$C$32, 27.8924, 27.8921) * CHOOSE(CONTROL!$C$15, $D$11, 100%, $F$11)</f>
        <v>27.892399999999999</v>
      </c>
      <c r="K868" s="4"/>
      <c r="L868" s="9">
        <v>29.306000000000001</v>
      </c>
      <c r="M868" s="9">
        <v>12.063700000000001</v>
      </c>
      <c r="N868" s="9">
        <v>4.9444999999999997</v>
      </c>
      <c r="O868" s="9">
        <v>0.37409999999999999</v>
      </c>
      <c r="P868" s="9">
        <v>1.2927</v>
      </c>
      <c r="Q868" s="9">
        <v>19.688099999999999</v>
      </c>
      <c r="R868" s="9"/>
      <c r="S868" s="11"/>
    </row>
    <row r="869" spans="1:19" ht="15.75">
      <c r="A869" s="13">
        <v>67603</v>
      </c>
      <c r="B869" s="8">
        <f>CHOOSE( CONTROL!$C$32, 29.5969, 29.5967) * CHOOSE(CONTROL!$C$15, $D$11, 100%, $F$11)</f>
        <v>29.596900000000002</v>
      </c>
      <c r="C869" s="8">
        <f>CHOOSE( CONTROL!$C$32, 29.602, 29.6018) * CHOOSE(CONTROL!$C$15, $D$11, 100%, $F$11)</f>
        <v>29.602</v>
      </c>
      <c r="D869" s="8">
        <f>CHOOSE( CONTROL!$C$32, 29.5925, 29.5922) * CHOOSE( CONTROL!$C$15, $D$11, 100%, $F$11)</f>
        <v>29.592500000000001</v>
      </c>
      <c r="E869" s="12">
        <f>CHOOSE( CONTROL!$C$32, 29.5954, 29.5952) * CHOOSE( CONTROL!$C$15, $D$11, 100%, $F$11)</f>
        <v>29.595400000000001</v>
      </c>
      <c r="F869" s="4">
        <f>CHOOSE( CONTROL!$C$32, 30.2622, 30.262) * CHOOSE(CONTROL!$C$15, $D$11, 100%, $F$11)</f>
        <v>30.2622</v>
      </c>
      <c r="G869" s="8">
        <f>CHOOSE( CONTROL!$C$32, 29.2617, 29.2614) * CHOOSE( CONTROL!$C$15, $D$11, 100%, $F$11)</f>
        <v>29.261700000000001</v>
      </c>
      <c r="H869" s="4">
        <f>CHOOSE( CONTROL!$C$32, 30.1545, 30.1542) * CHOOSE(CONTROL!$C$15, $D$11, 100%, $F$11)</f>
        <v>30.154499999999999</v>
      </c>
      <c r="I869" s="8">
        <f>CHOOSE( CONTROL!$C$32, 28.8769, 28.8767) * CHOOSE(CONTROL!$C$15, $D$11, 100%, $F$11)</f>
        <v>28.876899999999999</v>
      </c>
      <c r="J869" s="4">
        <f>CHOOSE( CONTROL!$C$32, 28.7151, 28.7148) * CHOOSE(CONTROL!$C$15, $D$11, 100%, $F$11)</f>
        <v>28.7151</v>
      </c>
      <c r="K869" s="4"/>
      <c r="L869" s="9">
        <v>29.306000000000001</v>
      </c>
      <c r="M869" s="9">
        <v>12.063700000000001</v>
      </c>
      <c r="N869" s="9">
        <v>4.9444999999999997</v>
      </c>
      <c r="O869" s="9">
        <v>0.37409999999999999</v>
      </c>
      <c r="P869" s="9">
        <v>1.2927</v>
      </c>
      <c r="Q869" s="9">
        <v>19.688099999999999</v>
      </c>
      <c r="R869" s="9"/>
      <c r="S869" s="11"/>
    </row>
    <row r="870" spans="1:19" ht="15.75">
      <c r="A870" s="13">
        <v>67631</v>
      </c>
      <c r="B870" s="8">
        <f>CHOOSE( CONTROL!$C$32, 27.6842, 27.6839) * CHOOSE(CONTROL!$C$15, $D$11, 100%, $F$11)</f>
        <v>27.684200000000001</v>
      </c>
      <c r="C870" s="8">
        <f>CHOOSE( CONTROL!$C$32, 27.6892, 27.689) * CHOOSE(CONTROL!$C$15, $D$11, 100%, $F$11)</f>
        <v>27.6892</v>
      </c>
      <c r="D870" s="8">
        <f>CHOOSE( CONTROL!$C$32, 27.6813, 27.6811) * CHOOSE( CONTROL!$C$15, $D$11, 100%, $F$11)</f>
        <v>27.6813</v>
      </c>
      <c r="E870" s="12">
        <f>CHOOSE( CONTROL!$C$32, 27.6837, 27.6834) * CHOOSE( CONTROL!$C$15, $D$11, 100%, $F$11)</f>
        <v>27.683700000000002</v>
      </c>
      <c r="F870" s="4">
        <f>CHOOSE( CONTROL!$C$32, 28.3494, 28.3492) * CHOOSE(CONTROL!$C$15, $D$11, 100%, $F$11)</f>
        <v>28.349399999999999</v>
      </c>
      <c r="G870" s="8">
        <f>CHOOSE( CONTROL!$C$32, 27.3699, 27.3696) * CHOOSE( CONTROL!$C$15, $D$11, 100%, $F$11)</f>
        <v>27.369900000000001</v>
      </c>
      <c r="H870" s="4">
        <f>CHOOSE( CONTROL!$C$32, 28.2641, 28.2638) * CHOOSE(CONTROL!$C$15, $D$11, 100%, $F$11)</f>
        <v>28.264099999999999</v>
      </c>
      <c r="I870" s="8">
        <f>CHOOSE( CONTROL!$C$32, 27.0042, 27.004) * CHOOSE(CONTROL!$C$15, $D$11, 100%, $F$11)</f>
        <v>27.004200000000001</v>
      </c>
      <c r="J870" s="4">
        <f>CHOOSE( CONTROL!$C$32, 26.8587, 26.8585) * CHOOSE(CONTROL!$C$15, $D$11, 100%, $F$11)</f>
        <v>26.858699999999999</v>
      </c>
      <c r="K870" s="4"/>
      <c r="L870" s="9">
        <v>26.469899999999999</v>
      </c>
      <c r="M870" s="9">
        <v>10.8962</v>
      </c>
      <c r="N870" s="9">
        <v>4.4660000000000002</v>
      </c>
      <c r="O870" s="9">
        <v>0.33789999999999998</v>
      </c>
      <c r="P870" s="9">
        <v>1.1676</v>
      </c>
      <c r="Q870" s="9">
        <v>17.782800000000002</v>
      </c>
      <c r="R870" s="9"/>
      <c r="S870" s="11"/>
    </row>
    <row r="871" spans="1:19" ht="15.75">
      <c r="A871" s="13">
        <v>67662</v>
      </c>
      <c r="B871" s="8">
        <f>CHOOSE( CONTROL!$C$32, 27.095, 27.0947) * CHOOSE(CONTROL!$C$15, $D$11, 100%, $F$11)</f>
        <v>27.094999999999999</v>
      </c>
      <c r="C871" s="8">
        <f>CHOOSE( CONTROL!$C$32, 27.1001, 27.0998) * CHOOSE(CONTROL!$C$15, $D$11, 100%, $F$11)</f>
        <v>27.100100000000001</v>
      </c>
      <c r="D871" s="8">
        <f>CHOOSE( CONTROL!$C$32, 27.0874, 27.0871) * CHOOSE( CONTROL!$C$15, $D$11, 100%, $F$11)</f>
        <v>27.087399999999999</v>
      </c>
      <c r="E871" s="12">
        <f>CHOOSE( CONTROL!$C$32, 27.0915, 27.0912) * CHOOSE( CONTROL!$C$15, $D$11, 100%, $F$11)</f>
        <v>27.0915</v>
      </c>
      <c r="F871" s="4">
        <f>CHOOSE( CONTROL!$C$32, 27.7603, 27.76) * CHOOSE(CONTROL!$C$15, $D$11, 100%, $F$11)</f>
        <v>27.760300000000001</v>
      </c>
      <c r="G871" s="8">
        <f>CHOOSE( CONTROL!$C$32, 26.7842, 26.7839) * CHOOSE( CONTROL!$C$15, $D$11, 100%, $F$11)</f>
        <v>26.784199999999998</v>
      </c>
      <c r="H871" s="4">
        <f>CHOOSE( CONTROL!$C$32, 27.6819, 27.6816) * CHOOSE(CONTROL!$C$15, $D$11, 100%, $F$11)</f>
        <v>27.681899999999999</v>
      </c>
      <c r="I871" s="8">
        <f>CHOOSE( CONTROL!$C$32, 26.4306, 26.4303) * CHOOSE(CONTROL!$C$15, $D$11, 100%, $F$11)</f>
        <v>26.430599999999998</v>
      </c>
      <c r="J871" s="4">
        <f>CHOOSE( CONTROL!$C$32, 26.287, 26.2867) * CHOOSE(CONTROL!$C$15, $D$11, 100%, $F$11)</f>
        <v>26.286999999999999</v>
      </c>
      <c r="K871" s="4"/>
      <c r="L871" s="9">
        <v>29.306000000000001</v>
      </c>
      <c r="M871" s="9">
        <v>12.063700000000001</v>
      </c>
      <c r="N871" s="9">
        <v>4.9444999999999997</v>
      </c>
      <c r="O871" s="9">
        <v>0.37409999999999999</v>
      </c>
      <c r="P871" s="9">
        <v>1.2927</v>
      </c>
      <c r="Q871" s="9">
        <v>19.688099999999999</v>
      </c>
      <c r="R871" s="9"/>
      <c r="S871" s="11"/>
    </row>
    <row r="872" spans="1:19" ht="15.75">
      <c r="A872" s="13">
        <v>67692</v>
      </c>
      <c r="B872" s="8">
        <f>CHOOSE( CONTROL!$C$32, 27.5075, 27.5072) * CHOOSE(CONTROL!$C$15, $D$11, 100%, $F$11)</f>
        <v>27.5075</v>
      </c>
      <c r="C872" s="8">
        <f>CHOOSE( CONTROL!$C$32, 27.512, 27.5117) * CHOOSE(CONTROL!$C$15, $D$11, 100%, $F$11)</f>
        <v>27.512</v>
      </c>
      <c r="D872" s="8">
        <f>CHOOSE( CONTROL!$C$32, 27.5168, 27.5166) * CHOOSE( CONTROL!$C$15, $D$11, 100%, $F$11)</f>
        <v>27.5168</v>
      </c>
      <c r="E872" s="12">
        <f>CHOOSE( CONTROL!$C$32, 27.5147, 27.5145) * CHOOSE( CONTROL!$C$15, $D$11, 100%, $F$11)</f>
        <v>27.514700000000001</v>
      </c>
      <c r="F872" s="4">
        <f>CHOOSE( CONTROL!$C$32, 28.2116, 28.2114) * CHOOSE(CONTROL!$C$15, $D$11, 100%, $F$11)</f>
        <v>28.211600000000001</v>
      </c>
      <c r="G872" s="8">
        <f>CHOOSE( CONTROL!$C$32, 27.1968, 27.1965) * CHOOSE( CONTROL!$C$15, $D$11, 100%, $F$11)</f>
        <v>27.1968</v>
      </c>
      <c r="H872" s="4">
        <f>CHOOSE( CONTROL!$C$32, 28.1279, 28.1276) * CHOOSE(CONTROL!$C$15, $D$11, 100%, $F$11)</f>
        <v>28.1279</v>
      </c>
      <c r="I872" s="8">
        <f>CHOOSE( CONTROL!$C$32, 26.8045, 26.8043) * CHOOSE(CONTROL!$C$15, $D$11, 100%, $F$11)</f>
        <v>26.804500000000001</v>
      </c>
      <c r="J872" s="4">
        <f>CHOOSE( CONTROL!$C$32, 26.6865, 26.6862) * CHOOSE(CONTROL!$C$15, $D$11, 100%, $F$11)</f>
        <v>26.686499999999999</v>
      </c>
      <c r="K872" s="4"/>
      <c r="L872" s="9">
        <v>30.092199999999998</v>
      </c>
      <c r="M872" s="9">
        <v>11.6745</v>
      </c>
      <c r="N872" s="9">
        <v>4.7850000000000001</v>
      </c>
      <c r="O872" s="9">
        <v>0.36199999999999999</v>
      </c>
      <c r="P872" s="9">
        <v>1.2509999999999999</v>
      </c>
      <c r="Q872" s="9">
        <v>19.053000000000001</v>
      </c>
      <c r="R872" s="9"/>
      <c r="S872" s="11"/>
    </row>
    <row r="873" spans="1:19" ht="15.75">
      <c r="A873" s="13">
        <v>67723</v>
      </c>
      <c r="B873" s="8">
        <f>CHOOSE( CONTROL!$C$32, 28.2417, 28.2412) * CHOOSE(CONTROL!$C$15, $D$11, 100%, $F$11)</f>
        <v>28.241700000000002</v>
      </c>
      <c r="C873" s="8">
        <f>CHOOSE( CONTROL!$C$32, 28.2497, 28.2492) * CHOOSE(CONTROL!$C$15, $D$11, 100%, $F$11)</f>
        <v>28.249700000000001</v>
      </c>
      <c r="D873" s="8">
        <f>CHOOSE( CONTROL!$C$32, 28.2485, 28.248) * CHOOSE( CONTROL!$C$15, $D$11, 100%, $F$11)</f>
        <v>28.2485</v>
      </c>
      <c r="E873" s="12">
        <f>CHOOSE( CONTROL!$C$32, 28.2477, 28.2472) * CHOOSE( CONTROL!$C$15, $D$11, 100%, $F$11)</f>
        <v>28.247699999999998</v>
      </c>
      <c r="F873" s="4">
        <f>CHOOSE( CONTROL!$C$32, 28.9445, 28.9441) * CHOOSE(CONTROL!$C$15, $D$11, 100%, $F$11)</f>
        <v>28.944500000000001</v>
      </c>
      <c r="G873" s="8">
        <f>CHOOSE( CONTROL!$C$32, 27.9209, 27.9204) * CHOOSE( CONTROL!$C$15, $D$11, 100%, $F$11)</f>
        <v>27.9209</v>
      </c>
      <c r="H873" s="4">
        <f>CHOOSE( CONTROL!$C$32, 28.8522, 28.8517) * CHOOSE(CONTROL!$C$15, $D$11, 100%, $F$11)</f>
        <v>28.8522</v>
      </c>
      <c r="I873" s="8">
        <f>CHOOSE( CONTROL!$C$32, 27.5153, 27.5149) * CHOOSE(CONTROL!$C$15, $D$11, 100%, $F$11)</f>
        <v>27.5153</v>
      </c>
      <c r="J873" s="4">
        <f>CHOOSE( CONTROL!$C$32, 27.3977, 27.3973) * CHOOSE(CONTROL!$C$15, $D$11, 100%, $F$11)</f>
        <v>27.3977</v>
      </c>
      <c r="K873" s="4"/>
      <c r="L873" s="9">
        <v>30.7165</v>
      </c>
      <c r="M873" s="9">
        <v>12.063700000000001</v>
      </c>
      <c r="N873" s="9">
        <v>4.9444999999999997</v>
      </c>
      <c r="O873" s="9">
        <v>0.37409999999999999</v>
      </c>
      <c r="P873" s="9">
        <v>1.2927</v>
      </c>
      <c r="Q873" s="9">
        <v>19.688099999999999</v>
      </c>
      <c r="R873" s="9"/>
      <c r="S873" s="11"/>
    </row>
    <row r="874" spans="1:19" ht="15.75">
      <c r="A874" s="13">
        <v>67753</v>
      </c>
      <c r="B874" s="8">
        <f>CHOOSE( CONTROL!$C$32, 27.7878, 27.7874) * CHOOSE(CONTROL!$C$15, $D$11, 100%, $F$11)</f>
        <v>27.787800000000001</v>
      </c>
      <c r="C874" s="8">
        <f>CHOOSE( CONTROL!$C$32, 27.7958, 27.7953) * CHOOSE(CONTROL!$C$15, $D$11, 100%, $F$11)</f>
        <v>27.7958</v>
      </c>
      <c r="D874" s="8">
        <f>CHOOSE( CONTROL!$C$32, 27.7948, 27.7943) * CHOOSE( CONTROL!$C$15, $D$11, 100%, $F$11)</f>
        <v>27.794799999999999</v>
      </c>
      <c r="E874" s="12">
        <f>CHOOSE( CONTROL!$C$32, 27.7939, 27.7935) * CHOOSE( CONTROL!$C$15, $D$11, 100%, $F$11)</f>
        <v>27.793900000000001</v>
      </c>
      <c r="F874" s="4">
        <f>CHOOSE( CONTROL!$C$32, 28.4906, 28.4902) * CHOOSE(CONTROL!$C$15, $D$11, 100%, $F$11)</f>
        <v>28.490600000000001</v>
      </c>
      <c r="G874" s="8">
        <f>CHOOSE( CONTROL!$C$32, 27.4725, 27.472) * CHOOSE( CONTROL!$C$15, $D$11, 100%, $F$11)</f>
        <v>27.4725</v>
      </c>
      <c r="H874" s="4">
        <f>CHOOSE( CONTROL!$C$32, 28.4036, 28.4032) * CHOOSE(CONTROL!$C$15, $D$11, 100%, $F$11)</f>
        <v>28.403600000000001</v>
      </c>
      <c r="I874" s="8">
        <f>CHOOSE( CONTROL!$C$32, 27.0753, 27.0748) * CHOOSE(CONTROL!$C$15, $D$11, 100%, $F$11)</f>
        <v>27.075299999999999</v>
      </c>
      <c r="J874" s="4">
        <f>CHOOSE( CONTROL!$C$32, 26.9573, 26.9568) * CHOOSE(CONTROL!$C$15, $D$11, 100%, $F$11)</f>
        <v>26.9573</v>
      </c>
      <c r="K874" s="4"/>
      <c r="L874" s="9">
        <v>29.7257</v>
      </c>
      <c r="M874" s="9">
        <v>11.6745</v>
      </c>
      <c r="N874" s="9">
        <v>4.7850000000000001</v>
      </c>
      <c r="O874" s="9">
        <v>0.36199999999999999</v>
      </c>
      <c r="P874" s="9">
        <v>1.2509999999999999</v>
      </c>
      <c r="Q874" s="9">
        <v>19.053000000000001</v>
      </c>
      <c r="R874" s="9"/>
      <c r="S874" s="11"/>
    </row>
    <row r="875" spans="1:19" ht="15.75">
      <c r="A875" s="13">
        <v>67784</v>
      </c>
      <c r="B875" s="8">
        <f>CHOOSE( CONTROL!$C$32, 28.983, 28.9826) * CHOOSE(CONTROL!$C$15, $D$11, 100%, $F$11)</f>
        <v>28.983000000000001</v>
      </c>
      <c r="C875" s="8">
        <f>CHOOSE( CONTROL!$C$32, 28.991, 28.9906) * CHOOSE(CONTROL!$C$15, $D$11, 100%, $F$11)</f>
        <v>28.991</v>
      </c>
      <c r="D875" s="8">
        <f>CHOOSE( CONTROL!$C$32, 28.9902, 28.9898) * CHOOSE( CONTROL!$C$15, $D$11, 100%, $F$11)</f>
        <v>28.990200000000002</v>
      </c>
      <c r="E875" s="12">
        <f>CHOOSE( CONTROL!$C$32, 28.9893, 28.9889) * CHOOSE( CONTROL!$C$15, $D$11, 100%, $F$11)</f>
        <v>28.9893</v>
      </c>
      <c r="F875" s="4">
        <f>CHOOSE( CONTROL!$C$32, 29.6859, 29.6854) * CHOOSE(CONTROL!$C$15, $D$11, 100%, $F$11)</f>
        <v>29.6859</v>
      </c>
      <c r="G875" s="8">
        <f>CHOOSE( CONTROL!$C$32, 28.6539, 28.6534) * CHOOSE( CONTROL!$C$15, $D$11, 100%, $F$11)</f>
        <v>28.6539</v>
      </c>
      <c r="H875" s="4">
        <f>CHOOSE( CONTROL!$C$32, 29.5849, 29.5844) * CHOOSE(CONTROL!$C$15, $D$11, 100%, $F$11)</f>
        <v>29.584900000000001</v>
      </c>
      <c r="I875" s="8">
        <f>CHOOSE( CONTROL!$C$32, 28.2366, 28.2362) * CHOOSE(CONTROL!$C$15, $D$11, 100%, $F$11)</f>
        <v>28.236599999999999</v>
      </c>
      <c r="J875" s="4">
        <f>CHOOSE( CONTROL!$C$32, 28.1172, 28.1168) * CHOOSE(CONTROL!$C$15, $D$11, 100%, $F$11)</f>
        <v>28.1172</v>
      </c>
      <c r="K875" s="4"/>
      <c r="L875" s="9">
        <v>30.7165</v>
      </c>
      <c r="M875" s="9">
        <v>12.063700000000001</v>
      </c>
      <c r="N875" s="9">
        <v>4.9444999999999997</v>
      </c>
      <c r="O875" s="9">
        <v>0.37409999999999999</v>
      </c>
      <c r="P875" s="9">
        <v>1.2927</v>
      </c>
      <c r="Q875" s="9">
        <v>19.688099999999999</v>
      </c>
      <c r="R875" s="9"/>
      <c r="S875" s="11"/>
    </row>
    <row r="876" spans="1:19" ht="15.75">
      <c r="A876" s="13">
        <v>67815</v>
      </c>
      <c r="B876" s="8">
        <f>CHOOSE( CONTROL!$C$32, 26.7467, 26.7462) * CHOOSE(CONTROL!$C$15, $D$11, 100%, $F$11)</f>
        <v>26.746700000000001</v>
      </c>
      <c r="C876" s="8">
        <f>CHOOSE( CONTROL!$C$32, 26.7546, 26.7542) * CHOOSE(CONTROL!$C$15, $D$11, 100%, $F$11)</f>
        <v>26.7546</v>
      </c>
      <c r="D876" s="8">
        <f>CHOOSE( CONTROL!$C$32, 26.7539, 26.7534) * CHOOSE( CONTROL!$C$15, $D$11, 100%, $F$11)</f>
        <v>26.753900000000002</v>
      </c>
      <c r="E876" s="12">
        <f>CHOOSE( CONTROL!$C$32, 26.7529, 26.7525) * CHOOSE( CONTROL!$C$15, $D$11, 100%, $F$11)</f>
        <v>26.7529</v>
      </c>
      <c r="F876" s="4">
        <f>CHOOSE( CONTROL!$C$32, 27.4495, 27.449) * CHOOSE(CONTROL!$C$15, $D$11, 100%, $F$11)</f>
        <v>27.4495</v>
      </c>
      <c r="G876" s="8">
        <f>CHOOSE( CONTROL!$C$32, 26.4437, 26.4433) * CHOOSE( CONTROL!$C$15, $D$11, 100%, $F$11)</f>
        <v>26.4437</v>
      </c>
      <c r="H876" s="4">
        <f>CHOOSE( CONTROL!$C$32, 27.3747, 27.3742) * CHOOSE(CONTROL!$C$15, $D$11, 100%, $F$11)</f>
        <v>27.374700000000001</v>
      </c>
      <c r="I876" s="8">
        <f>CHOOSE( CONTROL!$C$32, 26.0653, 26.0649) * CHOOSE(CONTROL!$C$15, $D$11, 100%, $F$11)</f>
        <v>26.065300000000001</v>
      </c>
      <c r="J876" s="4">
        <f>CHOOSE( CONTROL!$C$32, 25.9468, 25.9464) * CHOOSE(CONTROL!$C$15, $D$11, 100%, $F$11)</f>
        <v>25.9468</v>
      </c>
      <c r="K876" s="4"/>
      <c r="L876" s="9">
        <v>30.7165</v>
      </c>
      <c r="M876" s="9">
        <v>12.063700000000001</v>
      </c>
      <c r="N876" s="9">
        <v>4.9444999999999997</v>
      </c>
      <c r="O876" s="9">
        <v>0.37409999999999999</v>
      </c>
      <c r="P876" s="9">
        <v>1.2927</v>
      </c>
      <c r="Q876" s="9">
        <v>19.688099999999999</v>
      </c>
      <c r="R876" s="9"/>
      <c r="S876" s="11"/>
    </row>
    <row r="877" spans="1:19" ht="15.75">
      <c r="A877" s="13">
        <v>67845</v>
      </c>
      <c r="B877" s="8">
        <f>CHOOSE( CONTROL!$C$32, 26.1866, 26.1862) * CHOOSE(CONTROL!$C$15, $D$11, 100%, $F$11)</f>
        <v>26.186599999999999</v>
      </c>
      <c r="C877" s="8">
        <f>CHOOSE( CONTROL!$C$32, 26.1946, 26.1942) * CHOOSE(CONTROL!$C$15, $D$11, 100%, $F$11)</f>
        <v>26.194600000000001</v>
      </c>
      <c r="D877" s="8">
        <f>CHOOSE( CONTROL!$C$32, 26.1937, 26.1933) * CHOOSE( CONTROL!$C$15, $D$11, 100%, $F$11)</f>
        <v>26.1937</v>
      </c>
      <c r="E877" s="12">
        <f>CHOOSE( CONTROL!$C$32, 26.1928, 26.1924) * CHOOSE( CONTROL!$C$15, $D$11, 100%, $F$11)</f>
        <v>26.192799999999998</v>
      </c>
      <c r="F877" s="4">
        <f>CHOOSE( CONTROL!$C$32, 26.8895, 26.889) * CHOOSE(CONTROL!$C$15, $D$11, 100%, $F$11)</f>
        <v>26.889500000000002</v>
      </c>
      <c r="G877" s="8">
        <f>CHOOSE( CONTROL!$C$32, 25.8901, 25.8897) * CHOOSE( CONTROL!$C$15, $D$11, 100%, $F$11)</f>
        <v>25.8901</v>
      </c>
      <c r="H877" s="4">
        <f>CHOOSE( CONTROL!$C$32, 26.8212, 26.8208) * CHOOSE(CONTROL!$C$15, $D$11, 100%, $F$11)</f>
        <v>26.821200000000001</v>
      </c>
      <c r="I877" s="8">
        <f>CHOOSE( CONTROL!$C$32, 25.521, 25.5206) * CHOOSE(CONTROL!$C$15, $D$11, 100%, $F$11)</f>
        <v>25.521000000000001</v>
      </c>
      <c r="J877" s="4">
        <f>CHOOSE( CONTROL!$C$32, 25.4033, 25.4029) * CHOOSE(CONTROL!$C$15, $D$11, 100%, $F$11)</f>
        <v>25.403300000000002</v>
      </c>
      <c r="K877" s="4"/>
      <c r="L877" s="9">
        <v>29.7257</v>
      </c>
      <c r="M877" s="9">
        <v>11.6745</v>
      </c>
      <c r="N877" s="9">
        <v>4.7850000000000001</v>
      </c>
      <c r="O877" s="9">
        <v>0.36199999999999999</v>
      </c>
      <c r="P877" s="9">
        <v>1.2509999999999999</v>
      </c>
      <c r="Q877" s="9">
        <v>19.053000000000001</v>
      </c>
      <c r="R877" s="9"/>
      <c r="S877" s="11"/>
    </row>
    <row r="878" spans="1:19" ht="15.75">
      <c r="A878" s="13">
        <v>67876</v>
      </c>
      <c r="B878" s="8">
        <f>CHOOSE( CONTROL!$C$32, 27.3475, 27.3472) * CHOOSE(CONTROL!$C$15, $D$11, 100%, $F$11)</f>
        <v>27.3475</v>
      </c>
      <c r="C878" s="8">
        <f>CHOOSE( CONTROL!$C$32, 27.3528, 27.3526) * CHOOSE(CONTROL!$C$15, $D$11, 100%, $F$11)</f>
        <v>27.352799999999998</v>
      </c>
      <c r="D878" s="8">
        <f>CHOOSE( CONTROL!$C$32, 27.3576, 27.3573) * CHOOSE( CONTROL!$C$15, $D$11, 100%, $F$11)</f>
        <v>27.357600000000001</v>
      </c>
      <c r="E878" s="12">
        <f>CHOOSE( CONTROL!$C$32, 27.3555, 27.3552) * CHOOSE( CONTROL!$C$15, $D$11, 100%, $F$11)</f>
        <v>27.355499999999999</v>
      </c>
      <c r="F878" s="4">
        <f>CHOOSE( CONTROL!$C$32, 28.0521, 28.0518) * CHOOSE(CONTROL!$C$15, $D$11, 100%, $F$11)</f>
        <v>28.052099999999999</v>
      </c>
      <c r="G878" s="8">
        <f>CHOOSE( CONTROL!$C$32, 27.0393, 27.039) * CHOOSE( CONTROL!$C$15, $D$11, 100%, $F$11)</f>
        <v>27.039300000000001</v>
      </c>
      <c r="H878" s="4">
        <f>CHOOSE( CONTROL!$C$32, 27.9702, 27.9699) * CHOOSE(CONTROL!$C$15, $D$11, 100%, $F$11)</f>
        <v>27.970199999999998</v>
      </c>
      <c r="I878" s="8">
        <f>CHOOSE( CONTROL!$C$32, 26.6507, 26.6504) * CHOOSE(CONTROL!$C$15, $D$11, 100%, $F$11)</f>
        <v>26.650700000000001</v>
      </c>
      <c r="J878" s="4">
        <f>CHOOSE( CONTROL!$C$32, 26.5316, 26.5314) * CHOOSE(CONTROL!$C$15, $D$11, 100%, $F$11)</f>
        <v>26.531600000000001</v>
      </c>
      <c r="K878" s="4"/>
      <c r="L878" s="9">
        <v>31.095300000000002</v>
      </c>
      <c r="M878" s="9">
        <v>12.063700000000001</v>
      </c>
      <c r="N878" s="9">
        <v>4.9444999999999997</v>
      </c>
      <c r="O878" s="9">
        <v>0.37409999999999999</v>
      </c>
      <c r="P878" s="9">
        <v>1.2927</v>
      </c>
      <c r="Q878" s="9">
        <v>19.688099999999999</v>
      </c>
      <c r="R878" s="9"/>
      <c r="S878" s="11"/>
    </row>
    <row r="879" spans="1:19" ht="15.75">
      <c r="A879" s="13">
        <v>67906</v>
      </c>
      <c r="B879" s="8">
        <f>CHOOSE( CONTROL!$C$32, 29.4934, 29.4931) * CHOOSE(CONTROL!$C$15, $D$11, 100%, $F$11)</f>
        <v>29.493400000000001</v>
      </c>
      <c r="C879" s="8">
        <f>CHOOSE( CONTROL!$C$32, 29.4985, 29.4982) * CHOOSE(CONTROL!$C$15, $D$11, 100%, $F$11)</f>
        <v>29.4985</v>
      </c>
      <c r="D879" s="8">
        <f>CHOOSE( CONTROL!$C$32, 29.4812, 29.4809) * CHOOSE( CONTROL!$C$15, $D$11, 100%, $F$11)</f>
        <v>29.481200000000001</v>
      </c>
      <c r="E879" s="12">
        <f>CHOOSE( CONTROL!$C$32, 29.487, 29.4867) * CHOOSE( CONTROL!$C$15, $D$11, 100%, $F$11)</f>
        <v>29.486999999999998</v>
      </c>
      <c r="F879" s="4">
        <f>CHOOSE( CONTROL!$C$32, 30.1587, 30.1584) * CHOOSE(CONTROL!$C$15, $D$11, 100%, $F$11)</f>
        <v>30.1587</v>
      </c>
      <c r="G879" s="8">
        <f>CHOOSE( CONTROL!$C$32, 29.1574, 29.1571) * CHOOSE( CONTROL!$C$15, $D$11, 100%, $F$11)</f>
        <v>29.157399999999999</v>
      </c>
      <c r="H879" s="4">
        <f>CHOOSE( CONTROL!$C$32, 30.0521, 30.0519) * CHOOSE(CONTROL!$C$15, $D$11, 100%, $F$11)</f>
        <v>30.052099999999999</v>
      </c>
      <c r="I879" s="8">
        <f>CHOOSE( CONTROL!$C$32, 28.7903, 28.7901) * CHOOSE(CONTROL!$C$15, $D$11, 100%, $F$11)</f>
        <v>28.790299999999998</v>
      </c>
      <c r="J879" s="4">
        <f>CHOOSE( CONTROL!$C$32, 28.6146, 28.6143) * CHOOSE(CONTROL!$C$15, $D$11, 100%, $F$11)</f>
        <v>28.614599999999999</v>
      </c>
      <c r="K879" s="4"/>
      <c r="L879" s="9">
        <v>28.360600000000002</v>
      </c>
      <c r="M879" s="9">
        <v>11.6745</v>
      </c>
      <c r="N879" s="9">
        <v>4.7850000000000001</v>
      </c>
      <c r="O879" s="9">
        <v>0.36199999999999999</v>
      </c>
      <c r="P879" s="9">
        <v>1.2509999999999999</v>
      </c>
      <c r="Q879" s="9">
        <v>19.053000000000001</v>
      </c>
      <c r="R879" s="9"/>
      <c r="S879" s="11"/>
    </row>
    <row r="880" spans="1:19" ht="15.75">
      <c r="A880" s="13">
        <v>67937</v>
      </c>
      <c r="B880" s="8">
        <f>CHOOSE( CONTROL!$C$32, 29.4398, 29.4395) * CHOOSE(CONTROL!$C$15, $D$11, 100%, $F$11)</f>
        <v>29.439800000000002</v>
      </c>
      <c r="C880" s="8">
        <f>CHOOSE( CONTROL!$C$32, 29.4448, 29.4446) * CHOOSE(CONTROL!$C$15, $D$11, 100%, $F$11)</f>
        <v>29.444800000000001</v>
      </c>
      <c r="D880" s="8">
        <f>CHOOSE( CONTROL!$C$32, 29.4293, 29.4291) * CHOOSE( CONTROL!$C$15, $D$11, 100%, $F$11)</f>
        <v>29.429300000000001</v>
      </c>
      <c r="E880" s="12">
        <f>CHOOSE( CONTROL!$C$32, 29.4344, 29.4342) * CHOOSE( CONTROL!$C$15, $D$11, 100%, $F$11)</f>
        <v>29.4344</v>
      </c>
      <c r="F880" s="4">
        <f>CHOOSE( CONTROL!$C$32, 30.105, 30.1048) * CHOOSE(CONTROL!$C$15, $D$11, 100%, $F$11)</f>
        <v>30.105</v>
      </c>
      <c r="G880" s="8">
        <f>CHOOSE( CONTROL!$C$32, 29.1057, 29.1054) * CHOOSE( CONTROL!$C$15, $D$11, 100%, $F$11)</f>
        <v>29.105699999999999</v>
      </c>
      <c r="H880" s="4">
        <f>CHOOSE( CONTROL!$C$32, 29.9991, 29.9989) * CHOOSE(CONTROL!$C$15, $D$11, 100%, $F$11)</f>
        <v>29.999099999999999</v>
      </c>
      <c r="I880" s="8">
        <f>CHOOSE( CONTROL!$C$32, 28.7438, 28.7436) * CHOOSE(CONTROL!$C$15, $D$11, 100%, $F$11)</f>
        <v>28.7438</v>
      </c>
      <c r="J880" s="4">
        <f>CHOOSE( CONTROL!$C$32, 28.5625, 28.5623) * CHOOSE(CONTROL!$C$15, $D$11, 100%, $F$11)</f>
        <v>28.5625</v>
      </c>
      <c r="K880" s="4"/>
      <c r="L880" s="9">
        <v>29.306000000000001</v>
      </c>
      <c r="M880" s="9">
        <v>12.063700000000001</v>
      </c>
      <c r="N880" s="9">
        <v>4.9444999999999997</v>
      </c>
      <c r="O880" s="9">
        <v>0.37409999999999999</v>
      </c>
      <c r="P880" s="9">
        <v>1.2927</v>
      </c>
      <c r="Q880" s="9">
        <v>19.688099999999999</v>
      </c>
      <c r="R880" s="9"/>
      <c r="S880" s="11"/>
    </row>
    <row r="881" spans="1:19" ht="15.75">
      <c r="A881" s="13">
        <v>67968</v>
      </c>
      <c r="B881" s="8">
        <f>CHOOSE( CONTROL!$C$32, 30.3079, 30.3076) * CHOOSE(CONTROL!$C$15, $D$11, 100%, $F$11)</f>
        <v>30.3079</v>
      </c>
      <c r="C881" s="8">
        <f>CHOOSE( CONTROL!$C$32, 30.3129, 30.3127) * CHOOSE(CONTROL!$C$15, $D$11, 100%, $F$11)</f>
        <v>30.312899999999999</v>
      </c>
      <c r="D881" s="8">
        <f>CHOOSE( CONTROL!$C$32, 30.3034, 30.3031) * CHOOSE( CONTROL!$C$15, $D$11, 100%, $F$11)</f>
        <v>30.3034</v>
      </c>
      <c r="E881" s="12">
        <f>CHOOSE( CONTROL!$C$32, 30.3063, 30.3061) * CHOOSE( CONTROL!$C$15, $D$11, 100%, $F$11)</f>
        <v>30.3063</v>
      </c>
      <c r="F881" s="4">
        <f>CHOOSE( CONTROL!$C$32, 30.9731, 30.9729) * CHOOSE(CONTROL!$C$15, $D$11, 100%, $F$11)</f>
        <v>30.973099999999999</v>
      </c>
      <c r="G881" s="8">
        <f>CHOOSE( CONTROL!$C$32, 29.9643, 29.964) * CHOOSE( CONTROL!$C$15, $D$11, 100%, $F$11)</f>
        <v>29.964300000000001</v>
      </c>
      <c r="H881" s="4">
        <f>CHOOSE( CONTROL!$C$32, 30.8571, 30.8568) * CHOOSE(CONTROL!$C$15, $D$11, 100%, $F$11)</f>
        <v>30.857099999999999</v>
      </c>
      <c r="I881" s="8">
        <f>CHOOSE( CONTROL!$C$32, 29.5672, 29.5669) * CHOOSE(CONTROL!$C$15, $D$11, 100%, $F$11)</f>
        <v>29.5672</v>
      </c>
      <c r="J881" s="4">
        <f>CHOOSE( CONTROL!$C$32, 29.405, 29.4048) * CHOOSE(CONTROL!$C$15, $D$11, 100%, $F$11)</f>
        <v>29.405000000000001</v>
      </c>
      <c r="K881" s="4"/>
      <c r="L881" s="9">
        <v>29.306000000000001</v>
      </c>
      <c r="M881" s="9">
        <v>12.063700000000001</v>
      </c>
      <c r="N881" s="9">
        <v>4.9444999999999997</v>
      </c>
      <c r="O881" s="9">
        <v>0.37409999999999999</v>
      </c>
      <c r="P881" s="9">
        <v>1.2927</v>
      </c>
      <c r="Q881" s="9">
        <v>19.688099999999999</v>
      </c>
      <c r="R881" s="9"/>
      <c r="S881" s="11"/>
    </row>
    <row r="882" spans="1:19" ht="15.75">
      <c r="A882" s="13">
        <v>67996</v>
      </c>
      <c r="B882" s="8">
        <f>CHOOSE( CONTROL!$C$32, 28.3491, 28.3488) * CHOOSE(CONTROL!$C$15, $D$11, 100%, $F$11)</f>
        <v>28.3491</v>
      </c>
      <c r="C882" s="8">
        <f>CHOOSE( CONTROL!$C$32, 28.3542, 28.3539) * CHOOSE(CONTROL!$C$15, $D$11, 100%, $F$11)</f>
        <v>28.354199999999999</v>
      </c>
      <c r="D882" s="8">
        <f>CHOOSE( CONTROL!$C$32, 28.3463, 28.346) * CHOOSE( CONTROL!$C$15, $D$11, 100%, $F$11)</f>
        <v>28.346299999999999</v>
      </c>
      <c r="E882" s="12">
        <f>CHOOSE( CONTROL!$C$32, 28.3486, 28.3483) * CHOOSE( CONTROL!$C$15, $D$11, 100%, $F$11)</f>
        <v>28.348600000000001</v>
      </c>
      <c r="F882" s="4">
        <f>CHOOSE( CONTROL!$C$32, 29.0144, 29.0141) * CHOOSE(CONTROL!$C$15, $D$11, 100%, $F$11)</f>
        <v>29.014399999999998</v>
      </c>
      <c r="G882" s="8">
        <f>CHOOSE( CONTROL!$C$32, 28.027, 28.0268) * CHOOSE( CONTROL!$C$15, $D$11, 100%, $F$11)</f>
        <v>28.027000000000001</v>
      </c>
      <c r="H882" s="4">
        <f>CHOOSE( CONTROL!$C$32, 28.9213, 28.921) * CHOOSE(CONTROL!$C$15, $D$11, 100%, $F$11)</f>
        <v>28.921299999999999</v>
      </c>
      <c r="I882" s="8">
        <f>CHOOSE( CONTROL!$C$32, 27.6499, 27.6496) * CHOOSE(CONTROL!$C$15, $D$11, 100%, $F$11)</f>
        <v>27.649899999999999</v>
      </c>
      <c r="J882" s="4">
        <f>CHOOSE( CONTROL!$C$32, 27.5041, 27.5038) * CHOOSE(CONTROL!$C$15, $D$11, 100%, $F$11)</f>
        <v>27.504100000000001</v>
      </c>
      <c r="K882" s="4"/>
      <c r="L882" s="9">
        <v>26.469899999999999</v>
      </c>
      <c r="M882" s="9">
        <v>10.8962</v>
      </c>
      <c r="N882" s="9">
        <v>4.4660000000000002</v>
      </c>
      <c r="O882" s="9">
        <v>0.33789999999999998</v>
      </c>
      <c r="P882" s="9">
        <v>1.1676</v>
      </c>
      <c r="Q882" s="9">
        <v>17.782800000000002</v>
      </c>
      <c r="R882" s="9"/>
      <c r="S882" s="11"/>
    </row>
    <row r="883" spans="1:19" ht="15.75">
      <c r="A883" s="13">
        <v>68027</v>
      </c>
      <c r="B883" s="8">
        <f>CHOOSE( CONTROL!$C$32, 27.7458, 27.7456) * CHOOSE(CONTROL!$C$15, $D$11, 100%, $F$11)</f>
        <v>27.745799999999999</v>
      </c>
      <c r="C883" s="8">
        <f>CHOOSE( CONTROL!$C$32, 27.7509, 27.7506) * CHOOSE(CONTROL!$C$15, $D$11, 100%, $F$11)</f>
        <v>27.750900000000001</v>
      </c>
      <c r="D883" s="8">
        <f>CHOOSE( CONTROL!$C$32, 27.7382, 27.7379) * CHOOSE( CONTROL!$C$15, $D$11, 100%, $F$11)</f>
        <v>27.738199999999999</v>
      </c>
      <c r="E883" s="12">
        <f>CHOOSE( CONTROL!$C$32, 27.7423, 27.742) * CHOOSE( CONTROL!$C$15, $D$11, 100%, $F$11)</f>
        <v>27.7423</v>
      </c>
      <c r="F883" s="4">
        <f>CHOOSE( CONTROL!$C$32, 28.4111, 28.4108) * CHOOSE(CONTROL!$C$15, $D$11, 100%, $F$11)</f>
        <v>28.411100000000001</v>
      </c>
      <c r="G883" s="8">
        <f>CHOOSE( CONTROL!$C$32, 27.4273, 27.4271) * CHOOSE( CONTROL!$C$15, $D$11, 100%, $F$11)</f>
        <v>27.427299999999999</v>
      </c>
      <c r="H883" s="4">
        <f>CHOOSE( CONTROL!$C$32, 28.325, 28.3248) * CHOOSE(CONTROL!$C$15, $D$11, 100%, $F$11)</f>
        <v>28.324999999999999</v>
      </c>
      <c r="I883" s="8">
        <f>CHOOSE( CONTROL!$C$32, 27.0625, 27.0622) * CHOOSE(CONTROL!$C$15, $D$11, 100%, $F$11)</f>
        <v>27.0625</v>
      </c>
      <c r="J883" s="4">
        <f>CHOOSE( CONTROL!$C$32, 26.9186, 26.9183) * CHOOSE(CONTROL!$C$15, $D$11, 100%, $F$11)</f>
        <v>26.918600000000001</v>
      </c>
      <c r="K883" s="4"/>
      <c r="L883" s="9">
        <v>29.306000000000001</v>
      </c>
      <c r="M883" s="9">
        <v>12.063700000000001</v>
      </c>
      <c r="N883" s="9">
        <v>4.9444999999999997</v>
      </c>
      <c r="O883" s="9">
        <v>0.37409999999999999</v>
      </c>
      <c r="P883" s="9">
        <v>1.2927</v>
      </c>
      <c r="Q883" s="9">
        <v>19.688099999999999</v>
      </c>
      <c r="R883" s="9"/>
      <c r="S883" s="11"/>
    </row>
    <row r="884" spans="1:19" ht="15.75">
      <c r="A884" s="13">
        <v>68057</v>
      </c>
      <c r="B884" s="8">
        <f>CHOOSE( CONTROL!$C$32, 28.1682, 28.1679) * CHOOSE(CONTROL!$C$15, $D$11, 100%, $F$11)</f>
        <v>28.168199999999999</v>
      </c>
      <c r="C884" s="8">
        <f>CHOOSE( CONTROL!$C$32, 28.1727, 28.1724) * CHOOSE(CONTROL!$C$15, $D$11, 100%, $F$11)</f>
        <v>28.172699999999999</v>
      </c>
      <c r="D884" s="8">
        <f>CHOOSE( CONTROL!$C$32, 28.1775, 28.1773) * CHOOSE( CONTROL!$C$15, $D$11, 100%, $F$11)</f>
        <v>28.177499999999998</v>
      </c>
      <c r="E884" s="12">
        <f>CHOOSE( CONTROL!$C$32, 28.1754, 28.1752) * CHOOSE( CONTROL!$C$15, $D$11, 100%, $F$11)</f>
        <v>28.1754</v>
      </c>
      <c r="F884" s="4">
        <f>CHOOSE( CONTROL!$C$32, 28.8723, 28.8721) * CHOOSE(CONTROL!$C$15, $D$11, 100%, $F$11)</f>
        <v>28.872299999999999</v>
      </c>
      <c r="G884" s="8">
        <f>CHOOSE( CONTROL!$C$32, 27.8497, 27.8495) * CHOOSE( CONTROL!$C$15, $D$11, 100%, $F$11)</f>
        <v>27.849699999999999</v>
      </c>
      <c r="H884" s="4">
        <f>CHOOSE( CONTROL!$C$32, 28.7809, 28.7806) * CHOOSE(CONTROL!$C$15, $D$11, 100%, $F$11)</f>
        <v>28.780899999999999</v>
      </c>
      <c r="I884" s="8">
        <f>CHOOSE( CONTROL!$C$32, 27.4461, 27.4458) * CHOOSE(CONTROL!$C$15, $D$11, 100%, $F$11)</f>
        <v>27.446100000000001</v>
      </c>
      <c r="J884" s="4">
        <f>CHOOSE( CONTROL!$C$32, 27.3277, 27.3274) * CHOOSE(CONTROL!$C$15, $D$11, 100%, $F$11)</f>
        <v>27.3277</v>
      </c>
      <c r="K884" s="4"/>
      <c r="L884" s="9">
        <v>30.092199999999998</v>
      </c>
      <c r="M884" s="9">
        <v>11.6745</v>
      </c>
      <c r="N884" s="9">
        <v>4.7850000000000001</v>
      </c>
      <c r="O884" s="9">
        <v>0.36199999999999999</v>
      </c>
      <c r="P884" s="9">
        <v>1.2509999999999999</v>
      </c>
      <c r="Q884" s="9">
        <v>19.053000000000001</v>
      </c>
      <c r="R884" s="9"/>
      <c r="S884" s="11"/>
    </row>
    <row r="885" spans="1:19" ht="15.75">
      <c r="A885" s="13">
        <v>68088</v>
      </c>
      <c r="B885" s="8">
        <f>CHOOSE( CONTROL!$C$32, 28.92, 28.9195) * CHOOSE(CONTROL!$C$15, $D$11, 100%, $F$11)</f>
        <v>28.92</v>
      </c>
      <c r="C885" s="8">
        <f>CHOOSE( CONTROL!$C$32, 28.928, 28.9275) * CHOOSE(CONTROL!$C$15, $D$11, 100%, $F$11)</f>
        <v>28.928000000000001</v>
      </c>
      <c r="D885" s="8">
        <f>CHOOSE( CONTROL!$C$32, 28.9267, 28.9263) * CHOOSE( CONTROL!$C$15, $D$11, 100%, $F$11)</f>
        <v>28.9267</v>
      </c>
      <c r="E885" s="12">
        <f>CHOOSE( CONTROL!$C$32, 28.926, 28.9255) * CHOOSE( CONTROL!$C$15, $D$11, 100%, $F$11)</f>
        <v>28.925999999999998</v>
      </c>
      <c r="F885" s="4">
        <f>CHOOSE( CONTROL!$C$32, 29.6228, 29.6224) * CHOOSE(CONTROL!$C$15, $D$11, 100%, $F$11)</f>
        <v>29.622800000000002</v>
      </c>
      <c r="G885" s="8">
        <f>CHOOSE( CONTROL!$C$32, 28.5912, 28.5908) * CHOOSE( CONTROL!$C$15, $D$11, 100%, $F$11)</f>
        <v>28.591200000000001</v>
      </c>
      <c r="H885" s="4">
        <f>CHOOSE( CONTROL!$C$32, 29.5225, 29.5221) * CHOOSE(CONTROL!$C$15, $D$11, 100%, $F$11)</f>
        <v>29.522500000000001</v>
      </c>
      <c r="I885" s="8">
        <f>CHOOSE( CONTROL!$C$32, 28.1739, 28.1735) * CHOOSE(CONTROL!$C$15, $D$11, 100%, $F$11)</f>
        <v>28.1739</v>
      </c>
      <c r="J885" s="4">
        <f>CHOOSE( CONTROL!$C$32, 28.056, 28.0556) * CHOOSE(CONTROL!$C$15, $D$11, 100%, $F$11)</f>
        <v>28.056000000000001</v>
      </c>
      <c r="K885" s="4"/>
      <c r="L885" s="9">
        <v>30.7165</v>
      </c>
      <c r="M885" s="9">
        <v>12.063700000000001</v>
      </c>
      <c r="N885" s="9">
        <v>4.9444999999999997</v>
      </c>
      <c r="O885" s="9">
        <v>0.37409999999999999</v>
      </c>
      <c r="P885" s="9">
        <v>1.2927</v>
      </c>
      <c r="Q885" s="9">
        <v>19.688099999999999</v>
      </c>
      <c r="R885" s="9"/>
      <c r="S885" s="11"/>
    </row>
    <row r="886" spans="1:19" ht="15.75">
      <c r="A886" s="13">
        <v>68118</v>
      </c>
      <c r="B886" s="8">
        <f>CHOOSE( CONTROL!$C$32, 28.4552, 28.4548) * CHOOSE(CONTROL!$C$15, $D$11, 100%, $F$11)</f>
        <v>28.455200000000001</v>
      </c>
      <c r="C886" s="8">
        <f>CHOOSE( CONTROL!$C$32, 28.4632, 28.4627) * CHOOSE(CONTROL!$C$15, $D$11, 100%, $F$11)</f>
        <v>28.463200000000001</v>
      </c>
      <c r="D886" s="8">
        <f>CHOOSE( CONTROL!$C$32, 28.4622, 28.4617) * CHOOSE( CONTROL!$C$15, $D$11, 100%, $F$11)</f>
        <v>28.462199999999999</v>
      </c>
      <c r="E886" s="12">
        <f>CHOOSE( CONTROL!$C$32, 28.4613, 28.4609) * CHOOSE( CONTROL!$C$15, $D$11, 100%, $F$11)</f>
        <v>28.461300000000001</v>
      </c>
      <c r="F886" s="4">
        <f>CHOOSE( CONTROL!$C$32, 29.158, 29.1576) * CHOOSE(CONTROL!$C$15, $D$11, 100%, $F$11)</f>
        <v>29.158000000000001</v>
      </c>
      <c r="G886" s="8">
        <f>CHOOSE( CONTROL!$C$32, 28.132, 28.1316) * CHOOSE( CONTROL!$C$15, $D$11, 100%, $F$11)</f>
        <v>28.132000000000001</v>
      </c>
      <c r="H886" s="4">
        <f>CHOOSE( CONTROL!$C$32, 29.0632, 29.0628) * CHOOSE(CONTROL!$C$15, $D$11, 100%, $F$11)</f>
        <v>29.063199999999998</v>
      </c>
      <c r="I886" s="8">
        <f>CHOOSE( CONTROL!$C$32, 27.7233, 27.7229) * CHOOSE(CONTROL!$C$15, $D$11, 100%, $F$11)</f>
        <v>27.723299999999998</v>
      </c>
      <c r="J886" s="4">
        <f>CHOOSE( CONTROL!$C$32, 27.605, 27.6045) * CHOOSE(CONTROL!$C$15, $D$11, 100%, $F$11)</f>
        <v>27.605</v>
      </c>
      <c r="K886" s="4"/>
      <c r="L886" s="9">
        <v>29.7257</v>
      </c>
      <c r="M886" s="9">
        <v>11.6745</v>
      </c>
      <c r="N886" s="9">
        <v>4.7850000000000001</v>
      </c>
      <c r="O886" s="9">
        <v>0.36199999999999999</v>
      </c>
      <c r="P886" s="9">
        <v>1.2509999999999999</v>
      </c>
      <c r="Q886" s="9">
        <v>19.053000000000001</v>
      </c>
      <c r="R886" s="9"/>
      <c r="S886" s="11"/>
    </row>
    <row r="887" spans="1:19" ht="15.75">
      <c r="A887" s="13">
        <v>68149</v>
      </c>
      <c r="B887" s="8">
        <f>CHOOSE( CONTROL!$C$32, 29.6791, 29.6787) * CHOOSE(CONTROL!$C$15, $D$11, 100%, $F$11)</f>
        <v>29.679099999999998</v>
      </c>
      <c r="C887" s="8">
        <f>CHOOSE( CONTROL!$C$32, 29.6871, 29.6867) * CHOOSE(CONTROL!$C$15, $D$11, 100%, $F$11)</f>
        <v>29.687100000000001</v>
      </c>
      <c r="D887" s="8">
        <f>CHOOSE( CONTROL!$C$32, 29.6863, 29.6859) * CHOOSE( CONTROL!$C$15, $D$11, 100%, $F$11)</f>
        <v>29.686299999999999</v>
      </c>
      <c r="E887" s="12">
        <f>CHOOSE( CONTROL!$C$32, 29.6854, 29.685) * CHOOSE( CONTROL!$C$15, $D$11, 100%, $F$11)</f>
        <v>29.685400000000001</v>
      </c>
      <c r="F887" s="4">
        <f>CHOOSE( CONTROL!$C$32, 30.382, 30.3815) * CHOOSE(CONTROL!$C$15, $D$11, 100%, $F$11)</f>
        <v>30.382000000000001</v>
      </c>
      <c r="G887" s="8">
        <f>CHOOSE( CONTROL!$C$32, 29.3418, 29.3414) * CHOOSE( CONTROL!$C$15, $D$11, 100%, $F$11)</f>
        <v>29.341799999999999</v>
      </c>
      <c r="H887" s="4">
        <f>CHOOSE( CONTROL!$C$32, 30.2728, 30.2724) * CHOOSE(CONTROL!$C$15, $D$11, 100%, $F$11)</f>
        <v>30.2728</v>
      </c>
      <c r="I887" s="8">
        <f>CHOOSE( CONTROL!$C$32, 28.9125, 28.9121) * CHOOSE(CONTROL!$C$15, $D$11, 100%, $F$11)</f>
        <v>28.912500000000001</v>
      </c>
      <c r="J887" s="4">
        <f>CHOOSE( CONTROL!$C$32, 28.7928, 28.7924) * CHOOSE(CONTROL!$C$15, $D$11, 100%, $F$11)</f>
        <v>28.7928</v>
      </c>
      <c r="K887" s="4"/>
      <c r="L887" s="9">
        <v>30.7165</v>
      </c>
      <c r="M887" s="9">
        <v>12.063700000000001</v>
      </c>
      <c r="N887" s="9">
        <v>4.9444999999999997</v>
      </c>
      <c r="O887" s="9">
        <v>0.37409999999999999</v>
      </c>
      <c r="P887" s="9">
        <v>1.2927</v>
      </c>
      <c r="Q887" s="9">
        <v>19.688099999999999</v>
      </c>
      <c r="R887" s="9"/>
      <c r="S887" s="11"/>
    </row>
    <row r="888" spans="1:19" ht="15.75">
      <c r="A888" s="13">
        <v>68180</v>
      </c>
      <c r="B888" s="8">
        <f>CHOOSE( CONTROL!$C$32, 27.389, 27.3886) * CHOOSE(CONTROL!$C$15, $D$11, 100%, $F$11)</f>
        <v>27.388999999999999</v>
      </c>
      <c r="C888" s="8">
        <f>CHOOSE( CONTROL!$C$32, 27.397, 27.3966) * CHOOSE(CONTROL!$C$15, $D$11, 100%, $F$11)</f>
        <v>27.396999999999998</v>
      </c>
      <c r="D888" s="8">
        <f>CHOOSE( CONTROL!$C$32, 27.3963, 27.3958) * CHOOSE( CONTROL!$C$15, $D$11, 100%, $F$11)</f>
        <v>27.3963</v>
      </c>
      <c r="E888" s="12">
        <f>CHOOSE( CONTROL!$C$32, 27.3953, 27.3949) * CHOOSE( CONTROL!$C$15, $D$11, 100%, $F$11)</f>
        <v>27.395299999999999</v>
      </c>
      <c r="F888" s="4">
        <f>CHOOSE( CONTROL!$C$32, 28.0919, 28.0914) * CHOOSE(CONTROL!$C$15, $D$11, 100%, $F$11)</f>
        <v>28.091899999999999</v>
      </c>
      <c r="G888" s="8">
        <f>CHOOSE( CONTROL!$C$32, 27.0786, 27.0781) * CHOOSE( CONTROL!$C$15, $D$11, 100%, $F$11)</f>
        <v>27.078600000000002</v>
      </c>
      <c r="H888" s="4">
        <f>CHOOSE( CONTROL!$C$32, 28.0095, 28.0091) * CHOOSE(CONTROL!$C$15, $D$11, 100%, $F$11)</f>
        <v>28.009499999999999</v>
      </c>
      <c r="I888" s="8">
        <f>CHOOSE( CONTROL!$C$32, 26.689, 26.6886) * CHOOSE(CONTROL!$C$15, $D$11, 100%, $F$11)</f>
        <v>26.689</v>
      </c>
      <c r="J888" s="4">
        <f>CHOOSE( CONTROL!$C$32, 26.5702, 26.5698) * CHOOSE(CONTROL!$C$15, $D$11, 100%, $F$11)</f>
        <v>26.5702</v>
      </c>
      <c r="K888" s="4"/>
      <c r="L888" s="9">
        <v>30.7165</v>
      </c>
      <c r="M888" s="9">
        <v>12.063700000000001</v>
      </c>
      <c r="N888" s="9">
        <v>4.9444999999999997</v>
      </c>
      <c r="O888" s="9">
        <v>0.37409999999999999</v>
      </c>
      <c r="P888" s="9">
        <v>1.2927</v>
      </c>
      <c r="Q888" s="9">
        <v>19.688099999999999</v>
      </c>
      <c r="R888" s="9"/>
      <c r="S888" s="11"/>
    </row>
    <row r="889" spans="1:19" ht="15.75">
      <c r="A889" s="13">
        <v>68210</v>
      </c>
      <c r="B889" s="8">
        <f>CHOOSE( CONTROL!$C$32, 26.8156, 26.8151) * CHOOSE(CONTROL!$C$15, $D$11, 100%, $F$11)</f>
        <v>26.8156</v>
      </c>
      <c r="C889" s="8">
        <f>CHOOSE( CONTROL!$C$32, 26.8235, 26.8231) * CHOOSE(CONTROL!$C$15, $D$11, 100%, $F$11)</f>
        <v>26.823499999999999</v>
      </c>
      <c r="D889" s="8">
        <f>CHOOSE( CONTROL!$C$32, 26.8226, 26.8222) * CHOOSE( CONTROL!$C$15, $D$11, 100%, $F$11)</f>
        <v>26.822600000000001</v>
      </c>
      <c r="E889" s="12">
        <f>CHOOSE( CONTROL!$C$32, 26.8217, 26.8213) * CHOOSE( CONTROL!$C$15, $D$11, 100%, $F$11)</f>
        <v>26.8217</v>
      </c>
      <c r="F889" s="4">
        <f>CHOOSE( CONTROL!$C$32, 27.5184, 27.5179) * CHOOSE(CONTROL!$C$15, $D$11, 100%, $F$11)</f>
        <v>27.5184</v>
      </c>
      <c r="G889" s="8">
        <f>CHOOSE( CONTROL!$C$32, 26.5117, 26.5112) * CHOOSE( CONTROL!$C$15, $D$11, 100%, $F$11)</f>
        <v>26.511700000000001</v>
      </c>
      <c r="H889" s="4">
        <f>CHOOSE( CONTROL!$C$32, 27.4428, 27.4423) * CHOOSE(CONTROL!$C$15, $D$11, 100%, $F$11)</f>
        <v>27.442799999999998</v>
      </c>
      <c r="I889" s="8">
        <f>CHOOSE( CONTROL!$C$32, 26.1317, 26.1312) * CHOOSE(CONTROL!$C$15, $D$11, 100%, $F$11)</f>
        <v>26.131699999999999</v>
      </c>
      <c r="J889" s="4">
        <f>CHOOSE( CONTROL!$C$32, 26.0137, 26.0132) * CHOOSE(CONTROL!$C$15, $D$11, 100%, $F$11)</f>
        <v>26.0137</v>
      </c>
      <c r="K889" s="4"/>
      <c r="L889" s="9">
        <v>29.7257</v>
      </c>
      <c r="M889" s="9">
        <v>11.6745</v>
      </c>
      <c r="N889" s="9">
        <v>4.7850000000000001</v>
      </c>
      <c r="O889" s="9">
        <v>0.36199999999999999</v>
      </c>
      <c r="P889" s="9">
        <v>1.2509999999999999</v>
      </c>
      <c r="Q889" s="9">
        <v>19.053000000000001</v>
      </c>
      <c r="R889" s="9"/>
      <c r="S889" s="11"/>
    </row>
    <row r="890" spans="1:19" ht="15.75">
      <c r="A890" s="13">
        <v>68241</v>
      </c>
      <c r="B890" s="8">
        <f>CHOOSE( CONTROL!$C$32, 28.0044, 28.0041) * CHOOSE(CONTROL!$C$15, $D$11, 100%, $F$11)</f>
        <v>28.0044</v>
      </c>
      <c r="C890" s="8">
        <f>CHOOSE( CONTROL!$C$32, 28.0097, 28.0094) * CHOOSE(CONTROL!$C$15, $D$11, 100%, $F$11)</f>
        <v>28.009699999999999</v>
      </c>
      <c r="D890" s="8">
        <f>CHOOSE( CONTROL!$C$32, 28.0144, 28.0141) * CHOOSE( CONTROL!$C$15, $D$11, 100%, $F$11)</f>
        <v>28.014399999999998</v>
      </c>
      <c r="E890" s="12">
        <f>CHOOSE( CONTROL!$C$32, 28.0123, 28.012) * CHOOSE( CONTROL!$C$15, $D$11, 100%, $F$11)</f>
        <v>28.0123</v>
      </c>
      <c r="F890" s="4">
        <f>CHOOSE( CONTROL!$C$32, 28.7089, 28.7086) * CHOOSE(CONTROL!$C$15, $D$11, 100%, $F$11)</f>
        <v>28.7089</v>
      </c>
      <c r="G890" s="8">
        <f>CHOOSE( CONTROL!$C$32, 27.6885, 27.6882) * CHOOSE( CONTROL!$C$15, $D$11, 100%, $F$11)</f>
        <v>27.688500000000001</v>
      </c>
      <c r="H890" s="4">
        <f>CHOOSE( CONTROL!$C$32, 28.6194, 28.6191) * CHOOSE(CONTROL!$C$15, $D$11, 100%, $F$11)</f>
        <v>28.619399999999999</v>
      </c>
      <c r="I890" s="8">
        <f>CHOOSE( CONTROL!$C$32, 27.2885, 27.2882) * CHOOSE(CONTROL!$C$15, $D$11, 100%, $F$11)</f>
        <v>27.288499999999999</v>
      </c>
      <c r="J890" s="4">
        <f>CHOOSE( CONTROL!$C$32, 27.1691, 27.1688) * CHOOSE(CONTROL!$C$15, $D$11, 100%, $F$11)</f>
        <v>27.1691</v>
      </c>
      <c r="K890" s="4"/>
      <c r="L890" s="9">
        <v>31.095300000000002</v>
      </c>
      <c r="M890" s="9">
        <v>12.063700000000001</v>
      </c>
      <c r="N890" s="9">
        <v>4.9444999999999997</v>
      </c>
      <c r="O890" s="9">
        <v>0.37409999999999999</v>
      </c>
      <c r="P890" s="9">
        <v>1.2927</v>
      </c>
      <c r="Q890" s="9">
        <v>19.688099999999999</v>
      </c>
      <c r="R890" s="9"/>
      <c r="S890" s="11"/>
    </row>
    <row r="891" spans="1:19" ht="15.75">
      <c r="A891" s="13">
        <v>68271</v>
      </c>
      <c r="B891" s="8">
        <f>CHOOSE( CONTROL!$C$32, 30.2018, 30.2015) * CHOOSE(CONTROL!$C$15, $D$11, 100%, $F$11)</f>
        <v>30.201799999999999</v>
      </c>
      <c r="C891" s="8">
        <f>CHOOSE( CONTROL!$C$32, 30.2069, 30.2066) * CHOOSE(CONTROL!$C$15, $D$11, 100%, $F$11)</f>
        <v>30.206900000000001</v>
      </c>
      <c r="D891" s="8">
        <f>CHOOSE( CONTROL!$C$32, 30.1896, 30.1893) * CHOOSE( CONTROL!$C$15, $D$11, 100%, $F$11)</f>
        <v>30.189599999999999</v>
      </c>
      <c r="E891" s="12">
        <f>CHOOSE( CONTROL!$C$32, 30.1954, 30.1951) * CHOOSE( CONTROL!$C$15, $D$11, 100%, $F$11)</f>
        <v>30.195399999999999</v>
      </c>
      <c r="F891" s="4">
        <f>CHOOSE( CONTROL!$C$32, 30.8671, 30.8668) * CHOOSE(CONTROL!$C$15, $D$11, 100%, $F$11)</f>
        <v>30.867100000000001</v>
      </c>
      <c r="G891" s="8">
        <f>CHOOSE( CONTROL!$C$32, 29.8575, 29.8572) * CHOOSE( CONTROL!$C$15, $D$11, 100%, $F$11)</f>
        <v>29.857500000000002</v>
      </c>
      <c r="H891" s="4">
        <f>CHOOSE( CONTROL!$C$32, 30.7523, 30.752) * CHOOSE(CONTROL!$C$15, $D$11, 100%, $F$11)</f>
        <v>30.752300000000002</v>
      </c>
      <c r="I891" s="8">
        <f>CHOOSE( CONTROL!$C$32, 29.4782, 29.4779) * CHOOSE(CONTROL!$C$15, $D$11, 100%, $F$11)</f>
        <v>29.478200000000001</v>
      </c>
      <c r="J891" s="4">
        <f>CHOOSE( CONTROL!$C$32, 29.3021, 29.3018) * CHOOSE(CONTROL!$C$15, $D$11, 100%, $F$11)</f>
        <v>29.302099999999999</v>
      </c>
      <c r="K891" s="4"/>
      <c r="L891" s="9">
        <v>28.360600000000002</v>
      </c>
      <c r="M891" s="9">
        <v>11.6745</v>
      </c>
      <c r="N891" s="9">
        <v>4.7850000000000001</v>
      </c>
      <c r="O891" s="9">
        <v>0.36199999999999999</v>
      </c>
      <c r="P891" s="9">
        <v>1.2509999999999999</v>
      </c>
      <c r="Q891" s="9">
        <v>19.053000000000001</v>
      </c>
      <c r="R891" s="9"/>
      <c r="S891" s="11"/>
    </row>
    <row r="892" spans="1:19" ht="15.75">
      <c r="A892" s="13">
        <v>68302</v>
      </c>
      <c r="B892" s="8">
        <f>CHOOSE( CONTROL!$C$32, 30.1469, 30.1466) * CHOOSE(CONTROL!$C$15, $D$11, 100%, $F$11)</f>
        <v>30.146899999999999</v>
      </c>
      <c r="C892" s="8">
        <f>CHOOSE( CONTROL!$C$32, 30.152, 30.1517) * CHOOSE(CONTROL!$C$15, $D$11, 100%, $F$11)</f>
        <v>30.152000000000001</v>
      </c>
      <c r="D892" s="8">
        <f>CHOOSE( CONTROL!$C$32, 30.1365, 30.1362) * CHOOSE( CONTROL!$C$15, $D$11, 100%, $F$11)</f>
        <v>30.136500000000002</v>
      </c>
      <c r="E892" s="12">
        <f>CHOOSE( CONTROL!$C$32, 30.1416, 30.1413) * CHOOSE( CONTROL!$C$15, $D$11, 100%, $F$11)</f>
        <v>30.1416</v>
      </c>
      <c r="F892" s="4">
        <f>CHOOSE( CONTROL!$C$32, 30.8122, 30.8119) * CHOOSE(CONTROL!$C$15, $D$11, 100%, $F$11)</f>
        <v>30.812200000000001</v>
      </c>
      <c r="G892" s="8">
        <f>CHOOSE( CONTROL!$C$32, 29.8045, 29.8042) * CHOOSE( CONTROL!$C$15, $D$11, 100%, $F$11)</f>
        <v>29.804500000000001</v>
      </c>
      <c r="H892" s="4">
        <f>CHOOSE( CONTROL!$C$32, 30.698, 30.6977) * CHOOSE(CONTROL!$C$15, $D$11, 100%, $F$11)</f>
        <v>30.698</v>
      </c>
      <c r="I892" s="8">
        <f>CHOOSE( CONTROL!$C$32, 29.4305, 29.4302) * CHOOSE(CONTROL!$C$15, $D$11, 100%, $F$11)</f>
        <v>29.430499999999999</v>
      </c>
      <c r="J892" s="4">
        <f>CHOOSE( CONTROL!$C$32, 29.2488, 29.2485) * CHOOSE(CONTROL!$C$15, $D$11, 100%, $F$11)</f>
        <v>29.248799999999999</v>
      </c>
      <c r="K892" s="4"/>
      <c r="L892" s="9">
        <v>29.306000000000001</v>
      </c>
      <c r="M892" s="9">
        <v>12.063700000000001</v>
      </c>
      <c r="N892" s="9">
        <v>4.9444999999999997</v>
      </c>
      <c r="O892" s="9">
        <v>0.37409999999999999</v>
      </c>
      <c r="P892" s="9">
        <v>1.2927</v>
      </c>
      <c r="Q892" s="9">
        <v>19.688099999999999</v>
      </c>
      <c r="R892" s="9"/>
      <c r="S892" s="11"/>
    </row>
    <row r="893" spans="1:19" ht="15.75">
      <c r="A893" s="13">
        <v>68333</v>
      </c>
      <c r="B893" s="8">
        <f>CHOOSE( CONTROL!$C$32, 31.0359, 31.0356) * CHOOSE(CONTROL!$C$15, $D$11, 100%, $F$11)</f>
        <v>31.035900000000002</v>
      </c>
      <c r="C893" s="8">
        <f>CHOOSE( CONTROL!$C$32, 31.0409, 31.0407) * CHOOSE(CONTROL!$C$15, $D$11, 100%, $F$11)</f>
        <v>31.040900000000001</v>
      </c>
      <c r="D893" s="8">
        <f>CHOOSE( CONTROL!$C$32, 31.0314, 31.0311) * CHOOSE( CONTROL!$C$15, $D$11, 100%, $F$11)</f>
        <v>31.031400000000001</v>
      </c>
      <c r="E893" s="12">
        <f>CHOOSE( CONTROL!$C$32, 31.0343, 31.0341) * CHOOSE( CONTROL!$C$15, $D$11, 100%, $F$11)</f>
        <v>31.034300000000002</v>
      </c>
      <c r="F893" s="4">
        <f>CHOOSE( CONTROL!$C$32, 31.7011, 31.7009) * CHOOSE(CONTROL!$C$15, $D$11, 100%, $F$11)</f>
        <v>31.7011</v>
      </c>
      <c r="G893" s="8">
        <f>CHOOSE( CONTROL!$C$32, 30.6838, 30.6835) * CHOOSE( CONTROL!$C$15, $D$11, 100%, $F$11)</f>
        <v>30.683800000000002</v>
      </c>
      <c r="H893" s="4">
        <f>CHOOSE( CONTROL!$C$32, 31.5765, 31.5763) * CHOOSE(CONTROL!$C$15, $D$11, 100%, $F$11)</f>
        <v>31.576499999999999</v>
      </c>
      <c r="I893" s="8">
        <f>CHOOSE( CONTROL!$C$32, 30.2741, 30.2738) * CHOOSE(CONTROL!$C$15, $D$11, 100%, $F$11)</f>
        <v>30.274100000000001</v>
      </c>
      <c r="J893" s="4">
        <f>CHOOSE( CONTROL!$C$32, 30.1116, 30.1113) * CHOOSE(CONTROL!$C$15, $D$11, 100%, $F$11)</f>
        <v>30.111599999999999</v>
      </c>
      <c r="K893" s="4"/>
      <c r="L893" s="9">
        <v>29.306000000000001</v>
      </c>
      <c r="M893" s="9">
        <v>12.063700000000001</v>
      </c>
      <c r="N893" s="9">
        <v>4.9444999999999997</v>
      </c>
      <c r="O893" s="9">
        <v>0.37409999999999999</v>
      </c>
      <c r="P893" s="9">
        <v>1.2927</v>
      </c>
      <c r="Q893" s="9">
        <v>19.688099999999999</v>
      </c>
      <c r="R893" s="9"/>
      <c r="S893" s="11"/>
    </row>
    <row r="894" spans="1:19" ht="15.75">
      <c r="A894" s="13">
        <v>68361</v>
      </c>
      <c r="B894" s="8">
        <f>CHOOSE( CONTROL!$C$32, 29.03, 29.0298) * CHOOSE(CONTROL!$C$15, $D$11, 100%, $F$11)</f>
        <v>29.03</v>
      </c>
      <c r="C894" s="8">
        <f>CHOOSE( CONTROL!$C$32, 29.0351, 29.0348) * CHOOSE(CONTROL!$C$15, $D$11, 100%, $F$11)</f>
        <v>29.0351</v>
      </c>
      <c r="D894" s="8">
        <f>CHOOSE( CONTROL!$C$32, 29.0272, 29.027) * CHOOSE( CONTROL!$C$15, $D$11, 100%, $F$11)</f>
        <v>29.027200000000001</v>
      </c>
      <c r="E894" s="12">
        <f>CHOOSE( CONTROL!$C$32, 29.0295, 29.0293) * CHOOSE( CONTROL!$C$15, $D$11, 100%, $F$11)</f>
        <v>29.029499999999999</v>
      </c>
      <c r="F894" s="4">
        <f>CHOOSE( CONTROL!$C$32, 29.6953, 29.6951) * CHOOSE(CONTROL!$C$15, $D$11, 100%, $F$11)</f>
        <v>29.6953</v>
      </c>
      <c r="G894" s="8">
        <f>CHOOSE( CONTROL!$C$32, 28.7, 28.6997) * CHOOSE( CONTROL!$C$15, $D$11, 100%, $F$11)</f>
        <v>28.7</v>
      </c>
      <c r="H894" s="4">
        <f>CHOOSE( CONTROL!$C$32, 29.5942, 29.5939) * CHOOSE(CONTROL!$C$15, $D$11, 100%, $F$11)</f>
        <v>29.594200000000001</v>
      </c>
      <c r="I894" s="8">
        <f>CHOOSE( CONTROL!$C$32, 28.3111, 28.3108) * CHOOSE(CONTROL!$C$15, $D$11, 100%, $F$11)</f>
        <v>28.3111</v>
      </c>
      <c r="J894" s="4">
        <f>CHOOSE( CONTROL!$C$32, 28.1649, 28.1646) * CHOOSE(CONTROL!$C$15, $D$11, 100%, $F$11)</f>
        <v>28.164899999999999</v>
      </c>
      <c r="K894" s="4"/>
      <c r="L894" s="9">
        <v>26.469899999999999</v>
      </c>
      <c r="M894" s="9">
        <v>10.8962</v>
      </c>
      <c r="N894" s="9">
        <v>4.4660000000000002</v>
      </c>
      <c r="O894" s="9">
        <v>0.33789999999999998</v>
      </c>
      <c r="P894" s="9">
        <v>1.1676</v>
      </c>
      <c r="Q894" s="9">
        <v>17.782800000000002</v>
      </c>
      <c r="R894" s="9"/>
      <c r="S894" s="11"/>
    </row>
    <row r="895" spans="1:19" ht="15.75">
      <c r="A895" s="13">
        <v>68392</v>
      </c>
      <c r="B895" s="8">
        <f>CHOOSE( CONTROL!$C$32, 28.4123, 28.412) * CHOOSE(CONTROL!$C$15, $D$11, 100%, $F$11)</f>
        <v>28.412299999999998</v>
      </c>
      <c r="C895" s="8">
        <f>CHOOSE( CONTROL!$C$32, 28.4173, 28.4171) * CHOOSE(CONTROL!$C$15, $D$11, 100%, $F$11)</f>
        <v>28.417300000000001</v>
      </c>
      <c r="D895" s="8">
        <f>CHOOSE( CONTROL!$C$32, 28.4046, 28.4044) * CHOOSE( CONTROL!$C$15, $D$11, 100%, $F$11)</f>
        <v>28.404599999999999</v>
      </c>
      <c r="E895" s="12">
        <f>CHOOSE( CONTROL!$C$32, 28.4087, 28.4085) * CHOOSE( CONTROL!$C$15, $D$11, 100%, $F$11)</f>
        <v>28.4087</v>
      </c>
      <c r="F895" s="4">
        <f>CHOOSE( CONTROL!$C$32, 29.0775, 29.0773) * CHOOSE(CONTROL!$C$15, $D$11, 100%, $F$11)</f>
        <v>29.077500000000001</v>
      </c>
      <c r="G895" s="8">
        <f>CHOOSE( CONTROL!$C$32, 28.086, 28.0857) * CHOOSE( CONTROL!$C$15, $D$11, 100%, $F$11)</f>
        <v>28.085999999999999</v>
      </c>
      <c r="H895" s="4">
        <f>CHOOSE( CONTROL!$C$32, 28.9837, 28.9834) * CHOOSE(CONTROL!$C$15, $D$11, 100%, $F$11)</f>
        <v>28.983699999999999</v>
      </c>
      <c r="I895" s="8">
        <f>CHOOSE( CONTROL!$C$32, 27.7096, 27.7093) * CHOOSE(CONTROL!$C$15, $D$11, 100%, $F$11)</f>
        <v>27.709599999999998</v>
      </c>
      <c r="J895" s="4">
        <f>CHOOSE( CONTROL!$C$32, 27.5653, 27.5651) * CHOOSE(CONTROL!$C$15, $D$11, 100%, $F$11)</f>
        <v>27.565300000000001</v>
      </c>
      <c r="K895" s="4"/>
      <c r="L895" s="9">
        <v>29.306000000000001</v>
      </c>
      <c r="M895" s="9">
        <v>12.063700000000001</v>
      </c>
      <c r="N895" s="9">
        <v>4.9444999999999997</v>
      </c>
      <c r="O895" s="9">
        <v>0.37409999999999999</v>
      </c>
      <c r="P895" s="9">
        <v>1.2927</v>
      </c>
      <c r="Q895" s="9">
        <v>19.688099999999999</v>
      </c>
      <c r="R895" s="9"/>
      <c r="S895" s="11"/>
    </row>
    <row r="896" spans="1:19" ht="15.75">
      <c r="A896" s="13">
        <v>68422</v>
      </c>
      <c r="B896" s="8">
        <f>CHOOSE( CONTROL!$C$32, 28.8447, 28.8444) * CHOOSE(CONTROL!$C$15, $D$11, 100%, $F$11)</f>
        <v>28.8447</v>
      </c>
      <c r="C896" s="8">
        <f>CHOOSE( CONTROL!$C$32, 28.8492, 28.849) * CHOOSE(CONTROL!$C$15, $D$11, 100%, $F$11)</f>
        <v>28.8492</v>
      </c>
      <c r="D896" s="8">
        <f>CHOOSE( CONTROL!$C$32, 28.8541, 28.8538) * CHOOSE( CONTROL!$C$15, $D$11, 100%, $F$11)</f>
        <v>28.854099999999999</v>
      </c>
      <c r="E896" s="12">
        <f>CHOOSE( CONTROL!$C$32, 28.852, 28.8517) * CHOOSE( CONTROL!$C$15, $D$11, 100%, $F$11)</f>
        <v>28.852</v>
      </c>
      <c r="F896" s="4">
        <f>CHOOSE( CONTROL!$C$32, 29.5489, 29.5486) * CHOOSE(CONTROL!$C$15, $D$11, 100%, $F$11)</f>
        <v>29.5489</v>
      </c>
      <c r="G896" s="8">
        <f>CHOOSE( CONTROL!$C$32, 28.5184, 28.5181) * CHOOSE( CONTROL!$C$15, $D$11, 100%, $F$11)</f>
        <v>28.5184</v>
      </c>
      <c r="H896" s="4">
        <f>CHOOSE( CONTROL!$C$32, 29.4495, 29.4492) * CHOOSE(CONTROL!$C$15, $D$11, 100%, $F$11)</f>
        <v>29.4495</v>
      </c>
      <c r="I896" s="8">
        <f>CHOOSE( CONTROL!$C$32, 28.103, 28.1027) * CHOOSE(CONTROL!$C$15, $D$11, 100%, $F$11)</f>
        <v>28.103000000000002</v>
      </c>
      <c r="J896" s="4">
        <f>CHOOSE( CONTROL!$C$32, 27.9843, 27.984) * CHOOSE(CONTROL!$C$15, $D$11, 100%, $F$11)</f>
        <v>27.984300000000001</v>
      </c>
      <c r="K896" s="4"/>
      <c r="L896" s="9">
        <v>30.092199999999998</v>
      </c>
      <c r="M896" s="9">
        <v>11.6745</v>
      </c>
      <c r="N896" s="9">
        <v>4.7850000000000001</v>
      </c>
      <c r="O896" s="9">
        <v>0.36199999999999999</v>
      </c>
      <c r="P896" s="9">
        <v>1.2509999999999999</v>
      </c>
      <c r="Q896" s="9">
        <v>19.053000000000001</v>
      </c>
      <c r="R896" s="9"/>
      <c r="S896" s="11"/>
    </row>
    <row r="897" spans="1:19" ht="15.75">
      <c r="A897" s="13">
        <v>68453</v>
      </c>
      <c r="B897" s="8">
        <f>CHOOSE( CONTROL!$C$32, 29.6146, 29.6141) * CHOOSE(CONTROL!$C$15, $D$11, 100%, $F$11)</f>
        <v>29.614599999999999</v>
      </c>
      <c r="C897" s="8">
        <f>CHOOSE( CONTROL!$C$32, 29.6226, 29.6221) * CHOOSE(CONTROL!$C$15, $D$11, 100%, $F$11)</f>
        <v>29.622599999999998</v>
      </c>
      <c r="D897" s="8">
        <f>CHOOSE( CONTROL!$C$32, 29.6213, 29.6209) * CHOOSE( CONTROL!$C$15, $D$11, 100%, $F$11)</f>
        <v>29.621300000000002</v>
      </c>
      <c r="E897" s="12">
        <f>CHOOSE( CONTROL!$C$32, 29.6206, 29.6201) * CHOOSE( CONTROL!$C$15, $D$11, 100%, $F$11)</f>
        <v>29.6206</v>
      </c>
      <c r="F897" s="4">
        <f>CHOOSE( CONTROL!$C$32, 30.3174, 30.317) * CHOOSE(CONTROL!$C$15, $D$11, 100%, $F$11)</f>
        <v>30.317399999999999</v>
      </c>
      <c r="G897" s="8">
        <f>CHOOSE( CONTROL!$C$32, 29.2777, 29.2772) * CHOOSE( CONTROL!$C$15, $D$11, 100%, $F$11)</f>
        <v>29.277699999999999</v>
      </c>
      <c r="H897" s="4">
        <f>CHOOSE( CONTROL!$C$32, 30.209, 30.2086) * CHOOSE(CONTROL!$C$15, $D$11, 100%, $F$11)</f>
        <v>30.209</v>
      </c>
      <c r="I897" s="8">
        <f>CHOOSE( CONTROL!$C$32, 28.8484, 28.8479) * CHOOSE(CONTROL!$C$15, $D$11, 100%, $F$11)</f>
        <v>28.848400000000002</v>
      </c>
      <c r="J897" s="4">
        <f>CHOOSE( CONTROL!$C$32, 28.7301, 28.7297) * CHOOSE(CONTROL!$C$15, $D$11, 100%, $F$11)</f>
        <v>28.7301</v>
      </c>
      <c r="K897" s="4"/>
      <c r="L897" s="9">
        <v>30.7165</v>
      </c>
      <c r="M897" s="9">
        <v>12.063700000000001</v>
      </c>
      <c r="N897" s="9">
        <v>4.9444999999999997</v>
      </c>
      <c r="O897" s="9">
        <v>0.37409999999999999</v>
      </c>
      <c r="P897" s="9">
        <v>1.2927</v>
      </c>
      <c r="Q897" s="9">
        <v>19.688099999999999</v>
      </c>
      <c r="R897" s="9"/>
      <c r="S897" s="11"/>
    </row>
    <row r="898" spans="1:19" ht="15.75">
      <c r="A898" s="13">
        <v>68483</v>
      </c>
      <c r="B898" s="8">
        <f>CHOOSE( CONTROL!$C$32, 29.1386, 29.1382) * CHOOSE(CONTROL!$C$15, $D$11, 100%, $F$11)</f>
        <v>29.1386</v>
      </c>
      <c r="C898" s="8">
        <f>CHOOSE( CONTROL!$C$32, 29.1466, 29.1462) * CHOOSE(CONTROL!$C$15, $D$11, 100%, $F$11)</f>
        <v>29.146599999999999</v>
      </c>
      <c r="D898" s="8">
        <f>CHOOSE( CONTROL!$C$32, 29.1456, 29.1451) * CHOOSE( CONTROL!$C$15, $D$11, 100%, $F$11)</f>
        <v>29.145600000000002</v>
      </c>
      <c r="E898" s="12">
        <f>CHOOSE( CONTROL!$C$32, 29.1447, 29.1443) * CHOOSE( CONTROL!$C$15, $D$11, 100%, $F$11)</f>
        <v>29.1447</v>
      </c>
      <c r="F898" s="4">
        <f>CHOOSE( CONTROL!$C$32, 29.8415, 29.841) * CHOOSE(CONTROL!$C$15, $D$11, 100%, $F$11)</f>
        <v>29.8415</v>
      </c>
      <c r="G898" s="8">
        <f>CHOOSE( CONTROL!$C$32, 28.8075, 28.807) * CHOOSE( CONTROL!$C$15, $D$11, 100%, $F$11)</f>
        <v>28.807500000000001</v>
      </c>
      <c r="H898" s="4">
        <f>CHOOSE( CONTROL!$C$32, 29.7386, 29.7382) * CHOOSE(CONTROL!$C$15, $D$11, 100%, $F$11)</f>
        <v>29.738600000000002</v>
      </c>
      <c r="I898" s="8">
        <f>CHOOSE( CONTROL!$C$32, 28.3869, 28.3865) * CHOOSE(CONTROL!$C$15, $D$11, 100%, $F$11)</f>
        <v>28.386900000000001</v>
      </c>
      <c r="J898" s="4">
        <f>CHOOSE( CONTROL!$C$32, 28.2682, 28.2678) * CHOOSE(CONTROL!$C$15, $D$11, 100%, $F$11)</f>
        <v>28.2682</v>
      </c>
      <c r="K898" s="4"/>
      <c r="L898" s="9">
        <v>29.7257</v>
      </c>
      <c r="M898" s="9">
        <v>11.6745</v>
      </c>
      <c r="N898" s="9">
        <v>4.7850000000000001</v>
      </c>
      <c r="O898" s="9">
        <v>0.36199999999999999</v>
      </c>
      <c r="P898" s="9">
        <v>1.2509999999999999</v>
      </c>
      <c r="Q898" s="9">
        <v>19.053000000000001</v>
      </c>
      <c r="R898" s="9"/>
      <c r="S898" s="11"/>
    </row>
    <row r="899" spans="1:19" ht="15.75">
      <c r="A899" s="13">
        <v>68514</v>
      </c>
      <c r="B899" s="8">
        <f>CHOOSE( CONTROL!$C$32, 30.392, 30.3915) * CHOOSE(CONTROL!$C$15, $D$11, 100%, $F$11)</f>
        <v>30.391999999999999</v>
      </c>
      <c r="C899" s="8">
        <f>CHOOSE( CONTROL!$C$32, 30.4, 30.3995) * CHOOSE(CONTROL!$C$15, $D$11, 100%, $F$11)</f>
        <v>30.4</v>
      </c>
      <c r="D899" s="8">
        <f>CHOOSE( CONTROL!$C$32, 30.3992, 30.3987) * CHOOSE( CONTROL!$C$15, $D$11, 100%, $F$11)</f>
        <v>30.3992</v>
      </c>
      <c r="E899" s="12">
        <f>CHOOSE( CONTROL!$C$32, 30.3983, 30.3978) * CHOOSE( CONTROL!$C$15, $D$11, 100%, $F$11)</f>
        <v>30.398299999999999</v>
      </c>
      <c r="F899" s="4">
        <f>CHOOSE( CONTROL!$C$32, 31.0948, 31.0943) * CHOOSE(CONTROL!$C$15, $D$11, 100%, $F$11)</f>
        <v>31.094799999999999</v>
      </c>
      <c r="G899" s="8">
        <f>CHOOSE( CONTROL!$C$32, 30.0463, 30.0459) * CHOOSE( CONTROL!$C$15, $D$11, 100%, $F$11)</f>
        <v>30.046299999999999</v>
      </c>
      <c r="H899" s="4">
        <f>CHOOSE( CONTROL!$C$32, 30.9773, 30.9769) * CHOOSE(CONTROL!$C$15, $D$11, 100%, $F$11)</f>
        <v>30.9773</v>
      </c>
      <c r="I899" s="8">
        <f>CHOOSE( CONTROL!$C$32, 29.6047, 29.6042) * CHOOSE(CONTROL!$C$15, $D$11, 100%, $F$11)</f>
        <v>29.604700000000001</v>
      </c>
      <c r="J899" s="4">
        <f>CHOOSE( CONTROL!$C$32, 29.4846, 29.4842) * CHOOSE(CONTROL!$C$15, $D$11, 100%, $F$11)</f>
        <v>29.4846</v>
      </c>
      <c r="K899" s="4"/>
      <c r="L899" s="9">
        <v>30.7165</v>
      </c>
      <c r="M899" s="9">
        <v>12.063700000000001</v>
      </c>
      <c r="N899" s="9">
        <v>4.9444999999999997</v>
      </c>
      <c r="O899" s="9">
        <v>0.37409999999999999</v>
      </c>
      <c r="P899" s="9">
        <v>1.2927</v>
      </c>
      <c r="Q899" s="9">
        <v>19.688099999999999</v>
      </c>
      <c r="R899" s="9"/>
      <c r="S899" s="11"/>
    </row>
    <row r="900" spans="1:19" ht="15.75">
      <c r="A900" s="13">
        <v>68545</v>
      </c>
      <c r="B900" s="8">
        <f>CHOOSE( CONTROL!$C$32, 28.0468, 28.0464) * CHOOSE(CONTROL!$C$15, $D$11, 100%, $F$11)</f>
        <v>28.046800000000001</v>
      </c>
      <c r="C900" s="8">
        <f>CHOOSE( CONTROL!$C$32, 28.0548, 28.0544) * CHOOSE(CONTROL!$C$15, $D$11, 100%, $F$11)</f>
        <v>28.0548</v>
      </c>
      <c r="D900" s="8">
        <f>CHOOSE( CONTROL!$C$32, 28.0541, 28.0536) * CHOOSE( CONTROL!$C$15, $D$11, 100%, $F$11)</f>
        <v>28.054099999999998</v>
      </c>
      <c r="E900" s="12">
        <f>CHOOSE( CONTROL!$C$32, 28.0531, 28.0527) * CHOOSE( CONTROL!$C$15, $D$11, 100%, $F$11)</f>
        <v>28.053100000000001</v>
      </c>
      <c r="F900" s="4">
        <f>CHOOSE( CONTROL!$C$32, 28.7497, 28.7492) * CHOOSE(CONTROL!$C$15, $D$11, 100%, $F$11)</f>
        <v>28.749700000000001</v>
      </c>
      <c r="G900" s="8">
        <f>CHOOSE( CONTROL!$C$32, 27.7287, 27.7282) * CHOOSE( CONTROL!$C$15, $D$11, 100%, $F$11)</f>
        <v>27.7287</v>
      </c>
      <c r="H900" s="4">
        <f>CHOOSE( CONTROL!$C$32, 28.6596, 28.6592) * CHOOSE(CONTROL!$C$15, $D$11, 100%, $F$11)</f>
        <v>28.659600000000001</v>
      </c>
      <c r="I900" s="8">
        <f>CHOOSE( CONTROL!$C$32, 27.3278, 27.3273) * CHOOSE(CONTROL!$C$15, $D$11, 100%, $F$11)</f>
        <v>27.3278</v>
      </c>
      <c r="J900" s="4">
        <f>CHOOSE( CONTROL!$C$32, 27.2086, 27.2082) * CHOOSE(CONTROL!$C$15, $D$11, 100%, $F$11)</f>
        <v>27.208600000000001</v>
      </c>
      <c r="K900" s="4"/>
      <c r="L900" s="9">
        <v>30.7165</v>
      </c>
      <c r="M900" s="9">
        <v>12.063700000000001</v>
      </c>
      <c r="N900" s="9">
        <v>4.9444999999999997</v>
      </c>
      <c r="O900" s="9">
        <v>0.37409999999999999</v>
      </c>
      <c r="P900" s="9">
        <v>1.2927</v>
      </c>
      <c r="Q900" s="9">
        <v>19.688099999999999</v>
      </c>
      <c r="R900" s="9"/>
      <c r="S900" s="11"/>
    </row>
    <row r="901" spans="1:19" ht="15.75">
      <c r="A901" s="13">
        <v>68575</v>
      </c>
      <c r="B901" s="8">
        <f>CHOOSE( CONTROL!$C$32, 27.4596, 27.4591) * CHOOSE(CONTROL!$C$15, $D$11, 100%, $F$11)</f>
        <v>27.459599999999998</v>
      </c>
      <c r="C901" s="8">
        <f>CHOOSE( CONTROL!$C$32, 27.4676, 27.4671) * CHOOSE(CONTROL!$C$15, $D$11, 100%, $F$11)</f>
        <v>27.467600000000001</v>
      </c>
      <c r="D901" s="8">
        <f>CHOOSE( CONTROL!$C$32, 27.4667, 27.4662) * CHOOSE( CONTROL!$C$15, $D$11, 100%, $F$11)</f>
        <v>27.466699999999999</v>
      </c>
      <c r="E901" s="12">
        <f>CHOOSE( CONTROL!$C$32, 27.4658, 27.4653) * CHOOSE( CONTROL!$C$15, $D$11, 100%, $F$11)</f>
        <v>27.465800000000002</v>
      </c>
      <c r="F901" s="4">
        <f>CHOOSE( CONTROL!$C$32, 28.1624, 28.162) * CHOOSE(CONTROL!$C$15, $D$11, 100%, $F$11)</f>
        <v>28.162400000000002</v>
      </c>
      <c r="G901" s="8">
        <f>CHOOSE( CONTROL!$C$32, 27.1482, 27.1477) * CHOOSE( CONTROL!$C$15, $D$11, 100%, $F$11)</f>
        <v>27.148199999999999</v>
      </c>
      <c r="H901" s="4">
        <f>CHOOSE( CONTROL!$C$32, 28.0792, 28.0788) * CHOOSE(CONTROL!$C$15, $D$11, 100%, $F$11)</f>
        <v>28.0792</v>
      </c>
      <c r="I901" s="8">
        <f>CHOOSE( CONTROL!$C$32, 26.757, 26.7566) * CHOOSE(CONTROL!$C$15, $D$11, 100%, $F$11)</f>
        <v>26.757000000000001</v>
      </c>
      <c r="J901" s="4">
        <f>CHOOSE( CONTROL!$C$32, 26.6387, 26.6383) * CHOOSE(CONTROL!$C$15, $D$11, 100%, $F$11)</f>
        <v>26.6387</v>
      </c>
      <c r="K901" s="4"/>
      <c r="L901" s="9">
        <v>29.7257</v>
      </c>
      <c r="M901" s="9">
        <v>11.6745</v>
      </c>
      <c r="N901" s="9">
        <v>4.7850000000000001</v>
      </c>
      <c r="O901" s="9">
        <v>0.36199999999999999</v>
      </c>
      <c r="P901" s="9">
        <v>1.2509999999999999</v>
      </c>
      <c r="Q901" s="9">
        <v>19.053000000000001</v>
      </c>
      <c r="R901" s="9"/>
      <c r="S901" s="11"/>
    </row>
    <row r="902" spans="1:19" ht="15.75">
      <c r="A902" s="13">
        <v>68606</v>
      </c>
      <c r="B902" s="8">
        <f>CHOOSE( CONTROL!$C$32, 28.677, 28.6767) * CHOOSE(CONTROL!$C$15, $D$11, 100%, $F$11)</f>
        <v>28.677</v>
      </c>
      <c r="C902" s="8">
        <f>CHOOSE( CONTROL!$C$32, 28.6823, 28.6821) * CHOOSE(CONTROL!$C$15, $D$11, 100%, $F$11)</f>
        <v>28.682300000000001</v>
      </c>
      <c r="D902" s="8">
        <f>CHOOSE( CONTROL!$C$32, 28.6871, 28.6868) * CHOOSE( CONTROL!$C$15, $D$11, 100%, $F$11)</f>
        <v>28.687100000000001</v>
      </c>
      <c r="E902" s="12">
        <f>CHOOSE( CONTROL!$C$32, 28.685, 28.6847) * CHOOSE( CONTROL!$C$15, $D$11, 100%, $F$11)</f>
        <v>28.684999999999999</v>
      </c>
      <c r="F902" s="4">
        <f>CHOOSE( CONTROL!$C$32, 29.3816, 29.3813) * CHOOSE(CONTROL!$C$15, $D$11, 100%, $F$11)</f>
        <v>29.381599999999999</v>
      </c>
      <c r="G902" s="8">
        <f>CHOOSE( CONTROL!$C$32, 28.3532, 28.353) * CHOOSE( CONTROL!$C$15, $D$11, 100%, $F$11)</f>
        <v>28.353200000000001</v>
      </c>
      <c r="H902" s="4">
        <f>CHOOSE( CONTROL!$C$32, 29.2841, 29.2839) * CHOOSE(CONTROL!$C$15, $D$11, 100%, $F$11)</f>
        <v>29.284099999999999</v>
      </c>
      <c r="I902" s="8">
        <f>CHOOSE( CONTROL!$C$32, 27.9416, 27.9414) * CHOOSE(CONTROL!$C$15, $D$11, 100%, $F$11)</f>
        <v>27.941600000000001</v>
      </c>
      <c r="J902" s="4">
        <f>CHOOSE( CONTROL!$C$32, 27.8219, 27.8216) * CHOOSE(CONTROL!$C$15, $D$11, 100%, $F$11)</f>
        <v>27.821899999999999</v>
      </c>
      <c r="K902" s="4"/>
      <c r="L902" s="9">
        <v>31.095300000000002</v>
      </c>
      <c r="M902" s="9">
        <v>12.063700000000001</v>
      </c>
      <c r="N902" s="9">
        <v>4.9444999999999997</v>
      </c>
      <c r="O902" s="9">
        <v>0.37409999999999999</v>
      </c>
      <c r="P902" s="9">
        <v>1.2927</v>
      </c>
      <c r="Q902" s="9">
        <v>19.688099999999999</v>
      </c>
      <c r="R902" s="9"/>
      <c r="S902" s="11"/>
    </row>
    <row r="903" spans="1:19" ht="15.75">
      <c r="A903" s="13">
        <v>68636</v>
      </c>
      <c r="B903" s="8">
        <f>CHOOSE( CONTROL!$C$32, 30.9273, 30.927) * CHOOSE(CONTROL!$C$15, $D$11, 100%, $F$11)</f>
        <v>30.927299999999999</v>
      </c>
      <c r="C903" s="8">
        <f>CHOOSE( CONTROL!$C$32, 30.9323, 30.9321) * CHOOSE(CONTROL!$C$15, $D$11, 100%, $F$11)</f>
        <v>30.932300000000001</v>
      </c>
      <c r="D903" s="8">
        <f>CHOOSE( CONTROL!$C$32, 30.915, 30.9148) * CHOOSE( CONTROL!$C$15, $D$11, 100%, $F$11)</f>
        <v>30.914999999999999</v>
      </c>
      <c r="E903" s="12">
        <f>CHOOSE( CONTROL!$C$32, 30.9208, 30.9206) * CHOOSE( CONTROL!$C$15, $D$11, 100%, $F$11)</f>
        <v>30.9208</v>
      </c>
      <c r="F903" s="4">
        <f>CHOOSE( CONTROL!$C$32, 31.5925, 31.5923) * CHOOSE(CONTROL!$C$15, $D$11, 100%, $F$11)</f>
        <v>31.592500000000001</v>
      </c>
      <c r="G903" s="8">
        <f>CHOOSE( CONTROL!$C$32, 30.5744, 30.5742) * CHOOSE( CONTROL!$C$15, $D$11, 100%, $F$11)</f>
        <v>30.574400000000001</v>
      </c>
      <c r="H903" s="4">
        <f>CHOOSE( CONTROL!$C$32, 31.4692, 31.4689) * CHOOSE(CONTROL!$C$15, $D$11, 100%, $F$11)</f>
        <v>31.469200000000001</v>
      </c>
      <c r="I903" s="8">
        <f>CHOOSE( CONTROL!$C$32, 30.1826, 30.1823) * CHOOSE(CONTROL!$C$15, $D$11, 100%, $F$11)</f>
        <v>30.182600000000001</v>
      </c>
      <c r="J903" s="4">
        <f>CHOOSE( CONTROL!$C$32, 30.0062, 30.0059) * CHOOSE(CONTROL!$C$15, $D$11, 100%, $F$11)</f>
        <v>30.0062</v>
      </c>
      <c r="K903" s="4"/>
      <c r="L903" s="9">
        <v>28.360600000000002</v>
      </c>
      <c r="M903" s="9">
        <v>11.6745</v>
      </c>
      <c r="N903" s="9">
        <v>4.7850000000000001</v>
      </c>
      <c r="O903" s="9">
        <v>0.36199999999999999</v>
      </c>
      <c r="P903" s="9">
        <v>1.2509999999999999</v>
      </c>
      <c r="Q903" s="9">
        <v>19.053000000000001</v>
      </c>
      <c r="R903" s="9"/>
      <c r="S903" s="11"/>
    </row>
    <row r="904" spans="1:19" ht="15.75">
      <c r="A904" s="13">
        <v>68667</v>
      </c>
      <c r="B904" s="8">
        <f>CHOOSE( CONTROL!$C$32, 30.871, 30.8708) * CHOOSE(CONTROL!$C$15, $D$11, 100%, $F$11)</f>
        <v>30.870999999999999</v>
      </c>
      <c r="C904" s="8">
        <f>CHOOSE( CONTROL!$C$32, 30.8761, 30.8758) * CHOOSE(CONTROL!$C$15, $D$11, 100%, $F$11)</f>
        <v>30.876100000000001</v>
      </c>
      <c r="D904" s="8">
        <f>CHOOSE( CONTROL!$C$32, 30.8606, 30.8603) * CHOOSE( CONTROL!$C$15, $D$11, 100%, $F$11)</f>
        <v>30.860600000000002</v>
      </c>
      <c r="E904" s="12">
        <f>CHOOSE( CONTROL!$C$32, 30.8657, 30.8654) * CHOOSE( CONTROL!$C$15, $D$11, 100%, $F$11)</f>
        <v>30.8657</v>
      </c>
      <c r="F904" s="4">
        <f>CHOOSE( CONTROL!$C$32, 31.5363, 31.536) * CHOOSE(CONTROL!$C$15, $D$11, 100%, $F$11)</f>
        <v>31.536300000000001</v>
      </c>
      <c r="G904" s="8">
        <f>CHOOSE( CONTROL!$C$32, 30.5202, 30.5199) * CHOOSE( CONTROL!$C$15, $D$11, 100%, $F$11)</f>
        <v>30.520199999999999</v>
      </c>
      <c r="H904" s="4">
        <f>CHOOSE( CONTROL!$C$32, 31.4136, 31.4134) * CHOOSE(CONTROL!$C$15, $D$11, 100%, $F$11)</f>
        <v>31.413599999999999</v>
      </c>
      <c r="I904" s="8">
        <f>CHOOSE( CONTROL!$C$32, 30.1336, 30.1333) * CHOOSE(CONTROL!$C$15, $D$11, 100%, $F$11)</f>
        <v>30.133600000000001</v>
      </c>
      <c r="J904" s="4">
        <f>CHOOSE( CONTROL!$C$32, 29.9516, 29.9513) * CHOOSE(CONTROL!$C$15, $D$11, 100%, $F$11)</f>
        <v>29.951599999999999</v>
      </c>
      <c r="K904" s="4"/>
      <c r="L904" s="9">
        <v>29.306000000000001</v>
      </c>
      <c r="M904" s="9">
        <v>12.063700000000001</v>
      </c>
      <c r="N904" s="9">
        <v>4.9444999999999997</v>
      </c>
      <c r="O904" s="9">
        <v>0.37409999999999999</v>
      </c>
      <c r="P904" s="9">
        <v>1.2927</v>
      </c>
      <c r="Q904" s="9">
        <v>19.688099999999999</v>
      </c>
      <c r="R904" s="9"/>
      <c r="S904" s="11"/>
    </row>
    <row r="905" spans="1:19" ht="15.75">
      <c r="A905" s="13">
        <v>68698</v>
      </c>
      <c r="B905" s="8">
        <f>CHOOSE( CONTROL!$C$32, 31.7814, 31.7811) * CHOOSE(CONTROL!$C$15, $D$11, 100%, $F$11)</f>
        <v>31.781400000000001</v>
      </c>
      <c r="C905" s="8">
        <f>CHOOSE( CONTROL!$C$32, 31.7864, 31.7862) * CHOOSE(CONTROL!$C$15, $D$11, 100%, $F$11)</f>
        <v>31.7864</v>
      </c>
      <c r="D905" s="8">
        <f>CHOOSE( CONTROL!$C$32, 31.7769, 31.7766) * CHOOSE( CONTROL!$C$15, $D$11, 100%, $F$11)</f>
        <v>31.776900000000001</v>
      </c>
      <c r="E905" s="12">
        <f>CHOOSE( CONTROL!$C$32, 31.7798, 31.7796) * CHOOSE( CONTROL!$C$15, $D$11, 100%, $F$11)</f>
        <v>31.779800000000002</v>
      </c>
      <c r="F905" s="4">
        <f>CHOOSE( CONTROL!$C$32, 32.4466, 32.4464) * CHOOSE(CONTROL!$C$15, $D$11, 100%, $F$11)</f>
        <v>32.446599999999997</v>
      </c>
      <c r="G905" s="8">
        <f>CHOOSE( CONTROL!$C$32, 31.4205, 31.4203) * CHOOSE( CONTROL!$C$15, $D$11, 100%, $F$11)</f>
        <v>31.420500000000001</v>
      </c>
      <c r="H905" s="4">
        <f>CHOOSE( CONTROL!$C$32, 32.3133, 32.313) * CHOOSE(CONTROL!$C$15, $D$11, 100%, $F$11)</f>
        <v>32.313299999999998</v>
      </c>
      <c r="I905" s="8">
        <f>CHOOSE( CONTROL!$C$32, 30.9979, 30.9977) * CHOOSE(CONTROL!$C$15, $D$11, 100%, $F$11)</f>
        <v>30.997900000000001</v>
      </c>
      <c r="J905" s="4">
        <f>CHOOSE( CONTROL!$C$32, 30.835, 30.8348) * CHOOSE(CONTROL!$C$15, $D$11, 100%, $F$11)</f>
        <v>30.835000000000001</v>
      </c>
      <c r="K905" s="4"/>
      <c r="L905" s="9">
        <v>29.306000000000001</v>
      </c>
      <c r="M905" s="9">
        <v>12.063700000000001</v>
      </c>
      <c r="N905" s="9">
        <v>4.9444999999999997</v>
      </c>
      <c r="O905" s="9">
        <v>0.37409999999999999</v>
      </c>
      <c r="P905" s="9">
        <v>1.2927</v>
      </c>
      <c r="Q905" s="9">
        <v>19.688099999999999</v>
      </c>
      <c r="R905" s="9"/>
      <c r="S905" s="11"/>
    </row>
    <row r="906" spans="1:19" ht="15.75">
      <c r="A906" s="13">
        <v>68727</v>
      </c>
      <c r="B906" s="8">
        <f>CHOOSE( CONTROL!$C$32, 29.7273, 29.7271) * CHOOSE(CONTROL!$C$15, $D$11, 100%, $F$11)</f>
        <v>29.7273</v>
      </c>
      <c r="C906" s="8">
        <f>CHOOSE( CONTROL!$C$32, 29.7324, 29.7321) * CHOOSE(CONTROL!$C$15, $D$11, 100%, $F$11)</f>
        <v>29.732399999999998</v>
      </c>
      <c r="D906" s="8">
        <f>CHOOSE( CONTROL!$C$32, 29.7245, 29.7242) * CHOOSE( CONTROL!$C$15, $D$11, 100%, $F$11)</f>
        <v>29.724499999999999</v>
      </c>
      <c r="E906" s="12">
        <f>CHOOSE( CONTROL!$C$32, 29.7268, 29.7266) * CHOOSE( CONTROL!$C$15, $D$11, 100%, $F$11)</f>
        <v>29.726800000000001</v>
      </c>
      <c r="F906" s="4">
        <f>CHOOSE( CONTROL!$C$32, 30.3926, 30.3923) * CHOOSE(CONTROL!$C$15, $D$11, 100%, $F$11)</f>
        <v>30.392600000000002</v>
      </c>
      <c r="G906" s="8">
        <f>CHOOSE( CONTROL!$C$32, 29.3891, 29.3888) * CHOOSE( CONTROL!$C$15, $D$11, 100%, $F$11)</f>
        <v>29.389099999999999</v>
      </c>
      <c r="H906" s="4">
        <f>CHOOSE( CONTROL!$C$32, 30.2833, 30.2831) * CHOOSE(CONTROL!$C$15, $D$11, 100%, $F$11)</f>
        <v>30.283300000000001</v>
      </c>
      <c r="I906" s="8">
        <f>CHOOSE( CONTROL!$C$32, 28.9882, 28.9879) * CHOOSE(CONTROL!$C$15, $D$11, 100%, $F$11)</f>
        <v>28.988199999999999</v>
      </c>
      <c r="J906" s="4">
        <f>CHOOSE( CONTROL!$C$32, 28.8416, 28.8414) * CHOOSE(CONTROL!$C$15, $D$11, 100%, $F$11)</f>
        <v>28.8416</v>
      </c>
      <c r="K906" s="4"/>
      <c r="L906" s="9">
        <v>27.415299999999998</v>
      </c>
      <c r="M906" s="9">
        <v>11.285299999999999</v>
      </c>
      <c r="N906" s="9">
        <v>4.6254999999999997</v>
      </c>
      <c r="O906" s="9">
        <v>0.34989999999999999</v>
      </c>
      <c r="P906" s="9">
        <v>1.2093</v>
      </c>
      <c r="Q906" s="9">
        <v>18.417899999999999</v>
      </c>
      <c r="R906" s="9"/>
      <c r="S906" s="11"/>
    </row>
    <row r="907" spans="1:19" ht="15.75">
      <c r="A907" s="13">
        <v>68758</v>
      </c>
      <c r="B907" s="8">
        <f>CHOOSE( CONTROL!$C$32, 29.0947, 29.0944) * CHOOSE(CONTROL!$C$15, $D$11, 100%, $F$11)</f>
        <v>29.0947</v>
      </c>
      <c r="C907" s="8">
        <f>CHOOSE( CONTROL!$C$32, 29.0998, 29.0995) * CHOOSE(CONTROL!$C$15, $D$11, 100%, $F$11)</f>
        <v>29.099799999999998</v>
      </c>
      <c r="D907" s="8">
        <f>CHOOSE( CONTROL!$C$32, 29.0871, 29.0868) * CHOOSE( CONTROL!$C$15, $D$11, 100%, $F$11)</f>
        <v>29.0871</v>
      </c>
      <c r="E907" s="12">
        <f>CHOOSE( CONTROL!$C$32, 29.0912, 29.0909) * CHOOSE( CONTROL!$C$15, $D$11, 100%, $F$11)</f>
        <v>29.091200000000001</v>
      </c>
      <c r="F907" s="4">
        <f>CHOOSE( CONTROL!$C$32, 29.76, 29.7597) * CHOOSE(CONTROL!$C$15, $D$11, 100%, $F$11)</f>
        <v>29.76</v>
      </c>
      <c r="G907" s="8">
        <f>CHOOSE( CONTROL!$C$32, 28.7604, 28.7602) * CHOOSE( CONTROL!$C$15, $D$11, 100%, $F$11)</f>
        <v>28.760400000000001</v>
      </c>
      <c r="H907" s="4">
        <f>CHOOSE( CONTROL!$C$32, 29.6581, 29.6579) * CHOOSE(CONTROL!$C$15, $D$11, 100%, $F$11)</f>
        <v>29.658100000000001</v>
      </c>
      <c r="I907" s="8">
        <f>CHOOSE( CONTROL!$C$32, 28.3723, 28.372) * CHOOSE(CONTROL!$C$15, $D$11, 100%, $F$11)</f>
        <v>28.372299999999999</v>
      </c>
      <c r="J907" s="4">
        <f>CHOOSE( CONTROL!$C$32, 28.2277, 28.2274) * CHOOSE(CONTROL!$C$15, $D$11, 100%, $F$11)</f>
        <v>28.227699999999999</v>
      </c>
      <c r="K907" s="4"/>
      <c r="L907" s="9">
        <v>29.306000000000001</v>
      </c>
      <c r="M907" s="9">
        <v>12.063700000000001</v>
      </c>
      <c r="N907" s="9">
        <v>4.9444999999999997</v>
      </c>
      <c r="O907" s="9">
        <v>0.37409999999999999</v>
      </c>
      <c r="P907" s="9">
        <v>1.2927</v>
      </c>
      <c r="Q907" s="9">
        <v>19.688099999999999</v>
      </c>
      <c r="R907" s="9"/>
      <c r="S907" s="11"/>
    </row>
    <row r="908" spans="1:19" ht="15.75">
      <c r="A908" s="13">
        <v>68788</v>
      </c>
      <c r="B908" s="8">
        <f>CHOOSE( CONTROL!$C$32, 29.5375, 29.5373) * CHOOSE(CONTROL!$C$15, $D$11, 100%, $F$11)</f>
        <v>29.537500000000001</v>
      </c>
      <c r="C908" s="8">
        <f>CHOOSE( CONTROL!$C$32, 29.5421, 29.5418) * CHOOSE(CONTROL!$C$15, $D$11, 100%, $F$11)</f>
        <v>29.542100000000001</v>
      </c>
      <c r="D908" s="8">
        <f>CHOOSE( CONTROL!$C$32, 29.5469, 29.5466) * CHOOSE( CONTROL!$C$15, $D$11, 100%, $F$11)</f>
        <v>29.546900000000001</v>
      </c>
      <c r="E908" s="12">
        <f>CHOOSE( CONTROL!$C$32, 29.5448, 29.5445) * CHOOSE( CONTROL!$C$15, $D$11, 100%, $F$11)</f>
        <v>29.544799999999999</v>
      </c>
      <c r="F908" s="4">
        <f>CHOOSE( CONTROL!$C$32, 30.2417, 30.2415) * CHOOSE(CONTROL!$C$15, $D$11, 100%, $F$11)</f>
        <v>30.241700000000002</v>
      </c>
      <c r="G908" s="8">
        <f>CHOOSE( CONTROL!$C$32, 29.2031, 29.2028) * CHOOSE( CONTROL!$C$15, $D$11, 100%, $F$11)</f>
        <v>29.203099999999999</v>
      </c>
      <c r="H908" s="4">
        <f>CHOOSE( CONTROL!$C$32, 30.1342, 30.1339) * CHOOSE(CONTROL!$C$15, $D$11, 100%, $F$11)</f>
        <v>30.1342</v>
      </c>
      <c r="I908" s="8">
        <f>CHOOSE( CONTROL!$C$32, 28.7757, 28.7755) * CHOOSE(CONTROL!$C$15, $D$11, 100%, $F$11)</f>
        <v>28.775700000000001</v>
      </c>
      <c r="J908" s="4">
        <f>CHOOSE( CONTROL!$C$32, 28.6567, 28.6564) * CHOOSE(CONTROL!$C$15, $D$11, 100%, $F$11)</f>
        <v>28.656700000000001</v>
      </c>
      <c r="K908" s="4"/>
      <c r="L908" s="9">
        <v>30.092199999999998</v>
      </c>
      <c r="M908" s="9">
        <v>11.6745</v>
      </c>
      <c r="N908" s="9">
        <v>4.7850000000000001</v>
      </c>
      <c r="O908" s="9">
        <v>0.36199999999999999</v>
      </c>
      <c r="P908" s="9">
        <v>1.2509999999999999</v>
      </c>
      <c r="Q908" s="9">
        <v>19.053000000000001</v>
      </c>
      <c r="R908" s="9"/>
      <c r="S908" s="11"/>
    </row>
    <row r="909" spans="1:19" ht="15.75">
      <c r="A909" s="13">
        <v>68819</v>
      </c>
      <c r="B909" s="8">
        <f>CHOOSE( CONTROL!$C$32, 30.3259, 30.3254) * CHOOSE(CONTROL!$C$15, $D$11, 100%, $F$11)</f>
        <v>30.325900000000001</v>
      </c>
      <c r="C909" s="8">
        <f>CHOOSE( CONTROL!$C$32, 30.3338, 30.3334) * CHOOSE(CONTROL!$C$15, $D$11, 100%, $F$11)</f>
        <v>30.3338</v>
      </c>
      <c r="D909" s="8">
        <f>CHOOSE( CONTROL!$C$32, 30.3326, 30.3322) * CHOOSE( CONTROL!$C$15, $D$11, 100%, $F$11)</f>
        <v>30.332599999999999</v>
      </c>
      <c r="E909" s="12">
        <f>CHOOSE( CONTROL!$C$32, 30.3318, 30.3314) * CHOOSE( CONTROL!$C$15, $D$11, 100%, $F$11)</f>
        <v>30.331800000000001</v>
      </c>
      <c r="F909" s="4">
        <f>CHOOSE( CONTROL!$C$32, 31.0287, 31.0282) * CHOOSE(CONTROL!$C$15, $D$11, 100%, $F$11)</f>
        <v>31.028700000000001</v>
      </c>
      <c r="G909" s="8">
        <f>CHOOSE( CONTROL!$C$32, 29.9806, 29.9802) * CHOOSE( CONTROL!$C$15, $D$11, 100%, $F$11)</f>
        <v>29.980599999999999</v>
      </c>
      <c r="H909" s="4">
        <f>CHOOSE( CONTROL!$C$32, 30.912, 30.9115) * CHOOSE(CONTROL!$C$15, $D$11, 100%, $F$11)</f>
        <v>30.911999999999999</v>
      </c>
      <c r="I909" s="8">
        <f>CHOOSE( CONTROL!$C$32, 29.539, 29.5386) * CHOOSE(CONTROL!$C$15, $D$11, 100%, $F$11)</f>
        <v>29.539000000000001</v>
      </c>
      <c r="J909" s="4">
        <f>CHOOSE( CONTROL!$C$32, 29.4204, 29.42) * CHOOSE(CONTROL!$C$15, $D$11, 100%, $F$11)</f>
        <v>29.420400000000001</v>
      </c>
      <c r="K909" s="4"/>
      <c r="L909" s="9">
        <v>30.7165</v>
      </c>
      <c r="M909" s="9">
        <v>12.063700000000001</v>
      </c>
      <c r="N909" s="9">
        <v>4.9444999999999997</v>
      </c>
      <c r="O909" s="9">
        <v>0.37409999999999999</v>
      </c>
      <c r="P909" s="9">
        <v>1.2927</v>
      </c>
      <c r="Q909" s="9">
        <v>19.688099999999999</v>
      </c>
      <c r="R909" s="9"/>
      <c r="S909" s="11"/>
    </row>
    <row r="910" spans="1:19" ht="15.75">
      <c r="A910" s="13">
        <v>68849</v>
      </c>
      <c r="B910" s="8">
        <f>CHOOSE( CONTROL!$C$32, 29.8385, 29.838) * CHOOSE(CONTROL!$C$15, $D$11, 100%, $F$11)</f>
        <v>29.8385</v>
      </c>
      <c r="C910" s="8">
        <f>CHOOSE( CONTROL!$C$32, 29.8465, 29.846) * CHOOSE(CONTROL!$C$15, $D$11, 100%, $F$11)</f>
        <v>29.846499999999999</v>
      </c>
      <c r="D910" s="8">
        <f>CHOOSE( CONTROL!$C$32, 29.8454, 29.845) * CHOOSE( CONTROL!$C$15, $D$11, 100%, $F$11)</f>
        <v>29.845400000000001</v>
      </c>
      <c r="E910" s="12">
        <f>CHOOSE( CONTROL!$C$32, 29.8446, 29.8441) * CHOOSE( CONTROL!$C$15, $D$11, 100%, $F$11)</f>
        <v>29.8446</v>
      </c>
      <c r="F910" s="4">
        <f>CHOOSE( CONTROL!$C$32, 30.5413, 30.5409) * CHOOSE(CONTROL!$C$15, $D$11, 100%, $F$11)</f>
        <v>30.5413</v>
      </c>
      <c r="G910" s="8">
        <f>CHOOSE( CONTROL!$C$32, 29.4991, 29.4987) * CHOOSE( CONTROL!$C$15, $D$11, 100%, $F$11)</f>
        <v>29.499099999999999</v>
      </c>
      <c r="H910" s="4">
        <f>CHOOSE( CONTROL!$C$32, 30.4303, 30.4298) * CHOOSE(CONTROL!$C$15, $D$11, 100%, $F$11)</f>
        <v>30.430299999999999</v>
      </c>
      <c r="I910" s="8">
        <f>CHOOSE( CONTROL!$C$32, 29.0664, 29.066) * CHOOSE(CONTROL!$C$15, $D$11, 100%, $F$11)</f>
        <v>29.066400000000002</v>
      </c>
      <c r="J910" s="4">
        <f>CHOOSE( CONTROL!$C$32, 28.9474, 28.947) * CHOOSE(CONTROL!$C$15, $D$11, 100%, $F$11)</f>
        <v>28.947399999999998</v>
      </c>
      <c r="K910" s="4"/>
      <c r="L910" s="9">
        <v>29.7257</v>
      </c>
      <c r="M910" s="9">
        <v>11.6745</v>
      </c>
      <c r="N910" s="9">
        <v>4.7850000000000001</v>
      </c>
      <c r="O910" s="9">
        <v>0.36199999999999999</v>
      </c>
      <c r="P910" s="9">
        <v>1.2509999999999999</v>
      </c>
      <c r="Q910" s="9">
        <v>19.053000000000001</v>
      </c>
      <c r="R910" s="9"/>
      <c r="S910" s="11"/>
    </row>
    <row r="911" spans="1:19" ht="15.75">
      <c r="A911" s="13">
        <v>68880</v>
      </c>
      <c r="B911" s="8">
        <f>CHOOSE( CONTROL!$C$32, 31.1219, 31.1215) * CHOOSE(CONTROL!$C$15, $D$11, 100%, $F$11)</f>
        <v>31.1219</v>
      </c>
      <c r="C911" s="8">
        <f>CHOOSE( CONTROL!$C$32, 31.1299, 31.1295) * CHOOSE(CONTROL!$C$15, $D$11, 100%, $F$11)</f>
        <v>31.129899999999999</v>
      </c>
      <c r="D911" s="8">
        <f>CHOOSE( CONTROL!$C$32, 31.1291, 31.1287) * CHOOSE( CONTROL!$C$15, $D$11, 100%, $F$11)</f>
        <v>31.129100000000001</v>
      </c>
      <c r="E911" s="12">
        <f>CHOOSE( CONTROL!$C$32, 31.1282, 31.1278) * CHOOSE( CONTROL!$C$15, $D$11, 100%, $F$11)</f>
        <v>31.1282</v>
      </c>
      <c r="F911" s="4">
        <f>CHOOSE( CONTROL!$C$32, 31.8248, 31.8243) * CHOOSE(CONTROL!$C$15, $D$11, 100%, $F$11)</f>
        <v>31.8248</v>
      </c>
      <c r="G911" s="8">
        <f>CHOOSE( CONTROL!$C$32, 30.7677, 30.7673) * CHOOSE( CONTROL!$C$15, $D$11, 100%, $F$11)</f>
        <v>30.767700000000001</v>
      </c>
      <c r="H911" s="4">
        <f>CHOOSE( CONTROL!$C$32, 31.6987, 31.6983) * CHOOSE(CONTROL!$C$15, $D$11, 100%, $F$11)</f>
        <v>31.698699999999999</v>
      </c>
      <c r="I911" s="8">
        <f>CHOOSE( CONTROL!$C$32, 30.3134, 30.313) * CHOOSE(CONTROL!$C$15, $D$11, 100%, $F$11)</f>
        <v>30.313400000000001</v>
      </c>
      <c r="J911" s="4">
        <f>CHOOSE( CONTROL!$C$32, 30.193, 30.1926) * CHOOSE(CONTROL!$C$15, $D$11, 100%, $F$11)</f>
        <v>30.193000000000001</v>
      </c>
      <c r="K911" s="4"/>
      <c r="L911" s="9">
        <v>30.7165</v>
      </c>
      <c r="M911" s="9">
        <v>12.063700000000001</v>
      </c>
      <c r="N911" s="9">
        <v>4.9444999999999997</v>
      </c>
      <c r="O911" s="9">
        <v>0.37409999999999999</v>
      </c>
      <c r="P911" s="9">
        <v>1.2927</v>
      </c>
      <c r="Q911" s="9">
        <v>19.688099999999999</v>
      </c>
      <c r="R911" s="9"/>
      <c r="S911" s="11"/>
    </row>
    <row r="912" spans="1:19" ht="15.75">
      <c r="A912" s="13">
        <v>68911</v>
      </c>
      <c r="B912" s="8">
        <f>CHOOSE( CONTROL!$C$32, 28.7205, 28.72) * CHOOSE(CONTROL!$C$15, $D$11, 100%, $F$11)</f>
        <v>28.720500000000001</v>
      </c>
      <c r="C912" s="8">
        <f>CHOOSE( CONTROL!$C$32, 28.7284, 28.728) * CHOOSE(CONTROL!$C$15, $D$11, 100%, $F$11)</f>
        <v>28.728400000000001</v>
      </c>
      <c r="D912" s="8">
        <f>CHOOSE( CONTROL!$C$32, 28.7277, 28.7272) * CHOOSE( CONTROL!$C$15, $D$11, 100%, $F$11)</f>
        <v>28.727699999999999</v>
      </c>
      <c r="E912" s="12">
        <f>CHOOSE( CONTROL!$C$32, 28.7267, 28.7263) * CHOOSE( CONTROL!$C$15, $D$11, 100%, $F$11)</f>
        <v>28.726700000000001</v>
      </c>
      <c r="F912" s="4">
        <f>CHOOSE( CONTROL!$C$32, 29.4233, 29.4228) * CHOOSE(CONTROL!$C$15, $D$11, 100%, $F$11)</f>
        <v>29.423300000000001</v>
      </c>
      <c r="G912" s="8">
        <f>CHOOSE( CONTROL!$C$32, 28.3944, 28.394) * CHOOSE( CONTROL!$C$15, $D$11, 100%, $F$11)</f>
        <v>28.394400000000001</v>
      </c>
      <c r="H912" s="4">
        <f>CHOOSE( CONTROL!$C$32, 29.3254, 29.3249) * CHOOSE(CONTROL!$C$15, $D$11, 100%, $F$11)</f>
        <v>29.325399999999998</v>
      </c>
      <c r="I912" s="8">
        <f>CHOOSE( CONTROL!$C$32, 27.9818, 27.9814) * CHOOSE(CONTROL!$C$15, $D$11, 100%, $F$11)</f>
        <v>27.9818</v>
      </c>
      <c r="J912" s="4">
        <f>CHOOSE( CONTROL!$C$32, 27.8624, 27.8619) * CHOOSE(CONTROL!$C$15, $D$11, 100%, $F$11)</f>
        <v>27.862400000000001</v>
      </c>
      <c r="K912" s="4"/>
      <c r="L912" s="9">
        <v>30.7165</v>
      </c>
      <c r="M912" s="9">
        <v>12.063700000000001</v>
      </c>
      <c r="N912" s="9">
        <v>4.9444999999999997</v>
      </c>
      <c r="O912" s="9">
        <v>0.37409999999999999</v>
      </c>
      <c r="P912" s="9">
        <v>1.2927</v>
      </c>
      <c r="Q912" s="9">
        <v>19.688099999999999</v>
      </c>
      <c r="R912" s="9"/>
      <c r="S912" s="11"/>
    </row>
    <row r="913" spans="1:19" ht="15.75">
      <c r="A913" s="13">
        <v>68941</v>
      </c>
      <c r="B913" s="8">
        <f>CHOOSE( CONTROL!$C$32, 28.1191, 28.1186) * CHOOSE(CONTROL!$C$15, $D$11, 100%, $F$11)</f>
        <v>28.1191</v>
      </c>
      <c r="C913" s="8">
        <f>CHOOSE( CONTROL!$C$32, 28.1271, 28.1266) * CHOOSE(CONTROL!$C$15, $D$11, 100%, $F$11)</f>
        <v>28.127099999999999</v>
      </c>
      <c r="D913" s="8">
        <f>CHOOSE( CONTROL!$C$32, 28.1262, 28.1257) * CHOOSE( CONTROL!$C$15, $D$11, 100%, $F$11)</f>
        <v>28.126200000000001</v>
      </c>
      <c r="E913" s="12">
        <f>CHOOSE( CONTROL!$C$32, 28.1253, 28.1248) * CHOOSE( CONTROL!$C$15, $D$11, 100%, $F$11)</f>
        <v>28.125299999999999</v>
      </c>
      <c r="F913" s="4">
        <f>CHOOSE( CONTROL!$C$32, 28.8219, 28.8215) * CHOOSE(CONTROL!$C$15, $D$11, 100%, $F$11)</f>
        <v>28.821899999999999</v>
      </c>
      <c r="G913" s="8">
        <f>CHOOSE( CONTROL!$C$32, 27.8, 27.7995) * CHOOSE( CONTROL!$C$15, $D$11, 100%, $F$11)</f>
        <v>27.8</v>
      </c>
      <c r="H913" s="4">
        <f>CHOOSE( CONTROL!$C$32, 28.731, 28.7306) * CHOOSE(CONTROL!$C$15, $D$11, 100%, $F$11)</f>
        <v>28.731000000000002</v>
      </c>
      <c r="I913" s="8">
        <f>CHOOSE( CONTROL!$C$32, 27.3974, 27.397) * CHOOSE(CONTROL!$C$15, $D$11, 100%, $F$11)</f>
        <v>27.397400000000001</v>
      </c>
      <c r="J913" s="4">
        <f>CHOOSE( CONTROL!$C$32, 27.2788, 27.2783) * CHOOSE(CONTROL!$C$15, $D$11, 100%, $F$11)</f>
        <v>27.2788</v>
      </c>
      <c r="K913" s="4"/>
      <c r="L913" s="9">
        <v>29.7257</v>
      </c>
      <c r="M913" s="9">
        <v>11.6745</v>
      </c>
      <c r="N913" s="9">
        <v>4.7850000000000001</v>
      </c>
      <c r="O913" s="9">
        <v>0.36199999999999999</v>
      </c>
      <c r="P913" s="9">
        <v>1.2509999999999999</v>
      </c>
      <c r="Q913" s="9">
        <v>19.053000000000001</v>
      </c>
      <c r="R913" s="9"/>
      <c r="S913" s="11"/>
    </row>
    <row r="914" spans="1:19" ht="15.75">
      <c r="A914" s="13">
        <v>68972</v>
      </c>
      <c r="B914" s="8">
        <f>CHOOSE( CONTROL!$C$32, 29.3658, 29.3655) * CHOOSE(CONTROL!$C$15, $D$11, 100%, $F$11)</f>
        <v>29.3658</v>
      </c>
      <c r="C914" s="8">
        <f>CHOOSE( CONTROL!$C$32, 29.3712, 29.3709) * CHOOSE(CONTROL!$C$15, $D$11, 100%, $F$11)</f>
        <v>29.371200000000002</v>
      </c>
      <c r="D914" s="8">
        <f>CHOOSE( CONTROL!$C$32, 29.3759, 29.3756) * CHOOSE( CONTROL!$C$15, $D$11, 100%, $F$11)</f>
        <v>29.375900000000001</v>
      </c>
      <c r="E914" s="12">
        <f>CHOOSE( CONTROL!$C$32, 29.3738, 29.3735) * CHOOSE( CONTROL!$C$15, $D$11, 100%, $F$11)</f>
        <v>29.373799999999999</v>
      </c>
      <c r="F914" s="4">
        <f>CHOOSE( CONTROL!$C$32, 30.0704, 30.0701) * CHOOSE(CONTROL!$C$15, $D$11, 100%, $F$11)</f>
        <v>30.070399999999999</v>
      </c>
      <c r="G914" s="8">
        <f>CHOOSE( CONTROL!$C$32, 29.034, 29.0337) * CHOOSE( CONTROL!$C$15, $D$11, 100%, $F$11)</f>
        <v>29.033999999999999</v>
      </c>
      <c r="H914" s="4">
        <f>CHOOSE( CONTROL!$C$32, 29.9649, 29.9646) * CHOOSE(CONTROL!$C$15, $D$11, 100%, $F$11)</f>
        <v>29.9649</v>
      </c>
      <c r="I914" s="8">
        <f>CHOOSE( CONTROL!$C$32, 28.6104, 28.6102) * CHOOSE(CONTROL!$C$15, $D$11, 100%, $F$11)</f>
        <v>28.610399999999998</v>
      </c>
      <c r="J914" s="4">
        <f>CHOOSE( CONTROL!$C$32, 28.4904, 28.4901) * CHOOSE(CONTROL!$C$15, $D$11, 100%, $F$11)</f>
        <v>28.490400000000001</v>
      </c>
      <c r="K914" s="4"/>
      <c r="L914" s="9">
        <v>31.095300000000002</v>
      </c>
      <c r="M914" s="9">
        <v>12.063700000000001</v>
      </c>
      <c r="N914" s="9">
        <v>4.9444999999999997</v>
      </c>
      <c r="O914" s="9">
        <v>0.37409999999999999</v>
      </c>
      <c r="P914" s="9">
        <v>1.2927</v>
      </c>
      <c r="Q914" s="9">
        <v>19.688099999999999</v>
      </c>
      <c r="R914" s="9"/>
      <c r="S914" s="11"/>
    </row>
    <row r="915" spans="1:19" ht="15.75">
      <c r="A915" s="13">
        <v>69002</v>
      </c>
      <c r="B915" s="8">
        <f>CHOOSE( CONTROL!$C$32, 31.6701, 31.6699) * CHOOSE(CONTROL!$C$15, $D$11, 100%, $F$11)</f>
        <v>31.670100000000001</v>
      </c>
      <c r="C915" s="8">
        <f>CHOOSE( CONTROL!$C$32, 31.6752, 31.6749) * CHOOSE(CONTROL!$C$15, $D$11, 100%, $F$11)</f>
        <v>31.6752</v>
      </c>
      <c r="D915" s="8">
        <f>CHOOSE( CONTROL!$C$32, 31.6579, 31.6577) * CHOOSE( CONTROL!$C$15, $D$11, 100%, $F$11)</f>
        <v>31.657900000000001</v>
      </c>
      <c r="E915" s="12">
        <f>CHOOSE( CONTROL!$C$32, 31.6637, 31.6635) * CHOOSE( CONTROL!$C$15, $D$11, 100%, $F$11)</f>
        <v>31.663699999999999</v>
      </c>
      <c r="F915" s="4">
        <f>CHOOSE( CONTROL!$C$32, 32.3354, 32.3351) * CHOOSE(CONTROL!$C$15, $D$11, 100%, $F$11)</f>
        <v>32.3354</v>
      </c>
      <c r="G915" s="8">
        <f>CHOOSE( CONTROL!$C$32, 31.3086, 31.3084) * CHOOSE( CONTROL!$C$15, $D$11, 100%, $F$11)</f>
        <v>31.308599999999998</v>
      </c>
      <c r="H915" s="4">
        <f>CHOOSE( CONTROL!$C$32, 32.2034, 32.2031) * CHOOSE(CONTROL!$C$15, $D$11, 100%, $F$11)</f>
        <v>32.203400000000002</v>
      </c>
      <c r="I915" s="8">
        <f>CHOOSE( CONTROL!$C$32, 30.9039, 30.9037) * CHOOSE(CONTROL!$C$15, $D$11, 100%, $F$11)</f>
        <v>30.9039</v>
      </c>
      <c r="J915" s="4">
        <f>CHOOSE( CONTROL!$C$32, 30.7271, 30.7269) * CHOOSE(CONTROL!$C$15, $D$11, 100%, $F$11)</f>
        <v>30.7271</v>
      </c>
      <c r="K915" s="4"/>
      <c r="L915" s="9">
        <v>28.360600000000002</v>
      </c>
      <c r="M915" s="9">
        <v>11.6745</v>
      </c>
      <c r="N915" s="9">
        <v>4.7850000000000001</v>
      </c>
      <c r="O915" s="9">
        <v>0.36199999999999999</v>
      </c>
      <c r="P915" s="9">
        <v>1.2509999999999999</v>
      </c>
      <c r="Q915" s="9">
        <v>19.053000000000001</v>
      </c>
      <c r="R915" s="9"/>
      <c r="S915" s="11"/>
    </row>
    <row r="916" spans="1:19" ht="15.75">
      <c r="A916" s="13">
        <v>69033</v>
      </c>
      <c r="B916" s="8">
        <f>CHOOSE( CONTROL!$C$32, 31.6126, 31.6123) * CHOOSE(CONTROL!$C$15, $D$11, 100%, $F$11)</f>
        <v>31.6126</v>
      </c>
      <c r="C916" s="8">
        <f>CHOOSE( CONTROL!$C$32, 31.6176, 31.6174) * CHOOSE(CONTROL!$C$15, $D$11, 100%, $F$11)</f>
        <v>31.617599999999999</v>
      </c>
      <c r="D916" s="8">
        <f>CHOOSE( CONTROL!$C$32, 31.6021, 31.6019) * CHOOSE( CONTROL!$C$15, $D$11, 100%, $F$11)</f>
        <v>31.6021</v>
      </c>
      <c r="E916" s="12">
        <f>CHOOSE( CONTROL!$C$32, 31.6072, 31.607) * CHOOSE( CONTROL!$C$15, $D$11, 100%, $F$11)</f>
        <v>31.607199999999999</v>
      </c>
      <c r="F916" s="4">
        <f>CHOOSE( CONTROL!$C$32, 32.2778, 32.2776) * CHOOSE(CONTROL!$C$15, $D$11, 100%, $F$11)</f>
        <v>32.277799999999999</v>
      </c>
      <c r="G916" s="8">
        <f>CHOOSE( CONTROL!$C$32, 31.253, 31.2527) * CHOOSE( CONTROL!$C$15, $D$11, 100%, $F$11)</f>
        <v>31.253</v>
      </c>
      <c r="H916" s="4">
        <f>CHOOSE( CONTROL!$C$32, 32.1465, 32.1462) * CHOOSE(CONTROL!$C$15, $D$11, 100%, $F$11)</f>
        <v>32.146500000000003</v>
      </c>
      <c r="I916" s="8">
        <f>CHOOSE( CONTROL!$C$32, 30.8536, 30.8533) * CHOOSE(CONTROL!$C$15, $D$11, 100%, $F$11)</f>
        <v>30.8536</v>
      </c>
      <c r="J916" s="4">
        <f>CHOOSE( CONTROL!$C$32, 30.6712, 30.671) * CHOOSE(CONTROL!$C$15, $D$11, 100%, $F$11)</f>
        <v>30.671199999999999</v>
      </c>
      <c r="K916" s="4"/>
      <c r="L916" s="9">
        <v>29.306000000000001</v>
      </c>
      <c r="M916" s="9">
        <v>12.063700000000001</v>
      </c>
      <c r="N916" s="9">
        <v>4.9444999999999997</v>
      </c>
      <c r="O916" s="9">
        <v>0.37409999999999999</v>
      </c>
      <c r="P916" s="9">
        <v>1.2927</v>
      </c>
      <c r="Q916" s="9">
        <v>19.688099999999999</v>
      </c>
      <c r="R916" s="9"/>
      <c r="S916" s="11"/>
    </row>
    <row r="917" spans="1:19" ht="15.75">
      <c r="A917" s="13">
        <v>69064</v>
      </c>
      <c r="B917" s="8">
        <f>CHOOSE( CONTROL!$C$32, 32.5448, 32.5445) * CHOOSE(CONTROL!$C$15, $D$11, 100%, $F$11)</f>
        <v>32.544800000000002</v>
      </c>
      <c r="C917" s="8">
        <f>CHOOSE( CONTROL!$C$32, 32.5498, 32.5496) * CHOOSE(CONTROL!$C$15, $D$11, 100%, $F$11)</f>
        <v>32.549799999999998</v>
      </c>
      <c r="D917" s="8">
        <f>CHOOSE( CONTROL!$C$32, 32.5403, 32.54) * CHOOSE( CONTROL!$C$15, $D$11, 100%, $F$11)</f>
        <v>32.540300000000002</v>
      </c>
      <c r="E917" s="12">
        <f>CHOOSE( CONTROL!$C$32, 32.5432, 32.543) * CHOOSE( CONTROL!$C$15, $D$11, 100%, $F$11)</f>
        <v>32.543199999999999</v>
      </c>
      <c r="F917" s="4">
        <f>CHOOSE( CONTROL!$C$32, 33.21, 33.2098) * CHOOSE(CONTROL!$C$15, $D$11, 100%, $F$11)</f>
        <v>33.21</v>
      </c>
      <c r="G917" s="8">
        <f>CHOOSE( CONTROL!$C$32, 32.175, 32.1747) * CHOOSE( CONTROL!$C$15, $D$11, 100%, $F$11)</f>
        <v>32.174999999999997</v>
      </c>
      <c r="H917" s="4">
        <f>CHOOSE( CONTROL!$C$32, 33.0678, 33.0675) * CHOOSE(CONTROL!$C$15, $D$11, 100%, $F$11)</f>
        <v>33.067799999999998</v>
      </c>
      <c r="I917" s="8">
        <f>CHOOSE( CONTROL!$C$32, 31.7392, 31.7389) * CHOOSE(CONTROL!$C$15, $D$11, 100%, $F$11)</f>
        <v>31.7392</v>
      </c>
      <c r="J917" s="4">
        <f>CHOOSE( CONTROL!$C$32, 31.5759, 31.5757) * CHOOSE(CONTROL!$C$15, $D$11, 100%, $F$11)</f>
        <v>31.575900000000001</v>
      </c>
      <c r="K917" s="4"/>
      <c r="L917" s="9">
        <v>29.306000000000001</v>
      </c>
      <c r="M917" s="9">
        <v>12.063700000000001</v>
      </c>
      <c r="N917" s="9">
        <v>4.9444999999999997</v>
      </c>
      <c r="O917" s="9">
        <v>0.37409999999999999</v>
      </c>
      <c r="P917" s="9">
        <v>1.2927</v>
      </c>
      <c r="Q917" s="9">
        <v>19.688099999999999</v>
      </c>
      <c r="R917" s="9"/>
      <c r="S917" s="11"/>
    </row>
    <row r="918" spans="1:19" ht="15.75">
      <c r="A918" s="13">
        <v>69092</v>
      </c>
      <c r="B918" s="8">
        <f>CHOOSE( CONTROL!$C$32, 30.4414, 30.4411) * CHOOSE(CONTROL!$C$15, $D$11, 100%, $F$11)</f>
        <v>30.441400000000002</v>
      </c>
      <c r="C918" s="8">
        <f>CHOOSE( CONTROL!$C$32, 30.4465, 30.4462) * CHOOSE(CONTROL!$C$15, $D$11, 100%, $F$11)</f>
        <v>30.4465</v>
      </c>
      <c r="D918" s="8">
        <f>CHOOSE( CONTROL!$C$32, 30.4386, 30.4383) * CHOOSE( CONTROL!$C$15, $D$11, 100%, $F$11)</f>
        <v>30.438600000000001</v>
      </c>
      <c r="E918" s="12">
        <f>CHOOSE( CONTROL!$C$32, 30.4409, 30.4406) * CHOOSE( CONTROL!$C$15, $D$11, 100%, $F$11)</f>
        <v>30.440899999999999</v>
      </c>
      <c r="F918" s="4">
        <f>CHOOSE( CONTROL!$C$32, 31.1067, 31.1064) * CHOOSE(CONTROL!$C$15, $D$11, 100%, $F$11)</f>
        <v>31.1067</v>
      </c>
      <c r="G918" s="8">
        <f>CHOOSE( CONTROL!$C$32, 30.0948, 30.0945) * CHOOSE( CONTROL!$C$15, $D$11, 100%, $F$11)</f>
        <v>30.094799999999999</v>
      </c>
      <c r="H918" s="4">
        <f>CHOOSE( CONTROL!$C$32, 30.989, 30.9888) * CHOOSE(CONTROL!$C$15, $D$11, 100%, $F$11)</f>
        <v>30.989000000000001</v>
      </c>
      <c r="I918" s="8">
        <f>CHOOSE( CONTROL!$C$32, 29.6815, 29.6812) * CHOOSE(CONTROL!$C$15, $D$11, 100%, $F$11)</f>
        <v>29.6815</v>
      </c>
      <c r="J918" s="4">
        <f>CHOOSE( CONTROL!$C$32, 29.5346, 29.5344) * CHOOSE(CONTROL!$C$15, $D$11, 100%, $F$11)</f>
        <v>29.534600000000001</v>
      </c>
      <c r="K918" s="4"/>
      <c r="L918" s="9">
        <v>26.469899999999999</v>
      </c>
      <c r="M918" s="9">
        <v>10.8962</v>
      </c>
      <c r="N918" s="9">
        <v>4.4660000000000002</v>
      </c>
      <c r="O918" s="9">
        <v>0.33789999999999998</v>
      </c>
      <c r="P918" s="9">
        <v>1.1676</v>
      </c>
      <c r="Q918" s="9">
        <v>17.782800000000002</v>
      </c>
      <c r="R918" s="9"/>
      <c r="S918" s="11"/>
    </row>
    <row r="919" spans="1:19" ht="15.75">
      <c r="A919" s="13">
        <v>69123</v>
      </c>
      <c r="B919" s="8">
        <f>CHOOSE( CONTROL!$C$32, 29.7936, 29.7933) * CHOOSE(CONTROL!$C$15, $D$11, 100%, $F$11)</f>
        <v>29.793600000000001</v>
      </c>
      <c r="C919" s="8">
        <f>CHOOSE( CONTROL!$C$32, 29.7986, 29.7984) * CHOOSE(CONTROL!$C$15, $D$11, 100%, $F$11)</f>
        <v>29.7986</v>
      </c>
      <c r="D919" s="8">
        <f>CHOOSE( CONTROL!$C$32, 29.7859, 29.7857) * CHOOSE( CONTROL!$C$15, $D$11, 100%, $F$11)</f>
        <v>29.785900000000002</v>
      </c>
      <c r="E919" s="12">
        <f>CHOOSE( CONTROL!$C$32, 29.79, 29.7898) * CHOOSE( CONTROL!$C$15, $D$11, 100%, $F$11)</f>
        <v>29.79</v>
      </c>
      <c r="F919" s="4">
        <f>CHOOSE( CONTROL!$C$32, 30.4588, 30.4586) * CHOOSE(CONTROL!$C$15, $D$11, 100%, $F$11)</f>
        <v>30.4588</v>
      </c>
      <c r="G919" s="8">
        <f>CHOOSE( CONTROL!$C$32, 29.4511, 29.4508) * CHOOSE( CONTROL!$C$15, $D$11, 100%, $F$11)</f>
        <v>29.4511</v>
      </c>
      <c r="H919" s="4">
        <f>CHOOSE( CONTROL!$C$32, 30.3488, 30.3485) * CHOOSE(CONTROL!$C$15, $D$11, 100%, $F$11)</f>
        <v>30.348800000000001</v>
      </c>
      <c r="I919" s="8">
        <f>CHOOSE( CONTROL!$C$32, 29.0508, 29.0506) * CHOOSE(CONTROL!$C$15, $D$11, 100%, $F$11)</f>
        <v>29.050799999999999</v>
      </c>
      <c r="J919" s="4">
        <f>CHOOSE( CONTROL!$C$32, 28.9059, 28.9056) * CHOOSE(CONTROL!$C$15, $D$11, 100%, $F$11)</f>
        <v>28.905899999999999</v>
      </c>
      <c r="K919" s="4"/>
      <c r="L919" s="9">
        <v>29.306000000000001</v>
      </c>
      <c r="M919" s="9">
        <v>12.063700000000001</v>
      </c>
      <c r="N919" s="9">
        <v>4.9444999999999997</v>
      </c>
      <c r="O919" s="9">
        <v>0.37409999999999999</v>
      </c>
      <c r="P919" s="9">
        <v>1.2927</v>
      </c>
      <c r="Q919" s="9">
        <v>19.688099999999999</v>
      </c>
      <c r="R919" s="9"/>
      <c r="S919" s="11"/>
    </row>
    <row r="920" spans="1:19" ht="15.75">
      <c r="A920" s="13">
        <v>69153</v>
      </c>
      <c r="B920" s="8">
        <f>CHOOSE( CONTROL!$C$32, 30.247, 30.2467) * CHOOSE(CONTROL!$C$15, $D$11, 100%, $F$11)</f>
        <v>30.247</v>
      </c>
      <c r="C920" s="8">
        <f>CHOOSE( CONTROL!$C$32, 30.2515, 30.2512) * CHOOSE(CONTROL!$C$15, $D$11, 100%, $F$11)</f>
        <v>30.2515</v>
      </c>
      <c r="D920" s="8">
        <f>CHOOSE( CONTROL!$C$32, 30.2564, 30.2561) * CHOOSE( CONTROL!$C$15, $D$11, 100%, $F$11)</f>
        <v>30.256399999999999</v>
      </c>
      <c r="E920" s="12">
        <f>CHOOSE( CONTROL!$C$32, 30.2543, 30.254) * CHOOSE( CONTROL!$C$15, $D$11, 100%, $F$11)</f>
        <v>30.254300000000001</v>
      </c>
      <c r="F920" s="4">
        <f>CHOOSE( CONTROL!$C$32, 30.9512, 30.9509) * CHOOSE(CONTROL!$C$15, $D$11, 100%, $F$11)</f>
        <v>30.9512</v>
      </c>
      <c r="G920" s="8">
        <f>CHOOSE( CONTROL!$C$32, 29.9042, 29.904) * CHOOSE( CONTROL!$C$15, $D$11, 100%, $F$11)</f>
        <v>29.904199999999999</v>
      </c>
      <c r="H920" s="4">
        <f>CHOOSE( CONTROL!$C$32, 30.8354, 30.8351) * CHOOSE(CONTROL!$C$15, $D$11, 100%, $F$11)</f>
        <v>30.8354</v>
      </c>
      <c r="I920" s="8">
        <f>CHOOSE( CONTROL!$C$32, 29.4646, 29.4644) * CHOOSE(CONTROL!$C$15, $D$11, 100%, $F$11)</f>
        <v>29.464600000000001</v>
      </c>
      <c r="J920" s="4">
        <f>CHOOSE( CONTROL!$C$32, 29.3452, 29.345) * CHOOSE(CONTROL!$C$15, $D$11, 100%, $F$11)</f>
        <v>29.345199999999998</v>
      </c>
      <c r="K920" s="4"/>
      <c r="L920" s="9">
        <v>30.092199999999998</v>
      </c>
      <c r="M920" s="9">
        <v>11.6745</v>
      </c>
      <c r="N920" s="9">
        <v>4.7850000000000001</v>
      </c>
      <c r="O920" s="9">
        <v>0.36199999999999999</v>
      </c>
      <c r="P920" s="9">
        <v>1.2509999999999999</v>
      </c>
      <c r="Q920" s="9">
        <v>19.053000000000001</v>
      </c>
      <c r="R920" s="9"/>
      <c r="S920" s="11"/>
    </row>
    <row r="921" spans="1:19" ht="15.75">
      <c r="A921" s="13">
        <v>69184</v>
      </c>
      <c r="B921" s="8">
        <f>CHOOSE( CONTROL!$C$32, 31.0542, 31.0538) * CHOOSE(CONTROL!$C$15, $D$11, 100%, $F$11)</f>
        <v>31.054200000000002</v>
      </c>
      <c r="C921" s="8">
        <f>CHOOSE( CONTROL!$C$32, 31.0622, 31.0618) * CHOOSE(CONTROL!$C$15, $D$11, 100%, $F$11)</f>
        <v>31.062200000000001</v>
      </c>
      <c r="D921" s="8">
        <f>CHOOSE( CONTROL!$C$32, 31.061, 31.0605) * CHOOSE( CONTROL!$C$15, $D$11, 100%, $F$11)</f>
        <v>31.061</v>
      </c>
      <c r="E921" s="12">
        <f>CHOOSE( CONTROL!$C$32, 31.0602, 31.0598) * CHOOSE( CONTROL!$C$15, $D$11, 100%, $F$11)</f>
        <v>31.060199999999998</v>
      </c>
      <c r="F921" s="4">
        <f>CHOOSE( CONTROL!$C$32, 31.7571, 31.7566) * CHOOSE(CONTROL!$C$15, $D$11, 100%, $F$11)</f>
        <v>31.757100000000001</v>
      </c>
      <c r="G921" s="8">
        <f>CHOOSE( CONTROL!$C$32, 30.7005, 30.7) * CHOOSE( CONTROL!$C$15, $D$11, 100%, $F$11)</f>
        <v>30.700500000000002</v>
      </c>
      <c r="H921" s="4">
        <f>CHOOSE( CONTROL!$C$32, 31.6318, 31.6314) * CHOOSE(CONTROL!$C$15, $D$11, 100%, $F$11)</f>
        <v>31.631799999999998</v>
      </c>
      <c r="I921" s="8">
        <f>CHOOSE( CONTROL!$C$32, 30.2463, 30.2458) * CHOOSE(CONTROL!$C$15, $D$11, 100%, $F$11)</f>
        <v>30.246300000000002</v>
      </c>
      <c r="J921" s="4">
        <f>CHOOSE( CONTROL!$C$32, 30.1273, 30.1269) * CHOOSE(CONTROL!$C$15, $D$11, 100%, $F$11)</f>
        <v>30.127300000000002</v>
      </c>
      <c r="K921" s="4"/>
      <c r="L921" s="9">
        <v>30.7165</v>
      </c>
      <c r="M921" s="9">
        <v>12.063700000000001</v>
      </c>
      <c r="N921" s="9">
        <v>4.9444999999999997</v>
      </c>
      <c r="O921" s="9">
        <v>0.37409999999999999</v>
      </c>
      <c r="P921" s="9">
        <v>1.2927</v>
      </c>
      <c r="Q921" s="9">
        <v>19.688099999999999</v>
      </c>
      <c r="R921" s="9"/>
      <c r="S921" s="11"/>
    </row>
    <row r="922" spans="1:19" ht="15.75">
      <c r="A922" s="13">
        <v>69214</v>
      </c>
      <c r="B922" s="8">
        <f>CHOOSE( CONTROL!$C$32, 30.5552, 30.5547) * CHOOSE(CONTROL!$C$15, $D$11, 100%, $F$11)</f>
        <v>30.555199999999999</v>
      </c>
      <c r="C922" s="8">
        <f>CHOOSE( CONTROL!$C$32, 30.5631, 30.5627) * CHOOSE(CONTROL!$C$15, $D$11, 100%, $F$11)</f>
        <v>30.563099999999999</v>
      </c>
      <c r="D922" s="8">
        <f>CHOOSE( CONTROL!$C$32, 30.5621, 30.5616) * CHOOSE( CONTROL!$C$15, $D$11, 100%, $F$11)</f>
        <v>30.562100000000001</v>
      </c>
      <c r="E922" s="12">
        <f>CHOOSE( CONTROL!$C$32, 30.5613, 30.5608) * CHOOSE( CONTROL!$C$15, $D$11, 100%, $F$11)</f>
        <v>30.561299999999999</v>
      </c>
      <c r="F922" s="4">
        <f>CHOOSE( CONTROL!$C$32, 31.258, 31.2575) * CHOOSE(CONTROL!$C$15, $D$11, 100%, $F$11)</f>
        <v>31.257999999999999</v>
      </c>
      <c r="G922" s="8">
        <f>CHOOSE( CONTROL!$C$32, 30.2074, 30.2069) * CHOOSE( CONTROL!$C$15, $D$11, 100%, $F$11)</f>
        <v>30.2074</v>
      </c>
      <c r="H922" s="4">
        <f>CHOOSE( CONTROL!$C$32, 31.1386, 31.1381) * CHOOSE(CONTROL!$C$15, $D$11, 100%, $F$11)</f>
        <v>31.1386</v>
      </c>
      <c r="I922" s="8">
        <f>CHOOSE( CONTROL!$C$32, 29.7623, 29.7619) * CHOOSE(CONTROL!$C$15, $D$11, 100%, $F$11)</f>
        <v>29.7623</v>
      </c>
      <c r="J922" s="4">
        <f>CHOOSE( CONTROL!$C$32, 29.643, 29.6425) * CHOOSE(CONTROL!$C$15, $D$11, 100%, $F$11)</f>
        <v>29.643000000000001</v>
      </c>
      <c r="K922" s="4"/>
      <c r="L922" s="9">
        <v>29.7257</v>
      </c>
      <c r="M922" s="9">
        <v>11.6745</v>
      </c>
      <c r="N922" s="9">
        <v>4.7850000000000001</v>
      </c>
      <c r="O922" s="9">
        <v>0.36199999999999999</v>
      </c>
      <c r="P922" s="9">
        <v>1.2509999999999999</v>
      </c>
      <c r="Q922" s="9">
        <v>19.053000000000001</v>
      </c>
      <c r="R922" s="9"/>
      <c r="S922" s="11"/>
    </row>
    <row r="923" spans="1:19" ht="15.75">
      <c r="A923" s="13">
        <v>69245</v>
      </c>
      <c r="B923" s="8">
        <f>CHOOSE( CONTROL!$C$32, 31.8695, 31.869) * CHOOSE(CONTROL!$C$15, $D$11, 100%, $F$11)</f>
        <v>31.869499999999999</v>
      </c>
      <c r="C923" s="8">
        <f>CHOOSE( CONTROL!$C$32, 31.8774, 31.877) * CHOOSE(CONTROL!$C$15, $D$11, 100%, $F$11)</f>
        <v>31.877400000000002</v>
      </c>
      <c r="D923" s="8">
        <f>CHOOSE( CONTROL!$C$32, 31.8766, 31.8762) * CHOOSE( CONTROL!$C$15, $D$11, 100%, $F$11)</f>
        <v>31.8766</v>
      </c>
      <c r="E923" s="12">
        <f>CHOOSE( CONTROL!$C$32, 31.8757, 31.8753) * CHOOSE( CONTROL!$C$15, $D$11, 100%, $F$11)</f>
        <v>31.875699999999998</v>
      </c>
      <c r="F923" s="4">
        <f>CHOOSE( CONTROL!$C$32, 32.5723, 32.5718) * CHOOSE(CONTROL!$C$15, $D$11, 100%, $F$11)</f>
        <v>32.572299999999998</v>
      </c>
      <c r="G923" s="8">
        <f>CHOOSE( CONTROL!$C$32, 31.5065, 31.506) * CHOOSE( CONTROL!$C$15, $D$11, 100%, $F$11)</f>
        <v>31.506499999999999</v>
      </c>
      <c r="H923" s="4">
        <f>CHOOSE( CONTROL!$C$32, 32.4375, 32.437) * CHOOSE(CONTROL!$C$15, $D$11, 100%, $F$11)</f>
        <v>32.4375</v>
      </c>
      <c r="I923" s="8">
        <f>CHOOSE( CONTROL!$C$32, 31.0393, 31.0388) * CHOOSE(CONTROL!$C$15, $D$11, 100%, $F$11)</f>
        <v>31.039300000000001</v>
      </c>
      <c r="J923" s="4">
        <f>CHOOSE( CONTROL!$C$32, 30.9185, 30.918) * CHOOSE(CONTROL!$C$15, $D$11, 100%, $F$11)</f>
        <v>30.918500000000002</v>
      </c>
      <c r="K923" s="4"/>
      <c r="L923" s="9">
        <v>30.7165</v>
      </c>
      <c r="M923" s="9">
        <v>12.063700000000001</v>
      </c>
      <c r="N923" s="9">
        <v>4.9444999999999997</v>
      </c>
      <c r="O923" s="9">
        <v>0.37409999999999999</v>
      </c>
      <c r="P923" s="9">
        <v>1.2927</v>
      </c>
      <c r="Q923" s="9">
        <v>19.688099999999999</v>
      </c>
      <c r="R923" s="9"/>
      <c r="S923" s="11"/>
    </row>
    <row r="924" spans="1:19" ht="15.75">
      <c r="A924" s="13">
        <v>69276</v>
      </c>
      <c r="B924" s="8">
        <f>CHOOSE( CONTROL!$C$32, 29.4103, 29.4098) * CHOOSE(CONTROL!$C$15, $D$11, 100%, $F$11)</f>
        <v>29.410299999999999</v>
      </c>
      <c r="C924" s="8">
        <f>CHOOSE( CONTROL!$C$32, 29.4182, 29.4178) * CHOOSE(CONTROL!$C$15, $D$11, 100%, $F$11)</f>
        <v>29.418199999999999</v>
      </c>
      <c r="D924" s="8">
        <f>CHOOSE( CONTROL!$C$32, 29.4175, 29.417) * CHOOSE( CONTROL!$C$15, $D$11, 100%, $F$11)</f>
        <v>29.4175</v>
      </c>
      <c r="E924" s="12">
        <f>CHOOSE( CONTROL!$C$32, 29.4165, 29.4161) * CHOOSE( CONTROL!$C$15, $D$11, 100%, $F$11)</f>
        <v>29.416499999999999</v>
      </c>
      <c r="F924" s="4">
        <f>CHOOSE( CONTROL!$C$32, 30.1131, 30.1126) * CHOOSE(CONTROL!$C$15, $D$11, 100%, $F$11)</f>
        <v>30.113099999999999</v>
      </c>
      <c r="G924" s="8">
        <f>CHOOSE( CONTROL!$C$32, 29.0761, 29.0757) * CHOOSE( CONTROL!$C$15, $D$11, 100%, $F$11)</f>
        <v>29.0761</v>
      </c>
      <c r="H924" s="4">
        <f>CHOOSE( CONTROL!$C$32, 30.0071, 30.0066) * CHOOSE(CONTROL!$C$15, $D$11, 100%, $F$11)</f>
        <v>30.007100000000001</v>
      </c>
      <c r="I924" s="8">
        <f>CHOOSE( CONTROL!$C$32, 28.6516, 28.6512) * CHOOSE(CONTROL!$C$15, $D$11, 100%, $F$11)</f>
        <v>28.651599999999998</v>
      </c>
      <c r="J924" s="4">
        <f>CHOOSE( CONTROL!$C$32, 28.5318, 28.5314) * CHOOSE(CONTROL!$C$15, $D$11, 100%, $F$11)</f>
        <v>28.5318</v>
      </c>
      <c r="K924" s="4"/>
      <c r="L924" s="9">
        <v>30.7165</v>
      </c>
      <c r="M924" s="9">
        <v>12.063700000000001</v>
      </c>
      <c r="N924" s="9">
        <v>4.9444999999999997</v>
      </c>
      <c r="O924" s="9">
        <v>0.37409999999999999</v>
      </c>
      <c r="P924" s="9">
        <v>1.2927</v>
      </c>
      <c r="Q924" s="9">
        <v>19.688099999999999</v>
      </c>
      <c r="R924" s="9"/>
      <c r="S924" s="11"/>
    </row>
    <row r="925" spans="1:19" ht="15.75">
      <c r="A925" s="13">
        <v>69306</v>
      </c>
      <c r="B925" s="8">
        <f>CHOOSE( CONTROL!$C$32, 28.7944, 28.794) * CHOOSE(CONTROL!$C$15, $D$11, 100%, $F$11)</f>
        <v>28.7944</v>
      </c>
      <c r="C925" s="8">
        <f>CHOOSE( CONTROL!$C$32, 28.8024, 28.802) * CHOOSE(CONTROL!$C$15, $D$11, 100%, $F$11)</f>
        <v>28.802399999999999</v>
      </c>
      <c r="D925" s="8">
        <f>CHOOSE( CONTROL!$C$32, 28.8015, 28.8011) * CHOOSE( CONTROL!$C$15, $D$11, 100%, $F$11)</f>
        <v>28.801500000000001</v>
      </c>
      <c r="E925" s="12">
        <f>CHOOSE( CONTROL!$C$32, 28.8006, 28.8002) * CHOOSE( CONTROL!$C$15, $D$11, 100%, $F$11)</f>
        <v>28.800599999999999</v>
      </c>
      <c r="F925" s="4">
        <f>CHOOSE( CONTROL!$C$32, 29.4973, 29.4968) * CHOOSE(CONTROL!$C$15, $D$11, 100%, $F$11)</f>
        <v>29.497299999999999</v>
      </c>
      <c r="G925" s="8">
        <f>CHOOSE( CONTROL!$C$32, 28.4674, 28.467) * CHOOSE( CONTROL!$C$15, $D$11, 100%, $F$11)</f>
        <v>28.467400000000001</v>
      </c>
      <c r="H925" s="4">
        <f>CHOOSE( CONTROL!$C$32, 29.3985, 29.398) * CHOOSE(CONTROL!$C$15, $D$11, 100%, $F$11)</f>
        <v>29.398499999999999</v>
      </c>
      <c r="I925" s="8">
        <f>CHOOSE( CONTROL!$C$32, 28.0532, 28.0527) * CHOOSE(CONTROL!$C$15, $D$11, 100%, $F$11)</f>
        <v>28.0532</v>
      </c>
      <c r="J925" s="4">
        <f>CHOOSE( CONTROL!$C$32, 27.9342, 27.9337) * CHOOSE(CONTROL!$C$15, $D$11, 100%, $F$11)</f>
        <v>27.934200000000001</v>
      </c>
      <c r="K925" s="4"/>
      <c r="L925" s="9">
        <v>29.7257</v>
      </c>
      <c r="M925" s="9">
        <v>11.6745</v>
      </c>
      <c r="N925" s="9">
        <v>4.7850000000000001</v>
      </c>
      <c r="O925" s="9">
        <v>0.36199999999999999</v>
      </c>
      <c r="P925" s="9">
        <v>1.2509999999999999</v>
      </c>
      <c r="Q925" s="9">
        <v>19.053000000000001</v>
      </c>
      <c r="R925" s="9"/>
      <c r="S925" s="11"/>
    </row>
    <row r="926" spans="1:19" ht="15.75">
      <c r="A926" s="13">
        <v>69337</v>
      </c>
      <c r="B926" s="8">
        <f>CHOOSE( CONTROL!$C$32, 30.0712, 30.0709) * CHOOSE(CONTROL!$C$15, $D$11, 100%, $F$11)</f>
        <v>30.071200000000001</v>
      </c>
      <c r="C926" s="8">
        <f>CHOOSE( CONTROL!$C$32, 30.0765, 30.0762) * CHOOSE(CONTROL!$C$15, $D$11, 100%, $F$11)</f>
        <v>30.076499999999999</v>
      </c>
      <c r="D926" s="8">
        <f>CHOOSE( CONTROL!$C$32, 30.0812, 30.0809) * CHOOSE( CONTROL!$C$15, $D$11, 100%, $F$11)</f>
        <v>30.081199999999999</v>
      </c>
      <c r="E926" s="12">
        <f>CHOOSE( CONTROL!$C$32, 30.0791, 30.0788) * CHOOSE( CONTROL!$C$15, $D$11, 100%, $F$11)</f>
        <v>30.0791</v>
      </c>
      <c r="F926" s="4">
        <f>CHOOSE( CONTROL!$C$32, 30.7757, 30.7754) * CHOOSE(CONTROL!$C$15, $D$11, 100%, $F$11)</f>
        <v>30.775700000000001</v>
      </c>
      <c r="G926" s="8">
        <f>CHOOSE( CONTROL!$C$32, 29.7311, 29.7308) * CHOOSE( CONTROL!$C$15, $D$11, 100%, $F$11)</f>
        <v>29.731100000000001</v>
      </c>
      <c r="H926" s="4">
        <f>CHOOSE( CONTROL!$C$32, 30.662, 30.6617) * CHOOSE(CONTROL!$C$15, $D$11, 100%, $F$11)</f>
        <v>30.661999999999999</v>
      </c>
      <c r="I926" s="8">
        <f>CHOOSE( CONTROL!$C$32, 29.2953, 29.2951) * CHOOSE(CONTROL!$C$15, $D$11, 100%, $F$11)</f>
        <v>29.295300000000001</v>
      </c>
      <c r="J926" s="4">
        <f>CHOOSE( CONTROL!$C$32, 29.1749, 29.1747) * CHOOSE(CONTROL!$C$15, $D$11, 100%, $F$11)</f>
        <v>29.174900000000001</v>
      </c>
      <c r="K926" s="4"/>
      <c r="L926" s="9">
        <v>31.095300000000002</v>
      </c>
      <c r="M926" s="9">
        <v>12.063700000000001</v>
      </c>
      <c r="N926" s="9">
        <v>4.9444999999999997</v>
      </c>
      <c r="O926" s="9">
        <v>0.37409999999999999</v>
      </c>
      <c r="P926" s="9">
        <v>1.2927</v>
      </c>
      <c r="Q926" s="9">
        <v>19.688099999999999</v>
      </c>
      <c r="R926" s="9"/>
      <c r="S926" s="11"/>
    </row>
    <row r="927" spans="1:19" ht="15.75">
      <c r="A927" s="13">
        <v>69367</v>
      </c>
      <c r="B927" s="8">
        <f>CHOOSE( CONTROL!$C$32, 32.4309, 32.4306) * CHOOSE(CONTROL!$C$15, $D$11, 100%, $F$11)</f>
        <v>32.430900000000001</v>
      </c>
      <c r="C927" s="8">
        <f>CHOOSE( CONTROL!$C$32, 32.4359, 32.4357) * CHOOSE(CONTROL!$C$15, $D$11, 100%, $F$11)</f>
        <v>32.435899999999997</v>
      </c>
      <c r="D927" s="8">
        <f>CHOOSE( CONTROL!$C$32, 32.4187, 32.4184) * CHOOSE( CONTROL!$C$15, $D$11, 100%, $F$11)</f>
        <v>32.418700000000001</v>
      </c>
      <c r="E927" s="12">
        <f>CHOOSE( CONTROL!$C$32, 32.4245, 32.4242) * CHOOSE( CONTROL!$C$15, $D$11, 100%, $F$11)</f>
        <v>32.424500000000002</v>
      </c>
      <c r="F927" s="4">
        <f>CHOOSE( CONTROL!$C$32, 33.0962, 33.0959) * CHOOSE(CONTROL!$C$15, $D$11, 100%, $F$11)</f>
        <v>33.096200000000003</v>
      </c>
      <c r="G927" s="8">
        <f>CHOOSE( CONTROL!$C$32, 32.0604, 32.0602) * CHOOSE( CONTROL!$C$15, $D$11, 100%, $F$11)</f>
        <v>32.060400000000001</v>
      </c>
      <c r="H927" s="4">
        <f>CHOOSE( CONTROL!$C$32, 32.9552, 32.9549) * CHOOSE(CONTROL!$C$15, $D$11, 100%, $F$11)</f>
        <v>32.955199999999998</v>
      </c>
      <c r="I927" s="8">
        <f>CHOOSE( CONTROL!$C$32, 31.6426, 31.6423) * CHOOSE(CONTROL!$C$15, $D$11, 100%, $F$11)</f>
        <v>31.642600000000002</v>
      </c>
      <c r="J927" s="4">
        <f>CHOOSE( CONTROL!$C$32, 31.4654, 31.4651) * CHOOSE(CONTROL!$C$15, $D$11, 100%, $F$11)</f>
        <v>31.465399999999999</v>
      </c>
      <c r="K927" s="4"/>
      <c r="L927" s="9">
        <v>28.360600000000002</v>
      </c>
      <c r="M927" s="9">
        <v>11.6745</v>
      </c>
      <c r="N927" s="9">
        <v>4.7850000000000001</v>
      </c>
      <c r="O927" s="9">
        <v>0.36199999999999999</v>
      </c>
      <c r="P927" s="9">
        <v>1.2509999999999999</v>
      </c>
      <c r="Q927" s="9">
        <v>19.053000000000001</v>
      </c>
      <c r="R927" s="9"/>
      <c r="S927" s="11"/>
    </row>
    <row r="928" spans="1:19" ht="15.75">
      <c r="A928" s="13">
        <v>69398</v>
      </c>
      <c r="B928" s="8">
        <f>CHOOSE( CONTROL!$C$32, 32.3719, 32.3716) * CHOOSE(CONTROL!$C$15, $D$11, 100%, $F$11)</f>
        <v>32.371899999999997</v>
      </c>
      <c r="C928" s="8">
        <f>CHOOSE( CONTROL!$C$32, 32.377, 32.3767) * CHOOSE(CONTROL!$C$15, $D$11, 100%, $F$11)</f>
        <v>32.377000000000002</v>
      </c>
      <c r="D928" s="8">
        <f>CHOOSE( CONTROL!$C$32, 32.3615, 32.3612) * CHOOSE( CONTROL!$C$15, $D$11, 100%, $F$11)</f>
        <v>32.361499999999999</v>
      </c>
      <c r="E928" s="12">
        <f>CHOOSE( CONTROL!$C$32, 32.3666, 32.3663) * CHOOSE( CONTROL!$C$15, $D$11, 100%, $F$11)</f>
        <v>32.366599999999998</v>
      </c>
      <c r="F928" s="4">
        <f>CHOOSE( CONTROL!$C$32, 33.0372, 33.0369) * CHOOSE(CONTROL!$C$15, $D$11, 100%, $F$11)</f>
        <v>33.037199999999999</v>
      </c>
      <c r="G928" s="8">
        <f>CHOOSE( CONTROL!$C$32, 32.0035, 32.0032) * CHOOSE( CONTROL!$C$15, $D$11, 100%, $F$11)</f>
        <v>32.003500000000003</v>
      </c>
      <c r="H928" s="4">
        <f>CHOOSE( CONTROL!$C$32, 32.8969, 32.8967) * CHOOSE(CONTROL!$C$15, $D$11, 100%, $F$11)</f>
        <v>32.896900000000002</v>
      </c>
      <c r="I928" s="8">
        <f>CHOOSE( CONTROL!$C$32, 31.5909, 31.5906) * CHOOSE(CONTROL!$C$15, $D$11, 100%, $F$11)</f>
        <v>31.590900000000001</v>
      </c>
      <c r="J928" s="4">
        <f>CHOOSE( CONTROL!$C$32, 31.4082, 31.4079) * CHOOSE(CONTROL!$C$15, $D$11, 100%, $F$11)</f>
        <v>31.408200000000001</v>
      </c>
      <c r="K928" s="4"/>
      <c r="L928" s="9">
        <v>29.306000000000001</v>
      </c>
      <c r="M928" s="9">
        <v>12.063700000000001</v>
      </c>
      <c r="N928" s="9">
        <v>4.9444999999999997</v>
      </c>
      <c r="O928" s="9">
        <v>0.37409999999999999</v>
      </c>
      <c r="P928" s="9">
        <v>1.2927</v>
      </c>
      <c r="Q928" s="9">
        <v>19.688099999999999</v>
      </c>
      <c r="R928" s="9"/>
      <c r="S928" s="11"/>
    </row>
    <row r="929" spans="1:19" ht="15.75">
      <c r="A929" s="13">
        <v>69429</v>
      </c>
      <c r="B929" s="8">
        <f>CHOOSE( CONTROL!$C$32, 33.3265, 33.3262) * CHOOSE(CONTROL!$C$15, $D$11, 100%, $F$11)</f>
        <v>33.326500000000003</v>
      </c>
      <c r="C929" s="8">
        <f>CHOOSE( CONTROL!$C$32, 33.3316, 33.3313) * CHOOSE(CONTROL!$C$15, $D$11, 100%, $F$11)</f>
        <v>33.331600000000002</v>
      </c>
      <c r="D929" s="8">
        <f>CHOOSE( CONTROL!$C$32, 33.322, 33.3217) * CHOOSE( CONTROL!$C$15, $D$11, 100%, $F$11)</f>
        <v>33.322000000000003</v>
      </c>
      <c r="E929" s="12">
        <f>CHOOSE( CONTROL!$C$32, 33.325, 33.3247) * CHOOSE( CONTROL!$C$15, $D$11, 100%, $F$11)</f>
        <v>33.325000000000003</v>
      </c>
      <c r="F929" s="4">
        <f>CHOOSE( CONTROL!$C$32, 33.9918, 33.9915) * CHOOSE(CONTROL!$C$15, $D$11, 100%, $F$11)</f>
        <v>33.991799999999998</v>
      </c>
      <c r="G929" s="8">
        <f>CHOOSE( CONTROL!$C$32, 32.9476, 32.9473) * CHOOSE( CONTROL!$C$15, $D$11, 100%, $F$11)</f>
        <v>32.947600000000001</v>
      </c>
      <c r="H929" s="4">
        <f>CHOOSE( CONTROL!$C$32, 33.8403, 33.8401) * CHOOSE(CONTROL!$C$15, $D$11, 100%, $F$11)</f>
        <v>33.840299999999999</v>
      </c>
      <c r="I929" s="8">
        <f>CHOOSE( CONTROL!$C$32, 32.4983, 32.498) * CHOOSE(CONTROL!$C$15, $D$11, 100%, $F$11)</f>
        <v>32.4983</v>
      </c>
      <c r="J929" s="4">
        <f>CHOOSE( CONTROL!$C$32, 32.3346, 32.3343) * CHOOSE(CONTROL!$C$15, $D$11, 100%, $F$11)</f>
        <v>32.334600000000002</v>
      </c>
      <c r="K929" s="4"/>
      <c r="L929" s="9">
        <v>29.306000000000001</v>
      </c>
      <c r="M929" s="9">
        <v>12.063700000000001</v>
      </c>
      <c r="N929" s="9">
        <v>4.9444999999999997</v>
      </c>
      <c r="O929" s="9">
        <v>0.37409999999999999</v>
      </c>
      <c r="P929" s="9">
        <v>1.2927</v>
      </c>
      <c r="Q929" s="9">
        <v>19.688099999999999</v>
      </c>
      <c r="R929" s="9"/>
      <c r="S929" s="11"/>
    </row>
    <row r="930" spans="1:19" ht="15.75">
      <c r="A930" s="13">
        <v>69457</v>
      </c>
      <c r="B930" s="8">
        <f>CHOOSE( CONTROL!$C$32, 31.1726, 31.1723) * CHOOSE(CONTROL!$C$15, $D$11, 100%, $F$11)</f>
        <v>31.172599999999999</v>
      </c>
      <c r="C930" s="8">
        <f>CHOOSE( CONTROL!$C$32, 31.1777, 31.1774) * CHOOSE(CONTROL!$C$15, $D$11, 100%, $F$11)</f>
        <v>31.177700000000002</v>
      </c>
      <c r="D930" s="8">
        <f>CHOOSE( CONTROL!$C$32, 31.1698, 31.1695) * CHOOSE( CONTROL!$C$15, $D$11, 100%, $F$11)</f>
        <v>31.169799999999999</v>
      </c>
      <c r="E930" s="12">
        <f>CHOOSE( CONTROL!$C$32, 31.1721, 31.1718) * CHOOSE( CONTROL!$C$15, $D$11, 100%, $F$11)</f>
        <v>31.1721</v>
      </c>
      <c r="F930" s="4">
        <f>CHOOSE( CONTROL!$C$32, 31.8379, 31.8376) * CHOOSE(CONTROL!$C$15, $D$11, 100%, $F$11)</f>
        <v>31.837900000000001</v>
      </c>
      <c r="G930" s="8">
        <f>CHOOSE( CONTROL!$C$32, 30.8174, 30.8172) * CHOOSE( CONTROL!$C$15, $D$11, 100%, $F$11)</f>
        <v>30.817399999999999</v>
      </c>
      <c r="H930" s="4">
        <f>CHOOSE( CONTROL!$C$32, 31.7117, 31.7114) * CHOOSE(CONTROL!$C$15, $D$11, 100%, $F$11)</f>
        <v>31.7117</v>
      </c>
      <c r="I930" s="8">
        <f>CHOOSE( CONTROL!$C$32, 30.3915, 30.3912) * CHOOSE(CONTROL!$C$15, $D$11, 100%, $F$11)</f>
        <v>30.391500000000001</v>
      </c>
      <c r="J930" s="4">
        <f>CHOOSE( CONTROL!$C$32, 30.2443, 30.244) * CHOOSE(CONTROL!$C$15, $D$11, 100%, $F$11)</f>
        <v>30.244299999999999</v>
      </c>
      <c r="K930" s="4"/>
      <c r="L930" s="9">
        <v>26.469899999999999</v>
      </c>
      <c r="M930" s="9">
        <v>10.8962</v>
      </c>
      <c r="N930" s="9">
        <v>4.4660000000000002</v>
      </c>
      <c r="O930" s="9">
        <v>0.33789999999999998</v>
      </c>
      <c r="P930" s="9">
        <v>1.1676</v>
      </c>
      <c r="Q930" s="9">
        <v>17.782800000000002</v>
      </c>
      <c r="R930" s="9"/>
      <c r="S930" s="11"/>
    </row>
    <row r="931" spans="1:19" ht="15.75">
      <c r="A931" s="13">
        <v>69488</v>
      </c>
      <c r="B931" s="8">
        <f>CHOOSE( CONTROL!$C$32, 30.5092, 30.5089) * CHOOSE(CONTROL!$C$15, $D$11, 100%, $F$11)</f>
        <v>30.5092</v>
      </c>
      <c r="C931" s="8">
        <f>CHOOSE( CONTROL!$C$32, 30.5143, 30.514) * CHOOSE(CONTROL!$C$15, $D$11, 100%, $F$11)</f>
        <v>30.514299999999999</v>
      </c>
      <c r="D931" s="8">
        <f>CHOOSE( CONTROL!$C$32, 30.5016, 30.5013) * CHOOSE( CONTROL!$C$15, $D$11, 100%, $F$11)</f>
        <v>30.5016</v>
      </c>
      <c r="E931" s="12">
        <f>CHOOSE( CONTROL!$C$32, 30.5057, 30.5054) * CHOOSE( CONTROL!$C$15, $D$11, 100%, $F$11)</f>
        <v>30.505700000000001</v>
      </c>
      <c r="F931" s="4">
        <f>CHOOSE( CONTROL!$C$32, 31.1745, 31.1742) * CHOOSE(CONTROL!$C$15, $D$11, 100%, $F$11)</f>
        <v>31.174499999999998</v>
      </c>
      <c r="G931" s="8">
        <f>CHOOSE( CONTROL!$C$32, 30.1584, 30.1581) * CHOOSE( CONTROL!$C$15, $D$11, 100%, $F$11)</f>
        <v>30.1584</v>
      </c>
      <c r="H931" s="4">
        <f>CHOOSE( CONTROL!$C$32, 31.056, 31.0558) * CHOOSE(CONTROL!$C$15, $D$11, 100%, $F$11)</f>
        <v>31.056000000000001</v>
      </c>
      <c r="I931" s="8">
        <f>CHOOSE( CONTROL!$C$32, 29.7457, 29.7454) * CHOOSE(CONTROL!$C$15, $D$11, 100%, $F$11)</f>
        <v>29.745699999999999</v>
      </c>
      <c r="J931" s="4">
        <f>CHOOSE( CONTROL!$C$32, 29.6004, 29.6002) * CHOOSE(CONTROL!$C$15, $D$11, 100%, $F$11)</f>
        <v>29.6004</v>
      </c>
      <c r="K931" s="4"/>
      <c r="L931" s="9">
        <v>29.306000000000001</v>
      </c>
      <c r="M931" s="9">
        <v>12.063700000000001</v>
      </c>
      <c r="N931" s="9">
        <v>4.9444999999999997</v>
      </c>
      <c r="O931" s="9">
        <v>0.37409999999999999</v>
      </c>
      <c r="P931" s="9">
        <v>1.2927</v>
      </c>
      <c r="Q931" s="9">
        <v>19.688099999999999</v>
      </c>
      <c r="R931" s="9"/>
      <c r="S931" s="11"/>
    </row>
    <row r="932" spans="1:19" ht="15.75">
      <c r="A932" s="13">
        <v>69518</v>
      </c>
      <c r="B932" s="8">
        <f>CHOOSE( CONTROL!$C$32, 30.9735, 30.9733) * CHOOSE(CONTROL!$C$15, $D$11, 100%, $F$11)</f>
        <v>30.973500000000001</v>
      </c>
      <c r="C932" s="8">
        <f>CHOOSE( CONTROL!$C$32, 30.978, 30.9778) * CHOOSE(CONTROL!$C$15, $D$11, 100%, $F$11)</f>
        <v>30.978000000000002</v>
      </c>
      <c r="D932" s="8">
        <f>CHOOSE( CONTROL!$C$32, 30.9829, 30.9826) * CHOOSE( CONTROL!$C$15, $D$11, 100%, $F$11)</f>
        <v>30.982900000000001</v>
      </c>
      <c r="E932" s="12">
        <f>CHOOSE( CONTROL!$C$32, 30.9808, 30.9805) * CHOOSE( CONTROL!$C$15, $D$11, 100%, $F$11)</f>
        <v>30.980799999999999</v>
      </c>
      <c r="F932" s="4">
        <f>CHOOSE( CONTROL!$C$32, 31.6777, 31.6774) * CHOOSE(CONTROL!$C$15, $D$11, 100%, $F$11)</f>
        <v>31.677700000000002</v>
      </c>
      <c r="G932" s="8">
        <f>CHOOSE( CONTROL!$C$32, 30.6223, 30.622) * CHOOSE( CONTROL!$C$15, $D$11, 100%, $F$11)</f>
        <v>30.622299999999999</v>
      </c>
      <c r="H932" s="4">
        <f>CHOOSE( CONTROL!$C$32, 31.5534, 31.5531) * CHOOSE(CONTROL!$C$15, $D$11, 100%, $F$11)</f>
        <v>31.5534</v>
      </c>
      <c r="I932" s="8">
        <f>CHOOSE( CONTROL!$C$32, 30.1701, 30.1698) * CHOOSE(CONTROL!$C$15, $D$11, 100%, $F$11)</f>
        <v>30.170100000000001</v>
      </c>
      <c r="J932" s="4">
        <f>CHOOSE( CONTROL!$C$32, 30.0503, 30.0501) * CHOOSE(CONTROL!$C$15, $D$11, 100%, $F$11)</f>
        <v>30.0503</v>
      </c>
      <c r="K932" s="4"/>
      <c r="L932" s="9">
        <v>30.092199999999998</v>
      </c>
      <c r="M932" s="9">
        <v>11.6745</v>
      </c>
      <c r="N932" s="9">
        <v>4.7850000000000001</v>
      </c>
      <c r="O932" s="9">
        <v>0.36199999999999999</v>
      </c>
      <c r="P932" s="9">
        <v>1.2509999999999999</v>
      </c>
      <c r="Q932" s="9">
        <v>19.053000000000001</v>
      </c>
      <c r="R932" s="9"/>
      <c r="S932" s="11"/>
    </row>
    <row r="933" spans="1:19" ht="15.75">
      <c r="A933" s="13">
        <v>69549</v>
      </c>
      <c r="B933" s="8">
        <f>CHOOSE( CONTROL!$C$32, 31.8001, 31.7997) * CHOOSE(CONTROL!$C$15, $D$11, 100%, $F$11)</f>
        <v>31.8001</v>
      </c>
      <c r="C933" s="8">
        <f>CHOOSE( CONTROL!$C$32, 31.8081, 31.8076) * CHOOSE(CONTROL!$C$15, $D$11, 100%, $F$11)</f>
        <v>31.8081</v>
      </c>
      <c r="D933" s="8">
        <f>CHOOSE( CONTROL!$C$32, 31.8069, 31.8064) * CHOOSE( CONTROL!$C$15, $D$11, 100%, $F$11)</f>
        <v>31.806899999999999</v>
      </c>
      <c r="E933" s="12">
        <f>CHOOSE( CONTROL!$C$32, 31.8061, 31.8056) * CHOOSE( CONTROL!$C$15, $D$11, 100%, $F$11)</f>
        <v>31.806100000000001</v>
      </c>
      <c r="F933" s="4">
        <f>CHOOSE( CONTROL!$C$32, 32.5029, 32.5025) * CHOOSE(CONTROL!$C$15, $D$11, 100%, $F$11)</f>
        <v>32.502899999999997</v>
      </c>
      <c r="G933" s="8">
        <f>CHOOSE( CONTROL!$C$32, 31.4376, 31.4372) * CHOOSE( CONTROL!$C$15, $D$11, 100%, $F$11)</f>
        <v>31.4376</v>
      </c>
      <c r="H933" s="4">
        <f>CHOOSE( CONTROL!$C$32, 32.3689, 32.3685) * CHOOSE(CONTROL!$C$15, $D$11, 100%, $F$11)</f>
        <v>32.368899999999996</v>
      </c>
      <c r="I933" s="8">
        <f>CHOOSE( CONTROL!$C$32, 30.9705, 30.9701) * CHOOSE(CONTROL!$C$15, $D$11, 100%, $F$11)</f>
        <v>30.970500000000001</v>
      </c>
      <c r="J933" s="4">
        <f>CHOOSE( CONTROL!$C$32, 30.8512, 30.8508) * CHOOSE(CONTROL!$C$15, $D$11, 100%, $F$11)</f>
        <v>30.851199999999999</v>
      </c>
      <c r="K933" s="4"/>
      <c r="L933" s="9">
        <v>30.7165</v>
      </c>
      <c r="M933" s="9">
        <v>12.063700000000001</v>
      </c>
      <c r="N933" s="9">
        <v>4.9444999999999997</v>
      </c>
      <c r="O933" s="9">
        <v>0.37409999999999999</v>
      </c>
      <c r="P933" s="9">
        <v>1.2927</v>
      </c>
      <c r="Q933" s="9">
        <v>19.688099999999999</v>
      </c>
      <c r="R933" s="9"/>
      <c r="S933" s="11"/>
    </row>
    <row r="934" spans="1:19" ht="15.75">
      <c r="A934" s="13">
        <v>69579</v>
      </c>
      <c r="B934" s="8">
        <f>CHOOSE( CONTROL!$C$32, 31.289, 31.2886) * CHOOSE(CONTROL!$C$15, $D$11, 100%, $F$11)</f>
        <v>31.289000000000001</v>
      </c>
      <c r="C934" s="8">
        <f>CHOOSE( CONTROL!$C$32, 31.297, 31.2966) * CHOOSE(CONTROL!$C$15, $D$11, 100%, $F$11)</f>
        <v>31.297000000000001</v>
      </c>
      <c r="D934" s="8">
        <f>CHOOSE( CONTROL!$C$32, 31.296, 31.2955) * CHOOSE( CONTROL!$C$15, $D$11, 100%, $F$11)</f>
        <v>31.295999999999999</v>
      </c>
      <c r="E934" s="12">
        <f>CHOOSE( CONTROL!$C$32, 31.2951, 31.2947) * CHOOSE( CONTROL!$C$15, $D$11, 100%, $F$11)</f>
        <v>31.295100000000001</v>
      </c>
      <c r="F934" s="4">
        <f>CHOOSE( CONTROL!$C$32, 31.9919, 31.9914) * CHOOSE(CONTROL!$C$15, $D$11, 100%, $F$11)</f>
        <v>31.991900000000001</v>
      </c>
      <c r="G934" s="8">
        <f>CHOOSE( CONTROL!$C$32, 30.9327, 30.9322) * CHOOSE( CONTROL!$C$15, $D$11, 100%, $F$11)</f>
        <v>30.932700000000001</v>
      </c>
      <c r="H934" s="4">
        <f>CHOOSE( CONTROL!$C$32, 31.8638, 31.8634) * CHOOSE(CONTROL!$C$15, $D$11, 100%, $F$11)</f>
        <v>31.863800000000001</v>
      </c>
      <c r="I934" s="8">
        <f>CHOOSE( CONTROL!$C$32, 30.4749, 30.4745) * CHOOSE(CONTROL!$C$15, $D$11, 100%, $F$11)</f>
        <v>30.474900000000002</v>
      </c>
      <c r="J934" s="4">
        <f>CHOOSE( CONTROL!$C$32, 30.3552, 30.3547) * CHOOSE(CONTROL!$C$15, $D$11, 100%, $F$11)</f>
        <v>30.3552</v>
      </c>
      <c r="K934" s="4"/>
      <c r="L934" s="9">
        <v>29.7257</v>
      </c>
      <c r="M934" s="9">
        <v>11.6745</v>
      </c>
      <c r="N934" s="9">
        <v>4.7850000000000001</v>
      </c>
      <c r="O934" s="9">
        <v>0.36199999999999999</v>
      </c>
      <c r="P934" s="9">
        <v>1.2509999999999999</v>
      </c>
      <c r="Q934" s="9">
        <v>19.053000000000001</v>
      </c>
      <c r="R934" s="9"/>
      <c r="S934" s="11"/>
    </row>
    <row r="935" spans="1:19" ht="15.75">
      <c r="A935" s="13">
        <v>69610</v>
      </c>
      <c r="B935" s="8">
        <f>CHOOSE( CONTROL!$C$32, 32.6349, 32.6345) * CHOOSE(CONTROL!$C$15, $D$11, 100%, $F$11)</f>
        <v>32.634900000000002</v>
      </c>
      <c r="C935" s="8">
        <f>CHOOSE( CONTROL!$C$32, 32.6429, 32.6424) * CHOOSE(CONTROL!$C$15, $D$11, 100%, $F$11)</f>
        <v>32.642899999999997</v>
      </c>
      <c r="D935" s="8">
        <f>CHOOSE( CONTROL!$C$32, 32.6421, 32.6416) * CHOOSE( CONTROL!$C$15, $D$11, 100%, $F$11)</f>
        <v>32.642099999999999</v>
      </c>
      <c r="E935" s="12">
        <f>CHOOSE( CONTROL!$C$32, 32.6412, 32.6407) * CHOOSE( CONTROL!$C$15, $D$11, 100%, $F$11)</f>
        <v>32.641199999999998</v>
      </c>
      <c r="F935" s="4">
        <f>CHOOSE( CONTROL!$C$32, 33.3377, 33.3373) * CHOOSE(CONTROL!$C$15, $D$11, 100%, $F$11)</f>
        <v>33.337699999999998</v>
      </c>
      <c r="G935" s="8">
        <f>CHOOSE( CONTROL!$C$32, 32.263, 32.2625) * CHOOSE( CONTROL!$C$15, $D$11, 100%, $F$11)</f>
        <v>32.262999999999998</v>
      </c>
      <c r="H935" s="4">
        <f>CHOOSE( CONTROL!$C$32, 33.194, 33.1935) * CHOOSE(CONTROL!$C$15, $D$11, 100%, $F$11)</f>
        <v>33.194000000000003</v>
      </c>
      <c r="I935" s="8">
        <f>CHOOSE( CONTROL!$C$32, 31.7825, 31.7821) * CHOOSE(CONTROL!$C$15, $D$11, 100%, $F$11)</f>
        <v>31.782499999999999</v>
      </c>
      <c r="J935" s="4">
        <f>CHOOSE( CONTROL!$C$32, 31.6614, 31.6609) * CHOOSE(CONTROL!$C$15, $D$11, 100%, $F$11)</f>
        <v>31.6614</v>
      </c>
      <c r="K935" s="4"/>
      <c r="L935" s="9">
        <v>30.7165</v>
      </c>
      <c r="M935" s="9">
        <v>12.063700000000001</v>
      </c>
      <c r="N935" s="9">
        <v>4.9444999999999997</v>
      </c>
      <c r="O935" s="9">
        <v>0.37409999999999999</v>
      </c>
      <c r="P935" s="9">
        <v>1.2927</v>
      </c>
      <c r="Q935" s="9">
        <v>19.688099999999999</v>
      </c>
      <c r="R935" s="9"/>
      <c r="S935" s="11"/>
    </row>
    <row r="936" spans="1:19" ht="15.75">
      <c r="A936" s="13">
        <v>69641</v>
      </c>
      <c r="B936" s="8">
        <f>CHOOSE( CONTROL!$C$32, 30.1166, 30.1162) * CHOOSE(CONTROL!$C$15, $D$11, 100%, $F$11)</f>
        <v>30.116599999999998</v>
      </c>
      <c r="C936" s="8">
        <f>CHOOSE( CONTROL!$C$32, 30.1246, 30.1242) * CHOOSE(CONTROL!$C$15, $D$11, 100%, $F$11)</f>
        <v>30.124600000000001</v>
      </c>
      <c r="D936" s="8">
        <f>CHOOSE( CONTROL!$C$32, 30.1239, 30.1234) * CHOOSE( CONTROL!$C$15, $D$11, 100%, $F$11)</f>
        <v>30.123899999999999</v>
      </c>
      <c r="E936" s="12">
        <f>CHOOSE( CONTROL!$C$32, 30.1229, 30.1225) * CHOOSE( CONTROL!$C$15, $D$11, 100%, $F$11)</f>
        <v>30.122900000000001</v>
      </c>
      <c r="F936" s="4">
        <f>CHOOSE( CONTROL!$C$32, 30.8195, 30.819) * CHOOSE(CONTROL!$C$15, $D$11, 100%, $F$11)</f>
        <v>30.819500000000001</v>
      </c>
      <c r="G936" s="8">
        <f>CHOOSE( CONTROL!$C$32, 29.7742, 29.7738) * CHOOSE( CONTROL!$C$15, $D$11, 100%, $F$11)</f>
        <v>29.7742</v>
      </c>
      <c r="H936" s="4">
        <f>CHOOSE( CONTROL!$C$32, 30.7052, 30.7047) * CHOOSE(CONTROL!$C$15, $D$11, 100%, $F$11)</f>
        <v>30.705200000000001</v>
      </c>
      <c r="I936" s="8">
        <f>CHOOSE( CONTROL!$C$32, 29.3375, 29.3371) * CHOOSE(CONTROL!$C$15, $D$11, 100%, $F$11)</f>
        <v>29.337499999999999</v>
      </c>
      <c r="J936" s="4">
        <f>CHOOSE( CONTROL!$C$32, 29.2174, 29.2169) * CHOOSE(CONTROL!$C$15, $D$11, 100%, $F$11)</f>
        <v>29.217400000000001</v>
      </c>
      <c r="K936" s="4"/>
      <c r="L936" s="9">
        <v>30.7165</v>
      </c>
      <c r="M936" s="9">
        <v>12.063700000000001</v>
      </c>
      <c r="N936" s="9">
        <v>4.9444999999999997</v>
      </c>
      <c r="O936" s="9">
        <v>0.37409999999999999</v>
      </c>
      <c r="P936" s="9">
        <v>1.2927</v>
      </c>
      <c r="Q936" s="9">
        <v>19.688099999999999</v>
      </c>
      <c r="R936" s="9"/>
      <c r="S936" s="11"/>
    </row>
    <row r="937" spans="1:19" ht="15.75">
      <c r="A937" s="13">
        <v>69671</v>
      </c>
      <c r="B937" s="8">
        <f>CHOOSE( CONTROL!$C$32, 29.486, 29.4856) * CHOOSE(CONTROL!$C$15, $D$11, 100%, $F$11)</f>
        <v>29.486000000000001</v>
      </c>
      <c r="C937" s="8">
        <f>CHOOSE( CONTROL!$C$32, 29.494, 29.4935) * CHOOSE(CONTROL!$C$15, $D$11, 100%, $F$11)</f>
        <v>29.494</v>
      </c>
      <c r="D937" s="8">
        <f>CHOOSE( CONTROL!$C$32, 29.4931, 29.4927) * CHOOSE( CONTROL!$C$15, $D$11, 100%, $F$11)</f>
        <v>29.493099999999998</v>
      </c>
      <c r="E937" s="12">
        <f>CHOOSE( CONTROL!$C$32, 29.4922, 29.4918) * CHOOSE( CONTROL!$C$15, $D$11, 100%, $F$11)</f>
        <v>29.4922</v>
      </c>
      <c r="F937" s="4">
        <f>CHOOSE( CONTROL!$C$32, 30.1888, 30.1884) * CHOOSE(CONTROL!$C$15, $D$11, 100%, $F$11)</f>
        <v>30.188800000000001</v>
      </c>
      <c r="G937" s="8">
        <f>CHOOSE( CONTROL!$C$32, 29.1509, 29.1504) * CHOOSE( CONTROL!$C$15, $D$11, 100%, $F$11)</f>
        <v>29.1509</v>
      </c>
      <c r="H937" s="4">
        <f>CHOOSE( CONTROL!$C$32, 30.082, 30.0815) * CHOOSE(CONTROL!$C$15, $D$11, 100%, $F$11)</f>
        <v>30.082000000000001</v>
      </c>
      <c r="I937" s="8">
        <f>CHOOSE( CONTROL!$C$32, 28.7247, 28.7242) * CHOOSE(CONTROL!$C$15, $D$11, 100%, $F$11)</f>
        <v>28.724699999999999</v>
      </c>
      <c r="J937" s="4">
        <f>CHOOSE( CONTROL!$C$32, 28.6054, 28.6049) * CHOOSE(CONTROL!$C$15, $D$11, 100%, $F$11)</f>
        <v>28.605399999999999</v>
      </c>
      <c r="K937" s="4"/>
      <c r="L937" s="9">
        <v>29.7257</v>
      </c>
      <c r="M937" s="9">
        <v>11.6745</v>
      </c>
      <c r="N937" s="9">
        <v>4.7850000000000001</v>
      </c>
      <c r="O937" s="9">
        <v>0.36199999999999999</v>
      </c>
      <c r="P937" s="9">
        <v>1.2509999999999999</v>
      </c>
      <c r="Q937" s="9">
        <v>19.053000000000001</v>
      </c>
      <c r="R937" s="9"/>
      <c r="S937" s="11"/>
    </row>
    <row r="938" spans="1:19" ht="15.75">
      <c r="A938" s="13">
        <v>69702</v>
      </c>
      <c r="B938" s="8">
        <f>CHOOSE( CONTROL!$C$32, 30.7935, 30.7932) * CHOOSE(CONTROL!$C$15, $D$11, 100%, $F$11)</f>
        <v>30.793500000000002</v>
      </c>
      <c r="C938" s="8">
        <f>CHOOSE( CONTROL!$C$32, 30.7988, 30.7985) * CHOOSE(CONTROL!$C$15, $D$11, 100%, $F$11)</f>
        <v>30.7988</v>
      </c>
      <c r="D938" s="8">
        <f>CHOOSE( CONTROL!$C$32, 30.8035, 30.8032) * CHOOSE( CONTROL!$C$15, $D$11, 100%, $F$11)</f>
        <v>30.8035</v>
      </c>
      <c r="E938" s="12">
        <f>CHOOSE( CONTROL!$C$32, 30.8014, 30.8011) * CHOOSE( CONTROL!$C$15, $D$11, 100%, $F$11)</f>
        <v>30.801400000000001</v>
      </c>
      <c r="F938" s="4">
        <f>CHOOSE( CONTROL!$C$32, 31.498, 31.4977) * CHOOSE(CONTROL!$C$15, $D$11, 100%, $F$11)</f>
        <v>31.498000000000001</v>
      </c>
      <c r="G938" s="8">
        <f>CHOOSE( CONTROL!$C$32, 30.4449, 30.4446) * CHOOSE( CONTROL!$C$15, $D$11, 100%, $F$11)</f>
        <v>30.444900000000001</v>
      </c>
      <c r="H938" s="4">
        <f>CHOOSE( CONTROL!$C$32, 31.3758, 31.3755) * CHOOSE(CONTROL!$C$15, $D$11, 100%, $F$11)</f>
        <v>31.375800000000002</v>
      </c>
      <c r="I938" s="8">
        <f>CHOOSE( CONTROL!$C$32, 29.9967, 29.9964) * CHOOSE(CONTROL!$C$15, $D$11, 100%, $F$11)</f>
        <v>29.996700000000001</v>
      </c>
      <c r="J938" s="4">
        <f>CHOOSE( CONTROL!$C$32, 29.8759, 29.8757) * CHOOSE(CONTROL!$C$15, $D$11, 100%, $F$11)</f>
        <v>29.875900000000001</v>
      </c>
      <c r="K938" s="4"/>
      <c r="L938" s="9">
        <v>31.095300000000002</v>
      </c>
      <c r="M938" s="9">
        <v>12.063700000000001</v>
      </c>
      <c r="N938" s="9">
        <v>4.9444999999999997</v>
      </c>
      <c r="O938" s="9">
        <v>0.37409999999999999</v>
      </c>
      <c r="P938" s="9">
        <v>1.2927</v>
      </c>
      <c r="Q938" s="9">
        <v>19.688099999999999</v>
      </c>
      <c r="R938" s="9"/>
      <c r="S938" s="11"/>
    </row>
    <row r="939" spans="1:19" ht="15.75">
      <c r="A939" s="13">
        <v>69732</v>
      </c>
      <c r="B939" s="8">
        <f>CHOOSE( CONTROL!$C$32, 33.2099, 33.2096) * CHOOSE(CONTROL!$C$15, $D$11, 100%, $F$11)</f>
        <v>33.209899999999998</v>
      </c>
      <c r="C939" s="8">
        <f>CHOOSE( CONTROL!$C$32, 33.215, 33.2147) * CHOOSE(CONTROL!$C$15, $D$11, 100%, $F$11)</f>
        <v>33.215000000000003</v>
      </c>
      <c r="D939" s="8">
        <f>CHOOSE( CONTROL!$C$32, 33.1977, 33.1974) * CHOOSE( CONTROL!$C$15, $D$11, 100%, $F$11)</f>
        <v>33.197699999999998</v>
      </c>
      <c r="E939" s="12">
        <f>CHOOSE( CONTROL!$C$32, 33.2035, 33.2032) * CHOOSE( CONTROL!$C$15, $D$11, 100%, $F$11)</f>
        <v>33.203499999999998</v>
      </c>
      <c r="F939" s="4">
        <f>CHOOSE( CONTROL!$C$32, 33.8752, 33.8749) * CHOOSE(CONTROL!$C$15, $D$11, 100%, $F$11)</f>
        <v>33.8752</v>
      </c>
      <c r="G939" s="8">
        <f>CHOOSE( CONTROL!$C$32, 32.8303, 32.8301) * CHOOSE( CONTROL!$C$15, $D$11, 100%, $F$11)</f>
        <v>32.830300000000001</v>
      </c>
      <c r="H939" s="4">
        <f>CHOOSE( CONTROL!$C$32, 33.7251, 33.7248) * CHOOSE(CONTROL!$C$15, $D$11, 100%, $F$11)</f>
        <v>33.725099999999998</v>
      </c>
      <c r="I939" s="8">
        <f>CHOOSE( CONTROL!$C$32, 32.399, 32.3987) * CHOOSE(CONTROL!$C$15, $D$11, 100%, $F$11)</f>
        <v>32.399000000000001</v>
      </c>
      <c r="J939" s="4">
        <f>CHOOSE( CONTROL!$C$32, 32.2214, 32.2212) * CHOOSE(CONTROL!$C$15, $D$11, 100%, $F$11)</f>
        <v>32.221400000000003</v>
      </c>
      <c r="K939" s="4"/>
      <c r="L939" s="9">
        <v>28.360600000000002</v>
      </c>
      <c r="M939" s="9">
        <v>11.6745</v>
      </c>
      <c r="N939" s="9">
        <v>4.7850000000000001</v>
      </c>
      <c r="O939" s="9">
        <v>0.36199999999999999</v>
      </c>
      <c r="P939" s="9">
        <v>1.2509999999999999</v>
      </c>
      <c r="Q939" s="9">
        <v>19.053000000000001</v>
      </c>
      <c r="R939" s="9"/>
      <c r="S939" s="11"/>
    </row>
    <row r="940" spans="1:19" ht="15.75">
      <c r="A940" s="13">
        <v>69763</v>
      </c>
      <c r="B940" s="8">
        <f>CHOOSE( CONTROL!$C$32, 33.1495, 33.1492) * CHOOSE(CONTROL!$C$15, $D$11, 100%, $F$11)</f>
        <v>33.149500000000003</v>
      </c>
      <c r="C940" s="8">
        <f>CHOOSE( CONTROL!$C$32, 33.1546, 33.1543) * CHOOSE(CONTROL!$C$15, $D$11, 100%, $F$11)</f>
        <v>33.154600000000002</v>
      </c>
      <c r="D940" s="8">
        <f>CHOOSE( CONTROL!$C$32, 33.1391, 33.1388) * CHOOSE( CONTROL!$C$15, $D$11, 100%, $F$11)</f>
        <v>33.139099999999999</v>
      </c>
      <c r="E940" s="12">
        <f>CHOOSE( CONTROL!$C$32, 33.1442, 33.1439) * CHOOSE( CONTROL!$C$15, $D$11, 100%, $F$11)</f>
        <v>33.144199999999998</v>
      </c>
      <c r="F940" s="4">
        <f>CHOOSE( CONTROL!$C$32, 33.8148, 33.8145) * CHOOSE(CONTROL!$C$15, $D$11, 100%, $F$11)</f>
        <v>33.814799999999998</v>
      </c>
      <c r="G940" s="8">
        <f>CHOOSE( CONTROL!$C$32, 32.7719, 32.7717) * CHOOSE( CONTROL!$C$15, $D$11, 100%, $F$11)</f>
        <v>32.771900000000002</v>
      </c>
      <c r="H940" s="4">
        <f>CHOOSE( CONTROL!$C$32, 33.6654, 33.6652) * CHOOSE(CONTROL!$C$15, $D$11, 100%, $F$11)</f>
        <v>33.665399999999998</v>
      </c>
      <c r="I940" s="8">
        <f>CHOOSE( CONTROL!$C$32, 32.3459, 32.3457) * CHOOSE(CONTROL!$C$15, $D$11, 100%, $F$11)</f>
        <v>32.3459</v>
      </c>
      <c r="J940" s="4">
        <f>CHOOSE( CONTROL!$C$32, 32.1628, 32.1626) * CHOOSE(CONTROL!$C$15, $D$11, 100%, $F$11)</f>
        <v>32.162799999999997</v>
      </c>
      <c r="K940" s="4"/>
      <c r="L940" s="9">
        <v>29.306000000000001</v>
      </c>
      <c r="M940" s="9">
        <v>12.063700000000001</v>
      </c>
      <c r="N940" s="9">
        <v>4.9444999999999997</v>
      </c>
      <c r="O940" s="9">
        <v>0.37409999999999999</v>
      </c>
      <c r="P940" s="9">
        <v>1.2927</v>
      </c>
      <c r="Q940" s="9">
        <v>19.688099999999999</v>
      </c>
      <c r="R940" s="9"/>
      <c r="S940" s="11"/>
    </row>
    <row r="941" spans="1:19" ht="15.75">
      <c r="A941" s="13">
        <v>69794</v>
      </c>
      <c r="B941" s="8">
        <f>CHOOSE( CONTROL!$C$32, 34.127, 34.1268) * CHOOSE(CONTROL!$C$15, $D$11, 100%, $F$11)</f>
        <v>34.127000000000002</v>
      </c>
      <c r="C941" s="8">
        <f>CHOOSE( CONTROL!$C$32, 34.1321, 34.1318) * CHOOSE(CONTROL!$C$15, $D$11, 100%, $F$11)</f>
        <v>34.132100000000001</v>
      </c>
      <c r="D941" s="8">
        <f>CHOOSE( CONTROL!$C$32, 34.1225, 34.1223) * CHOOSE( CONTROL!$C$15, $D$11, 100%, $F$11)</f>
        <v>34.122500000000002</v>
      </c>
      <c r="E941" s="12">
        <f>CHOOSE( CONTROL!$C$32, 34.1255, 34.1252) * CHOOSE( CONTROL!$C$15, $D$11, 100%, $F$11)</f>
        <v>34.125500000000002</v>
      </c>
      <c r="F941" s="4">
        <f>CHOOSE( CONTROL!$C$32, 34.7923, 34.792) * CHOOSE(CONTROL!$C$15, $D$11, 100%, $F$11)</f>
        <v>34.792299999999997</v>
      </c>
      <c r="G941" s="8">
        <f>CHOOSE( CONTROL!$C$32, 33.7387, 33.7385) * CHOOSE( CONTROL!$C$15, $D$11, 100%, $F$11)</f>
        <v>33.738700000000001</v>
      </c>
      <c r="H941" s="4">
        <f>CHOOSE( CONTROL!$C$32, 34.6315, 34.6312) * CHOOSE(CONTROL!$C$15, $D$11, 100%, $F$11)</f>
        <v>34.631500000000003</v>
      </c>
      <c r="I941" s="8">
        <f>CHOOSE( CONTROL!$C$32, 33.2756, 33.2753) * CHOOSE(CONTROL!$C$15, $D$11, 100%, $F$11)</f>
        <v>33.275599999999997</v>
      </c>
      <c r="J941" s="4">
        <f>CHOOSE( CONTROL!$C$32, 33.1115, 33.1113) * CHOOSE(CONTROL!$C$15, $D$11, 100%, $F$11)</f>
        <v>33.111499999999999</v>
      </c>
      <c r="K941" s="4"/>
      <c r="L941" s="9">
        <v>29.306000000000001</v>
      </c>
      <c r="M941" s="9">
        <v>12.063700000000001</v>
      </c>
      <c r="N941" s="9">
        <v>4.9444999999999997</v>
      </c>
      <c r="O941" s="9">
        <v>0.37409999999999999</v>
      </c>
      <c r="P941" s="9">
        <v>1.2927</v>
      </c>
      <c r="Q941" s="9">
        <v>19.688099999999999</v>
      </c>
      <c r="R941" s="9"/>
      <c r="S941" s="11"/>
    </row>
    <row r="942" spans="1:19" ht="15.75">
      <c r="A942" s="13">
        <v>69822</v>
      </c>
      <c r="B942" s="8">
        <f>CHOOSE( CONTROL!$C$32, 31.9214, 31.9211) * CHOOSE(CONTROL!$C$15, $D$11, 100%, $F$11)</f>
        <v>31.921399999999998</v>
      </c>
      <c r="C942" s="8">
        <f>CHOOSE( CONTROL!$C$32, 31.9264, 31.9262) * CHOOSE(CONTROL!$C$15, $D$11, 100%, $F$11)</f>
        <v>31.926400000000001</v>
      </c>
      <c r="D942" s="8">
        <f>CHOOSE( CONTROL!$C$32, 31.9186, 31.9183) * CHOOSE( CONTROL!$C$15, $D$11, 100%, $F$11)</f>
        <v>31.918600000000001</v>
      </c>
      <c r="E942" s="12">
        <f>CHOOSE( CONTROL!$C$32, 31.9209, 31.9206) * CHOOSE( CONTROL!$C$15, $D$11, 100%, $F$11)</f>
        <v>31.9209</v>
      </c>
      <c r="F942" s="4">
        <f>CHOOSE( CONTROL!$C$32, 32.5867, 32.5864) * CHOOSE(CONTROL!$C$15, $D$11, 100%, $F$11)</f>
        <v>32.5867</v>
      </c>
      <c r="G942" s="8">
        <f>CHOOSE( CONTROL!$C$32, 31.5574, 31.5572) * CHOOSE( CONTROL!$C$15, $D$11, 100%, $F$11)</f>
        <v>31.557400000000001</v>
      </c>
      <c r="H942" s="4">
        <f>CHOOSE( CONTROL!$C$32, 32.4517, 32.4514) * CHOOSE(CONTROL!$C$15, $D$11, 100%, $F$11)</f>
        <v>32.451700000000002</v>
      </c>
      <c r="I942" s="8">
        <f>CHOOSE( CONTROL!$C$32, 31.1185, 31.1183) * CHOOSE(CONTROL!$C$15, $D$11, 100%, $F$11)</f>
        <v>31.118500000000001</v>
      </c>
      <c r="J942" s="4">
        <f>CHOOSE( CONTROL!$C$32, 30.9709, 30.9707) * CHOOSE(CONTROL!$C$15, $D$11, 100%, $F$11)</f>
        <v>30.9709</v>
      </c>
      <c r="K942" s="4"/>
      <c r="L942" s="9">
        <v>26.469899999999999</v>
      </c>
      <c r="M942" s="9">
        <v>10.8962</v>
      </c>
      <c r="N942" s="9">
        <v>4.4660000000000002</v>
      </c>
      <c r="O942" s="9">
        <v>0.33789999999999998</v>
      </c>
      <c r="P942" s="9">
        <v>1.1676</v>
      </c>
      <c r="Q942" s="9">
        <v>17.782800000000002</v>
      </c>
      <c r="R942" s="9"/>
      <c r="S942" s="11"/>
    </row>
    <row r="943" spans="1:19" ht="15.75">
      <c r="A943" s="13">
        <v>69853</v>
      </c>
      <c r="B943" s="8">
        <f>CHOOSE( CONTROL!$C$32, 31.242, 31.2418) * CHOOSE(CONTROL!$C$15, $D$11, 100%, $F$11)</f>
        <v>31.242000000000001</v>
      </c>
      <c r="C943" s="8">
        <f>CHOOSE( CONTROL!$C$32, 31.2471, 31.2468) * CHOOSE(CONTROL!$C$15, $D$11, 100%, $F$11)</f>
        <v>31.2471</v>
      </c>
      <c r="D943" s="8">
        <f>CHOOSE( CONTROL!$C$32, 31.2344, 31.2341) * CHOOSE( CONTROL!$C$15, $D$11, 100%, $F$11)</f>
        <v>31.234400000000001</v>
      </c>
      <c r="E943" s="12">
        <f>CHOOSE( CONTROL!$C$32, 31.2385, 31.2382) * CHOOSE( CONTROL!$C$15, $D$11, 100%, $F$11)</f>
        <v>31.238499999999998</v>
      </c>
      <c r="F943" s="4">
        <f>CHOOSE( CONTROL!$C$32, 31.9073, 31.907) * CHOOSE(CONTROL!$C$15, $D$11, 100%, $F$11)</f>
        <v>31.907299999999999</v>
      </c>
      <c r="G943" s="8">
        <f>CHOOSE( CONTROL!$C$32, 30.8826, 30.8823) * CHOOSE( CONTROL!$C$15, $D$11, 100%, $F$11)</f>
        <v>30.8826</v>
      </c>
      <c r="H943" s="4">
        <f>CHOOSE( CONTROL!$C$32, 31.7803, 31.78) * CHOOSE(CONTROL!$C$15, $D$11, 100%, $F$11)</f>
        <v>31.7803</v>
      </c>
      <c r="I943" s="8">
        <f>CHOOSE( CONTROL!$C$32, 30.4573, 30.457) * CHOOSE(CONTROL!$C$15, $D$11, 100%, $F$11)</f>
        <v>30.4573</v>
      </c>
      <c r="J943" s="4">
        <f>CHOOSE( CONTROL!$C$32, 30.3116, 30.3114) * CHOOSE(CONTROL!$C$15, $D$11, 100%, $F$11)</f>
        <v>30.311599999999999</v>
      </c>
      <c r="K943" s="4"/>
      <c r="L943" s="9">
        <v>29.306000000000001</v>
      </c>
      <c r="M943" s="9">
        <v>12.063700000000001</v>
      </c>
      <c r="N943" s="9">
        <v>4.9444999999999997</v>
      </c>
      <c r="O943" s="9">
        <v>0.37409999999999999</v>
      </c>
      <c r="P943" s="9">
        <v>1.2927</v>
      </c>
      <c r="Q943" s="9">
        <v>19.688099999999999</v>
      </c>
      <c r="R943" s="9"/>
      <c r="S943" s="11"/>
    </row>
    <row r="944" spans="1:19" ht="15.75">
      <c r="A944" s="13">
        <v>69883</v>
      </c>
      <c r="B944" s="8">
        <f>CHOOSE( CONTROL!$C$32, 31.7175, 31.7172) * CHOOSE(CONTROL!$C$15, $D$11, 100%, $F$11)</f>
        <v>31.717500000000001</v>
      </c>
      <c r="C944" s="8">
        <f>CHOOSE( CONTROL!$C$32, 31.722, 31.7217) * CHOOSE(CONTROL!$C$15, $D$11, 100%, $F$11)</f>
        <v>31.722000000000001</v>
      </c>
      <c r="D944" s="8">
        <f>CHOOSE( CONTROL!$C$32, 31.7269, 31.7266) * CHOOSE( CONTROL!$C$15, $D$11, 100%, $F$11)</f>
        <v>31.726900000000001</v>
      </c>
      <c r="E944" s="12">
        <f>CHOOSE( CONTROL!$C$32, 31.7248, 31.7245) * CHOOSE( CONTROL!$C$15, $D$11, 100%, $F$11)</f>
        <v>31.724799999999998</v>
      </c>
      <c r="F944" s="4">
        <f>CHOOSE( CONTROL!$C$32, 32.4217, 32.4214) * CHOOSE(CONTROL!$C$15, $D$11, 100%, $F$11)</f>
        <v>32.421700000000001</v>
      </c>
      <c r="G944" s="8">
        <f>CHOOSE( CONTROL!$C$32, 31.3575, 31.3572) * CHOOSE( CONTROL!$C$15, $D$11, 100%, $F$11)</f>
        <v>31.357500000000002</v>
      </c>
      <c r="H944" s="4">
        <f>CHOOSE( CONTROL!$C$32, 32.2887, 32.2884) * CHOOSE(CONTROL!$C$15, $D$11, 100%, $F$11)</f>
        <v>32.288699999999999</v>
      </c>
      <c r="I944" s="8">
        <f>CHOOSE( CONTROL!$C$32, 30.8924, 30.8922) * CHOOSE(CONTROL!$C$15, $D$11, 100%, $F$11)</f>
        <v>30.892399999999999</v>
      </c>
      <c r="J944" s="4">
        <f>CHOOSE( CONTROL!$C$32, 30.7723, 30.7721) * CHOOSE(CONTROL!$C$15, $D$11, 100%, $F$11)</f>
        <v>30.772300000000001</v>
      </c>
      <c r="K944" s="4"/>
      <c r="L944" s="9">
        <v>30.092199999999998</v>
      </c>
      <c r="M944" s="9">
        <v>11.6745</v>
      </c>
      <c r="N944" s="9">
        <v>4.7850000000000001</v>
      </c>
      <c r="O944" s="9">
        <v>0.36199999999999999</v>
      </c>
      <c r="P944" s="9">
        <v>1.2509999999999999</v>
      </c>
      <c r="Q944" s="9">
        <v>19.053000000000001</v>
      </c>
      <c r="R944" s="9"/>
      <c r="S944" s="11"/>
    </row>
    <row r="945" spans="1:19" ht="15.75">
      <c r="A945" s="13">
        <v>69914</v>
      </c>
      <c r="B945" s="8">
        <f>CHOOSE( CONTROL!$C$32, 32.5639, 32.5635) * CHOOSE(CONTROL!$C$15, $D$11, 100%, $F$11)</f>
        <v>32.563899999999997</v>
      </c>
      <c r="C945" s="8">
        <f>CHOOSE( CONTROL!$C$32, 32.5719, 32.5714) * CHOOSE(CONTROL!$C$15, $D$11, 100%, $F$11)</f>
        <v>32.571899999999999</v>
      </c>
      <c r="D945" s="8">
        <f>CHOOSE( CONTROL!$C$32, 32.5707, 32.5702) * CHOOSE( CONTROL!$C$15, $D$11, 100%, $F$11)</f>
        <v>32.570700000000002</v>
      </c>
      <c r="E945" s="12">
        <f>CHOOSE( CONTROL!$C$32, 32.5699, 32.5694) * CHOOSE( CONTROL!$C$15, $D$11, 100%, $F$11)</f>
        <v>32.569899999999997</v>
      </c>
      <c r="F945" s="4">
        <f>CHOOSE( CONTROL!$C$32, 33.2667, 33.2663) * CHOOSE(CONTROL!$C$15, $D$11, 100%, $F$11)</f>
        <v>33.2667</v>
      </c>
      <c r="G945" s="8">
        <f>CHOOSE( CONTROL!$C$32, 32.1925, 32.192) * CHOOSE( CONTROL!$C$15, $D$11, 100%, $F$11)</f>
        <v>32.192500000000003</v>
      </c>
      <c r="H945" s="4">
        <f>CHOOSE( CONTROL!$C$32, 33.1238, 33.1234) * CHOOSE(CONTROL!$C$15, $D$11, 100%, $F$11)</f>
        <v>33.123800000000003</v>
      </c>
      <c r="I945" s="8">
        <f>CHOOSE( CONTROL!$C$32, 31.7121, 31.7117) * CHOOSE(CONTROL!$C$15, $D$11, 100%, $F$11)</f>
        <v>31.7121</v>
      </c>
      <c r="J945" s="4">
        <f>CHOOSE( CONTROL!$C$32, 31.5925, 31.592) * CHOOSE(CONTROL!$C$15, $D$11, 100%, $F$11)</f>
        <v>31.592500000000001</v>
      </c>
      <c r="K945" s="4"/>
      <c r="L945" s="9">
        <v>30.7165</v>
      </c>
      <c r="M945" s="9">
        <v>12.063700000000001</v>
      </c>
      <c r="N945" s="9">
        <v>4.9444999999999997</v>
      </c>
      <c r="O945" s="9">
        <v>0.37409999999999999</v>
      </c>
      <c r="P945" s="9">
        <v>1.2927</v>
      </c>
      <c r="Q945" s="9">
        <v>19.688099999999999</v>
      </c>
      <c r="R945" s="9"/>
      <c r="S945" s="11"/>
    </row>
    <row r="946" spans="1:19" ht="15.75">
      <c r="A946" s="13">
        <v>69944</v>
      </c>
      <c r="B946" s="8">
        <f>CHOOSE( CONTROL!$C$32, 32.0406, 32.0401) * CHOOSE(CONTROL!$C$15, $D$11, 100%, $F$11)</f>
        <v>32.040599999999998</v>
      </c>
      <c r="C946" s="8">
        <f>CHOOSE( CONTROL!$C$32, 32.0485, 32.0481) * CHOOSE(CONTROL!$C$15, $D$11, 100%, $F$11)</f>
        <v>32.048499999999997</v>
      </c>
      <c r="D946" s="8">
        <f>CHOOSE( CONTROL!$C$32, 32.0475, 32.047) * CHOOSE( CONTROL!$C$15, $D$11, 100%, $F$11)</f>
        <v>32.047499999999999</v>
      </c>
      <c r="E946" s="12">
        <f>CHOOSE( CONTROL!$C$32, 32.0467, 32.0462) * CHOOSE( CONTROL!$C$15, $D$11, 100%, $F$11)</f>
        <v>32.046700000000001</v>
      </c>
      <c r="F946" s="4">
        <f>CHOOSE( CONTROL!$C$32, 32.7434, 32.7429) * CHOOSE(CONTROL!$C$15, $D$11, 100%, $F$11)</f>
        <v>32.743400000000001</v>
      </c>
      <c r="G946" s="8">
        <f>CHOOSE( CONTROL!$C$32, 31.6754, 31.6749) * CHOOSE( CONTROL!$C$15, $D$11, 100%, $F$11)</f>
        <v>31.6754</v>
      </c>
      <c r="H946" s="4">
        <f>CHOOSE( CONTROL!$C$32, 32.6066, 32.6061) * CHOOSE(CONTROL!$C$15, $D$11, 100%, $F$11)</f>
        <v>32.6066</v>
      </c>
      <c r="I946" s="8">
        <f>CHOOSE( CONTROL!$C$32, 31.2046, 31.2042) * CHOOSE(CONTROL!$C$15, $D$11, 100%, $F$11)</f>
        <v>31.204599999999999</v>
      </c>
      <c r="J946" s="4">
        <f>CHOOSE( CONTROL!$C$32, 31.0845, 31.0841) * CHOOSE(CONTROL!$C$15, $D$11, 100%, $F$11)</f>
        <v>31.084499999999998</v>
      </c>
      <c r="K946" s="4"/>
      <c r="L946" s="9">
        <v>29.7257</v>
      </c>
      <c r="M946" s="9">
        <v>11.6745</v>
      </c>
      <c r="N946" s="9">
        <v>4.7850000000000001</v>
      </c>
      <c r="O946" s="9">
        <v>0.36199999999999999</v>
      </c>
      <c r="P946" s="9">
        <v>1.2509999999999999</v>
      </c>
      <c r="Q946" s="9">
        <v>19.053000000000001</v>
      </c>
      <c r="R946" s="9"/>
      <c r="S946" s="11"/>
    </row>
    <row r="947" spans="1:19" ht="15.75">
      <c r="A947" s="13">
        <v>69975</v>
      </c>
      <c r="B947" s="8">
        <f>CHOOSE( CONTROL!$C$32, 33.4188, 33.4183) * CHOOSE(CONTROL!$C$15, $D$11, 100%, $F$11)</f>
        <v>33.418799999999997</v>
      </c>
      <c r="C947" s="8">
        <f>CHOOSE( CONTROL!$C$32, 33.4267, 33.4263) * CHOOSE(CONTROL!$C$15, $D$11, 100%, $F$11)</f>
        <v>33.426699999999997</v>
      </c>
      <c r="D947" s="8">
        <f>CHOOSE( CONTROL!$C$32, 33.4259, 33.4255) * CHOOSE( CONTROL!$C$15, $D$11, 100%, $F$11)</f>
        <v>33.425899999999999</v>
      </c>
      <c r="E947" s="12">
        <f>CHOOSE( CONTROL!$C$32, 33.425, 33.4246) * CHOOSE( CONTROL!$C$15, $D$11, 100%, $F$11)</f>
        <v>33.424999999999997</v>
      </c>
      <c r="F947" s="4">
        <f>CHOOSE( CONTROL!$C$32, 34.1216, 34.1211) * CHOOSE(CONTROL!$C$15, $D$11, 100%, $F$11)</f>
        <v>34.121600000000001</v>
      </c>
      <c r="G947" s="8">
        <f>CHOOSE( CONTROL!$C$32, 33.0377, 33.0372) * CHOOSE( CONTROL!$C$15, $D$11, 100%, $F$11)</f>
        <v>33.037700000000001</v>
      </c>
      <c r="H947" s="4">
        <f>CHOOSE( CONTROL!$C$32, 33.9686, 33.9682) * CHOOSE(CONTROL!$C$15, $D$11, 100%, $F$11)</f>
        <v>33.968600000000002</v>
      </c>
      <c r="I947" s="8">
        <f>CHOOSE( CONTROL!$C$32, 32.5436, 32.5432) * CHOOSE(CONTROL!$C$15, $D$11, 100%, $F$11)</f>
        <v>32.543599999999998</v>
      </c>
      <c r="J947" s="4">
        <f>CHOOSE( CONTROL!$C$32, 32.4221, 32.4217) * CHOOSE(CONTROL!$C$15, $D$11, 100%, $F$11)</f>
        <v>32.4221</v>
      </c>
      <c r="K947" s="4"/>
      <c r="L947" s="9">
        <v>30.7165</v>
      </c>
      <c r="M947" s="9">
        <v>12.063700000000001</v>
      </c>
      <c r="N947" s="9">
        <v>4.9444999999999997</v>
      </c>
      <c r="O947" s="9">
        <v>0.37409999999999999</v>
      </c>
      <c r="P947" s="9">
        <v>1.2927</v>
      </c>
      <c r="Q947" s="9">
        <v>19.688099999999999</v>
      </c>
      <c r="R947" s="9"/>
      <c r="S947" s="11"/>
    </row>
    <row r="948" spans="1:19" ht="15.75">
      <c r="A948" s="13">
        <v>70006</v>
      </c>
      <c r="B948" s="8">
        <f>CHOOSE( CONTROL!$C$32, 30.84, 30.8395) * CHOOSE(CONTROL!$C$15, $D$11, 100%, $F$11)</f>
        <v>30.84</v>
      </c>
      <c r="C948" s="8">
        <f>CHOOSE( CONTROL!$C$32, 30.848, 30.8475) * CHOOSE(CONTROL!$C$15, $D$11, 100%, $F$11)</f>
        <v>30.847999999999999</v>
      </c>
      <c r="D948" s="8">
        <f>CHOOSE( CONTROL!$C$32, 30.8472, 30.8468) * CHOOSE( CONTROL!$C$15, $D$11, 100%, $F$11)</f>
        <v>30.847200000000001</v>
      </c>
      <c r="E948" s="12">
        <f>CHOOSE( CONTROL!$C$32, 30.8463, 30.8458) * CHOOSE( CONTROL!$C$15, $D$11, 100%, $F$11)</f>
        <v>30.846299999999999</v>
      </c>
      <c r="F948" s="4">
        <f>CHOOSE( CONTROL!$C$32, 31.5428, 31.5423) * CHOOSE(CONTROL!$C$15, $D$11, 100%, $F$11)</f>
        <v>31.5428</v>
      </c>
      <c r="G948" s="8">
        <f>CHOOSE( CONTROL!$C$32, 30.4891, 30.4887) * CHOOSE( CONTROL!$C$15, $D$11, 100%, $F$11)</f>
        <v>30.489100000000001</v>
      </c>
      <c r="H948" s="4">
        <f>CHOOSE( CONTROL!$C$32, 31.4201, 31.4196) * CHOOSE(CONTROL!$C$15, $D$11, 100%, $F$11)</f>
        <v>31.420100000000001</v>
      </c>
      <c r="I948" s="8">
        <f>CHOOSE( CONTROL!$C$32, 30.0399, 30.0394) * CHOOSE(CONTROL!$C$15, $D$11, 100%, $F$11)</f>
        <v>30.039899999999999</v>
      </c>
      <c r="J948" s="4">
        <f>CHOOSE( CONTROL!$C$32, 29.9194, 29.9189) * CHOOSE(CONTROL!$C$15, $D$11, 100%, $F$11)</f>
        <v>29.9194</v>
      </c>
      <c r="K948" s="4"/>
      <c r="L948" s="9">
        <v>30.7165</v>
      </c>
      <c r="M948" s="9">
        <v>12.063700000000001</v>
      </c>
      <c r="N948" s="9">
        <v>4.9444999999999997</v>
      </c>
      <c r="O948" s="9">
        <v>0.37409999999999999</v>
      </c>
      <c r="P948" s="9">
        <v>1.2927</v>
      </c>
      <c r="Q948" s="9">
        <v>19.688099999999999</v>
      </c>
      <c r="R948" s="9"/>
      <c r="S948" s="11"/>
    </row>
    <row r="949" spans="1:19" ht="15.75">
      <c r="A949" s="13">
        <v>70036</v>
      </c>
      <c r="B949" s="8">
        <f>CHOOSE( CONTROL!$C$32, 30.1942, 30.1938) * CHOOSE(CONTROL!$C$15, $D$11, 100%, $F$11)</f>
        <v>30.194199999999999</v>
      </c>
      <c r="C949" s="8">
        <f>CHOOSE( CONTROL!$C$32, 30.2022, 30.2017) * CHOOSE(CONTROL!$C$15, $D$11, 100%, $F$11)</f>
        <v>30.202200000000001</v>
      </c>
      <c r="D949" s="8">
        <f>CHOOSE( CONTROL!$C$32, 30.2013, 30.2008) * CHOOSE( CONTROL!$C$15, $D$11, 100%, $F$11)</f>
        <v>30.2013</v>
      </c>
      <c r="E949" s="12">
        <f>CHOOSE( CONTROL!$C$32, 30.2004, 30.1999) * CHOOSE( CONTROL!$C$15, $D$11, 100%, $F$11)</f>
        <v>30.200399999999998</v>
      </c>
      <c r="F949" s="4">
        <f>CHOOSE( CONTROL!$C$32, 30.897, 30.8966) * CHOOSE(CONTROL!$C$15, $D$11, 100%, $F$11)</f>
        <v>30.896999999999998</v>
      </c>
      <c r="G949" s="8">
        <f>CHOOSE( CONTROL!$C$32, 29.8508, 29.8503) * CHOOSE( CONTROL!$C$15, $D$11, 100%, $F$11)</f>
        <v>29.8508</v>
      </c>
      <c r="H949" s="4">
        <f>CHOOSE( CONTROL!$C$32, 30.7819, 30.7814) * CHOOSE(CONTROL!$C$15, $D$11, 100%, $F$11)</f>
        <v>30.7819</v>
      </c>
      <c r="I949" s="8">
        <f>CHOOSE( CONTROL!$C$32, 29.4123, 29.4119) * CHOOSE(CONTROL!$C$15, $D$11, 100%, $F$11)</f>
        <v>29.412299999999998</v>
      </c>
      <c r="J949" s="4">
        <f>CHOOSE( CONTROL!$C$32, 29.2927, 29.2922) * CHOOSE(CONTROL!$C$15, $D$11, 100%, $F$11)</f>
        <v>29.2927</v>
      </c>
      <c r="K949" s="4"/>
      <c r="L949" s="9">
        <v>29.7257</v>
      </c>
      <c r="M949" s="9">
        <v>11.6745</v>
      </c>
      <c r="N949" s="9">
        <v>4.7850000000000001</v>
      </c>
      <c r="O949" s="9">
        <v>0.36199999999999999</v>
      </c>
      <c r="P949" s="9">
        <v>1.2509999999999999</v>
      </c>
      <c r="Q949" s="9">
        <v>19.053000000000001</v>
      </c>
      <c r="R949" s="9"/>
      <c r="S949" s="11"/>
    </row>
    <row r="950" spans="1:19" ht="15.75">
      <c r="A950" s="13">
        <v>70067</v>
      </c>
      <c r="B950" s="8">
        <f>CHOOSE( CONTROL!$C$32, 31.5331, 31.5329) * CHOOSE(CONTROL!$C$15, $D$11, 100%, $F$11)</f>
        <v>31.533100000000001</v>
      </c>
      <c r="C950" s="8">
        <f>CHOOSE( CONTROL!$C$32, 31.5385, 31.5382) * CHOOSE(CONTROL!$C$15, $D$11, 100%, $F$11)</f>
        <v>31.538499999999999</v>
      </c>
      <c r="D950" s="8">
        <f>CHOOSE( CONTROL!$C$32, 31.5432, 31.5429) * CHOOSE( CONTROL!$C$15, $D$11, 100%, $F$11)</f>
        <v>31.543199999999999</v>
      </c>
      <c r="E950" s="12">
        <f>CHOOSE( CONTROL!$C$32, 31.5411, 31.5408) * CHOOSE( CONTROL!$C$15, $D$11, 100%, $F$11)</f>
        <v>31.5411</v>
      </c>
      <c r="F950" s="4">
        <f>CHOOSE( CONTROL!$C$32, 32.2377, 32.2374) * CHOOSE(CONTROL!$C$15, $D$11, 100%, $F$11)</f>
        <v>32.237699999999997</v>
      </c>
      <c r="G950" s="8">
        <f>CHOOSE( CONTROL!$C$32, 31.1759, 31.1756) * CHOOSE( CONTROL!$C$15, $D$11, 100%, $F$11)</f>
        <v>31.175899999999999</v>
      </c>
      <c r="H950" s="4">
        <f>CHOOSE( CONTROL!$C$32, 32.1068, 32.1065) * CHOOSE(CONTROL!$C$15, $D$11, 100%, $F$11)</f>
        <v>32.1068</v>
      </c>
      <c r="I950" s="8">
        <f>CHOOSE( CONTROL!$C$32, 30.7149, 30.7146) * CHOOSE(CONTROL!$C$15, $D$11, 100%, $F$11)</f>
        <v>30.7149</v>
      </c>
      <c r="J950" s="4">
        <f>CHOOSE( CONTROL!$C$32, 30.5938, 30.5935) * CHOOSE(CONTROL!$C$15, $D$11, 100%, $F$11)</f>
        <v>30.593800000000002</v>
      </c>
      <c r="K950" s="4"/>
      <c r="L950" s="9">
        <v>31.095300000000002</v>
      </c>
      <c r="M950" s="9">
        <v>12.063700000000001</v>
      </c>
      <c r="N950" s="9">
        <v>4.9444999999999997</v>
      </c>
      <c r="O950" s="9">
        <v>0.37409999999999999</v>
      </c>
      <c r="P950" s="9">
        <v>1.2927</v>
      </c>
      <c r="Q950" s="9">
        <v>19.688099999999999</v>
      </c>
      <c r="R950" s="9"/>
      <c r="S950" s="11"/>
    </row>
    <row r="951" spans="1:19" ht="15.75">
      <c r="A951" s="13">
        <v>70097</v>
      </c>
      <c r="B951" s="8">
        <f>CHOOSE( CONTROL!$C$32, 34.0076, 34.0073) * CHOOSE(CONTROL!$C$15, $D$11, 100%, $F$11)</f>
        <v>34.007599999999996</v>
      </c>
      <c r="C951" s="8">
        <f>CHOOSE( CONTROL!$C$32, 34.0127, 34.0124) * CHOOSE(CONTROL!$C$15, $D$11, 100%, $F$11)</f>
        <v>34.012700000000002</v>
      </c>
      <c r="D951" s="8">
        <f>CHOOSE( CONTROL!$C$32, 33.9954, 33.9951) * CHOOSE( CONTROL!$C$15, $D$11, 100%, $F$11)</f>
        <v>33.995399999999997</v>
      </c>
      <c r="E951" s="12">
        <f>CHOOSE( CONTROL!$C$32, 34.0012, 34.0009) * CHOOSE( CONTROL!$C$15, $D$11, 100%, $F$11)</f>
        <v>34.001199999999997</v>
      </c>
      <c r="F951" s="4">
        <f>CHOOSE( CONTROL!$C$32, 34.6729, 34.6726) * CHOOSE(CONTROL!$C$15, $D$11, 100%, $F$11)</f>
        <v>34.672899999999998</v>
      </c>
      <c r="G951" s="8">
        <f>CHOOSE( CONTROL!$C$32, 33.6187, 33.6184) * CHOOSE( CONTROL!$C$15, $D$11, 100%, $F$11)</f>
        <v>33.618699999999997</v>
      </c>
      <c r="H951" s="4">
        <f>CHOOSE( CONTROL!$C$32, 34.5135, 34.5132) * CHOOSE(CONTROL!$C$15, $D$11, 100%, $F$11)</f>
        <v>34.513500000000001</v>
      </c>
      <c r="I951" s="8">
        <f>CHOOSE( CONTROL!$C$32, 33.1736, 33.1733) * CHOOSE(CONTROL!$C$15, $D$11, 100%, $F$11)</f>
        <v>33.1736</v>
      </c>
      <c r="J951" s="4">
        <f>CHOOSE( CONTROL!$C$32, 32.9956, 32.9954) * CHOOSE(CONTROL!$C$15, $D$11, 100%, $F$11)</f>
        <v>32.995600000000003</v>
      </c>
      <c r="K951" s="4"/>
      <c r="L951" s="9">
        <v>28.360600000000002</v>
      </c>
      <c r="M951" s="9">
        <v>11.6745</v>
      </c>
      <c r="N951" s="9">
        <v>4.7850000000000001</v>
      </c>
      <c r="O951" s="9">
        <v>0.36199999999999999</v>
      </c>
      <c r="P951" s="9">
        <v>1.2509999999999999</v>
      </c>
      <c r="Q951" s="9">
        <v>19.053000000000001</v>
      </c>
      <c r="R951" s="9"/>
      <c r="S951" s="11"/>
    </row>
    <row r="952" spans="1:19" ht="15.75">
      <c r="A952" s="13">
        <v>70128</v>
      </c>
      <c r="B952" s="8">
        <f>CHOOSE( CONTROL!$C$32, 33.9458, 33.9455) * CHOOSE(CONTROL!$C$15, $D$11, 100%, $F$11)</f>
        <v>33.945799999999998</v>
      </c>
      <c r="C952" s="8">
        <f>CHOOSE( CONTROL!$C$32, 33.9508, 33.9506) * CHOOSE(CONTROL!$C$15, $D$11, 100%, $F$11)</f>
        <v>33.950800000000001</v>
      </c>
      <c r="D952" s="8">
        <f>CHOOSE( CONTROL!$C$32, 33.9353, 33.9351) * CHOOSE( CONTROL!$C$15, $D$11, 100%, $F$11)</f>
        <v>33.935299999999998</v>
      </c>
      <c r="E952" s="12">
        <f>CHOOSE( CONTROL!$C$32, 33.9404, 33.9402) * CHOOSE( CONTROL!$C$15, $D$11, 100%, $F$11)</f>
        <v>33.940399999999997</v>
      </c>
      <c r="F952" s="4">
        <f>CHOOSE( CONTROL!$C$32, 34.6111, 34.6108) * CHOOSE(CONTROL!$C$15, $D$11, 100%, $F$11)</f>
        <v>34.6111</v>
      </c>
      <c r="G952" s="8">
        <f>CHOOSE( CONTROL!$C$32, 33.5589, 33.5586) * CHOOSE( CONTROL!$C$15, $D$11, 100%, $F$11)</f>
        <v>33.558900000000001</v>
      </c>
      <c r="H952" s="4">
        <f>CHOOSE( CONTROL!$C$32, 34.4524, 34.4521) * CHOOSE(CONTROL!$C$15, $D$11, 100%, $F$11)</f>
        <v>34.452399999999997</v>
      </c>
      <c r="I952" s="8">
        <f>CHOOSE( CONTROL!$C$32, 33.1191, 33.1188) * CHOOSE(CONTROL!$C$15, $D$11, 100%, $F$11)</f>
        <v>33.119100000000003</v>
      </c>
      <c r="J952" s="4">
        <f>CHOOSE( CONTROL!$C$32, 32.9356, 32.9354) * CHOOSE(CONTROL!$C$15, $D$11, 100%, $F$11)</f>
        <v>32.935600000000001</v>
      </c>
      <c r="K952" s="4"/>
      <c r="L952" s="9">
        <v>29.306000000000001</v>
      </c>
      <c r="M952" s="9">
        <v>12.063700000000001</v>
      </c>
      <c r="N952" s="9">
        <v>4.9444999999999997</v>
      </c>
      <c r="O952" s="9">
        <v>0.37409999999999999</v>
      </c>
      <c r="P952" s="9">
        <v>1.2927</v>
      </c>
      <c r="Q952" s="9">
        <v>19.688099999999999</v>
      </c>
      <c r="R952" s="9"/>
      <c r="S952" s="11"/>
    </row>
    <row r="953" spans="1:19" ht="15.75">
      <c r="A953" s="13">
        <v>70159</v>
      </c>
      <c r="B953" s="8">
        <f>CHOOSE( CONTROL!$C$32, 34.9468, 34.9465) * CHOOSE(CONTROL!$C$15, $D$11, 100%, $F$11)</f>
        <v>34.946800000000003</v>
      </c>
      <c r="C953" s="8">
        <f>CHOOSE( CONTROL!$C$32, 34.9519, 34.9516) * CHOOSE(CONTROL!$C$15, $D$11, 100%, $F$11)</f>
        <v>34.951900000000002</v>
      </c>
      <c r="D953" s="8">
        <f>CHOOSE( CONTROL!$C$32, 34.9423, 34.942) * CHOOSE( CONTROL!$C$15, $D$11, 100%, $F$11)</f>
        <v>34.942300000000003</v>
      </c>
      <c r="E953" s="12">
        <f>CHOOSE( CONTROL!$C$32, 34.9453, 34.945) * CHOOSE( CONTROL!$C$15, $D$11, 100%, $F$11)</f>
        <v>34.945300000000003</v>
      </c>
      <c r="F953" s="4">
        <f>CHOOSE( CONTROL!$C$32, 35.6121, 35.6118) * CHOOSE(CONTROL!$C$15, $D$11, 100%, $F$11)</f>
        <v>35.612099999999998</v>
      </c>
      <c r="G953" s="8">
        <f>CHOOSE( CONTROL!$C$32, 34.5489, 34.5486) * CHOOSE( CONTROL!$C$15, $D$11, 100%, $F$11)</f>
        <v>34.548900000000003</v>
      </c>
      <c r="H953" s="4">
        <f>CHOOSE( CONTROL!$C$32, 35.4417, 35.4414) * CHOOSE(CONTROL!$C$15, $D$11, 100%, $F$11)</f>
        <v>35.441699999999997</v>
      </c>
      <c r="I953" s="8">
        <f>CHOOSE( CONTROL!$C$32, 34.0715, 34.0713) * CHOOSE(CONTROL!$C$15, $D$11, 100%, $F$11)</f>
        <v>34.0715</v>
      </c>
      <c r="J953" s="4">
        <f>CHOOSE( CONTROL!$C$32, 33.9071, 33.9068) * CHOOSE(CONTROL!$C$15, $D$11, 100%, $F$11)</f>
        <v>33.9071</v>
      </c>
      <c r="K953" s="4"/>
      <c r="L953" s="9">
        <v>29.306000000000001</v>
      </c>
      <c r="M953" s="9">
        <v>12.063700000000001</v>
      </c>
      <c r="N953" s="9">
        <v>4.9444999999999997</v>
      </c>
      <c r="O953" s="9">
        <v>0.37409999999999999</v>
      </c>
      <c r="P953" s="9">
        <v>1.2927</v>
      </c>
      <c r="Q953" s="9">
        <v>19.688099999999999</v>
      </c>
      <c r="R953" s="9"/>
      <c r="S953" s="11"/>
    </row>
    <row r="954" spans="1:19" ht="15.75">
      <c r="A954" s="13">
        <v>70188</v>
      </c>
      <c r="B954" s="8">
        <f>CHOOSE( CONTROL!$C$32, 32.6881, 32.6879) * CHOOSE(CONTROL!$C$15, $D$11, 100%, $F$11)</f>
        <v>32.688099999999999</v>
      </c>
      <c r="C954" s="8">
        <f>CHOOSE( CONTROL!$C$32, 32.6932, 32.6929) * CHOOSE(CONTROL!$C$15, $D$11, 100%, $F$11)</f>
        <v>32.693199999999997</v>
      </c>
      <c r="D954" s="8">
        <f>CHOOSE( CONTROL!$C$32, 32.6853, 32.685) * CHOOSE( CONTROL!$C$15, $D$11, 100%, $F$11)</f>
        <v>32.685299999999998</v>
      </c>
      <c r="E954" s="12">
        <f>CHOOSE( CONTROL!$C$32, 32.6876, 32.6874) * CHOOSE( CONTROL!$C$15, $D$11, 100%, $F$11)</f>
        <v>32.687600000000003</v>
      </c>
      <c r="F954" s="4">
        <f>CHOOSE( CONTROL!$C$32, 33.3534, 33.3531) * CHOOSE(CONTROL!$C$15, $D$11, 100%, $F$11)</f>
        <v>33.353400000000001</v>
      </c>
      <c r="G954" s="8">
        <f>CHOOSE( CONTROL!$C$32, 32.3152, 32.315) * CHOOSE( CONTROL!$C$15, $D$11, 100%, $F$11)</f>
        <v>32.315199999999997</v>
      </c>
      <c r="H954" s="4">
        <f>CHOOSE( CONTROL!$C$32, 33.2095, 33.2092) * CHOOSE(CONTROL!$C$15, $D$11, 100%, $F$11)</f>
        <v>33.209499999999998</v>
      </c>
      <c r="I954" s="8">
        <f>CHOOSE( CONTROL!$C$32, 31.863, 31.8628) * CHOOSE(CONTROL!$C$15, $D$11, 100%, $F$11)</f>
        <v>31.863</v>
      </c>
      <c r="J954" s="4">
        <f>CHOOSE( CONTROL!$C$32, 31.7151, 31.7148) * CHOOSE(CONTROL!$C$15, $D$11, 100%, $F$11)</f>
        <v>31.7151</v>
      </c>
      <c r="K954" s="4"/>
      <c r="L954" s="9">
        <v>27.415299999999998</v>
      </c>
      <c r="M954" s="9">
        <v>11.285299999999999</v>
      </c>
      <c r="N954" s="9">
        <v>4.6254999999999997</v>
      </c>
      <c r="O954" s="9">
        <v>0.34989999999999999</v>
      </c>
      <c r="P954" s="9">
        <v>1.2093</v>
      </c>
      <c r="Q954" s="9">
        <v>18.417899999999999</v>
      </c>
      <c r="R954" s="9"/>
      <c r="S954" s="11"/>
    </row>
    <row r="955" spans="1:19" ht="15.75">
      <c r="A955" s="13">
        <v>70219</v>
      </c>
      <c r="B955" s="8">
        <f>CHOOSE( CONTROL!$C$32, 31.9925, 31.9922) * CHOOSE(CONTROL!$C$15, $D$11, 100%, $F$11)</f>
        <v>31.9925</v>
      </c>
      <c r="C955" s="8">
        <f>CHOOSE( CONTROL!$C$32, 31.9976, 31.9973) * CHOOSE(CONTROL!$C$15, $D$11, 100%, $F$11)</f>
        <v>31.997599999999998</v>
      </c>
      <c r="D955" s="8">
        <f>CHOOSE( CONTROL!$C$32, 31.9849, 31.9846) * CHOOSE( CONTROL!$C$15, $D$11, 100%, $F$11)</f>
        <v>31.9849</v>
      </c>
      <c r="E955" s="12">
        <f>CHOOSE( CONTROL!$C$32, 31.989, 31.9887) * CHOOSE( CONTROL!$C$15, $D$11, 100%, $F$11)</f>
        <v>31.989000000000001</v>
      </c>
      <c r="F955" s="4">
        <f>CHOOSE( CONTROL!$C$32, 32.6578, 32.6575) * CHOOSE(CONTROL!$C$15, $D$11, 100%, $F$11)</f>
        <v>32.657800000000002</v>
      </c>
      <c r="G955" s="8">
        <f>CHOOSE( CONTROL!$C$32, 31.6243, 31.624) * CHOOSE( CONTROL!$C$15, $D$11, 100%, $F$11)</f>
        <v>31.624300000000002</v>
      </c>
      <c r="H955" s="4">
        <f>CHOOSE( CONTROL!$C$32, 32.522, 32.5217) * CHOOSE(CONTROL!$C$15, $D$11, 100%, $F$11)</f>
        <v>32.521999999999998</v>
      </c>
      <c r="I955" s="8">
        <f>CHOOSE( CONTROL!$C$32, 31.186, 31.1857) * CHOOSE(CONTROL!$C$15, $D$11, 100%, $F$11)</f>
        <v>31.186</v>
      </c>
      <c r="J955" s="4">
        <f>CHOOSE( CONTROL!$C$32, 31.0399, 31.0397) * CHOOSE(CONTROL!$C$15, $D$11, 100%, $F$11)</f>
        <v>31.039899999999999</v>
      </c>
      <c r="K955" s="4"/>
      <c r="L955" s="9">
        <v>29.306000000000001</v>
      </c>
      <c r="M955" s="9">
        <v>12.063700000000001</v>
      </c>
      <c r="N955" s="9">
        <v>4.9444999999999997</v>
      </c>
      <c r="O955" s="9">
        <v>0.37409999999999999</v>
      </c>
      <c r="P955" s="9">
        <v>1.2927</v>
      </c>
      <c r="Q955" s="9">
        <v>19.688099999999999</v>
      </c>
      <c r="R955" s="9"/>
      <c r="S955" s="11"/>
    </row>
    <row r="956" spans="1:19" ht="15.75">
      <c r="A956" s="13">
        <v>70249</v>
      </c>
      <c r="B956" s="8">
        <f>CHOOSE( CONTROL!$C$32, 32.4794, 32.4791) * CHOOSE(CONTROL!$C$15, $D$11, 100%, $F$11)</f>
        <v>32.479399999999998</v>
      </c>
      <c r="C956" s="8">
        <f>CHOOSE( CONTROL!$C$32, 32.4839, 32.4836) * CHOOSE(CONTROL!$C$15, $D$11, 100%, $F$11)</f>
        <v>32.483899999999998</v>
      </c>
      <c r="D956" s="8">
        <f>CHOOSE( CONTROL!$C$32, 32.4887, 32.4885) * CHOOSE( CONTROL!$C$15, $D$11, 100%, $F$11)</f>
        <v>32.488700000000001</v>
      </c>
      <c r="E956" s="12">
        <f>CHOOSE( CONTROL!$C$32, 32.4866, 32.4864) * CHOOSE( CONTROL!$C$15, $D$11, 100%, $F$11)</f>
        <v>32.486600000000003</v>
      </c>
      <c r="F956" s="4">
        <f>CHOOSE( CONTROL!$C$32, 33.1835, 33.1833) * CHOOSE(CONTROL!$C$15, $D$11, 100%, $F$11)</f>
        <v>33.183500000000002</v>
      </c>
      <c r="G956" s="8">
        <f>CHOOSE( CONTROL!$C$32, 32.1104, 32.1102) * CHOOSE( CONTROL!$C$15, $D$11, 100%, $F$11)</f>
        <v>32.110399999999998</v>
      </c>
      <c r="H956" s="4">
        <f>CHOOSE( CONTROL!$C$32, 33.0416, 33.0413) * CHOOSE(CONTROL!$C$15, $D$11, 100%, $F$11)</f>
        <v>33.041600000000003</v>
      </c>
      <c r="I956" s="8">
        <f>CHOOSE( CONTROL!$C$32, 31.6322, 31.6319) * CHOOSE(CONTROL!$C$15, $D$11, 100%, $F$11)</f>
        <v>31.632200000000001</v>
      </c>
      <c r="J956" s="4">
        <f>CHOOSE( CONTROL!$C$32, 31.5117, 31.5115) * CHOOSE(CONTROL!$C$15, $D$11, 100%, $F$11)</f>
        <v>31.511700000000001</v>
      </c>
      <c r="K956" s="4"/>
      <c r="L956" s="9">
        <v>30.092199999999998</v>
      </c>
      <c r="M956" s="9">
        <v>11.6745</v>
      </c>
      <c r="N956" s="9">
        <v>4.7850000000000001</v>
      </c>
      <c r="O956" s="9">
        <v>0.36199999999999999</v>
      </c>
      <c r="P956" s="9">
        <v>1.2509999999999999</v>
      </c>
      <c r="Q956" s="9">
        <v>19.053000000000001</v>
      </c>
      <c r="R956" s="9"/>
      <c r="S956" s="11"/>
    </row>
    <row r="957" spans="1:19" ht="15.75">
      <c r="A957" s="13">
        <v>70280</v>
      </c>
      <c r="B957" s="8">
        <f>CHOOSE( CONTROL!$C$32, 33.3461, 33.3456) * CHOOSE(CONTROL!$C$15, $D$11, 100%, $F$11)</f>
        <v>33.3461</v>
      </c>
      <c r="C957" s="8">
        <f>CHOOSE( CONTROL!$C$32, 33.354, 33.3536) * CHOOSE(CONTROL!$C$15, $D$11, 100%, $F$11)</f>
        <v>33.353999999999999</v>
      </c>
      <c r="D957" s="8">
        <f>CHOOSE( CONTROL!$C$32, 33.3528, 33.3524) * CHOOSE( CONTROL!$C$15, $D$11, 100%, $F$11)</f>
        <v>33.352800000000002</v>
      </c>
      <c r="E957" s="12">
        <f>CHOOSE( CONTROL!$C$32, 33.352, 33.3516) * CHOOSE( CONTROL!$C$15, $D$11, 100%, $F$11)</f>
        <v>33.351999999999997</v>
      </c>
      <c r="F957" s="4">
        <f>CHOOSE( CONTROL!$C$32, 34.0489, 34.0484) * CHOOSE(CONTROL!$C$15, $D$11, 100%, $F$11)</f>
        <v>34.048900000000003</v>
      </c>
      <c r="G957" s="8">
        <f>CHOOSE( CONTROL!$C$32, 32.9655, 32.965) * CHOOSE( CONTROL!$C$15, $D$11, 100%, $F$11)</f>
        <v>32.965499999999999</v>
      </c>
      <c r="H957" s="4">
        <f>CHOOSE( CONTROL!$C$32, 33.8968, 33.8963) * CHOOSE(CONTROL!$C$15, $D$11, 100%, $F$11)</f>
        <v>33.896799999999999</v>
      </c>
      <c r="I957" s="8">
        <f>CHOOSE( CONTROL!$C$32, 32.4716, 32.4711) * CHOOSE(CONTROL!$C$15, $D$11, 100%, $F$11)</f>
        <v>32.471600000000002</v>
      </c>
      <c r="J957" s="4">
        <f>CHOOSE( CONTROL!$C$32, 32.3515, 32.3511) * CHOOSE(CONTROL!$C$15, $D$11, 100%, $F$11)</f>
        <v>32.351500000000001</v>
      </c>
      <c r="K957" s="4"/>
      <c r="L957" s="9">
        <v>30.7165</v>
      </c>
      <c r="M957" s="9">
        <v>12.063700000000001</v>
      </c>
      <c r="N957" s="9">
        <v>4.9444999999999997</v>
      </c>
      <c r="O957" s="9">
        <v>0.37409999999999999</v>
      </c>
      <c r="P957" s="9">
        <v>1.2927</v>
      </c>
      <c r="Q957" s="9">
        <v>19.688099999999999</v>
      </c>
      <c r="R957" s="9"/>
      <c r="S957" s="11"/>
    </row>
    <row r="958" spans="1:19" ht="15.75">
      <c r="A958" s="13">
        <v>70310</v>
      </c>
      <c r="B958" s="8">
        <f>CHOOSE( CONTROL!$C$32, 32.8101, 32.8097) * CHOOSE(CONTROL!$C$15, $D$11, 100%, $F$11)</f>
        <v>32.810099999999998</v>
      </c>
      <c r="C958" s="8">
        <f>CHOOSE( CONTROL!$C$32, 32.8181, 32.8176) * CHOOSE(CONTROL!$C$15, $D$11, 100%, $F$11)</f>
        <v>32.818100000000001</v>
      </c>
      <c r="D958" s="8">
        <f>CHOOSE( CONTROL!$C$32, 32.8171, 32.8166) * CHOOSE( CONTROL!$C$15, $D$11, 100%, $F$11)</f>
        <v>32.817100000000003</v>
      </c>
      <c r="E958" s="12">
        <f>CHOOSE( CONTROL!$C$32, 32.8162, 32.8158) * CHOOSE( CONTROL!$C$15, $D$11, 100%, $F$11)</f>
        <v>32.816200000000002</v>
      </c>
      <c r="F958" s="4">
        <f>CHOOSE( CONTROL!$C$32, 33.5129, 33.5125) * CHOOSE(CONTROL!$C$15, $D$11, 100%, $F$11)</f>
        <v>33.512900000000002</v>
      </c>
      <c r="G958" s="8">
        <f>CHOOSE( CONTROL!$C$32, 32.436, 32.4355) * CHOOSE( CONTROL!$C$15, $D$11, 100%, $F$11)</f>
        <v>32.436</v>
      </c>
      <c r="H958" s="4">
        <f>CHOOSE( CONTROL!$C$32, 33.3671, 33.3667) * CHOOSE(CONTROL!$C$15, $D$11, 100%, $F$11)</f>
        <v>33.367100000000001</v>
      </c>
      <c r="I958" s="8">
        <f>CHOOSE( CONTROL!$C$32, 31.9519, 31.9514) * CHOOSE(CONTROL!$C$15, $D$11, 100%, $F$11)</f>
        <v>31.951899999999998</v>
      </c>
      <c r="J958" s="4">
        <f>CHOOSE( CONTROL!$C$32, 31.8314, 31.831) * CHOOSE(CONTROL!$C$15, $D$11, 100%, $F$11)</f>
        <v>31.831399999999999</v>
      </c>
      <c r="K958" s="4"/>
      <c r="L958" s="9">
        <v>29.7257</v>
      </c>
      <c r="M958" s="9">
        <v>11.6745</v>
      </c>
      <c r="N958" s="9">
        <v>4.7850000000000001</v>
      </c>
      <c r="O958" s="9">
        <v>0.36199999999999999</v>
      </c>
      <c r="P958" s="9">
        <v>1.2509999999999999</v>
      </c>
      <c r="Q958" s="9">
        <v>19.053000000000001</v>
      </c>
      <c r="R958" s="9"/>
      <c r="S958" s="11"/>
    </row>
    <row r="959" spans="1:19" ht="15.75">
      <c r="A959" s="13">
        <v>70341</v>
      </c>
      <c r="B959" s="8">
        <f>CHOOSE( CONTROL!$C$32, 34.2215, 34.221) * CHOOSE(CONTROL!$C$15, $D$11, 100%, $F$11)</f>
        <v>34.221499999999999</v>
      </c>
      <c r="C959" s="8">
        <f>CHOOSE( CONTROL!$C$32, 34.2294, 34.229) * CHOOSE(CONTROL!$C$15, $D$11, 100%, $F$11)</f>
        <v>34.229399999999998</v>
      </c>
      <c r="D959" s="8">
        <f>CHOOSE( CONTROL!$C$32, 34.2286, 34.2282) * CHOOSE( CONTROL!$C$15, $D$11, 100%, $F$11)</f>
        <v>34.2286</v>
      </c>
      <c r="E959" s="12">
        <f>CHOOSE( CONTROL!$C$32, 34.2277, 34.2273) * CHOOSE( CONTROL!$C$15, $D$11, 100%, $F$11)</f>
        <v>34.227699999999999</v>
      </c>
      <c r="F959" s="4">
        <f>CHOOSE( CONTROL!$C$32, 34.9243, 34.9238) * CHOOSE(CONTROL!$C$15, $D$11, 100%, $F$11)</f>
        <v>34.924300000000002</v>
      </c>
      <c r="G959" s="8">
        <f>CHOOSE( CONTROL!$C$32, 33.8309, 33.8305) * CHOOSE( CONTROL!$C$15, $D$11, 100%, $F$11)</f>
        <v>33.8309</v>
      </c>
      <c r="H959" s="4">
        <f>CHOOSE( CONTROL!$C$32, 34.7619, 34.7615) * CHOOSE(CONTROL!$C$15, $D$11, 100%, $F$11)</f>
        <v>34.761899999999997</v>
      </c>
      <c r="I959" s="8">
        <f>CHOOSE( CONTROL!$C$32, 33.323, 33.3226) * CHOOSE(CONTROL!$C$15, $D$11, 100%, $F$11)</f>
        <v>33.323</v>
      </c>
      <c r="J959" s="4">
        <f>CHOOSE( CONTROL!$C$32, 33.2011, 33.2007) * CHOOSE(CONTROL!$C$15, $D$11, 100%, $F$11)</f>
        <v>33.201099999999997</v>
      </c>
      <c r="K959" s="4"/>
      <c r="L959" s="9">
        <v>30.7165</v>
      </c>
      <c r="M959" s="9">
        <v>12.063700000000001</v>
      </c>
      <c r="N959" s="9">
        <v>4.9444999999999997</v>
      </c>
      <c r="O959" s="9">
        <v>0.37409999999999999</v>
      </c>
      <c r="P959" s="9">
        <v>1.2927</v>
      </c>
      <c r="Q959" s="9">
        <v>19.688099999999999</v>
      </c>
      <c r="R959" s="9"/>
      <c r="S959" s="11"/>
    </row>
    <row r="960" spans="1:19" ht="15.75">
      <c r="A960" s="13">
        <v>70372</v>
      </c>
      <c r="B960" s="8">
        <f>CHOOSE( CONTROL!$C$32, 31.5807, 31.5803) * CHOOSE(CONTROL!$C$15, $D$11, 100%, $F$11)</f>
        <v>31.5807</v>
      </c>
      <c r="C960" s="8">
        <f>CHOOSE( CONTROL!$C$32, 31.5887, 31.5882) * CHOOSE(CONTROL!$C$15, $D$11, 100%, $F$11)</f>
        <v>31.588699999999999</v>
      </c>
      <c r="D960" s="8">
        <f>CHOOSE( CONTROL!$C$32, 31.5879, 31.5875) * CHOOSE( CONTROL!$C$15, $D$11, 100%, $F$11)</f>
        <v>31.587900000000001</v>
      </c>
      <c r="E960" s="12">
        <f>CHOOSE( CONTROL!$C$32, 31.587, 31.5865) * CHOOSE( CONTROL!$C$15, $D$11, 100%, $F$11)</f>
        <v>31.587</v>
      </c>
      <c r="F960" s="4">
        <f>CHOOSE( CONTROL!$C$32, 32.2835, 32.2831) * CHOOSE(CONTROL!$C$15, $D$11, 100%, $F$11)</f>
        <v>32.283499999999997</v>
      </c>
      <c r="G960" s="8">
        <f>CHOOSE( CONTROL!$C$32, 31.2212, 31.2207) * CHOOSE( CONTROL!$C$15, $D$11, 100%, $F$11)</f>
        <v>31.2212</v>
      </c>
      <c r="H960" s="4">
        <f>CHOOSE( CONTROL!$C$32, 32.1521, 32.1517) * CHOOSE(CONTROL!$C$15, $D$11, 100%, $F$11)</f>
        <v>32.152099999999997</v>
      </c>
      <c r="I960" s="8">
        <f>CHOOSE( CONTROL!$C$32, 30.7591, 30.7587) * CHOOSE(CONTROL!$C$15, $D$11, 100%, $F$11)</f>
        <v>30.7591</v>
      </c>
      <c r="J960" s="4">
        <f>CHOOSE( CONTROL!$C$32, 30.6383, 30.6378) * CHOOSE(CONTROL!$C$15, $D$11, 100%, $F$11)</f>
        <v>30.638300000000001</v>
      </c>
      <c r="K960" s="4"/>
      <c r="L960" s="9">
        <v>30.7165</v>
      </c>
      <c r="M960" s="9">
        <v>12.063700000000001</v>
      </c>
      <c r="N960" s="9">
        <v>4.9444999999999997</v>
      </c>
      <c r="O960" s="9">
        <v>0.37409999999999999</v>
      </c>
      <c r="P960" s="9">
        <v>1.2927</v>
      </c>
      <c r="Q960" s="9">
        <v>19.688099999999999</v>
      </c>
      <c r="R960" s="9"/>
      <c r="S960" s="11"/>
    </row>
    <row r="961" spans="1:19" ht="15.75">
      <c r="A961" s="13">
        <v>70402</v>
      </c>
      <c r="B961" s="8">
        <f>CHOOSE( CONTROL!$C$32, 30.9194, 30.919) * CHOOSE(CONTROL!$C$15, $D$11, 100%, $F$11)</f>
        <v>30.9194</v>
      </c>
      <c r="C961" s="8">
        <f>CHOOSE( CONTROL!$C$32, 30.9274, 30.927) * CHOOSE(CONTROL!$C$15, $D$11, 100%, $F$11)</f>
        <v>30.927399999999999</v>
      </c>
      <c r="D961" s="8">
        <f>CHOOSE( CONTROL!$C$32, 30.9265, 30.9261) * CHOOSE( CONTROL!$C$15, $D$11, 100%, $F$11)</f>
        <v>30.926500000000001</v>
      </c>
      <c r="E961" s="12">
        <f>CHOOSE( CONTROL!$C$32, 30.9256, 30.9252) * CHOOSE( CONTROL!$C$15, $D$11, 100%, $F$11)</f>
        <v>30.925599999999999</v>
      </c>
      <c r="F961" s="4">
        <f>CHOOSE( CONTROL!$C$32, 31.6223, 31.6218) * CHOOSE(CONTROL!$C$15, $D$11, 100%, $F$11)</f>
        <v>31.622299999999999</v>
      </c>
      <c r="G961" s="8">
        <f>CHOOSE( CONTROL!$C$32, 30.5675, 30.5671) * CHOOSE( CONTROL!$C$15, $D$11, 100%, $F$11)</f>
        <v>30.567499999999999</v>
      </c>
      <c r="H961" s="4">
        <f>CHOOSE( CONTROL!$C$32, 31.4986, 31.4981) * CHOOSE(CONTROL!$C$15, $D$11, 100%, $F$11)</f>
        <v>31.4986</v>
      </c>
      <c r="I961" s="8">
        <f>CHOOSE( CONTROL!$C$32, 30.1165, 30.116) * CHOOSE(CONTROL!$C$15, $D$11, 100%, $F$11)</f>
        <v>30.116499999999998</v>
      </c>
      <c r="J961" s="4">
        <f>CHOOSE( CONTROL!$C$32, 29.9965, 29.996) * CHOOSE(CONTROL!$C$15, $D$11, 100%, $F$11)</f>
        <v>29.996500000000001</v>
      </c>
      <c r="K961" s="4"/>
      <c r="L961" s="9">
        <v>29.7257</v>
      </c>
      <c r="M961" s="9">
        <v>11.6745</v>
      </c>
      <c r="N961" s="9">
        <v>4.7850000000000001</v>
      </c>
      <c r="O961" s="9">
        <v>0.36199999999999999</v>
      </c>
      <c r="P961" s="9">
        <v>1.2509999999999999</v>
      </c>
      <c r="Q961" s="9">
        <v>19.053000000000001</v>
      </c>
      <c r="R961" s="9"/>
      <c r="S961" s="11"/>
    </row>
    <row r="962" spans="1:19" ht="15.75">
      <c r="A962" s="13">
        <v>70433</v>
      </c>
      <c r="B962" s="8">
        <f>CHOOSE( CONTROL!$C$32, 32.2906, 32.2903) * CHOOSE(CONTROL!$C$15, $D$11, 100%, $F$11)</f>
        <v>32.290599999999998</v>
      </c>
      <c r="C962" s="8">
        <f>CHOOSE( CONTROL!$C$32, 32.2959, 32.2956) * CHOOSE(CONTROL!$C$15, $D$11, 100%, $F$11)</f>
        <v>32.295900000000003</v>
      </c>
      <c r="D962" s="8">
        <f>CHOOSE( CONTROL!$C$32, 32.3006, 32.3003) * CHOOSE( CONTROL!$C$15, $D$11, 100%, $F$11)</f>
        <v>32.300600000000003</v>
      </c>
      <c r="E962" s="12">
        <f>CHOOSE( CONTROL!$C$32, 32.2985, 32.2982) * CHOOSE( CONTROL!$C$15, $D$11, 100%, $F$11)</f>
        <v>32.298499999999997</v>
      </c>
      <c r="F962" s="4">
        <f>CHOOSE( CONTROL!$C$32, 32.9951, 32.9948) * CHOOSE(CONTROL!$C$15, $D$11, 100%, $F$11)</f>
        <v>32.995100000000001</v>
      </c>
      <c r="G962" s="8">
        <f>CHOOSE( CONTROL!$C$32, 31.9245, 31.9242) * CHOOSE( CONTROL!$C$15, $D$11, 100%, $F$11)</f>
        <v>31.924499999999998</v>
      </c>
      <c r="H962" s="4">
        <f>CHOOSE( CONTROL!$C$32, 32.8553, 32.8551) * CHOOSE(CONTROL!$C$15, $D$11, 100%, $F$11)</f>
        <v>32.8553</v>
      </c>
      <c r="I962" s="8">
        <f>CHOOSE( CONTROL!$C$32, 31.4503, 31.45) * CHOOSE(CONTROL!$C$15, $D$11, 100%, $F$11)</f>
        <v>31.450299999999999</v>
      </c>
      <c r="J962" s="4">
        <f>CHOOSE( CONTROL!$C$32, 31.3288, 31.3286) * CHOOSE(CONTROL!$C$15, $D$11, 100%, $F$11)</f>
        <v>31.328800000000001</v>
      </c>
      <c r="K962" s="4"/>
      <c r="L962" s="9">
        <v>31.095300000000002</v>
      </c>
      <c r="M962" s="9">
        <v>12.063700000000001</v>
      </c>
      <c r="N962" s="9">
        <v>4.9444999999999997</v>
      </c>
      <c r="O962" s="9">
        <v>0.37409999999999999</v>
      </c>
      <c r="P962" s="9">
        <v>1.2927</v>
      </c>
      <c r="Q962" s="9">
        <v>19.688099999999999</v>
      </c>
      <c r="R962" s="9"/>
      <c r="S962" s="11"/>
    </row>
    <row r="963" spans="1:19" ht="15.75">
      <c r="A963" s="13">
        <v>70463</v>
      </c>
      <c r="B963" s="8">
        <f>CHOOSE( CONTROL!$C$32, 34.8245, 34.8242) * CHOOSE(CONTROL!$C$15, $D$11, 100%, $F$11)</f>
        <v>34.8245</v>
      </c>
      <c r="C963" s="8">
        <f>CHOOSE( CONTROL!$C$32, 34.8296, 34.8293) * CHOOSE(CONTROL!$C$15, $D$11, 100%, $F$11)</f>
        <v>34.829599999999999</v>
      </c>
      <c r="D963" s="8">
        <f>CHOOSE( CONTROL!$C$32, 34.8123, 34.812) * CHOOSE( CONTROL!$C$15, $D$11, 100%, $F$11)</f>
        <v>34.8123</v>
      </c>
      <c r="E963" s="12">
        <f>CHOOSE( CONTROL!$C$32, 34.8181, 34.8178) * CHOOSE( CONTROL!$C$15, $D$11, 100%, $F$11)</f>
        <v>34.818100000000001</v>
      </c>
      <c r="F963" s="4">
        <f>CHOOSE( CONTROL!$C$32, 35.4898, 35.4895) * CHOOSE(CONTROL!$C$15, $D$11, 100%, $F$11)</f>
        <v>35.489800000000002</v>
      </c>
      <c r="G963" s="8">
        <f>CHOOSE( CONTROL!$C$32, 34.426, 34.4258) * CHOOSE( CONTROL!$C$15, $D$11, 100%, $F$11)</f>
        <v>34.426000000000002</v>
      </c>
      <c r="H963" s="4">
        <f>CHOOSE( CONTROL!$C$32, 35.3208, 35.3205) * CHOOSE(CONTROL!$C$15, $D$11, 100%, $F$11)</f>
        <v>35.320799999999998</v>
      </c>
      <c r="I963" s="8">
        <f>CHOOSE( CONTROL!$C$32, 33.9668, 33.9665) * CHOOSE(CONTROL!$C$15, $D$11, 100%, $F$11)</f>
        <v>33.966799999999999</v>
      </c>
      <c r="J963" s="4">
        <f>CHOOSE( CONTROL!$C$32, 33.7884, 33.7882) * CHOOSE(CONTROL!$C$15, $D$11, 100%, $F$11)</f>
        <v>33.788400000000003</v>
      </c>
      <c r="K963" s="4"/>
      <c r="L963" s="9">
        <v>28.360600000000002</v>
      </c>
      <c r="M963" s="9">
        <v>11.6745</v>
      </c>
      <c r="N963" s="9">
        <v>4.7850000000000001</v>
      </c>
      <c r="O963" s="9">
        <v>0.36199999999999999</v>
      </c>
      <c r="P963" s="9">
        <v>1.2509999999999999</v>
      </c>
      <c r="Q963" s="9">
        <v>19.053000000000001</v>
      </c>
      <c r="R963" s="9"/>
      <c r="S963" s="11"/>
    </row>
    <row r="964" spans="1:19" ht="15.75">
      <c r="A964" s="13">
        <v>70494</v>
      </c>
      <c r="B964" s="8">
        <f>CHOOSE( CONTROL!$C$32, 34.7612, 34.7609) * CHOOSE(CONTROL!$C$15, $D$11, 100%, $F$11)</f>
        <v>34.761200000000002</v>
      </c>
      <c r="C964" s="8">
        <f>CHOOSE( CONTROL!$C$32, 34.7663, 34.766) * CHOOSE(CONTROL!$C$15, $D$11, 100%, $F$11)</f>
        <v>34.766300000000001</v>
      </c>
      <c r="D964" s="8">
        <f>CHOOSE( CONTROL!$C$32, 34.7508, 34.7505) * CHOOSE( CONTROL!$C$15, $D$11, 100%, $F$11)</f>
        <v>34.750799999999998</v>
      </c>
      <c r="E964" s="12">
        <f>CHOOSE( CONTROL!$C$32, 34.7559, 34.7556) * CHOOSE( CONTROL!$C$15, $D$11, 100%, $F$11)</f>
        <v>34.755899999999997</v>
      </c>
      <c r="F964" s="4">
        <f>CHOOSE( CONTROL!$C$32, 35.4265, 35.4262) * CHOOSE(CONTROL!$C$15, $D$11, 100%, $F$11)</f>
        <v>35.426499999999997</v>
      </c>
      <c r="G964" s="8">
        <f>CHOOSE( CONTROL!$C$32, 34.3648, 34.3645) * CHOOSE( CONTROL!$C$15, $D$11, 100%, $F$11)</f>
        <v>34.364800000000002</v>
      </c>
      <c r="H964" s="4">
        <f>CHOOSE( CONTROL!$C$32, 35.2582, 35.258) * CHOOSE(CONTROL!$C$15, $D$11, 100%, $F$11)</f>
        <v>35.258200000000002</v>
      </c>
      <c r="I964" s="8">
        <f>CHOOSE( CONTROL!$C$32, 33.9109, 33.9106) * CHOOSE(CONTROL!$C$15, $D$11, 100%, $F$11)</f>
        <v>33.910899999999998</v>
      </c>
      <c r="J964" s="4">
        <f>CHOOSE( CONTROL!$C$32, 33.727, 33.7267) * CHOOSE(CONTROL!$C$15, $D$11, 100%, $F$11)</f>
        <v>33.726999999999997</v>
      </c>
      <c r="K964" s="4"/>
      <c r="L964" s="9">
        <v>29.306000000000001</v>
      </c>
      <c r="M964" s="9">
        <v>12.063700000000001</v>
      </c>
      <c r="N964" s="9">
        <v>4.9444999999999997</v>
      </c>
      <c r="O964" s="9">
        <v>0.37409999999999999</v>
      </c>
      <c r="P964" s="9">
        <v>1.2927</v>
      </c>
      <c r="Q964" s="9">
        <v>19.688099999999999</v>
      </c>
      <c r="R964" s="9"/>
      <c r="S964" s="11"/>
    </row>
    <row r="965" spans="1:19" ht="15.75">
      <c r="A965" s="13">
        <v>70525</v>
      </c>
      <c r="B965" s="8">
        <f>CHOOSE( CONTROL!$C$32, 35.7862, 35.786) * CHOOSE(CONTROL!$C$15, $D$11, 100%, $F$11)</f>
        <v>35.786200000000001</v>
      </c>
      <c r="C965" s="8">
        <f>CHOOSE( CONTROL!$C$32, 35.7913, 35.791) * CHOOSE(CONTROL!$C$15, $D$11, 100%, $F$11)</f>
        <v>35.7913</v>
      </c>
      <c r="D965" s="8">
        <f>CHOOSE( CONTROL!$C$32, 35.7818, 35.7815) * CHOOSE( CONTROL!$C$15, $D$11, 100%, $F$11)</f>
        <v>35.781799999999997</v>
      </c>
      <c r="E965" s="12">
        <f>CHOOSE( CONTROL!$C$32, 35.7847, 35.7844) * CHOOSE( CONTROL!$C$15, $D$11, 100%, $F$11)</f>
        <v>35.784700000000001</v>
      </c>
      <c r="F965" s="4">
        <f>CHOOSE( CONTROL!$C$32, 36.4515, 36.4513) * CHOOSE(CONTROL!$C$15, $D$11, 100%, $F$11)</f>
        <v>36.451500000000003</v>
      </c>
      <c r="G965" s="8">
        <f>CHOOSE( CONTROL!$C$32, 35.3785, 35.3783) * CHOOSE( CONTROL!$C$15, $D$11, 100%, $F$11)</f>
        <v>35.378500000000003</v>
      </c>
      <c r="H965" s="4">
        <f>CHOOSE( CONTROL!$C$32, 36.2713, 36.271) * CHOOSE(CONTROL!$C$15, $D$11, 100%, $F$11)</f>
        <v>36.271299999999997</v>
      </c>
      <c r="I965" s="8">
        <f>CHOOSE( CONTROL!$C$32, 34.8866, 34.8864) * CHOOSE(CONTROL!$C$15, $D$11, 100%, $F$11)</f>
        <v>34.886600000000001</v>
      </c>
      <c r="J965" s="4">
        <f>CHOOSE( CONTROL!$C$32, 34.7218, 34.7215) * CHOOSE(CONTROL!$C$15, $D$11, 100%, $F$11)</f>
        <v>34.721800000000002</v>
      </c>
      <c r="K965" s="4"/>
      <c r="L965" s="9">
        <v>29.306000000000001</v>
      </c>
      <c r="M965" s="9">
        <v>12.063700000000001</v>
      </c>
      <c r="N965" s="9">
        <v>4.9444999999999997</v>
      </c>
      <c r="O965" s="9">
        <v>0.37409999999999999</v>
      </c>
      <c r="P965" s="9">
        <v>1.2927</v>
      </c>
      <c r="Q965" s="9">
        <v>19.688099999999999</v>
      </c>
      <c r="R965" s="9"/>
      <c r="S965" s="11"/>
    </row>
    <row r="966" spans="1:19" ht="15.75">
      <c r="A966" s="13">
        <v>70553</v>
      </c>
      <c r="B966" s="8">
        <f>CHOOSE( CONTROL!$C$32, 33.4733, 33.4731) * CHOOSE(CONTROL!$C$15, $D$11, 100%, $F$11)</f>
        <v>33.473300000000002</v>
      </c>
      <c r="C966" s="8">
        <f>CHOOSE( CONTROL!$C$32, 33.4784, 33.4781) * CHOOSE(CONTROL!$C$15, $D$11, 100%, $F$11)</f>
        <v>33.478400000000001</v>
      </c>
      <c r="D966" s="8">
        <f>CHOOSE( CONTROL!$C$32, 33.4705, 33.4702) * CHOOSE( CONTROL!$C$15, $D$11, 100%, $F$11)</f>
        <v>33.470500000000001</v>
      </c>
      <c r="E966" s="12">
        <f>CHOOSE( CONTROL!$C$32, 33.4728, 33.4726) * CHOOSE( CONTROL!$C$15, $D$11, 100%, $F$11)</f>
        <v>33.472799999999999</v>
      </c>
      <c r="F966" s="4">
        <f>CHOOSE( CONTROL!$C$32, 34.1386, 34.1383) * CHOOSE(CONTROL!$C$15, $D$11, 100%, $F$11)</f>
        <v>34.138599999999997</v>
      </c>
      <c r="G966" s="8">
        <f>CHOOSE( CONTROL!$C$32, 33.0912, 33.091) * CHOOSE( CONTROL!$C$15, $D$11, 100%, $F$11)</f>
        <v>33.091200000000001</v>
      </c>
      <c r="H966" s="4">
        <f>CHOOSE( CONTROL!$C$32, 33.9855, 33.9852) * CHOOSE(CONTROL!$C$15, $D$11, 100%, $F$11)</f>
        <v>33.985500000000002</v>
      </c>
      <c r="I966" s="8">
        <f>CHOOSE( CONTROL!$C$32, 32.6254, 32.6252) * CHOOSE(CONTROL!$C$15, $D$11, 100%, $F$11)</f>
        <v>32.625399999999999</v>
      </c>
      <c r="J966" s="4">
        <f>CHOOSE( CONTROL!$C$32, 32.4771, 32.4768) * CHOOSE(CONTROL!$C$15, $D$11, 100%, $F$11)</f>
        <v>32.4771</v>
      </c>
      <c r="K966" s="4"/>
      <c r="L966" s="9">
        <v>26.469899999999999</v>
      </c>
      <c r="M966" s="9">
        <v>10.8962</v>
      </c>
      <c r="N966" s="9">
        <v>4.4660000000000002</v>
      </c>
      <c r="O966" s="9">
        <v>0.33789999999999998</v>
      </c>
      <c r="P966" s="9">
        <v>1.1676</v>
      </c>
      <c r="Q966" s="9">
        <v>17.782800000000002</v>
      </c>
      <c r="R966" s="9"/>
      <c r="S966" s="11"/>
    </row>
    <row r="967" spans="1:19" ht="15.75">
      <c r="A967" s="13">
        <v>70584</v>
      </c>
      <c r="B967" s="8">
        <f>CHOOSE( CONTROL!$C$32, 32.761, 32.7607) * CHOOSE(CONTROL!$C$15, $D$11, 100%, $F$11)</f>
        <v>32.761000000000003</v>
      </c>
      <c r="C967" s="8">
        <f>CHOOSE( CONTROL!$C$32, 32.766, 32.7658) * CHOOSE(CONTROL!$C$15, $D$11, 100%, $F$11)</f>
        <v>32.765999999999998</v>
      </c>
      <c r="D967" s="8">
        <f>CHOOSE( CONTROL!$C$32, 32.7533, 32.7531) * CHOOSE( CONTROL!$C$15, $D$11, 100%, $F$11)</f>
        <v>32.753300000000003</v>
      </c>
      <c r="E967" s="12">
        <f>CHOOSE( CONTROL!$C$32, 32.7574, 32.7572) * CHOOSE( CONTROL!$C$15, $D$11, 100%, $F$11)</f>
        <v>32.757399999999997</v>
      </c>
      <c r="F967" s="4">
        <f>CHOOSE( CONTROL!$C$32, 33.4262, 33.426) * CHOOSE(CONTROL!$C$15, $D$11, 100%, $F$11)</f>
        <v>33.426200000000001</v>
      </c>
      <c r="G967" s="8">
        <f>CHOOSE( CONTROL!$C$32, 32.3837, 32.3835) * CHOOSE( CONTROL!$C$15, $D$11, 100%, $F$11)</f>
        <v>32.383699999999997</v>
      </c>
      <c r="H967" s="4">
        <f>CHOOSE( CONTROL!$C$32, 33.2814, 33.2812) * CHOOSE(CONTROL!$C$15, $D$11, 100%, $F$11)</f>
        <v>33.281399999999998</v>
      </c>
      <c r="I967" s="8">
        <f>CHOOSE( CONTROL!$C$32, 31.9321, 31.9319) * CHOOSE(CONTROL!$C$15, $D$11, 100%, $F$11)</f>
        <v>31.932099999999998</v>
      </c>
      <c r="J967" s="4">
        <f>CHOOSE( CONTROL!$C$32, 31.7858, 31.7855) * CHOOSE(CONTROL!$C$15, $D$11, 100%, $F$11)</f>
        <v>31.785799999999998</v>
      </c>
      <c r="K967" s="4"/>
      <c r="L967" s="9">
        <v>29.306000000000001</v>
      </c>
      <c r="M967" s="9">
        <v>12.063700000000001</v>
      </c>
      <c r="N967" s="9">
        <v>4.9444999999999997</v>
      </c>
      <c r="O967" s="9">
        <v>0.37409999999999999</v>
      </c>
      <c r="P967" s="9">
        <v>1.2927</v>
      </c>
      <c r="Q967" s="9">
        <v>19.688099999999999</v>
      </c>
      <c r="R967" s="9"/>
      <c r="S967" s="11"/>
    </row>
    <row r="968" spans="1:19" ht="15.75">
      <c r="A968" s="13">
        <v>70614</v>
      </c>
      <c r="B968" s="8">
        <f>CHOOSE( CONTROL!$C$32, 33.2595, 33.2592) * CHOOSE(CONTROL!$C$15, $D$11, 100%, $F$11)</f>
        <v>33.259500000000003</v>
      </c>
      <c r="C968" s="8">
        <f>CHOOSE( CONTROL!$C$32, 33.264, 33.2637) * CHOOSE(CONTROL!$C$15, $D$11, 100%, $F$11)</f>
        <v>33.264000000000003</v>
      </c>
      <c r="D968" s="8">
        <f>CHOOSE( CONTROL!$C$32, 33.2689, 33.2686) * CHOOSE( CONTROL!$C$15, $D$11, 100%, $F$11)</f>
        <v>33.268900000000002</v>
      </c>
      <c r="E968" s="12">
        <f>CHOOSE( CONTROL!$C$32, 33.2668, 33.2665) * CHOOSE( CONTROL!$C$15, $D$11, 100%, $F$11)</f>
        <v>33.266800000000003</v>
      </c>
      <c r="F968" s="4">
        <f>CHOOSE( CONTROL!$C$32, 33.9637, 33.9634) * CHOOSE(CONTROL!$C$15, $D$11, 100%, $F$11)</f>
        <v>33.963700000000003</v>
      </c>
      <c r="G968" s="8">
        <f>CHOOSE( CONTROL!$C$32, 32.8815, 32.8812) * CHOOSE( CONTROL!$C$15, $D$11, 100%, $F$11)</f>
        <v>32.881500000000003</v>
      </c>
      <c r="H968" s="4">
        <f>CHOOSE( CONTROL!$C$32, 33.8126, 33.8123) * CHOOSE(CONTROL!$C$15, $D$11, 100%, $F$11)</f>
        <v>33.812600000000003</v>
      </c>
      <c r="I968" s="8">
        <f>CHOOSE( CONTROL!$C$32, 32.3897, 32.3894) * CHOOSE(CONTROL!$C$15, $D$11, 100%, $F$11)</f>
        <v>32.389699999999998</v>
      </c>
      <c r="J968" s="4">
        <f>CHOOSE( CONTROL!$C$32, 32.2689, 32.2686) * CHOOSE(CONTROL!$C$15, $D$11, 100%, $F$11)</f>
        <v>32.268900000000002</v>
      </c>
      <c r="K968" s="4"/>
      <c r="L968" s="9">
        <v>30.092199999999998</v>
      </c>
      <c r="M968" s="9">
        <v>11.6745</v>
      </c>
      <c r="N968" s="9">
        <v>4.7850000000000001</v>
      </c>
      <c r="O968" s="9">
        <v>0.36199999999999999</v>
      </c>
      <c r="P968" s="9">
        <v>1.2509999999999999</v>
      </c>
      <c r="Q968" s="9">
        <v>19.053000000000001</v>
      </c>
      <c r="R968" s="9"/>
      <c r="S968" s="11"/>
    </row>
    <row r="969" spans="1:19" ht="15.75">
      <c r="A969" s="13">
        <v>70645</v>
      </c>
      <c r="B969" s="8">
        <f>CHOOSE( CONTROL!$C$32, 34.147, 34.1466) * CHOOSE(CONTROL!$C$15, $D$11, 100%, $F$11)</f>
        <v>34.146999999999998</v>
      </c>
      <c r="C969" s="8">
        <f>CHOOSE( CONTROL!$C$32, 34.155, 34.1545) * CHOOSE(CONTROL!$C$15, $D$11, 100%, $F$11)</f>
        <v>34.155000000000001</v>
      </c>
      <c r="D969" s="8">
        <f>CHOOSE( CONTROL!$C$32, 34.1538, 34.1533) * CHOOSE( CONTROL!$C$15, $D$11, 100%, $F$11)</f>
        <v>34.153799999999997</v>
      </c>
      <c r="E969" s="12">
        <f>CHOOSE( CONTROL!$C$32, 34.153, 34.1525) * CHOOSE( CONTROL!$C$15, $D$11, 100%, $F$11)</f>
        <v>34.152999999999999</v>
      </c>
      <c r="F969" s="4">
        <f>CHOOSE( CONTROL!$C$32, 34.8498, 34.8494) * CHOOSE(CONTROL!$C$15, $D$11, 100%, $F$11)</f>
        <v>34.849800000000002</v>
      </c>
      <c r="G969" s="8">
        <f>CHOOSE( CONTROL!$C$32, 33.757, 33.7566) * CHOOSE( CONTROL!$C$15, $D$11, 100%, $F$11)</f>
        <v>33.756999999999998</v>
      </c>
      <c r="H969" s="4">
        <f>CHOOSE( CONTROL!$C$32, 34.6884, 34.6879) * CHOOSE(CONTROL!$C$15, $D$11, 100%, $F$11)</f>
        <v>34.688400000000001</v>
      </c>
      <c r="I969" s="8">
        <f>CHOOSE( CONTROL!$C$32, 33.2493, 33.2488) * CHOOSE(CONTROL!$C$15, $D$11, 100%, $F$11)</f>
        <v>33.249299999999998</v>
      </c>
      <c r="J969" s="4">
        <f>CHOOSE( CONTROL!$C$32, 33.1289, 33.1284) * CHOOSE(CONTROL!$C$15, $D$11, 100%, $F$11)</f>
        <v>33.128900000000002</v>
      </c>
      <c r="K969" s="4"/>
      <c r="L969" s="9">
        <v>30.7165</v>
      </c>
      <c r="M969" s="9">
        <v>12.063700000000001</v>
      </c>
      <c r="N969" s="9">
        <v>4.9444999999999997</v>
      </c>
      <c r="O969" s="9">
        <v>0.37409999999999999</v>
      </c>
      <c r="P969" s="9">
        <v>1.2927</v>
      </c>
      <c r="Q969" s="9">
        <v>19.688099999999999</v>
      </c>
      <c r="R969" s="9"/>
      <c r="S969" s="11"/>
    </row>
    <row r="970" spans="1:19" ht="15.75">
      <c r="A970" s="13">
        <v>70675</v>
      </c>
      <c r="B970" s="8">
        <f>CHOOSE( CONTROL!$C$32, 33.5982, 33.5977) * CHOOSE(CONTROL!$C$15, $D$11, 100%, $F$11)</f>
        <v>33.598199999999999</v>
      </c>
      <c r="C970" s="8">
        <f>CHOOSE( CONTROL!$C$32, 33.6062, 33.6057) * CHOOSE(CONTROL!$C$15, $D$11, 100%, $F$11)</f>
        <v>33.606200000000001</v>
      </c>
      <c r="D970" s="8">
        <f>CHOOSE( CONTROL!$C$32, 33.6051, 33.6047) * CHOOSE( CONTROL!$C$15, $D$11, 100%, $F$11)</f>
        <v>33.6051</v>
      </c>
      <c r="E970" s="12">
        <f>CHOOSE( CONTROL!$C$32, 33.6043, 33.6038) * CHOOSE( CONTROL!$C$15, $D$11, 100%, $F$11)</f>
        <v>33.604300000000002</v>
      </c>
      <c r="F970" s="4">
        <f>CHOOSE( CONTROL!$C$32, 34.301, 34.3006) * CHOOSE(CONTROL!$C$15, $D$11, 100%, $F$11)</f>
        <v>34.301000000000002</v>
      </c>
      <c r="G970" s="8">
        <f>CHOOSE( CONTROL!$C$32, 33.2148, 33.2143) * CHOOSE( CONTROL!$C$15, $D$11, 100%, $F$11)</f>
        <v>33.214799999999997</v>
      </c>
      <c r="H970" s="4">
        <f>CHOOSE( CONTROL!$C$32, 34.146, 34.1455) * CHOOSE(CONTROL!$C$15, $D$11, 100%, $F$11)</f>
        <v>34.146000000000001</v>
      </c>
      <c r="I970" s="8">
        <f>CHOOSE( CONTROL!$C$32, 32.7171, 32.7166) * CHOOSE(CONTROL!$C$15, $D$11, 100%, $F$11)</f>
        <v>32.717100000000002</v>
      </c>
      <c r="J970" s="4">
        <f>CHOOSE( CONTROL!$C$32, 32.5962, 32.5958) * CHOOSE(CONTROL!$C$15, $D$11, 100%, $F$11)</f>
        <v>32.596200000000003</v>
      </c>
      <c r="K970" s="4"/>
      <c r="L970" s="9">
        <v>29.7257</v>
      </c>
      <c r="M970" s="9">
        <v>11.6745</v>
      </c>
      <c r="N970" s="9">
        <v>4.7850000000000001</v>
      </c>
      <c r="O970" s="9">
        <v>0.36199999999999999</v>
      </c>
      <c r="P970" s="9">
        <v>1.2509999999999999</v>
      </c>
      <c r="Q970" s="9">
        <v>19.053000000000001</v>
      </c>
      <c r="R970" s="9"/>
      <c r="S970" s="11"/>
    </row>
    <row r="971" spans="1:19" ht="15.75">
      <c r="A971" s="13">
        <v>70706</v>
      </c>
      <c r="B971" s="8">
        <f>CHOOSE( CONTROL!$C$32, 35.0434, 35.043) * CHOOSE(CONTROL!$C$15, $D$11, 100%, $F$11)</f>
        <v>35.043399999999998</v>
      </c>
      <c r="C971" s="8">
        <f>CHOOSE( CONTROL!$C$32, 35.0514, 35.051) * CHOOSE(CONTROL!$C$15, $D$11, 100%, $F$11)</f>
        <v>35.051400000000001</v>
      </c>
      <c r="D971" s="8">
        <f>CHOOSE( CONTROL!$C$32, 35.0506, 35.0502) * CHOOSE( CONTROL!$C$15, $D$11, 100%, $F$11)</f>
        <v>35.050600000000003</v>
      </c>
      <c r="E971" s="12">
        <f>CHOOSE( CONTROL!$C$32, 35.0497, 35.0493) * CHOOSE( CONTROL!$C$15, $D$11, 100%, $F$11)</f>
        <v>35.049700000000001</v>
      </c>
      <c r="F971" s="4">
        <f>CHOOSE( CONTROL!$C$32, 35.7463, 35.7458) * CHOOSE(CONTROL!$C$15, $D$11, 100%, $F$11)</f>
        <v>35.746299999999998</v>
      </c>
      <c r="G971" s="8">
        <f>CHOOSE( CONTROL!$C$32, 34.6433, 34.6428) * CHOOSE( CONTROL!$C$15, $D$11, 100%, $F$11)</f>
        <v>34.643300000000004</v>
      </c>
      <c r="H971" s="4">
        <f>CHOOSE( CONTROL!$C$32, 35.5743, 35.5738) * CHOOSE(CONTROL!$C$15, $D$11, 100%, $F$11)</f>
        <v>35.574300000000001</v>
      </c>
      <c r="I971" s="8">
        <f>CHOOSE( CONTROL!$C$32, 34.1211, 34.1207) * CHOOSE(CONTROL!$C$15, $D$11, 100%, $F$11)</f>
        <v>34.121099999999998</v>
      </c>
      <c r="J971" s="4">
        <f>CHOOSE( CONTROL!$C$32, 33.9988, 33.9984) * CHOOSE(CONTROL!$C$15, $D$11, 100%, $F$11)</f>
        <v>33.998800000000003</v>
      </c>
      <c r="K971" s="4"/>
      <c r="L971" s="9">
        <v>30.7165</v>
      </c>
      <c r="M971" s="9">
        <v>12.063700000000001</v>
      </c>
      <c r="N971" s="9">
        <v>4.9444999999999997</v>
      </c>
      <c r="O971" s="9">
        <v>0.37409999999999999</v>
      </c>
      <c r="P971" s="9">
        <v>1.2927</v>
      </c>
      <c r="Q971" s="9">
        <v>19.688099999999999</v>
      </c>
      <c r="R971" s="9"/>
      <c r="S971" s="11"/>
    </row>
    <row r="972" spans="1:19" ht="15.75">
      <c r="A972" s="13">
        <v>70737</v>
      </c>
      <c r="B972" s="8">
        <f>CHOOSE( CONTROL!$C$32, 32.3392, 32.3388) * CHOOSE(CONTROL!$C$15, $D$11, 100%, $F$11)</f>
        <v>32.339199999999998</v>
      </c>
      <c r="C972" s="8">
        <f>CHOOSE( CONTROL!$C$32, 32.3472, 32.3468) * CHOOSE(CONTROL!$C$15, $D$11, 100%, $F$11)</f>
        <v>32.347200000000001</v>
      </c>
      <c r="D972" s="8">
        <f>CHOOSE( CONTROL!$C$32, 32.3465, 32.346) * CHOOSE( CONTROL!$C$15, $D$11, 100%, $F$11)</f>
        <v>32.346499999999999</v>
      </c>
      <c r="E972" s="12">
        <f>CHOOSE( CONTROL!$C$32, 32.3455, 32.3451) * CHOOSE( CONTROL!$C$15, $D$11, 100%, $F$11)</f>
        <v>32.345500000000001</v>
      </c>
      <c r="F972" s="4">
        <f>CHOOSE( CONTROL!$C$32, 33.0421, 33.0416) * CHOOSE(CONTROL!$C$15, $D$11, 100%, $F$11)</f>
        <v>33.042099999999998</v>
      </c>
      <c r="G972" s="8">
        <f>CHOOSE( CONTROL!$C$32, 31.9708, 31.9704) * CHOOSE( CONTROL!$C$15, $D$11, 100%, $F$11)</f>
        <v>31.970800000000001</v>
      </c>
      <c r="H972" s="4">
        <f>CHOOSE( CONTROL!$C$32, 32.9017, 32.9013) * CHOOSE(CONTROL!$C$15, $D$11, 100%, $F$11)</f>
        <v>32.901699999999998</v>
      </c>
      <c r="I972" s="8">
        <f>CHOOSE( CONTROL!$C$32, 31.4956, 31.4952) * CHOOSE(CONTROL!$C$15, $D$11, 100%, $F$11)</f>
        <v>31.4956</v>
      </c>
      <c r="J972" s="4">
        <f>CHOOSE( CONTROL!$C$32, 31.3744, 31.374) * CHOOSE(CONTROL!$C$15, $D$11, 100%, $F$11)</f>
        <v>31.374400000000001</v>
      </c>
      <c r="K972" s="4"/>
      <c r="L972" s="9">
        <v>30.7165</v>
      </c>
      <c r="M972" s="9">
        <v>12.063700000000001</v>
      </c>
      <c r="N972" s="9">
        <v>4.9444999999999997</v>
      </c>
      <c r="O972" s="9">
        <v>0.37409999999999999</v>
      </c>
      <c r="P972" s="9">
        <v>1.2927</v>
      </c>
      <c r="Q972" s="9">
        <v>19.688099999999999</v>
      </c>
      <c r="R972" s="9"/>
      <c r="S972" s="11"/>
    </row>
    <row r="973" spans="1:19" ht="15.75">
      <c r="A973" s="13">
        <v>70767</v>
      </c>
      <c r="B973" s="8">
        <f>CHOOSE( CONTROL!$C$32, 31.6621, 31.6616) * CHOOSE(CONTROL!$C$15, $D$11, 100%, $F$11)</f>
        <v>31.662099999999999</v>
      </c>
      <c r="C973" s="8">
        <f>CHOOSE( CONTROL!$C$32, 31.67, 31.6696) * CHOOSE(CONTROL!$C$15, $D$11, 100%, $F$11)</f>
        <v>31.67</v>
      </c>
      <c r="D973" s="8">
        <f>CHOOSE( CONTROL!$C$32, 31.6692, 31.6687) * CHOOSE( CONTROL!$C$15, $D$11, 100%, $F$11)</f>
        <v>31.6692</v>
      </c>
      <c r="E973" s="12">
        <f>CHOOSE( CONTROL!$C$32, 31.6683, 31.6678) * CHOOSE( CONTROL!$C$15, $D$11, 100%, $F$11)</f>
        <v>31.668299999999999</v>
      </c>
      <c r="F973" s="4">
        <f>CHOOSE( CONTROL!$C$32, 32.3649, 32.3644) * CHOOSE(CONTROL!$C$15, $D$11, 100%, $F$11)</f>
        <v>32.364899999999999</v>
      </c>
      <c r="G973" s="8">
        <f>CHOOSE( CONTROL!$C$32, 31.3015, 31.301) * CHOOSE( CONTROL!$C$15, $D$11, 100%, $F$11)</f>
        <v>31.301500000000001</v>
      </c>
      <c r="H973" s="4">
        <f>CHOOSE( CONTROL!$C$32, 32.2325, 32.2321) * CHOOSE(CONTROL!$C$15, $D$11, 100%, $F$11)</f>
        <v>32.232500000000002</v>
      </c>
      <c r="I973" s="8">
        <f>CHOOSE( CONTROL!$C$32, 30.8376, 30.8371) * CHOOSE(CONTROL!$C$15, $D$11, 100%, $F$11)</f>
        <v>30.837599999999998</v>
      </c>
      <c r="J973" s="4">
        <f>CHOOSE( CONTROL!$C$32, 30.7172, 30.7168) * CHOOSE(CONTROL!$C$15, $D$11, 100%, $F$11)</f>
        <v>30.717199999999998</v>
      </c>
      <c r="K973" s="4"/>
      <c r="L973" s="9">
        <v>29.7257</v>
      </c>
      <c r="M973" s="9">
        <v>11.6745</v>
      </c>
      <c r="N973" s="9">
        <v>4.7850000000000001</v>
      </c>
      <c r="O973" s="9">
        <v>0.36199999999999999</v>
      </c>
      <c r="P973" s="9">
        <v>1.2509999999999999</v>
      </c>
      <c r="Q973" s="9">
        <v>19.053000000000001</v>
      </c>
      <c r="R973" s="9"/>
      <c r="S973" s="11"/>
    </row>
    <row r="974" spans="1:19" ht="15.75">
      <c r="A974" s="13">
        <v>70798</v>
      </c>
      <c r="B974" s="8">
        <f>CHOOSE( CONTROL!$C$32, 33.0662, 33.0659) * CHOOSE(CONTROL!$C$15, $D$11, 100%, $F$11)</f>
        <v>33.066200000000002</v>
      </c>
      <c r="C974" s="8">
        <f>CHOOSE( CONTROL!$C$32, 33.0715, 33.0712) * CHOOSE(CONTROL!$C$15, $D$11, 100%, $F$11)</f>
        <v>33.0715</v>
      </c>
      <c r="D974" s="8">
        <f>CHOOSE( CONTROL!$C$32, 33.0762, 33.0759) * CHOOSE( CONTROL!$C$15, $D$11, 100%, $F$11)</f>
        <v>33.0762</v>
      </c>
      <c r="E974" s="12">
        <f>CHOOSE( CONTROL!$C$32, 33.0741, 33.0738) * CHOOSE( CONTROL!$C$15, $D$11, 100%, $F$11)</f>
        <v>33.074100000000001</v>
      </c>
      <c r="F974" s="4">
        <f>CHOOSE( CONTROL!$C$32, 33.7707, 33.7705) * CHOOSE(CONTROL!$C$15, $D$11, 100%, $F$11)</f>
        <v>33.770699999999998</v>
      </c>
      <c r="G974" s="8">
        <f>CHOOSE( CONTROL!$C$32, 32.691, 32.6907) * CHOOSE( CONTROL!$C$15, $D$11, 100%, $F$11)</f>
        <v>32.691000000000003</v>
      </c>
      <c r="H974" s="4">
        <f>CHOOSE( CONTROL!$C$32, 33.6219, 33.6216) * CHOOSE(CONTROL!$C$15, $D$11, 100%, $F$11)</f>
        <v>33.621899999999997</v>
      </c>
      <c r="I974" s="8">
        <f>CHOOSE( CONTROL!$C$32, 32.2034, 32.2032) * CHOOSE(CONTROL!$C$15, $D$11, 100%, $F$11)</f>
        <v>32.203400000000002</v>
      </c>
      <c r="J974" s="4">
        <f>CHOOSE( CONTROL!$C$32, 32.0816, 32.0813) * CHOOSE(CONTROL!$C$15, $D$11, 100%, $F$11)</f>
        <v>32.081600000000002</v>
      </c>
      <c r="K974" s="4"/>
      <c r="L974" s="9">
        <v>31.095300000000002</v>
      </c>
      <c r="M974" s="9">
        <v>12.063700000000001</v>
      </c>
      <c r="N974" s="9">
        <v>4.9444999999999997</v>
      </c>
      <c r="O974" s="9">
        <v>0.37409999999999999</v>
      </c>
      <c r="P974" s="9">
        <v>1.2927</v>
      </c>
      <c r="Q974" s="9">
        <v>19.688099999999999</v>
      </c>
      <c r="R974" s="9"/>
      <c r="S974" s="11"/>
    </row>
    <row r="975" spans="1:19" ht="15.75">
      <c r="A975" s="13">
        <v>70828</v>
      </c>
      <c r="B975" s="8">
        <f>CHOOSE( CONTROL!$C$32, 35.661, 35.6607) * CHOOSE(CONTROL!$C$15, $D$11, 100%, $F$11)</f>
        <v>35.661000000000001</v>
      </c>
      <c r="C975" s="8">
        <f>CHOOSE( CONTROL!$C$32, 35.6661, 35.6658) * CHOOSE(CONTROL!$C$15, $D$11, 100%, $F$11)</f>
        <v>35.6661</v>
      </c>
      <c r="D975" s="8">
        <f>CHOOSE( CONTROL!$C$32, 35.6488, 35.6485) * CHOOSE( CONTROL!$C$15, $D$11, 100%, $F$11)</f>
        <v>35.648800000000001</v>
      </c>
      <c r="E975" s="12">
        <f>CHOOSE( CONTROL!$C$32, 35.6546, 35.6543) * CHOOSE( CONTROL!$C$15, $D$11, 100%, $F$11)</f>
        <v>35.654600000000002</v>
      </c>
      <c r="F975" s="4">
        <f>CHOOSE( CONTROL!$C$32, 36.3263, 36.326) * CHOOSE(CONTROL!$C$15, $D$11, 100%, $F$11)</f>
        <v>36.326300000000003</v>
      </c>
      <c r="G975" s="8">
        <f>CHOOSE( CONTROL!$C$32, 35.2528, 35.2525) * CHOOSE( CONTROL!$C$15, $D$11, 100%, $F$11)</f>
        <v>35.252800000000001</v>
      </c>
      <c r="H975" s="4">
        <f>CHOOSE( CONTROL!$C$32, 36.1475, 36.1473) * CHOOSE(CONTROL!$C$15, $D$11, 100%, $F$11)</f>
        <v>36.147500000000001</v>
      </c>
      <c r="I975" s="8">
        <f>CHOOSE( CONTROL!$C$32, 34.779, 34.7787) * CHOOSE(CONTROL!$C$15, $D$11, 100%, $F$11)</f>
        <v>34.779000000000003</v>
      </c>
      <c r="J975" s="4">
        <f>CHOOSE( CONTROL!$C$32, 34.6003, 34.6) * CHOOSE(CONTROL!$C$15, $D$11, 100%, $F$11)</f>
        <v>34.600299999999997</v>
      </c>
      <c r="K975" s="4"/>
      <c r="L975" s="9">
        <v>28.360600000000002</v>
      </c>
      <c r="M975" s="9">
        <v>11.6745</v>
      </c>
      <c r="N975" s="9">
        <v>4.7850000000000001</v>
      </c>
      <c r="O975" s="9">
        <v>0.36199999999999999</v>
      </c>
      <c r="P975" s="9">
        <v>1.2509999999999999</v>
      </c>
      <c r="Q975" s="9">
        <v>19.053000000000001</v>
      </c>
      <c r="R975" s="9"/>
      <c r="S975" s="11"/>
    </row>
    <row r="976" spans="1:19" ht="15.75">
      <c r="A976" s="13">
        <v>70859</v>
      </c>
      <c r="B976" s="8">
        <f>CHOOSE( CONTROL!$C$32, 35.5962, 35.5959) * CHOOSE(CONTROL!$C$15, $D$11, 100%, $F$11)</f>
        <v>35.596200000000003</v>
      </c>
      <c r="C976" s="8">
        <f>CHOOSE( CONTROL!$C$32, 35.6013, 35.601) * CHOOSE(CONTROL!$C$15, $D$11, 100%, $F$11)</f>
        <v>35.601300000000002</v>
      </c>
      <c r="D976" s="8">
        <f>CHOOSE( CONTROL!$C$32, 35.5858, 35.5855) * CHOOSE( CONTROL!$C$15, $D$11, 100%, $F$11)</f>
        <v>35.585799999999999</v>
      </c>
      <c r="E976" s="12">
        <f>CHOOSE( CONTROL!$C$32, 35.5909, 35.5906) * CHOOSE( CONTROL!$C$15, $D$11, 100%, $F$11)</f>
        <v>35.590899999999998</v>
      </c>
      <c r="F976" s="4">
        <f>CHOOSE( CONTROL!$C$32, 36.2615, 36.2612) * CHOOSE(CONTROL!$C$15, $D$11, 100%, $F$11)</f>
        <v>36.261499999999998</v>
      </c>
      <c r="G976" s="8">
        <f>CHOOSE( CONTROL!$C$32, 35.19, 35.1897) * CHOOSE( CONTROL!$C$15, $D$11, 100%, $F$11)</f>
        <v>35.19</v>
      </c>
      <c r="H976" s="4">
        <f>CHOOSE( CONTROL!$C$32, 36.0834, 36.0832) * CHOOSE(CONTROL!$C$15, $D$11, 100%, $F$11)</f>
        <v>36.083399999999997</v>
      </c>
      <c r="I976" s="8">
        <f>CHOOSE( CONTROL!$C$32, 34.7216, 34.7214) * CHOOSE(CONTROL!$C$15, $D$11, 100%, $F$11)</f>
        <v>34.721600000000002</v>
      </c>
      <c r="J976" s="4">
        <f>CHOOSE( CONTROL!$C$32, 34.5373, 34.5371) * CHOOSE(CONTROL!$C$15, $D$11, 100%, $F$11)</f>
        <v>34.537300000000002</v>
      </c>
      <c r="K976" s="4"/>
      <c r="L976" s="9">
        <v>29.306000000000001</v>
      </c>
      <c r="M976" s="9">
        <v>12.063700000000001</v>
      </c>
      <c r="N976" s="9">
        <v>4.9444999999999997</v>
      </c>
      <c r="O976" s="9">
        <v>0.37409999999999999</v>
      </c>
      <c r="P976" s="9">
        <v>1.2927</v>
      </c>
      <c r="Q976" s="9">
        <v>19.688099999999999</v>
      </c>
      <c r="R976" s="9"/>
      <c r="S976" s="11"/>
    </row>
    <row r="977" spans="1:19" ht="15.75">
      <c r="A977" s="13">
        <v>70890</v>
      </c>
      <c r="B977" s="8">
        <f>CHOOSE( CONTROL!$C$32, 36.6459, 36.6456) * CHOOSE(CONTROL!$C$15, $D$11, 100%, $F$11)</f>
        <v>36.645899999999997</v>
      </c>
      <c r="C977" s="8">
        <f>CHOOSE( CONTROL!$C$32, 36.651, 36.6507) * CHOOSE(CONTROL!$C$15, $D$11, 100%, $F$11)</f>
        <v>36.651000000000003</v>
      </c>
      <c r="D977" s="8">
        <f>CHOOSE( CONTROL!$C$32, 36.6414, 36.6411) * CHOOSE( CONTROL!$C$15, $D$11, 100%, $F$11)</f>
        <v>36.641399999999997</v>
      </c>
      <c r="E977" s="12">
        <f>CHOOSE( CONTROL!$C$32, 36.6444, 36.6441) * CHOOSE( CONTROL!$C$15, $D$11, 100%, $F$11)</f>
        <v>36.644399999999997</v>
      </c>
      <c r="F977" s="4">
        <f>CHOOSE( CONTROL!$C$32, 37.3112, 37.3109) * CHOOSE(CONTROL!$C$15, $D$11, 100%, $F$11)</f>
        <v>37.311199999999999</v>
      </c>
      <c r="G977" s="8">
        <f>CHOOSE( CONTROL!$C$32, 36.2281, 36.2278) * CHOOSE( CONTROL!$C$15, $D$11, 100%, $F$11)</f>
        <v>36.228099999999998</v>
      </c>
      <c r="H977" s="4">
        <f>CHOOSE( CONTROL!$C$32, 37.1209, 37.1206) * CHOOSE(CONTROL!$C$15, $D$11, 100%, $F$11)</f>
        <v>37.120899999999999</v>
      </c>
      <c r="I977" s="8">
        <f>CHOOSE( CONTROL!$C$32, 35.7213, 35.7211) * CHOOSE(CONTROL!$C$15, $D$11, 100%, $F$11)</f>
        <v>35.721299999999999</v>
      </c>
      <c r="J977" s="4">
        <f>CHOOSE( CONTROL!$C$32, 35.5561, 35.5558) * CHOOSE(CONTROL!$C$15, $D$11, 100%, $F$11)</f>
        <v>35.556100000000001</v>
      </c>
      <c r="K977" s="4"/>
      <c r="L977" s="9">
        <v>29.306000000000001</v>
      </c>
      <c r="M977" s="9">
        <v>12.063700000000001</v>
      </c>
      <c r="N977" s="9">
        <v>4.9444999999999997</v>
      </c>
      <c r="O977" s="9">
        <v>0.37409999999999999</v>
      </c>
      <c r="P977" s="9">
        <v>1.2927</v>
      </c>
      <c r="Q977" s="9">
        <v>19.688099999999999</v>
      </c>
      <c r="R977" s="9"/>
      <c r="S977" s="11"/>
    </row>
    <row r="978" spans="1:19" ht="15.75">
      <c r="A978" s="13">
        <v>70918</v>
      </c>
      <c r="B978" s="8">
        <f>CHOOSE( CONTROL!$C$32, 34.2774, 34.2771) * CHOOSE(CONTROL!$C$15, $D$11, 100%, $F$11)</f>
        <v>34.2774</v>
      </c>
      <c r="C978" s="8">
        <f>CHOOSE( CONTROL!$C$32, 34.2825, 34.2822) * CHOOSE(CONTROL!$C$15, $D$11, 100%, $F$11)</f>
        <v>34.282499999999999</v>
      </c>
      <c r="D978" s="8">
        <f>CHOOSE( CONTROL!$C$32, 34.2746, 34.2743) * CHOOSE( CONTROL!$C$15, $D$11, 100%, $F$11)</f>
        <v>34.2746</v>
      </c>
      <c r="E978" s="12">
        <f>CHOOSE( CONTROL!$C$32, 34.2769, 34.2766) * CHOOSE( CONTROL!$C$15, $D$11, 100%, $F$11)</f>
        <v>34.276899999999998</v>
      </c>
      <c r="F978" s="4">
        <f>CHOOSE( CONTROL!$C$32, 34.9427, 34.9424) * CHOOSE(CONTROL!$C$15, $D$11, 100%, $F$11)</f>
        <v>34.942700000000002</v>
      </c>
      <c r="G978" s="8">
        <f>CHOOSE( CONTROL!$C$32, 33.8859, 33.8856) * CHOOSE( CONTROL!$C$15, $D$11, 100%, $F$11)</f>
        <v>33.885899999999999</v>
      </c>
      <c r="H978" s="4">
        <f>CHOOSE( CONTROL!$C$32, 34.7801, 34.7798) * CHOOSE(CONTROL!$C$15, $D$11, 100%, $F$11)</f>
        <v>34.780099999999997</v>
      </c>
      <c r="I978" s="8">
        <f>CHOOSE( CONTROL!$C$32, 33.4062, 33.4059) * CHOOSE(CONTROL!$C$15, $D$11, 100%, $F$11)</f>
        <v>33.406199999999998</v>
      </c>
      <c r="J978" s="4">
        <f>CHOOSE( CONTROL!$C$32, 33.2574, 33.2572) * CHOOSE(CONTROL!$C$15, $D$11, 100%, $F$11)</f>
        <v>33.257399999999997</v>
      </c>
      <c r="K978" s="4"/>
      <c r="L978" s="9">
        <v>26.469899999999999</v>
      </c>
      <c r="M978" s="9">
        <v>10.8962</v>
      </c>
      <c r="N978" s="9">
        <v>4.4660000000000002</v>
      </c>
      <c r="O978" s="9">
        <v>0.33789999999999998</v>
      </c>
      <c r="P978" s="9">
        <v>1.1676</v>
      </c>
      <c r="Q978" s="9">
        <v>17.782800000000002</v>
      </c>
      <c r="R978" s="9"/>
      <c r="S978" s="11"/>
    </row>
    <row r="979" spans="1:19" ht="15.75">
      <c r="A979" s="13">
        <v>70949</v>
      </c>
      <c r="B979" s="8">
        <f>CHOOSE( CONTROL!$C$32, 33.5479, 33.5476) * CHOOSE(CONTROL!$C$15, $D$11, 100%, $F$11)</f>
        <v>33.547899999999998</v>
      </c>
      <c r="C979" s="8">
        <f>CHOOSE( CONTROL!$C$32, 33.553, 33.5527) * CHOOSE(CONTROL!$C$15, $D$11, 100%, $F$11)</f>
        <v>33.552999999999997</v>
      </c>
      <c r="D979" s="8">
        <f>CHOOSE( CONTROL!$C$32, 33.5403, 33.54) * CHOOSE( CONTROL!$C$15, $D$11, 100%, $F$11)</f>
        <v>33.540300000000002</v>
      </c>
      <c r="E979" s="12">
        <f>CHOOSE( CONTROL!$C$32, 33.5444, 33.5441) * CHOOSE( CONTROL!$C$15, $D$11, 100%, $F$11)</f>
        <v>33.544400000000003</v>
      </c>
      <c r="F979" s="4">
        <f>CHOOSE( CONTROL!$C$32, 34.2132, 34.2129) * CHOOSE(CONTROL!$C$15, $D$11, 100%, $F$11)</f>
        <v>34.213200000000001</v>
      </c>
      <c r="G979" s="8">
        <f>CHOOSE( CONTROL!$C$32, 33.1615, 33.1612) * CHOOSE( CONTROL!$C$15, $D$11, 100%, $F$11)</f>
        <v>33.161499999999997</v>
      </c>
      <c r="H979" s="4">
        <f>CHOOSE( CONTROL!$C$32, 34.0592, 34.0589) * CHOOSE(CONTROL!$C$15, $D$11, 100%, $F$11)</f>
        <v>34.059199999999997</v>
      </c>
      <c r="I979" s="8">
        <f>CHOOSE( CONTROL!$C$32, 32.6962, 32.696) * CHOOSE(CONTROL!$C$15, $D$11, 100%, $F$11)</f>
        <v>32.696199999999997</v>
      </c>
      <c r="J979" s="4">
        <f>CHOOSE( CONTROL!$C$32, 32.5495, 32.5492) * CHOOSE(CONTROL!$C$15, $D$11, 100%, $F$11)</f>
        <v>32.549500000000002</v>
      </c>
      <c r="K979" s="4"/>
      <c r="L979" s="9">
        <v>29.306000000000001</v>
      </c>
      <c r="M979" s="9">
        <v>12.063700000000001</v>
      </c>
      <c r="N979" s="9">
        <v>4.9444999999999997</v>
      </c>
      <c r="O979" s="9">
        <v>0.37409999999999999</v>
      </c>
      <c r="P979" s="9">
        <v>1.2927</v>
      </c>
      <c r="Q979" s="9">
        <v>19.688099999999999</v>
      </c>
      <c r="R979" s="9"/>
      <c r="S979" s="11"/>
    </row>
    <row r="980" spans="1:19" ht="15.75">
      <c r="A980" s="13">
        <v>70979</v>
      </c>
      <c r="B980" s="8">
        <f>CHOOSE( CONTROL!$C$32, 34.0584, 34.0581) * CHOOSE(CONTROL!$C$15, $D$11, 100%, $F$11)</f>
        <v>34.058399999999999</v>
      </c>
      <c r="C980" s="8">
        <f>CHOOSE( CONTROL!$C$32, 34.0629, 34.0626) * CHOOSE(CONTROL!$C$15, $D$11, 100%, $F$11)</f>
        <v>34.062899999999999</v>
      </c>
      <c r="D980" s="8">
        <f>CHOOSE( CONTROL!$C$32, 34.0678, 34.0675) * CHOOSE( CONTROL!$C$15, $D$11, 100%, $F$11)</f>
        <v>34.067799999999998</v>
      </c>
      <c r="E980" s="12">
        <f>CHOOSE( CONTROL!$C$32, 34.0657, 34.0654) * CHOOSE( CONTROL!$C$15, $D$11, 100%, $F$11)</f>
        <v>34.0657</v>
      </c>
      <c r="F980" s="4">
        <f>CHOOSE( CONTROL!$C$32, 34.7626, 34.7623) * CHOOSE(CONTROL!$C$15, $D$11, 100%, $F$11)</f>
        <v>34.762599999999999</v>
      </c>
      <c r="G980" s="8">
        <f>CHOOSE( CONTROL!$C$32, 33.671, 33.6707) * CHOOSE( CONTROL!$C$15, $D$11, 100%, $F$11)</f>
        <v>33.670999999999999</v>
      </c>
      <c r="H980" s="4">
        <f>CHOOSE( CONTROL!$C$32, 34.6021, 34.6019) * CHOOSE(CONTROL!$C$15, $D$11, 100%, $F$11)</f>
        <v>34.6021</v>
      </c>
      <c r="I980" s="8">
        <f>CHOOSE( CONTROL!$C$32, 33.1654, 33.1652) * CHOOSE(CONTROL!$C$15, $D$11, 100%, $F$11)</f>
        <v>33.165399999999998</v>
      </c>
      <c r="J980" s="4">
        <f>CHOOSE( CONTROL!$C$32, 33.0442, 33.0439) * CHOOSE(CONTROL!$C$15, $D$11, 100%, $F$11)</f>
        <v>33.044199999999996</v>
      </c>
      <c r="K980" s="4"/>
      <c r="L980" s="9">
        <v>30.092199999999998</v>
      </c>
      <c r="M980" s="9">
        <v>11.6745</v>
      </c>
      <c r="N980" s="9">
        <v>4.7850000000000001</v>
      </c>
      <c r="O980" s="9">
        <v>0.36199999999999999</v>
      </c>
      <c r="P980" s="9">
        <v>1.2509999999999999</v>
      </c>
      <c r="Q980" s="9">
        <v>19.053000000000001</v>
      </c>
      <c r="R980" s="9"/>
      <c r="S980" s="11"/>
    </row>
    <row r="981" spans="1:19" ht="15.75">
      <c r="A981" s="13">
        <v>71010</v>
      </c>
      <c r="B981" s="8">
        <f>CHOOSE( CONTROL!$C$32, 34.9672, 34.9667) * CHOOSE(CONTROL!$C$15, $D$11, 100%, $F$11)</f>
        <v>34.967199999999998</v>
      </c>
      <c r="C981" s="8">
        <f>CHOOSE( CONTROL!$C$32, 34.9752, 34.9747) * CHOOSE(CONTROL!$C$15, $D$11, 100%, $F$11)</f>
        <v>34.975200000000001</v>
      </c>
      <c r="D981" s="8">
        <f>CHOOSE( CONTROL!$C$32, 34.974, 34.9735) * CHOOSE( CONTROL!$C$15, $D$11, 100%, $F$11)</f>
        <v>34.973999999999997</v>
      </c>
      <c r="E981" s="12">
        <f>CHOOSE( CONTROL!$C$32, 34.9732, 34.9727) * CHOOSE( CONTROL!$C$15, $D$11, 100%, $F$11)</f>
        <v>34.973199999999999</v>
      </c>
      <c r="F981" s="4">
        <f>CHOOSE( CONTROL!$C$32, 35.67, 35.6696) * CHOOSE(CONTROL!$C$15, $D$11, 100%, $F$11)</f>
        <v>35.67</v>
      </c>
      <c r="G981" s="8">
        <f>CHOOSE( CONTROL!$C$32, 34.5676, 34.5672) * CHOOSE( CONTROL!$C$15, $D$11, 100%, $F$11)</f>
        <v>34.567599999999999</v>
      </c>
      <c r="H981" s="4">
        <f>CHOOSE( CONTROL!$C$32, 35.4989, 35.4985) * CHOOSE(CONTROL!$C$15, $D$11, 100%, $F$11)</f>
        <v>35.498899999999999</v>
      </c>
      <c r="I981" s="8">
        <f>CHOOSE( CONTROL!$C$32, 34.0457, 34.0452) * CHOOSE(CONTROL!$C$15, $D$11, 100%, $F$11)</f>
        <v>34.045699999999997</v>
      </c>
      <c r="J981" s="4">
        <f>CHOOSE( CONTROL!$C$32, 33.9248, 33.9244) * CHOOSE(CONTROL!$C$15, $D$11, 100%, $F$11)</f>
        <v>33.924799999999998</v>
      </c>
      <c r="K981" s="4"/>
      <c r="L981" s="9">
        <v>30.7165</v>
      </c>
      <c r="M981" s="9">
        <v>12.063700000000001</v>
      </c>
      <c r="N981" s="9">
        <v>4.9444999999999997</v>
      </c>
      <c r="O981" s="9">
        <v>0.37409999999999999</v>
      </c>
      <c r="P981" s="9">
        <v>1.2927</v>
      </c>
      <c r="Q981" s="9">
        <v>19.688099999999999</v>
      </c>
      <c r="R981" s="9"/>
      <c r="S981" s="11"/>
    </row>
    <row r="982" spans="1:19" ht="15.75">
      <c r="A982" s="13">
        <v>71040</v>
      </c>
      <c r="B982" s="8">
        <f>CHOOSE( CONTROL!$C$32, 34.4052, 34.4047) * CHOOSE(CONTROL!$C$15, $D$11, 100%, $F$11)</f>
        <v>34.405200000000001</v>
      </c>
      <c r="C982" s="8">
        <f>CHOOSE( CONTROL!$C$32, 34.4132, 34.4127) * CHOOSE(CONTROL!$C$15, $D$11, 100%, $F$11)</f>
        <v>34.413200000000003</v>
      </c>
      <c r="D982" s="8">
        <f>CHOOSE( CONTROL!$C$32, 34.4121, 34.4117) * CHOOSE( CONTROL!$C$15, $D$11, 100%, $F$11)</f>
        <v>34.412100000000002</v>
      </c>
      <c r="E982" s="12">
        <f>CHOOSE( CONTROL!$C$32, 34.4113, 34.4108) * CHOOSE( CONTROL!$C$15, $D$11, 100%, $F$11)</f>
        <v>34.411299999999997</v>
      </c>
      <c r="F982" s="4">
        <f>CHOOSE( CONTROL!$C$32, 35.108, 35.1076) * CHOOSE(CONTROL!$C$15, $D$11, 100%, $F$11)</f>
        <v>35.107999999999997</v>
      </c>
      <c r="G982" s="8">
        <f>CHOOSE( CONTROL!$C$32, 34.0123, 34.0119) * CHOOSE( CONTROL!$C$15, $D$11, 100%, $F$11)</f>
        <v>34.012300000000003</v>
      </c>
      <c r="H982" s="4">
        <f>CHOOSE( CONTROL!$C$32, 34.9435, 34.9431) * CHOOSE(CONTROL!$C$15, $D$11, 100%, $F$11)</f>
        <v>34.9435</v>
      </c>
      <c r="I982" s="8">
        <f>CHOOSE( CONTROL!$C$32, 33.5006, 33.5002) * CHOOSE(CONTROL!$C$15, $D$11, 100%, $F$11)</f>
        <v>33.500599999999999</v>
      </c>
      <c r="J982" s="4">
        <f>CHOOSE( CONTROL!$C$32, 33.3794, 33.379) * CHOOSE(CONTROL!$C$15, $D$11, 100%, $F$11)</f>
        <v>33.379399999999997</v>
      </c>
      <c r="K982" s="4"/>
      <c r="L982" s="9">
        <v>29.7257</v>
      </c>
      <c r="M982" s="9">
        <v>11.6745</v>
      </c>
      <c r="N982" s="9">
        <v>4.7850000000000001</v>
      </c>
      <c r="O982" s="9">
        <v>0.36199999999999999</v>
      </c>
      <c r="P982" s="9">
        <v>1.2509999999999999</v>
      </c>
      <c r="Q982" s="9">
        <v>19.053000000000001</v>
      </c>
      <c r="R982" s="9"/>
      <c r="S982" s="11"/>
    </row>
    <row r="983" spans="1:19" ht="15.75">
      <c r="A983" s="13">
        <v>71071</v>
      </c>
      <c r="B983" s="8">
        <f>CHOOSE( CONTROL!$C$32, 35.8852, 35.8847) * CHOOSE(CONTROL!$C$15, $D$11, 100%, $F$11)</f>
        <v>35.885199999999998</v>
      </c>
      <c r="C983" s="8">
        <f>CHOOSE( CONTROL!$C$32, 35.8931, 35.8927) * CHOOSE(CONTROL!$C$15, $D$11, 100%, $F$11)</f>
        <v>35.893099999999997</v>
      </c>
      <c r="D983" s="8">
        <f>CHOOSE( CONTROL!$C$32, 35.8923, 35.8919) * CHOOSE( CONTROL!$C$15, $D$11, 100%, $F$11)</f>
        <v>35.892299999999999</v>
      </c>
      <c r="E983" s="12">
        <f>CHOOSE( CONTROL!$C$32, 35.8914, 35.891) * CHOOSE( CONTROL!$C$15, $D$11, 100%, $F$11)</f>
        <v>35.891399999999997</v>
      </c>
      <c r="F983" s="4">
        <f>CHOOSE( CONTROL!$C$32, 36.588, 36.5875) * CHOOSE(CONTROL!$C$15, $D$11, 100%, $F$11)</f>
        <v>36.588000000000001</v>
      </c>
      <c r="G983" s="8">
        <f>CHOOSE( CONTROL!$C$32, 35.4752, 35.4747) * CHOOSE( CONTROL!$C$15, $D$11, 100%, $F$11)</f>
        <v>35.475200000000001</v>
      </c>
      <c r="H983" s="4">
        <f>CHOOSE( CONTROL!$C$32, 36.4061, 36.4057) * CHOOSE(CONTROL!$C$15, $D$11, 100%, $F$11)</f>
        <v>36.406100000000002</v>
      </c>
      <c r="I983" s="8">
        <f>CHOOSE( CONTROL!$C$32, 34.9385, 34.938) * CHOOSE(CONTROL!$C$15, $D$11, 100%, $F$11)</f>
        <v>34.938499999999998</v>
      </c>
      <c r="J983" s="4">
        <f>CHOOSE( CONTROL!$C$32, 34.8157, 34.8153) * CHOOSE(CONTROL!$C$15, $D$11, 100%, $F$11)</f>
        <v>34.8157</v>
      </c>
      <c r="K983" s="4"/>
      <c r="L983" s="9">
        <v>30.7165</v>
      </c>
      <c r="M983" s="9">
        <v>12.063700000000001</v>
      </c>
      <c r="N983" s="9">
        <v>4.9444999999999997</v>
      </c>
      <c r="O983" s="9">
        <v>0.37409999999999999</v>
      </c>
      <c r="P983" s="9">
        <v>1.2927</v>
      </c>
      <c r="Q983" s="9">
        <v>19.688099999999999</v>
      </c>
      <c r="R983" s="9"/>
      <c r="S983" s="11"/>
    </row>
    <row r="984" spans="1:19" ht="15.75">
      <c r="A984" s="13">
        <v>71102</v>
      </c>
      <c r="B984" s="8">
        <f>CHOOSE( CONTROL!$C$32, 33.116, 33.1155) * CHOOSE(CONTROL!$C$15, $D$11, 100%, $F$11)</f>
        <v>33.116</v>
      </c>
      <c r="C984" s="8">
        <f>CHOOSE( CONTROL!$C$32, 33.124, 33.1235) * CHOOSE(CONTROL!$C$15, $D$11, 100%, $F$11)</f>
        <v>33.124000000000002</v>
      </c>
      <c r="D984" s="8">
        <f>CHOOSE( CONTROL!$C$32, 33.1232, 33.1228) * CHOOSE( CONTROL!$C$15, $D$11, 100%, $F$11)</f>
        <v>33.123199999999997</v>
      </c>
      <c r="E984" s="12">
        <f>CHOOSE( CONTROL!$C$32, 33.1223, 33.1218) * CHOOSE( CONTROL!$C$15, $D$11, 100%, $F$11)</f>
        <v>33.122300000000003</v>
      </c>
      <c r="F984" s="4">
        <f>CHOOSE( CONTROL!$C$32, 33.8188, 33.8183) * CHOOSE(CONTROL!$C$15, $D$11, 100%, $F$11)</f>
        <v>33.818800000000003</v>
      </c>
      <c r="G984" s="8">
        <f>CHOOSE( CONTROL!$C$32, 32.7385, 32.738) * CHOOSE( CONTROL!$C$15, $D$11, 100%, $F$11)</f>
        <v>32.738500000000002</v>
      </c>
      <c r="H984" s="4">
        <f>CHOOSE( CONTROL!$C$32, 33.6694, 33.669) * CHOOSE(CONTROL!$C$15, $D$11, 100%, $F$11)</f>
        <v>33.669400000000003</v>
      </c>
      <c r="I984" s="8">
        <f>CHOOSE( CONTROL!$C$32, 32.2498, 32.2494) * CHOOSE(CONTROL!$C$15, $D$11, 100%, $F$11)</f>
        <v>32.2498</v>
      </c>
      <c r="J984" s="4">
        <f>CHOOSE( CONTROL!$C$32, 32.1282, 32.1278) * CHOOSE(CONTROL!$C$15, $D$11, 100%, $F$11)</f>
        <v>32.1282</v>
      </c>
      <c r="K984" s="4"/>
      <c r="L984" s="9">
        <v>30.7165</v>
      </c>
      <c r="M984" s="9">
        <v>12.063700000000001</v>
      </c>
      <c r="N984" s="9">
        <v>4.9444999999999997</v>
      </c>
      <c r="O984" s="9">
        <v>0.37409999999999999</v>
      </c>
      <c r="P984" s="9">
        <v>1.2927</v>
      </c>
      <c r="Q984" s="9">
        <v>19.688099999999999</v>
      </c>
      <c r="R984" s="9"/>
      <c r="S984" s="11"/>
    </row>
    <row r="985" spans="1:19" ht="15.75">
      <c r="A985" s="13">
        <v>71132</v>
      </c>
      <c r="B985" s="8">
        <f>CHOOSE( CONTROL!$C$32, 32.4225, 32.4221) * CHOOSE(CONTROL!$C$15, $D$11, 100%, $F$11)</f>
        <v>32.422499999999999</v>
      </c>
      <c r="C985" s="8">
        <f>CHOOSE( CONTROL!$C$32, 32.4305, 32.4301) * CHOOSE(CONTROL!$C$15, $D$11, 100%, $F$11)</f>
        <v>32.430500000000002</v>
      </c>
      <c r="D985" s="8">
        <f>CHOOSE( CONTROL!$C$32, 32.4296, 32.4292) * CHOOSE( CONTROL!$C$15, $D$11, 100%, $F$11)</f>
        <v>32.429600000000001</v>
      </c>
      <c r="E985" s="12">
        <f>CHOOSE( CONTROL!$C$32, 32.4287, 32.4283) * CHOOSE( CONTROL!$C$15, $D$11, 100%, $F$11)</f>
        <v>32.428699999999999</v>
      </c>
      <c r="F985" s="4">
        <f>CHOOSE( CONTROL!$C$32, 33.1254, 33.1249) * CHOOSE(CONTROL!$C$15, $D$11, 100%, $F$11)</f>
        <v>33.125399999999999</v>
      </c>
      <c r="G985" s="8">
        <f>CHOOSE( CONTROL!$C$32, 32.053, 32.0526) * CHOOSE( CONTROL!$C$15, $D$11, 100%, $F$11)</f>
        <v>32.052999999999997</v>
      </c>
      <c r="H985" s="4">
        <f>CHOOSE( CONTROL!$C$32, 32.9841, 32.9836) * CHOOSE(CONTROL!$C$15, $D$11, 100%, $F$11)</f>
        <v>32.984099999999998</v>
      </c>
      <c r="I985" s="8">
        <f>CHOOSE( CONTROL!$C$32, 31.576, 31.5755) * CHOOSE(CONTROL!$C$15, $D$11, 100%, $F$11)</f>
        <v>31.576000000000001</v>
      </c>
      <c r="J985" s="4">
        <f>CHOOSE( CONTROL!$C$32, 31.4553, 31.4548) * CHOOSE(CONTROL!$C$15, $D$11, 100%, $F$11)</f>
        <v>31.455300000000001</v>
      </c>
      <c r="K985" s="4"/>
      <c r="L985" s="9">
        <v>29.7257</v>
      </c>
      <c r="M985" s="9">
        <v>11.6745</v>
      </c>
      <c r="N985" s="9">
        <v>4.7850000000000001</v>
      </c>
      <c r="O985" s="9">
        <v>0.36199999999999999</v>
      </c>
      <c r="P985" s="9">
        <v>1.2509999999999999</v>
      </c>
      <c r="Q985" s="9">
        <v>19.053000000000001</v>
      </c>
      <c r="R985" s="9"/>
      <c r="S985" s="11"/>
    </row>
    <row r="986" spans="1:19" ht="15.75">
      <c r="A986" s="13">
        <v>71163</v>
      </c>
      <c r="B986" s="8">
        <f>CHOOSE( CONTROL!$C$32, 33.8605, 33.8602) * CHOOSE(CONTROL!$C$15, $D$11, 100%, $F$11)</f>
        <v>33.860500000000002</v>
      </c>
      <c r="C986" s="8">
        <f>CHOOSE( CONTROL!$C$32, 33.8658, 33.8655) * CHOOSE(CONTROL!$C$15, $D$11, 100%, $F$11)</f>
        <v>33.8658</v>
      </c>
      <c r="D986" s="8">
        <f>CHOOSE( CONTROL!$C$32, 33.8705, 33.8702) * CHOOSE( CONTROL!$C$15, $D$11, 100%, $F$11)</f>
        <v>33.8705</v>
      </c>
      <c r="E986" s="12">
        <f>CHOOSE( CONTROL!$C$32, 33.8684, 33.8681) * CHOOSE( CONTROL!$C$15, $D$11, 100%, $F$11)</f>
        <v>33.868400000000001</v>
      </c>
      <c r="F986" s="4">
        <f>CHOOSE( CONTROL!$C$32, 34.565, 34.5647) * CHOOSE(CONTROL!$C$15, $D$11, 100%, $F$11)</f>
        <v>34.564999999999998</v>
      </c>
      <c r="G986" s="8">
        <f>CHOOSE( CONTROL!$C$32, 33.476, 33.4757) * CHOOSE( CONTROL!$C$15, $D$11, 100%, $F$11)</f>
        <v>33.475999999999999</v>
      </c>
      <c r="H986" s="4">
        <f>CHOOSE( CONTROL!$C$32, 34.4069, 34.4066) * CHOOSE(CONTROL!$C$15, $D$11, 100%, $F$11)</f>
        <v>34.4069</v>
      </c>
      <c r="I986" s="8">
        <f>CHOOSE( CONTROL!$C$32, 32.9747, 32.9744) * CHOOSE(CONTROL!$C$15, $D$11, 100%, $F$11)</f>
        <v>32.974699999999999</v>
      </c>
      <c r="J986" s="4">
        <f>CHOOSE( CONTROL!$C$32, 32.8524, 32.8522) * CHOOSE(CONTROL!$C$15, $D$11, 100%, $F$11)</f>
        <v>32.852400000000003</v>
      </c>
      <c r="K986" s="4"/>
      <c r="L986" s="9">
        <v>31.095300000000002</v>
      </c>
      <c r="M986" s="9">
        <v>12.063700000000001</v>
      </c>
      <c r="N986" s="9">
        <v>4.9444999999999997</v>
      </c>
      <c r="O986" s="9">
        <v>0.37409999999999999</v>
      </c>
      <c r="P986" s="9">
        <v>1.2927</v>
      </c>
      <c r="Q986" s="9">
        <v>19.688099999999999</v>
      </c>
      <c r="R986" s="9"/>
      <c r="S986" s="11"/>
    </row>
    <row r="987" spans="1:19" ht="15.75">
      <c r="A987" s="13">
        <v>71193</v>
      </c>
      <c r="B987" s="8">
        <f>CHOOSE( CONTROL!$C$32, 36.5176, 36.5174) * CHOOSE(CONTROL!$C$15, $D$11, 100%, $F$11)</f>
        <v>36.517600000000002</v>
      </c>
      <c r="C987" s="8">
        <f>CHOOSE( CONTROL!$C$32, 36.5227, 36.5224) * CHOOSE(CONTROL!$C$15, $D$11, 100%, $F$11)</f>
        <v>36.5227</v>
      </c>
      <c r="D987" s="8">
        <f>CHOOSE( CONTROL!$C$32, 36.5054, 36.5051) * CHOOSE( CONTROL!$C$15, $D$11, 100%, $F$11)</f>
        <v>36.505400000000002</v>
      </c>
      <c r="E987" s="12">
        <f>CHOOSE( CONTROL!$C$32, 36.5112, 36.5109) * CHOOSE( CONTROL!$C$15, $D$11, 100%, $F$11)</f>
        <v>36.511200000000002</v>
      </c>
      <c r="F987" s="4">
        <f>CHOOSE( CONTROL!$C$32, 37.1829, 37.1826) * CHOOSE(CONTROL!$C$15, $D$11, 100%, $F$11)</f>
        <v>37.182899999999997</v>
      </c>
      <c r="G987" s="8">
        <f>CHOOSE( CONTROL!$C$32, 36.0994, 36.0991) * CHOOSE( CONTROL!$C$15, $D$11, 100%, $F$11)</f>
        <v>36.099400000000003</v>
      </c>
      <c r="H987" s="4">
        <f>CHOOSE( CONTROL!$C$32, 36.9941, 36.9939) * CHOOSE(CONTROL!$C$15, $D$11, 100%, $F$11)</f>
        <v>36.994100000000003</v>
      </c>
      <c r="I987" s="8">
        <f>CHOOSE( CONTROL!$C$32, 35.6108, 35.6105) * CHOOSE(CONTROL!$C$15, $D$11, 100%, $F$11)</f>
        <v>35.610799999999998</v>
      </c>
      <c r="J987" s="4">
        <f>CHOOSE( CONTROL!$C$32, 35.4316, 35.4314) * CHOOSE(CONTROL!$C$15, $D$11, 100%, $F$11)</f>
        <v>35.431600000000003</v>
      </c>
      <c r="K987" s="4"/>
      <c r="L987" s="9">
        <v>28.360600000000002</v>
      </c>
      <c r="M987" s="9">
        <v>11.6745</v>
      </c>
      <c r="N987" s="9">
        <v>4.7850000000000001</v>
      </c>
      <c r="O987" s="9">
        <v>0.36199999999999999</v>
      </c>
      <c r="P987" s="9">
        <v>1.2509999999999999</v>
      </c>
      <c r="Q987" s="9">
        <v>19.053000000000001</v>
      </c>
      <c r="R987" s="9"/>
      <c r="S987" s="11"/>
    </row>
    <row r="988" spans="1:19" ht="15.75">
      <c r="A988" s="13">
        <v>71224</v>
      </c>
      <c r="B988" s="8">
        <f>CHOOSE( CONTROL!$C$32, 36.4512, 36.451) * CHOOSE(CONTROL!$C$15, $D$11, 100%, $F$11)</f>
        <v>36.4512</v>
      </c>
      <c r="C988" s="8">
        <f>CHOOSE( CONTROL!$C$32, 36.4563, 36.456) * CHOOSE(CONTROL!$C$15, $D$11, 100%, $F$11)</f>
        <v>36.456299999999999</v>
      </c>
      <c r="D988" s="8">
        <f>CHOOSE( CONTROL!$C$32, 36.4408, 36.4405) * CHOOSE( CONTROL!$C$15, $D$11, 100%, $F$11)</f>
        <v>36.440800000000003</v>
      </c>
      <c r="E988" s="12">
        <f>CHOOSE( CONTROL!$C$32, 36.4459, 36.4456) * CHOOSE( CONTROL!$C$15, $D$11, 100%, $F$11)</f>
        <v>36.445900000000002</v>
      </c>
      <c r="F988" s="4">
        <f>CHOOSE( CONTROL!$C$32, 37.1165, 37.1162) * CHOOSE(CONTROL!$C$15, $D$11, 100%, $F$11)</f>
        <v>37.116500000000002</v>
      </c>
      <c r="G988" s="8">
        <f>CHOOSE( CONTROL!$C$32, 36.035, 36.0348) * CHOOSE( CONTROL!$C$15, $D$11, 100%, $F$11)</f>
        <v>36.034999999999997</v>
      </c>
      <c r="H988" s="4">
        <f>CHOOSE( CONTROL!$C$32, 36.9285, 36.9282) * CHOOSE(CONTROL!$C$15, $D$11, 100%, $F$11)</f>
        <v>36.9285</v>
      </c>
      <c r="I988" s="8">
        <f>CHOOSE( CONTROL!$C$32, 35.5519, 35.5516) * CHOOSE(CONTROL!$C$15, $D$11, 100%, $F$11)</f>
        <v>35.551900000000003</v>
      </c>
      <c r="J988" s="4">
        <f>CHOOSE( CONTROL!$C$32, 35.3672, 35.3669) * CHOOSE(CONTROL!$C$15, $D$11, 100%, $F$11)</f>
        <v>35.367199999999997</v>
      </c>
      <c r="K988" s="4"/>
      <c r="L988" s="9">
        <v>29.306000000000001</v>
      </c>
      <c r="M988" s="9">
        <v>12.063700000000001</v>
      </c>
      <c r="N988" s="9">
        <v>4.9444999999999997</v>
      </c>
      <c r="O988" s="9">
        <v>0.37409999999999999</v>
      </c>
      <c r="P988" s="9">
        <v>1.2927</v>
      </c>
      <c r="Q988" s="9">
        <v>19.688099999999999</v>
      </c>
      <c r="R988" s="9"/>
      <c r="S988" s="11"/>
    </row>
    <row r="989" spans="1:19" ht="15.75">
      <c r="A989" s="13">
        <v>71255</v>
      </c>
      <c r="B989" s="8">
        <f>CHOOSE( CONTROL!$C$32, 37.5262, 37.5259) * CHOOSE(CONTROL!$C$15, $D$11, 100%, $F$11)</f>
        <v>37.526200000000003</v>
      </c>
      <c r="C989" s="8">
        <f>CHOOSE( CONTROL!$C$32, 37.5312, 37.531) * CHOOSE(CONTROL!$C$15, $D$11, 100%, $F$11)</f>
        <v>37.531199999999998</v>
      </c>
      <c r="D989" s="8">
        <f>CHOOSE( CONTROL!$C$32, 37.5217, 37.5214) * CHOOSE( CONTROL!$C$15, $D$11, 100%, $F$11)</f>
        <v>37.521700000000003</v>
      </c>
      <c r="E989" s="12">
        <f>CHOOSE( CONTROL!$C$32, 37.5246, 37.5244) * CHOOSE( CONTROL!$C$15, $D$11, 100%, $F$11)</f>
        <v>37.5246</v>
      </c>
      <c r="F989" s="4">
        <f>CHOOSE( CONTROL!$C$32, 38.1914, 38.1912) * CHOOSE(CONTROL!$C$15, $D$11, 100%, $F$11)</f>
        <v>38.191400000000002</v>
      </c>
      <c r="G989" s="8">
        <f>CHOOSE( CONTROL!$C$32, 37.0981, 37.0978) * CHOOSE( CONTROL!$C$15, $D$11, 100%, $F$11)</f>
        <v>37.098100000000002</v>
      </c>
      <c r="H989" s="4">
        <f>CHOOSE( CONTROL!$C$32, 37.9908, 37.9906) * CHOOSE(CONTROL!$C$15, $D$11, 100%, $F$11)</f>
        <v>37.9908</v>
      </c>
      <c r="I989" s="8">
        <f>CHOOSE( CONTROL!$C$32, 36.5761, 36.5758) * CHOOSE(CONTROL!$C$15, $D$11, 100%, $F$11)</f>
        <v>36.576099999999997</v>
      </c>
      <c r="J989" s="4">
        <f>CHOOSE( CONTROL!$C$32, 36.4104, 36.4101) * CHOOSE(CONTROL!$C$15, $D$11, 100%, $F$11)</f>
        <v>36.410400000000003</v>
      </c>
      <c r="K989" s="4"/>
      <c r="L989" s="9">
        <v>29.306000000000001</v>
      </c>
      <c r="M989" s="9">
        <v>12.063700000000001</v>
      </c>
      <c r="N989" s="9">
        <v>4.9444999999999997</v>
      </c>
      <c r="O989" s="9">
        <v>0.37409999999999999</v>
      </c>
      <c r="P989" s="9">
        <v>1.2927</v>
      </c>
      <c r="Q989" s="9">
        <v>19.688099999999999</v>
      </c>
      <c r="R989" s="9"/>
      <c r="S989" s="11"/>
    </row>
    <row r="990" spans="1:19" ht="15.75">
      <c r="A990" s="13">
        <v>71283</v>
      </c>
      <c r="B990" s="8">
        <f>CHOOSE( CONTROL!$C$32, 35.1008, 35.1005) * CHOOSE(CONTROL!$C$15, $D$11, 100%, $F$11)</f>
        <v>35.1008</v>
      </c>
      <c r="C990" s="8">
        <f>CHOOSE( CONTROL!$C$32, 35.1058, 35.1056) * CHOOSE(CONTROL!$C$15, $D$11, 100%, $F$11)</f>
        <v>35.105800000000002</v>
      </c>
      <c r="D990" s="8">
        <f>CHOOSE( CONTROL!$C$32, 35.0979, 35.0977) * CHOOSE( CONTROL!$C$15, $D$11, 100%, $F$11)</f>
        <v>35.097900000000003</v>
      </c>
      <c r="E990" s="12">
        <f>CHOOSE( CONTROL!$C$32, 35.1003, 35.1) * CHOOSE( CONTROL!$C$15, $D$11, 100%, $F$11)</f>
        <v>35.100299999999997</v>
      </c>
      <c r="F990" s="4">
        <f>CHOOSE( CONTROL!$C$32, 35.766, 35.7658) * CHOOSE(CONTROL!$C$15, $D$11, 100%, $F$11)</f>
        <v>35.765999999999998</v>
      </c>
      <c r="G990" s="8">
        <f>CHOOSE( CONTROL!$C$32, 34.6996, 34.6993) * CHOOSE( CONTROL!$C$15, $D$11, 100%, $F$11)</f>
        <v>34.699599999999997</v>
      </c>
      <c r="H990" s="4">
        <f>CHOOSE( CONTROL!$C$32, 35.5938, 35.5936) * CHOOSE(CONTROL!$C$15, $D$11, 100%, $F$11)</f>
        <v>35.593800000000002</v>
      </c>
      <c r="I990" s="8">
        <f>CHOOSE( CONTROL!$C$32, 34.2057, 34.2054) * CHOOSE(CONTROL!$C$15, $D$11, 100%, $F$11)</f>
        <v>34.2057</v>
      </c>
      <c r="J990" s="4">
        <f>CHOOSE( CONTROL!$C$32, 34.0565, 34.0563) * CHOOSE(CONTROL!$C$15, $D$11, 100%, $F$11)</f>
        <v>34.0565</v>
      </c>
      <c r="K990" s="4"/>
      <c r="L990" s="9">
        <v>26.469899999999999</v>
      </c>
      <c r="M990" s="9">
        <v>10.8962</v>
      </c>
      <c r="N990" s="9">
        <v>4.4660000000000002</v>
      </c>
      <c r="O990" s="9">
        <v>0.33789999999999998</v>
      </c>
      <c r="P990" s="9">
        <v>1.1676</v>
      </c>
      <c r="Q990" s="9">
        <v>17.782800000000002</v>
      </c>
      <c r="R990" s="9"/>
      <c r="S990" s="11"/>
    </row>
    <row r="991" spans="1:19" ht="15.75">
      <c r="A991" s="13">
        <v>71314</v>
      </c>
      <c r="B991" s="8">
        <f>CHOOSE( CONTROL!$C$32, 34.3537, 34.3535) * CHOOSE(CONTROL!$C$15, $D$11, 100%, $F$11)</f>
        <v>34.353700000000003</v>
      </c>
      <c r="C991" s="8">
        <f>CHOOSE( CONTROL!$C$32, 34.3588, 34.3585) * CHOOSE(CONTROL!$C$15, $D$11, 100%, $F$11)</f>
        <v>34.358800000000002</v>
      </c>
      <c r="D991" s="8">
        <f>CHOOSE( CONTROL!$C$32, 34.3461, 34.3458) * CHOOSE( CONTROL!$C$15, $D$11, 100%, $F$11)</f>
        <v>34.3461</v>
      </c>
      <c r="E991" s="12">
        <f>CHOOSE( CONTROL!$C$32, 34.3502, 34.3499) * CHOOSE( CONTROL!$C$15, $D$11, 100%, $F$11)</f>
        <v>34.350200000000001</v>
      </c>
      <c r="F991" s="4">
        <f>CHOOSE( CONTROL!$C$32, 35.019, 35.0187) * CHOOSE(CONTROL!$C$15, $D$11, 100%, $F$11)</f>
        <v>35.018999999999998</v>
      </c>
      <c r="G991" s="8">
        <f>CHOOSE( CONTROL!$C$32, 33.9579, 33.9576) * CHOOSE( CONTROL!$C$15, $D$11, 100%, $F$11)</f>
        <v>33.957900000000002</v>
      </c>
      <c r="H991" s="4">
        <f>CHOOSE( CONTROL!$C$32, 34.8556, 34.8553) * CHOOSE(CONTROL!$C$15, $D$11, 100%, $F$11)</f>
        <v>34.855600000000003</v>
      </c>
      <c r="I991" s="8">
        <f>CHOOSE( CONTROL!$C$32, 33.4787, 33.4784) * CHOOSE(CONTROL!$C$15, $D$11, 100%, $F$11)</f>
        <v>33.478700000000003</v>
      </c>
      <c r="J991" s="4">
        <f>CHOOSE( CONTROL!$C$32, 33.3316, 33.3313) * CHOOSE(CONTROL!$C$15, $D$11, 100%, $F$11)</f>
        <v>33.331600000000002</v>
      </c>
      <c r="K991" s="4"/>
      <c r="L991" s="9">
        <v>29.306000000000001</v>
      </c>
      <c r="M991" s="9">
        <v>12.063700000000001</v>
      </c>
      <c r="N991" s="9">
        <v>4.9444999999999997</v>
      </c>
      <c r="O991" s="9">
        <v>0.37409999999999999</v>
      </c>
      <c r="P991" s="9">
        <v>1.2927</v>
      </c>
      <c r="Q991" s="9">
        <v>19.688099999999999</v>
      </c>
      <c r="R991" s="9"/>
      <c r="S991" s="11"/>
    </row>
    <row r="992" spans="1:19" ht="15.75">
      <c r="A992" s="13">
        <v>71344</v>
      </c>
      <c r="B992" s="8">
        <f>CHOOSE( CONTROL!$C$32, 34.8765, 34.8762) * CHOOSE(CONTROL!$C$15, $D$11, 100%, $F$11)</f>
        <v>34.8765</v>
      </c>
      <c r="C992" s="8">
        <f>CHOOSE( CONTROL!$C$32, 34.881, 34.8807) * CHOOSE(CONTROL!$C$15, $D$11, 100%, $F$11)</f>
        <v>34.881</v>
      </c>
      <c r="D992" s="8">
        <f>CHOOSE( CONTROL!$C$32, 34.8859, 34.8856) * CHOOSE( CONTROL!$C$15, $D$11, 100%, $F$11)</f>
        <v>34.885899999999999</v>
      </c>
      <c r="E992" s="12">
        <f>CHOOSE( CONTROL!$C$32, 34.8838, 34.8835) * CHOOSE( CONTROL!$C$15, $D$11, 100%, $F$11)</f>
        <v>34.883800000000001</v>
      </c>
      <c r="F992" s="4">
        <f>CHOOSE( CONTROL!$C$32, 35.5807, 35.5804) * CHOOSE(CONTROL!$C$15, $D$11, 100%, $F$11)</f>
        <v>35.5807</v>
      </c>
      <c r="G992" s="8">
        <f>CHOOSE( CONTROL!$C$32, 34.4795, 34.4792) * CHOOSE( CONTROL!$C$15, $D$11, 100%, $F$11)</f>
        <v>34.479500000000002</v>
      </c>
      <c r="H992" s="4">
        <f>CHOOSE( CONTROL!$C$32, 35.4107, 35.4104) * CHOOSE(CONTROL!$C$15, $D$11, 100%, $F$11)</f>
        <v>35.410699999999999</v>
      </c>
      <c r="I992" s="8">
        <f>CHOOSE( CONTROL!$C$32, 33.9598, 33.9595) * CHOOSE(CONTROL!$C$15, $D$11, 100%, $F$11)</f>
        <v>33.959800000000001</v>
      </c>
      <c r="J992" s="4">
        <f>CHOOSE( CONTROL!$C$32, 33.8382, 33.8379) * CHOOSE(CONTROL!$C$15, $D$11, 100%, $F$11)</f>
        <v>33.838200000000001</v>
      </c>
      <c r="K992" s="4"/>
      <c r="L992" s="9">
        <v>30.092199999999998</v>
      </c>
      <c r="M992" s="9">
        <v>11.6745</v>
      </c>
      <c r="N992" s="9">
        <v>4.7850000000000001</v>
      </c>
      <c r="O992" s="9">
        <v>0.36199999999999999</v>
      </c>
      <c r="P992" s="9">
        <v>1.2509999999999999</v>
      </c>
      <c r="Q992" s="9">
        <v>19.053000000000001</v>
      </c>
      <c r="R992" s="9"/>
      <c r="S992" s="11"/>
    </row>
    <row r="993" spans="1:19" ht="15.75">
      <c r="A993" s="13">
        <v>71375</v>
      </c>
      <c r="B993" s="8">
        <f>CHOOSE( CONTROL!$C$32, 35.8071, 35.8066) * CHOOSE(CONTROL!$C$15, $D$11, 100%, $F$11)</f>
        <v>35.807099999999998</v>
      </c>
      <c r="C993" s="8">
        <f>CHOOSE( CONTROL!$C$32, 35.8151, 35.8146) * CHOOSE(CONTROL!$C$15, $D$11, 100%, $F$11)</f>
        <v>35.815100000000001</v>
      </c>
      <c r="D993" s="8">
        <f>CHOOSE( CONTROL!$C$32, 35.8138, 35.8134) * CHOOSE( CONTROL!$C$15, $D$11, 100%, $F$11)</f>
        <v>35.813800000000001</v>
      </c>
      <c r="E993" s="12">
        <f>CHOOSE( CONTROL!$C$32, 35.8131, 35.8126) * CHOOSE( CONTROL!$C$15, $D$11, 100%, $F$11)</f>
        <v>35.813099999999999</v>
      </c>
      <c r="F993" s="4">
        <f>CHOOSE( CONTROL!$C$32, 36.5099, 36.5095) * CHOOSE(CONTROL!$C$15, $D$11, 100%, $F$11)</f>
        <v>36.509900000000002</v>
      </c>
      <c r="G993" s="8">
        <f>CHOOSE( CONTROL!$C$32, 35.3977, 35.3972) * CHOOSE( CONTROL!$C$15, $D$11, 100%, $F$11)</f>
        <v>35.3977</v>
      </c>
      <c r="H993" s="4">
        <f>CHOOSE( CONTROL!$C$32, 36.329, 36.3285) * CHOOSE(CONTROL!$C$15, $D$11, 100%, $F$11)</f>
        <v>36.329000000000001</v>
      </c>
      <c r="I993" s="8">
        <f>CHOOSE( CONTROL!$C$32, 34.8612, 34.8608) * CHOOSE(CONTROL!$C$15, $D$11, 100%, $F$11)</f>
        <v>34.861199999999997</v>
      </c>
      <c r="J993" s="4">
        <f>CHOOSE( CONTROL!$C$32, 34.74, 34.7395) * CHOOSE(CONTROL!$C$15, $D$11, 100%, $F$11)</f>
        <v>34.74</v>
      </c>
      <c r="K993" s="4"/>
      <c r="L993" s="9">
        <v>30.7165</v>
      </c>
      <c r="M993" s="9">
        <v>12.063700000000001</v>
      </c>
      <c r="N993" s="9">
        <v>4.9444999999999997</v>
      </c>
      <c r="O993" s="9">
        <v>0.37409999999999999</v>
      </c>
      <c r="P993" s="9">
        <v>1.2927</v>
      </c>
      <c r="Q993" s="9">
        <v>19.688099999999999</v>
      </c>
      <c r="R993" s="9"/>
      <c r="S993" s="11"/>
    </row>
    <row r="994" spans="1:19" ht="15.75">
      <c r="A994" s="13">
        <v>71405</v>
      </c>
      <c r="B994" s="8">
        <f>CHOOSE( CONTROL!$C$32, 35.2316, 35.2311) * CHOOSE(CONTROL!$C$15, $D$11, 100%, $F$11)</f>
        <v>35.2316</v>
      </c>
      <c r="C994" s="8">
        <f>CHOOSE( CONTROL!$C$32, 35.2396, 35.2391) * CHOOSE(CONTROL!$C$15, $D$11, 100%, $F$11)</f>
        <v>35.239600000000003</v>
      </c>
      <c r="D994" s="8">
        <f>CHOOSE( CONTROL!$C$32, 35.2385, 35.2381) * CHOOSE( CONTROL!$C$15, $D$11, 100%, $F$11)</f>
        <v>35.238500000000002</v>
      </c>
      <c r="E994" s="12">
        <f>CHOOSE( CONTROL!$C$32, 35.2377, 35.2372) * CHOOSE( CONTROL!$C$15, $D$11, 100%, $F$11)</f>
        <v>35.237699999999997</v>
      </c>
      <c r="F994" s="4">
        <f>CHOOSE( CONTROL!$C$32, 35.9344, 35.9339) * CHOOSE(CONTROL!$C$15, $D$11, 100%, $F$11)</f>
        <v>35.934399999999997</v>
      </c>
      <c r="G994" s="8">
        <f>CHOOSE( CONTROL!$C$32, 34.8291, 34.8286) * CHOOSE( CONTROL!$C$15, $D$11, 100%, $F$11)</f>
        <v>34.829099999999997</v>
      </c>
      <c r="H994" s="4">
        <f>CHOOSE( CONTROL!$C$32, 35.7602, 35.7598) * CHOOSE(CONTROL!$C$15, $D$11, 100%, $F$11)</f>
        <v>35.760199999999998</v>
      </c>
      <c r="I994" s="8">
        <f>CHOOSE( CONTROL!$C$32, 34.3031, 34.3026) * CHOOSE(CONTROL!$C$15, $D$11, 100%, $F$11)</f>
        <v>34.303100000000001</v>
      </c>
      <c r="J994" s="4">
        <f>CHOOSE( CONTROL!$C$32, 34.1814, 34.181) * CHOOSE(CONTROL!$C$15, $D$11, 100%, $F$11)</f>
        <v>34.181399999999996</v>
      </c>
      <c r="K994" s="4"/>
      <c r="L994" s="9">
        <v>29.7257</v>
      </c>
      <c r="M994" s="9">
        <v>11.6745</v>
      </c>
      <c r="N994" s="9">
        <v>4.7850000000000001</v>
      </c>
      <c r="O994" s="9">
        <v>0.36199999999999999</v>
      </c>
      <c r="P994" s="9">
        <v>1.2509999999999999</v>
      </c>
      <c r="Q994" s="9">
        <v>19.053000000000001</v>
      </c>
      <c r="R994" s="9"/>
      <c r="S994" s="11"/>
    </row>
    <row r="995" spans="1:19" ht="15.75">
      <c r="A995" s="13">
        <v>71436</v>
      </c>
      <c r="B995" s="8">
        <f>CHOOSE( CONTROL!$C$32, 36.7471, 36.7467) * CHOOSE(CONTROL!$C$15, $D$11, 100%, $F$11)</f>
        <v>36.747100000000003</v>
      </c>
      <c r="C995" s="8">
        <f>CHOOSE( CONTROL!$C$32, 36.7551, 36.7546) * CHOOSE(CONTROL!$C$15, $D$11, 100%, $F$11)</f>
        <v>36.755099999999999</v>
      </c>
      <c r="D995" s="8">
        <f>CHOOSE( CONTROL!$C$32, 36.7543, 36.7538) * CHOOSE( CONTROL!$C$15, $D$11, 100%, $F$11)</f>
        <v>36.754300000000001</v>
      </c>
      <c r="E995" s="12">
        <f>CHOOSE( CONTROL!$C$32, 36.7534, 36.7529) * CHOOSE( CONTROL!$C$15, $D$11, 100%, $F$11)</f>
        <v>36.753399999999999</v>
      </c>
      <c r="F995" s="4">
        <f>CHOOSE( CONTROL!$C$32, 37.4499, 37.4495) * CHOOSE(CONTROL!$C$15, $D$11, 100%, $F$11)</f>
        <v>37.4499</v>
      </c>
      <c r="G995" s="8">
        <f>CHOOSE( CONTROL!$C$32, 36.327, 36.3266) * CHOOSE( CONTROL!$C$15, $D$11, 100%, $F$11)</f>
        <v>36.326999999999998</v>
      </c>
      <c r="H995" s="4">
        <f>CHOOSE( CONTROL!$C$32, 37.258, 37.2576) * CHOOSE(CONTROL!$C$15, $D$11, 100%, $F$11)</f>
        <v>37.258000000000003</v>
      </c>
      <c r="I995" s="8">
        <f>CHOOSE( CONTROL!$C$32, 35.7754, 35.7749) * CHOOSE(CONTROL!$C$15, $D$11, 100%, $F$11)</f>
        <v>35.775399999999998</v>
      </c>
      <c r="J995" s="4">
        <f>CHOOSE( CONTROL!$C$32, 35.6522, 35.6518) * CHOOSE(CONTROL!$C$15, $D$11, 100%, $F$11)</f>
        <v>35.652200000000001</v>
      </c>
      <c r="K995" s="4"/>
      <c r="L995" s="9">
        <v>30.7165</v>
      </c>
      <c r="M995" s="9">
        <v>12.063700000000001</v>
      </c>
      <c r="N995" s="9">
        <v>4.9444999999999997</v>
      </c>
      <c r="O995" s="9">
        <v>0.37409999999999999</v>
      </c>
      <c r="P995" s="9">
        <v>1.2927</v>
      </c>
      <c r="Q995" s="9">
        <v>19.688099999999999</v>
      </c>
      <c r="R995" s="9"/>
      <c r="S995" s="11"/>
    </row>
    <row r="996" spans="1:19" ht="15.75">
      <c r="A996" s="13">
        <v>71467</v>
      </c>
      <c r="B996" s="8">
        <f>CHOOSE( CONTROL!$C$32, 33.9114, 33.9109) * CHOOSE(CONTROL!$C$15, $D$11, 100%, $F$11)</f>
        <v>33.9114</v>
      </c>
      <c r="C996" s="8">
        <f>CHOOSE( CONTROL!$C$32, 33.9194, 33.9189) * CHOOSE(CONTROL!$C$15, $D$11, 100%, $F$11)</f>
        <v>33.919400000000003</v>
      </c>
      <c r="D996" s="8">
        <f>CHOOSE( CONTROL!$C$32, 33.9186, 33.9182) * CHOOSE( CONTROL!$C$15, $D$11, 100%, $F$11)</f>
        <v>33.918599999999998</v>
      </c>
      <c r="E996" s="12">
        <f>CHOOSE( CONTROL!$C$32, 33.9177, 33.9172) * CHOOSE( CONTROL!$C$15, $D$11, 100%, $F$11)</f>
        <v>33.917700000000004</v>
      </c>
      <c r="F996" s="4">
        <f>CHOOSE( CONTROL!$C$32, 34.6142, 34.6138) * CHOOSE(CONTROL!$C$15, $D$11, 100%, $F$11)</f>
        <v>34.614199999999997</v>
      </c>
      <c r="G996" s="8">
        <f>CHOOSE( CONTROL!$C$32, 33.5246, 33.5241) * CHOOSE( CONTROL!$C$15, $D$11, 100%, $F$11)</f>
        <v>33.5246</v>
      </c>
      <c r="H996" s="4">
        <f>CHOOSE( CONTROL!$C$32, 34.4555, 34.4551) * CHOOSE(CONTROL!$C$15, $D$11, 100%, $F$11)</f>
        <v>34.455500000000001</v>
      </c>
      <c r="I996" s="8">
        <f>CHOOSE( CONTROL!$C$32, 33.0222, 33.0217) * CHOOSE(CONTROL!$C$15, $D$11, 100%, $F$11)</f>
        <v>33.022199999999998</v>
      </c>
      <c r="J996" s="4">
        <f>CHOOSE( CONTROL!$C$32, 32.9002, 32.8997) * CHOOSE(CONTROL!$C$15, $D$11, 100%, $F$11)</f>
        <v>32.900199999999998</v>
      </c>
      <c r="K996" s="4"/>
      <c r="L996" s="9">
        <v>30.7165</v>
      </c>
      <c r="M996" s="9">
        <v>12.063700000000001</v>
      </c>
      <c r="N996" s="9">
        <v>4.9444999999999997</v>
      </c>
      <c r="O996" s="9">
        <v>0.37409999999999999</v>
      </c>
      <c r="P996" s="9">
        <v>1.2927</v>
      </c>
      <c r="Q996" s="9">
        <v>19.688099999999999</v>
      </c>
      <c r="R996" s="9"/>
      <c r="S996" s="11"/>
    </row>
    <row r="997" spans="1:19" ht="15.75">
      <c r="A997" s="13">
        <v>71497</v>
      </c>
      <c r="B997" s="8">
        <f>CHOOSE( CONTROL!$C$32, 33.2013, 33.2008) * CHOOSE(CONTROL!$C$15, $D$11, 100%, $F$11)</f>
        <v>33.201300000000003</v>
      </c>
      <c r="C997" s="8">
        <f>CHOOSE( CONTROL!$C$32, 33.2093, 33.2088) * CHOOSE(CONTROL!$C$15, $D$11, 100%, $F$11)</f>
        <v>33.209299999999999</v>
      </c>
      <c r="D997" s="8">
        <f>CHOOSE( CONTROL!$C$32, 33.2084, 33.2079) * CHOOSE( CONTROL!$C$15, $D$11, 100%, $F$11)</f>
        <v>33.208399999999997</v>
      </c>
      <c r="E997" s="12">
        <f>CHOOSE( CONTROL!$C$32, 33.2075, 33.207) * CHOOSE( CONTROL!$C$15, $D$11, 100%, $F$11)</f>
        <v>33.207500000000003</v>
      </c>
      <c r="F997" s="4">
        <f>CHOOSE( CONTROL!$C$32, 33.9041, 33.9037) * CHOOSE(CONTROL!$C$15, $D$11, 100%, $F$11)</f>
        <v>33.9041</v>
      </c>
      <c r="G997" s="8">
        <f>CHOOSE( CONTROL!$C$32, 32.8227, 32.8222) * CHOOSE( CONTROL!$C$15, $D$11, 100%, $F$11)</f>
        <v>32.822699999999998</v>
      </c>
      <c r="H997" s="4">
        <f>CHOOSE( CONTROL!$C$32, 33.7537, 33.7533) * CHOOSE(CONTROL!$C$15, $D$11, 100%, $F$11)</f>
        <v>33.753700000000002</v>
      </c>
      <c r="I997" s="8">
        <f>CHOOSE( CONTROL!$C$32, 32.3321, 32.3317) * CHOOSE(CONTROL!$C$15, $D$11, 100%, $F$11)</f>
        <v>32.332099999999997</v>
      </c>
      <c r="J997" s="4">
        <f>CHOOSE( CONTROL!$C$32, 32.211, 32.2106) * CHOOSE(CONTROL!$C$15, $D$11, 100%, $F$11)</f>
        <v>32.210999999999999</v>
      </c>
      <c r="K997" s="4"/>
      <c r="L997" s="9">
        <v>29.7257</v>
      </c>
      <c r="M997" s="9">
        <v>11.6745</v>
      </c>
      <c r="N997" s="9">
        <v>4.7850000000000001</v>
      </c>
      <c r="O997" s="9">
        <v>0.36199999999999999</v>
      </c>
      <c r="P997" s="9">
        <v>1.2509999999999999</v>
      </c>
      <c r="Q997" s="9">
        <v>19.053000000000001</v>
      </c>
      <c r="R997" s="9"/>
      <c r="S997" s="11"/>
    </row>
    <row r="998" spans="1:19" ht="15.75">
      <c r="A998" s="13">
        <v>71528</v>
      </c>
      <c r="B998" s="8">
        <f>CHOOSE( CONTROL!$C$32, 34.6738, 34.6735) * CHOOSE(CONTROL!$C$15, $D$11, 100%, $F$11)</f>
        <v>34.6738</v>
      </c>
      <c r="C998" s="8">
        <f>CHOOSE( CONTROL!$C$32, 34.6791, 34.6789) * CHOOSE(CONTROL!$C$15, $D$11, 100%, $F$11)</f>
        <v>34.679099999999998</v>
      </c>
      <c r="D998" s="8">
        <f>CHOOSE( CONTROL!$C$32, 34.6838, 34.6836) * CHOOSE( CONTROL!$C$15, $D$11, 100%, $F$11)</f>
        <v>34.683799999999998</v>
      </c>
      <c r="E998" s="12">
        <f>CHOOSE( CONTROL!$C$32, 34.6817, 34.6815) * CHOOSE( CONTROL!$C$15, $D$11, 100%, $F$11)</f>
        <v>34.681699999999999</v>
      </c>
      <c r="F998" s="4">
        <f>CHOOSE( CONTROL!$C$32, 35.3783, 35.3781) * CHOOSE(CONTROL!$C$15, $D$11, 100%, $F$11)</f>
        <v>35.378300000000003</v>
      </c>
      <c r="G998" s="8">
        <f>CHOOSE( CONTROL!$C$32, 34.2798, 34.2795) * CHOOSE( CONTROL!$C$15, $D$11, 100%, $F$11)</f>
        <v>34.279800000000002</v>
      </c>
      <c r="H998" s="4">
        <f>CHOOSE( CONTROL!$C$32, 35.2107, 35.2104) * CHOOSE(CONTROL!$C$15, $D$11, 100%, $F$11)</f>
        <v>35.210700000000003</v>
      </c>
      <c r="I998" s="8">
        <f>CHOOSE( CONTROL!$C$32, 33.7644, 33.7641) * CHOOSE(CONTROL!$C$15, $D$11, 100%, $F$11)</f>
        <v>33.764400000000002</v>
      </c>
      <c r="J998" s="4">
        <f>CHOOSE( CONTROL!$C$32, 33.6418, 33.6415) * CHOOSE(CONTROL!$C$15, $D$11, 100%, $F$11)</f>
        <v>33.641800000000003</v>
      </c>
      <c r="K998" s="4"/>
      <c r="L998" s="9">
        <v>31.095300000000002</v>
      </c>
      <c r="M998" s="9">
        <v>12.063700000000001</v>
      </c>
      <c r="N998" s="9">
        <v>4.9444999999999997</v>
      </c>
      <c r="O998" s="9">
        <v>0.37409999999999999</v>
      </c>
      <c r="P998" s="9">
        <v>1.2927</v>
      </c>
      <c r="Q998" s="9">
        <v>19.688099999999999</v>
      </c>
      <c r="R998" s="9"/>
      <c r="S998" s="11"/>
    </row>
    <row r="999" spans="1:19" ht="15.75">
      <c r="A999" s="13">
        <v>71558</v>
      </c>
      <c r="B999" s="8">
        <f>CHOOSE( CONTROL!$C$32, 37.3948, 37.3946) * CHOOSE(CONTROL!$C$15, $D$11, 100%, $F$11)</f>
        <v>37.394799999999996</v>
      </c>
      <c r="C999" s="8">
        <f>CHOOSE( CONTROL!$C$32, 37.3999, 37.3996) * CHOOSE(CONTROL!$C$15, $D$11, 100%, $F$11)</f>
        <v>37.399900000000002</v>
      </c>
      <c r="D999" s="8">
        <f>CHOOSE( CONTROL!$C$32, 37.3826, 37.3824) * CHOOSE( CONTROL!$C$15, $D$11, 100%, $F$11)</f>
        <v>37.382599999999996</v>
      </c>
      <c r="E999" s="12">
        <f>CHOOSE( CONTROL!$C$32, 37.3884, 37.3882) * CHOOSE( CONTROL!$C$15, $D$11, 100%, $F$11)</f>
        <v>37.388399999999997</v>
      </c>
      <c r="F999" s="4">
        <f>CHOOSE( CONTROL!$C$32, 38.0601, 38.0598) * CHOOSE(CONTROL!$C$15, $D$11, 100%, $F$11)</f>
        <v>38.060099999999998</v>
      </c>
      <c r="G999" s="8">
        <f>CHOOSE( CONTROL!$C$32, 36.9663, 36.966) * CHOOSE( CONTROL!$C$15, $D$11, 100%, $F$11)</f>
        <v>36.966299999999997</v>
      </c>
      <c r="H999" s="4">
        <f>CHOOSE( CONTROL!$C$32, 37.8611, 37.8608) * CHOOSE(CONTROL!$C$15, $D$11, 100%, $F$11)</f>
        <v>37.8611</v>
      </c>
      <c r="I999" s="8">
        <f>CHOOSE( CONTROL!$C$32, 36.4625, 36.4623) * CHOOSE(CONTROL!$C$15, $D$11, 100%, $F$11)</f>
        <v>36.462499999999999</v>
      </c>
      <c r="J999" s="4">
        <f>CHOOSE( CONTROL!$C$32, 36.2829, 36.2827) * CHOOSE(CONTROL!$C$15, $D$11, 100%, $F$11)</f>
        <v>36.282899999999998</v>
      </c>
      <c r="K999" s="4"/>
      <c r="L999" s="9">
        <v>28.360600000000002</v>
      </c>
      <c r="M999" s="9">
        <v>11.6745</v>
      </c>
      <c r="N999" s="9">
        <v>4.7850000000000001</v>
      </c>
      <c r="O999" s="9">
        <v>0.36199999999999999</v>
      </c>
      <c r="P999" s="9">
        <v>1.2509999999999999</v>
      </c>
      <c r="Q999" s="9">
        <v>19.053000000000001</v>
      </c>
      <c r="R999" s="9"/>
      <c r="S999" s="11"/>
    </row>
    <row r="1000" spans="1:19" ht="15.75">
      <c r="A1000" s="13">
        <v>71589</v>
      </c>
      <c r="B1000" s="8">
        <f>CHOOSE( CONTROL!$C$32, 37.3268, 37.3266) * CHOOSE(CONTROL!$C$15, $D$11, 100%, $F$11)</f>
        <v>37.326799999999999</v>
      </c>
      <c r="C1000" s="8">
        <f>CHOOSE( CONTROL!$C$32, 37.3319, 37.3316) * CHOOSE(CONTROL!$C$15, $D$11, 100%, $F$11)</f>
        <v>37.331899999999997</v>
      </c>
      <c r="D1000" s="8">
        <f>CHOOSE( CONTROL!$C$32, 37.3164, 37.3162) * CHOOSE( CONTROL!$C$15, $D$11, 100%, $F$11)</f>
        <v>37.316400000000002</v>
      </c>
      <c r="E1000" s="12">
        <f>CHOOSE( CONTROL!$C$32, 37.3215, 37.3213) * CHOOSE( CONTROL!$C$15, $D$11, 100%, $F$11)</f>
        <v>37.3215</v>
      </c>
      <c r="F1000" s="4">
        <f>CHOOSE( CONTROL!$C$32, 37.9921, 37.9919) * CHOOSE(CONTROL!$C$15, $D$11, 100%, $F$11)</f>
        <v>37.992100000000001</v>
      </c>
      <c r="G1000" s="8">
        <f>CHOOSE( CONTROL!$C$32, 36.9004, 36.9001) * CHOOSE( CONTROL!$C$15, $D$11, 100%, $F$11)</f>
        <v>36.900399999999998</v>
      </c>
      <c r="H1000" s="4">
        <f>CHOOSE( CONTROL!$C$32, 37.7939, 37.7936) * CHOOSE(CONTROL!$C$15, $D$11, 100%, $F$11)</f>
        <v>37.793900000000001</v>
      </c>
      <c r="I1000" s="8">
        <f>CHOOSE( CONTROL!$C$32, 36.4021, 36.4018) * CHOOSE(CONTROL!$C$15, $D$11, 100%, $F$11)</f>
        <v>36.402099999999997</v>
      </c>
      <c r="J1000" s="4">
        <f>CHOOSE( CONTROL!$C$32, 36.217, 36.2167) * CHOOSE(CONTROL!$C$15, $D$11, 100%, $F$11)</f>
        <v>36.216999999999999</v>
      </c>
      <c r="K1000" s="4"/>
      <c r="L1000" s="9">
        <v>29.306000000000001</v>
      </c>
      <c r="M1000" s="9">
        <v>12.063700000000001</v>
      </c>
      <c r="N1000" s="9">
        <v>4.9444999999999997</v>
      </c>
      <c r="O1000" s="9">
        <v>0.37409999999999999</v>
      </c>
      <c r="P1000" s="9">
        <v>1.2927</v>
      </c>
      <c r="Q1000" s="9">
        <v>19.688099999999999</v>
      </c>
      <c r="R1000" s="9"/>
      <c r="S1000" s="11"/>
    </row>
    <row r="1001" spans="1:19" ht="15.75">
      <c r="A1001" s="13">
        <v>71620</v>
      </c>
      <c r="B1001" s="8">
        <f>CHOOSE( CONTROL!$C$32, 38.4276, 38.4273) * CHOOSE(CONTROL!$C$15, $D$11, 100%, $F$11)</f>
        <v>38.427599999999998</v>
      </c>
      <c r="C1001" s="8">
        <f>CHOOSE( CONTROL!$C$32, 38.4327, 38.4324) * CHOOSE(CONTROL!$C$15, $D$11, 100%, $F$11)</f>
        <v>38.432699999999997</v>
      </c>
      <c r="D1001" s="8">
        <f>CHOOSE( CONTROL!$C$32, 38.4231, 38.4228) * CHOOSE( CONTROL!$C$15, $D$11, 100%, $F$11)</f>
        <v>38.423099999999998</v>
      </c>
      <c r="E1001" s="12">
        <f>CHOOSE( CONTROL!$C$32, 38.4261, 38.4258) * CHOOSE( CONTROL!$C$15, $D$11, 100%, $F$11)</f>
        <v>38.426099999999998</v>
      </c>
      <c r="F1001" s="4">
        <f>CHOOSE( CONTROL!$C$32, 39.0929, 39.0926) * CHOOSE(CONTROL!$C$15, $D$11, 100%, $F$11)</f>
        <v>39.0929</v>
      </c>
      <c r="G1001" s="8">
        <f>CHOOSE( CONTROL!$C$32, 37.9889, 37.9887) * CHOOSE( CONTROL!$C$15, $D$11, 100%, $F$11)</f>
        <v>37.988900000000001</v>
      </c>
      <c r="H1001" s="4">
        <f>CHOOSE( CONTROL!$C$32, 38.8817, 38.8814) * CHOOSE(CONTROL!$C$15, $D$11, 100%, $F$11)</f>
        <v>38.881700000000002</v>
      </c>
      <c r="I1001" s="8">
        <f>CHOOSE( CONTROL!$C$32, 37.4514, 37.4511) * CHOOSE(CONTROL!$C$15, $D$11, 100%, $F$11)</f>
        <v>37.4514</v>
      </c>
      <c r="J1001" s="4">
        <f>CHOOSE( CONTROL!$C$32, 37.2852, 37.285) * CHOOSE(CONTROL!$C$15, $D$11, 100%, $F$11)</f>
        <v>37.285200000000003</v>
      </c>
      <c r="K1001" s="4"/>
      <c r="L1001" s="9">
        <v>29.306000000000001</v>
      </c>
      <c r="M1001" s="9">
        <v>12.063700000000001</v>
      </c>
      <c r="N1001" s="9">
        <v>4.9444999999999997</v>
      </c>
      <c r="O1001" s="9">
        <v>0.37409999999999999</v>
      </c>
      <c r="P1001" s="9">
        <v>1.2927</v>
      </c>
      <c r="Q1001" s="9">
        <v>19.688099999999999</v>
      </c>
      <c r="R1001" s="9"/>
      <c r="S1001" s="11"/>
    </row>
    <row r="1002" spans="1:19" ht="15.75">
      <c r="A1002" s="13">
        <v>71649</v>
      </c>
      <c r="B1002" s="8">
        <f>CHOOSE( CONTROL!$C$32, 35.9439, 35.9436) * CHOOSE(CONTROL!$C$15, $D$11, 100%, $F$11)</f>
        <v>35.943899999999999</v>
      </c>
      <c r="C1002" s="8">
        <f>CHOOSE( CONTROL!$C$32, 35.949, 35.9487) * CHOOSE(CONTROL!$C$15, $D$11, 100%, $F$11)</f>
        <v>35.948999999999998</v>
      </c>
      <c r="D1002" s="8">
        <f>CHOOSE( CONTROL!$C$32, 35.9411, 35.9408) * CHOOSE( CONTROL!$C$15, $D$11, 100%, $F$11)</f>
        <v>35.941099999999999</v>
      </c>
      <c r="E1002" s="12">
        <f>CHOOSE( CONTROL!$C$32, 35.9434, 35.9431) * CHOOSE( CONTROL!$C$15, $D$11, 100%, $F$11)</f>
        <v>35.943399999999997</v>
      </c>
      <c r="F1002" s="4">
        <f>CHOOSE( CONTROL!$C$32, 36.6092, 36.6089) * CHOOSE(CONTROL!$C$15, $D$11, 100%, $F$11)</f>
        <v>36.609200000000001</v>
      </c>
      <c r="G1002" s="8">
        <f>CHOOSE( CONTROL!$C$32, 35.5329, 35.5326) * CHOOSE( CONTROL!$C$15, $D$11, 100%, $F$11)</f>
        <v>35.532899999999998</v>
      </c>
      <c r="H1002" s="4">
        <f>CHOOSE( CONTROL!$C$32, 36.4271, 36.4268) * CHOOSE(CONTROL!$C$15, $D$11, 100%, $F$11)</f>
        <v>36.427100000000003</v>
      </c>
      <c r="I1002" s="8">
        <f>CHOOSE( CONTROL!$C$32, 35.0244, 35.0241) * CHOOSE(CONTROL!$C$15, $D$11, 100%, $F$11)</f>
        <v>35.0244</v>
      </c>
      <c r="J1002" s="4">
        <f>CHOOSE( CONTROL!$C$32, 34.8748, 34.8746) * CHOOSE(CONTROL!$C$15, $D$11, 100%, $F$11)</f>
        <v>34.8748</v>
      </c>
      <c r="K1002" s="4"/>
      <c r="L1002" s="9">
        <v>27.415299999999998</v>
      </c>
      <c r="M1002" s="9">
        <v>11.285299999999999</v>
      </c>
      <c r="N1002" s="9">
        <v>4.6254999999999997</v>
      </c>
      <c r="O1002" s="9">
        <v>0.34989999999999999</v>
      </c>
      <c r="P1002" s="9">
        <v>1.2093</v>
      </c>
      <c r="Q1002" s="9">
        <v>18.417899999999999</v>
      </c>
      <c r="R1002" s="9"/>
      <c r="S1002" s="11"/>
    </row>
    <row r="1003" spans="1:19" ht="15.75">
      <c r="A1003" s="13">
        <v>71680</v>
      </c>
      <c r="B1003" s="8">
        <f>CHOOSE( CONTROL!$C$32, 35.179, 35.1787) * CHOOSE(CONTROL!$C$15, $D$11, 100%, $F$11)</f>
        <v>35.179000000000002</v>
      </c>
      <c r="C1003" s="8">
        <f>CHOOSE( CONTROL!$C$32, 35.184, 35.1838) * CHOOSE(CONTROL!$C$15, $D$11, 100%, $F$11)</f>
        <v>35.183999999999997</v>
      </c>
      <c r="D1003" s="8">
        <f>CHOOSE( CONTROL!$C$32, 35.1713, 35.1711) * CHOOSE( CONTROL!$C$15, $D$11, 100%, $F$11)</f>
        <v>35.171300000000002</v>
      </c>
      <c r="E1003" s="12">
        <f>CHOOSE( CONTROL!$C$32, 35.1754, 35.1752) * CHOOSE( CONTROL!$C$15, $D$11, 100%, $F$11)</f>
        <v>35.175400000000003</v>
      </c>
      <c r="F1003" s="4">
        <f>CHOOSE( CONTROL!$C$32, 35.8442, 35.844) * CHOOSE(CONTROL!$C$15, $D$11, 100%, $F$11)</f>
        <v>35.844200000000001</v>
      </c>
      <c r="G1003" s="8">
        <f>CHOOSE( CONTROL!$C$32, 34.7734, 34.7731) * CHOOSE( CONTROL!$C$15, $D$11, 100%, $F$11)</f>
        <v>34.773400000000002</v>
      </c>
      <c r="H1003" s="4">
        <f>CHOOSE( CONTROL!$C$32, 35.6711, 35.6708) * CHOOSE(CONTROL!$C$15, $D$11, 100%, $F$11)</f>
        <v>35.671100000000003</v>
      </c>
      <c r="I1003" s="8">
        <f>CHOOSE( CONTROL!$C$32, 34.28, 34.2797) * CHOOSE(CONTROL!$C$15, $D$11, 100%, $F$11)</f>
        <v>34.28</v>
      </c>
      <c r="J1003" s="4">
        <f>CHOOSE( CONTROL!$C$32, 34.1324, 34.1322) * CHOOSE(CONTROL!$C$15, $D$11, 100%, $F$11)</f>
        <v>34.132399999999997</v>
      </c>
      <c r="K1003" s="4"/>
      <c r="L1003" s="9">
        <v>29.306000000000001</v>
      </c>
      <c r="M1003" s="9">
        <v>12.063700000000001</v>
      </c>
      <c r="N1003" s="9">
        <v>4.9444999999999997</v>
      </c>
      <c r="O1003" s="9">
        <v>0.37409999999999999</v>
      </c>
      <c r="P1003" s="9">
        <v>1.2927</v>
      </c>
      <c r="Q1003" s="9">
        <v>19.688099999999999</v>
      </c>
      <c r="R1003" s="9"/>
      <c r="S1003" s="11"/>
    </row>
    <row r="1004" spans="1:19" ht="15.75">
      <c r="A1004" s="13">
        <v>71710</v>
      </c>
      <c r="B1004" s="8">
        <f>CHOOSE( CONTROL!$C$32, 35.7143, 35.714) * CHOOSE(CONTROL!$C$15, $D$11, 100%, $F$11)</f>
        <v>35.714300000000001</v>
      </c>
      <c r="C1004" s="8">
        <f>CHOOSE( CONTROL!$C$32, 35.7188, 35.7185) * CHOOSE(CONTROL!$C$15, $D$11, 100%, $F$11)</f>
        <v>35.718800000000002</v>
      </c>
      <c r="D1004" s="8">
        <f>CHOOSE( CONTROL!$C$32, 35.7236, 35.7234) * CHOOSE( CONTROL!$C$15, $D$11, 100%, $F$11)</f>
        <v>35.723599999999998</v>
      </c>
      <c r="E1004" s="12">
        <f>CHOOSE( CONTROL!$C$32, 35.7215, 35.7213) * CHOOSE( CONTROL!$C$15, $D$11, 100%, $F$11)</f>
        <v>35.721499999999999</v>
      </c>
      <c r="F1004" s="4">
        <f>CHOOSE( CONTROL!$C$32, 36.4184, 36.4182) * CHOOSE(CONTROL!$C$15, $D$11, 100%, $F$11)</f>
        <v>36.418399999999998</v>
      </c>
      <c r="G1004" s="8">
        <f>CHOOSE( CONTROL!$C$32, 35.3075, 35.3072) * CHOOSE( CONTROL!$C$15, $D$11, 100%, $F$11)</f>
        <v>35.307499999999997</v>
      </c>
      <c r="H1004" s="4">
        <f>CHOOSE( CONTROL!$C$32, 36.2386, 36.2383) * CHOOSE(CONTROL!$C$15, $D$11, 100%, $F$11)</f>
        <v>36.238599999999998</v>
      </c>
      <c r="I1004" s="8">
        <f>CHOOSE( CONTROL!$C$32, 34.7732, 34.773) * CHOOSE(CONTROL!$C$15, $D$11, 100%, $F$11)</f>
        <v>34.773200000000003</v>
      </c>
      <c r="J1004" s="4">
        <f>CHOOSE( CONTROL!$C$32, 34.6512, 34.6509) * CHOOSE(CONTROL!$C$15, $D$11, 100%, $F$11)</f>
        <v>34.651200000000003</v>
      </c>
      <c r="K1004" s="4"/>
      <c r="L1004" s="9">
        <v>30.092199999999998</v>
      </c>
      <c r="M1004" s="9">
        <v>11.6745</v>
      </c>
      <c r="N1004" s="9">
        <v>4.7850000000000001</v>
      </c>
      <c r="O1004" s="9">
        <v>0.36199999999999999</v>
      </c>
      <c r="P1004" s="9">
        <v>1.2509999999999999</v>
      </c>
      <c r="Q1004" s="9">
        <v>19.053000000000001</v>
      </c>
      <c r="R1004" s="9"/>
      <c r="S1004" s="11"/>
    </row>
    <row r="1005" spans="1:19" ht="15.75">
      <c r="A1005" s="13">
        <v>71741</v>
      </c>
      <c r="B1005" s="8">
        <f>CHOOSE( CONTROL!$C$32, 36.6672, 36.6667) * CHOOSE(CONTROL!$C$15, $D$11, 100%, $F$11)</f>
        <v>36.667200000000001</v>
      </c>
      <c r="C1005" s="8">
        <f>CHOOSE( CONTROL!$C$32, 36.6751, 36.6747) * CHOOSE(CONTROL!$C$15, $D$11, 100%, $F$11)</f>
        <v>36.6751</v>
      </c>
      <c r="D1005" s="8">
        <f>CHOOSE( CONTROL!$C$32, 36.6739, 36.6735) * CHOOSE( CONTROL!$C$15, $D$11, 100%, $F$11)</f>
        <v>36.673900000000003</v>
      </c>
      <c r="E1005" s="12">
        <f>CHOOSE( CONTROL!$C$32, 36.6731, 36.6727) * CHOOSE( CONTROL!$C$15, $D$11, 100%, $F$11)</f>
        <v>36.673099999999998</v>
      </c>
      <c r="F1005" s="4">
        <f>CHOOSE( CONTROL!$C$32, 37.37, 37.3695) * CHOOSE(CONTROL!$C$15, $D$11, 100%, $F$11)</f>
        <v>37.369999999999997</v>
      </c>
      <c r="G1005" s="8">
        <f>CHOOSE( CONTROL!$C$32, 36.2477, 36.2472) * CHOOSE( CONTROL!$C$15, $D$11, 100%, $F$11)</f>
        <v>36.247700000000002</v>
      </c>
      <c r="H1005" s="4">
        <f>CHOOSE( CONTROL!$C$32, 37.179, 37.1785) * CHOOSE(CONTROL!$C$15, $D$11, 100%, $F$11)</f>
        <v>37.179000000000002</v>
      </c>
      <c r="I1005" s="8">
        <f>CHOOSE( CONTROL!$C$32, 35.6963, 35.6959) * CHOOSE(CONTROL!$C$15, $D$11, 100%, $F$11)</f>
        <v>35.696300000000001</v>
      </c>
      <c r="J1005" s="4">
        <f>CHOOSE( CONTROL!$C$32, 35.5747, 35.5742) * CHOOSE(CONTROL!$C$15, $D$11, 100%, $F$11)</f>
        <v>35.5747</v>
      </c>
      <c r="K1005" s="4"/>
      <c r="L1005" s="9">
        <v>30.7165</v>
      </c>
      <c r="M1005" s="9">
        <v>12.063700000000001</v>
      </c>
      <c r="N1005" s="9">
        <v>4.9444999999999997</v>
      </c>
      <c r="O1005" s="9">
        <v>0.37409999999999999</v>
      </c>
      <c r="P1005" s="9">
        <v>1.2927</v>
      </c>
      <c r="Q1005" s="9">
        <v>19.688099999999999</v>
      </c>
      <c r="R1005" s="9"/>
      <c r="S1005" s="11"/>
    </row>
    <row r="1006" spans="1:19" ht="15.75">
      <c r="A1006" s="13">
        <v>71771</v>
      </c>
      <c r="B1006" s="8">
        <f>CHOOSE( CONTROL!$C$32, 36.0778, 36.0774) * CHOOSE(CONTROL!$C$15, $D$11, 100%, $F$11)</f>
        <v>36.077800000000003</v>
      </c>
      <c r="C1006" s="8">
        <f>CHOOSE( CONTROL!$C$32, 36.0858, 36.0853) * CHOOSE(CONTROL!$C$15, $D$11, 100%, $F$11)</f>
        <v>36.085799999999999</v>
      </c>
      <c r="D1006" s="8">
        <f>CHOOSE( CONTROL!$C$32, 36.0848, 36.0843) * CHOOSE( CONTROL!$C$15, $D$11, 100%, $F$11)</f>
        <v>36.084800000000001</v>
      </c>
      <c r="E1006" s="12">
        <f>CHOOSE( CONTROL!$C$32, 36.0839, 36.0835) * CHOOSE( CONTROL!$C$15, $D$11, 100%, $F$11)</f>
        <v>36.0839</v>
      </c>
      <c r="F1006" s="4">
        <f>CHOOSE( CONTROL!$C$32, 36.7807, 36.7802) * CHOOSE(CONTROL!$C$15, $D$11, 100%, $F$11)</f>
        <v>36.780700000000003</v>
      </c>
      <c r="G1006" s="8">
        <f>CHOOSE( CONTROL!$C$32, 35.6654, 35.6649) * CHOOSE( CONTROL!$C$15, $D$11, 100%, $F$11)</f>
        <v>35.665399999999998</v>
      </c>
      <c r="H1006" s="4">
        <f>CHOOSE( CONTROL!$C$32, 36.5966, 36.5961) * CHOOSE(CONTROL!$C$15, $D$11, 100%, $F$11)</f>
        <v>36.596600000000002</v>
      </c>
      <c r="I1006" s="8">
        <f>CHOOSE( CONTROL!$C$32, 35.1248, 35.1243) * CHOOSE(CONTROL!$C$15, $D$11, 100%, $F$11)</f>
        <v>35.1248</v>
      </c>
      <c r="J1006" s="4">
        <f>CHOOSE( CONTROL!$C$32, 35.0027, 35.0023) * CHOOSE(CONTROL!$C$15, $D$11, 100%, $F$11)</f>
        <v>35.002699999999997</v>
      </c>
      <c r="K1006" s="4"/>
      <c r="L1006" s="9">
        <v>29.7257</v>
      </c>
      <c r="M1006" s="9">
        <v>11.6745</v>
      </c>
      <c r="N1006" s="9">
        <v>4.7850000000000001</v>
      </c>
      <c r="O1006" s="9">
        <v>0.36199999999999999</v>
      </c>
      <c r="P1006" s="9">
        <v>1.2509999999999999</v>
      </c>
      <c r="Q1006" s="9">
        <v>19.053000000000001</v>
      </c>
      <c r="R1006" s="9"/>
      <c r="S1006" s="11"/>
    </row>
    <row r="1007" spans="1:19" ht="15.75">
      <c r="A1007" s="13">
        <v>71802</v>
      </c>
      <c r="B1007" s="8">
        <f>CHOOSE( CONTROL!$C$32, 37.6298, 37.6293) * CHOOSE(CONTROL!$C$15, $D$11, 100%, $F$11)</f>
        <v>37.629800000000003</v>
      </c>
      <c r="C1007" s="8">
        <f>CHOOSE( CONTROL!$C$32, 37.6377, 37.6373) * CHOOSE(CONTROL!$C$15, $D$11, 100%, $F$11)</f>
        <v>37.637700000000002</v>
      </c>
      <c r="D1007" s="8">
        <f>CHOOSE( CONTROL!$C$32, 37.6369, 37.6365) * CHOOSE( CONTROL!$C$15, $D$11, 100%, $F$11)</f>
        <v>37.636899999999997</v>
      </c>
      <c r="E1007" s="12">
        <f>CHOOSE( CONTROL!$C$32, 37.636, 37.6356) * CHOOSE( CONTROL!$C$15, $D$11, 100%, $F$11)</f>
        <v>37.636000000000003</v>
      </c>
      <c r="F1007" s="4">
        <f>CHOOSE( CONTROL!$C$32, 38.3326, 38.3321) * CHOOSE(CONTROL!$C$15, $D$11, 100%, $F$11)</f>
        <v>38.332599999999999</v>
      </c>
      <c r="G1007" s="8">
        <f>CHOOSE( CONTROL!$C$32, 37.1993, 37.1989) * CHOOSE( CONTROL!$C$15, $D$11, 100%, $F$11)</f>
        <v>37.199300000000001</v>
      </c>
      <c r="H1007" s="4">
        <f>CHOOSE( CONTROL!$C$32, 38.1303, 38.1299) * CHOOSE(CONTROL!$C$15, $D$11, 100%, $F$11)</f>
        <v>38.130299999999998</v>
      </c>
      <c r="I1007" s="8">
        <f>CHOOSE( CONTROL!$C$32, 36.6324, 36.632) * CHOOSE(CONTROL!$C$15, $D$11, 100%, $F$11)</f>
        <v>36.632399999999997</v>
      </c>
      <c r="J1007" s="4">
        <f>CHOOSE( CONTROL!$C$32, 36.5089, 36.5084) * CHOOSE(CONTROL!$C$15, $D$11, 100%, $F$11)</f>
        <v>36.508899999999997</v>
      </c>
      <c r="K1007" s="4"/>
      <c r="L1007" s="9">
        <v>30.7165</v>
      </c>
      <c r="M1007" s="9">
        <v>12.063700000000001</v>
      </c>
      <c r="N1007" s="9">
        <v>4.9444999999999997</v>
      </c>
      <c r="O1007" s="9">
        <v>0.37409999999999999</v>
      </c>
      <c r="P1007" s="9">
        <v>1.2927</v>
      </c>
      <c r="Q1007" s="9">
        <v>19.688099999999999</v>
      </c>
      <c r="R1007" s="9"/>
      <c r="S1007" s="11"/>
    </row>
    <row r="1008" spans="1:19" ht="15.75">
      <c r="A1008" s="13">
        <v>71833</v>
      </c>
      <c r="B1008" s="8">
        <f>CHOOSE( CONTROL!$C$32, 34.7259, 34.7255) * CHOOSE(CONTROL!$C$15, $D$11, 100%, $F$11)</f>
        <v>34.725900000000003</v>
      </c>
      <c r="C1008" s="8">
        <f>CHOOSE( CONTROL!$C$32, 34.7339, 34.7334) * CHOOSE(CONTROL!$C$15, $D$11, 100%, $F$11)</f>
        <v>34.733899999999998</v>
      </c>
      <c r="D1008" s="8">
        <f>CHOOSE( CONTROL!$C$32, 34.7332, 34.7327) * CHOOSE( CONTROL!$C$15, $D$11, 100%, $F$11)</f>
        <v>34.733199999999997</v>
      </c>
      <c r="E1008" s="12">
        <f>CHOOSE( CONTROL!$C$32, 34.7322, 34.7317) * CHOOSE( CONTROL!$C$15, $D$11, 100%, $F$11)</f>
        <v>34.732199999999999</v>
      </c>
      <c r="F1008" s="4">
        <f>CHOOSE( CONTROL!$C$32, 35.4287, 35.4283) * CHOOSE(CONTROL!$C$15, $D$11, 100%, $F$11)</f>
        <v>35.428699999999999</v>
      </c>
      <c r="G1008" s="8">
        <f>CHOOSE( CONTROL!$C$32, 34.3295, 34.3291) * CHOOSE( CONTROL!$C$15, $D$11, 100%, $F$11)</f>
        <v>34.329500000000003</v>
      </c>
      <c r="H1008" s="4">
        <f>CHOOSE( CONTROL!$C$32, 35.2605, 35.26) * CHOOSE(CONTROL!$C$15, $D$11, 100%, $F$11)</f>
        <v>35.2605</v>
      </c>
      <c r="I1008" s="8">
        <f>CHOOSE( CONTROL!$C$32, 33.8131, 33.8126) * CHOOSE(CONTROL!$C$15, $D$11, 100%, $F$11)</f>
        <v>33.813099999999999</v>
      </c>
      <c r="J1008" s="4">
        <f>CHOOSE( CONTROL!$C$32, 33.6907, 33.6902) * CHOOSE(CONTROL!$C$15, $D$11, 100%, $F$11)</f>
        <v>33.6907</v>
      </c>
      <c r="K1008" s="4"/>
      <c r="L1008" s="9">
        <v>30.7165</v>
      </c>
      <c r="M1008" s="9">
        <v>12.063700000000001</v>
      </c>
      <c r="N1008" s="9">
        <v>4.9444999999999997</v>
      </c>
      <c r="O1008" s="9">
        <v>0.37409999999999999</v>
      </c>
      <c r="P1008" s="9">
        <v>1.2927</v>
      </c>
      <c r="Q1008" s="9">
        <v>19.688099999999999</v>
      </c>
      <c r="R1008" s="9"/>
      <c r="S1008" s="11"/>
    </row>
    <row r="1009" spans="1:19" ht="15.75">
      <c r="A1009" s="13">
        <v>71863</v>
      </c>
      <c r="B1009" s="8">
        <f>CHOOSE( CONTROL!$C$32, 33.9988, 33.9983) * CHOOSE(CONTROL!$C$15, $D$11, 100%, $F$11)</f>
        <v>33.998800000000003</v>
      </c>
      <c r="C1009" s="8">
        <f>CHOOSE( CONTROL!$C$32, 34.0067, 34.0063) * CHOOSE(CONTROL!$C$15, $D$11, 100%, $F$11)</f>
        <v>34.006700000000002</v>
      </c>
      <c r="D1009" s="8">
        <f>CHOOSE( CONTROL!$C$32, 34.0058, 34.0054) * CHOOSE( CONTROL!$C$15, $D$11, 100%, $F$11)</f>
        <v>34.005800000000001</v>
      </c>
      <c r="E1009" s="12">
        <f>CHOOSE( CONTROL!$C$32, 34.0049, 34.0045) * CHOOSE( CONTROL!$C$15, $D$11, 100%, $F$11)</f>
        <v>34.004899999999999</v>
      </c>
      <c r="F1009" s="4">
        <f>CHOOSE( CONTROL!$C$32, 34.7016, 34.7011) * CHOOSE(CONTROL!$C$15, $D$11, 100%, $F$11)</f>
        <v>34.701599999999999</v>
      </c>
      <c r="G1009" s="8">
        <f>CHOOSE( CONTROL!$C$32, 33.6108, 33.6103) * CHOOSE( CONTROL!$C$15, $D$11, 100%, $F$11)</f>
        <v>33.610799999999998</v>
      </c>
      <c r="H1009" s="4">
        <f>CHOOSE( CONTROL!$C$32, 34.5418, 34.5414) * CHOOSE(CONTROL!$C$15, $D$11, 100%, $F$11)</f>
        <v>34.541800000000002</v>
      </c>
      <c r="I1009" s="8">
        <f>CHOOSE( CONTROL!$C$32, 33.1065, 33.106) * CHOOSE(CONTROL!$C$15, $D$11, 100%, $F$11)</f>
        <v>33.106499999999997</v>
      </c>
      <c r="J1009" s="4">
        <f>CHOOSE( CONTROL!$C$32, 32.985, 32.9845) * CHOOSE(CONTROL!$C$15, $D$11, 100%, $F$11)</f>
        <v>32.984999999999999</v>
      </c>
      <c r="K1009" s="4"/>
      <c r="L1009" s="9">
        <v>29.7257</v>
      </c>
      <c r="M1009" s="9">
        <v>11.6745</v>
      </c>
      <c r="N1009" s="9">
        <v>4.7850000000000001</v>
      </c>
      <c r="O1009" s="9">
        <v>0.36199999999999999</v>
      </c>
      <c r="P1009" s="9">
        <v>1.2509999999999999</v>
      </c>
      <c r="Q1009" s="9">
        <v>19.053000000000001</v>
      </c>
      <c r="R1009" s="9"/>
      <c r="S1009" s="11"/>
    </row>
    <row r="1010" spans="1:19" ht="15.75">
      <c r="A1010" s="13">
        <v>71894</v>
      </c>
      <c r="B1010" s="8">
        <f>CHOOSE( CONTROL!$C$32, 35.5067, 35.5064) * CHOOSE(CONTROL!$C$15, $D$11, 100%, $F$11)</f>
        <v>35.506700000000002</v>
      </c>
      <c r="C1010" s="8">
        <f>CHOOSE( CONTROL!$C$32, 35.512, 35.5117) * CHOOSE(CONTROL!$C$15, $D$11, 100%, $F$11)</f>
        <v>35.512</v>
      </c>
      <c r="D1010" s="8">
        <f>CHOOSE( CONTROL!$C$32, 35.5167, 35.5164) * CHOOSE( CONTROL!$C$15, $D$11, 100%, $F$11)</f>
        <v>35.5167</v>
      </c>
      <c r="E1010" s="12">
        <f>CHOOSE( CONTROL!$C$32, 35.5146, 35.5143) * CHOOSE( CONTROL!$C$15, $D$11, 100%, $F$11)</f>
        <v>35.514600000000002</v>
      </c>
      <c r="F1010" s="4">
        <f>CHOOSE( CONTROL!$C$32, 36.2112, 36.211) * CHOOSE(CONTROL!$C$15, $D$11, 100%, $F$11)</f>
        <v>36.211199999999998</v>
      </c>
      <c r="G1010" s="8">
        <f>CHOOSE( CONTROL!$C$32, 35.1029, 35.1027) * CHOOSE( CONTROL!$C$15, $D$11, 100%, $F$11)</f>
        <v>35.102899999999998</v>
      </c>
      <c r="H1010" s="4">
        <f>CHOOSE( CONTROL!$C$32, 36.0338, 36.0335) * CHOOSE(CONTROL!$C$15, $D$11, 100%, $F$11)</f>
        <v>36.033799999999999</v>
      </c>
      <c r="I1010" s="8">
        <f>CHOOSE( CONTROL!$C$32, 34.5731, 34.5729) * CHOOSE(CONTROL!$C$15, $D$11, 100%, $F$11)</f>
        <v>34.573099999999997</v>
      </c>
      <c r="J1010" s="4">
        <f>CHOOSE( CONTROL!$C$32, 34.4501, 34.4498) * CHOOSE(CONTROL!$C$15, $D$11, 100%, $F$11)</f>
        <v>34.450099999999999</v>
      </c>
      <c r="K1010" s="4"/>
      <c r="L1010" s="9">
        <v>31.095300000000002</v>
      </c>
      <c r="M1010" s="9">
        <v>12.063700000000001</v>
      </c>
      <c r="N1010" s="9">
        <v>4.9444999999999997</v>
      </c>
      <c r="O1010" s="9">
        <v>0.37409999999999999</v>
      </c>
      <c r="P1010" s="9">
        <v>1.2927</v>
      </c>
      <c r="Q1010" s="9">
        <v>19.688099999999999</v>
      </c>
      <c r="R1010" s="9"/>
      <c r="S1010" s="11"/>
    </row>
    <row r="1011" spans="1:19" ht="15.75">
      <c r="A1011" s="13">
        <v>71924</v>
      </c>
      <c r="B1011" s="8">
        <f>CHOOSE( CONTROL!$C$32, 38.2931, 38.2928) * CHOOSE(CONTROL!$C$15, $D$11, 100%, $F$11)</f>
        <v>38.293100000000003</v>
      </c>
      <c r="C1011" s="8">
        <f>CHOOSE( CONTROL!$C$32, 38.2982, 38.2979) * CHOOSE(CONTROL!$C$15, $D$11, 100%, $F$11)</f>
        <v>38.298200000000001</v>
      </c>
      <c r="D1011" s="8">
        <f>CHOOSE( CONTROL!$C$32, 38.2809, 38.2806) * CHOOSE( CONTROL!$C$15, $D$11, 100%, $F$11)</f>
        <v>38.280900000000003</v>
      </c>
      <c r="E1011" s="12">
        <f>CHOOSE( CONTROL!$C$32, 38.2867, 38.2864) * CHOOSE( CONTROL!$C$15, $D$11, 100%, $F$11)</f>
        <v>38.286700000000003</v>
      </c>
      <c r="F1011" s="4">
        <f>CHOOSE( CONTROL!$C$32, 38.9584, 38.9581) * CHOOSE(CONTROL!$C$15, $D$11, 100%, $F$11)</f>
        <v>38.958399999999997</v>
      </c>
      <c r="G1011" s="8">
        <f>CHOOSE( CONTROL!$C$32, 37.854, 37.8538) * CHOOSE( CONTROL!$C$15, $D$11, 100%, $F$11)</f>
        <v>37.853999999999999</v>
      </c>
      <c r="H1011" s="4">
        <f>CHOOSE( CONTROL!$C$32, 38.7488, 38.7485) * CHOOSE(CONTROL!$C$15, $D$11, 100%, $F$11)</f>
        <v>38.748800000000003</v>
      </c>
      <c r="I1011" s="8">
        <f>CHOOSE( CONTROL!$C$32, 37.3347, 37.3345) * CHOOSE(CONTROL!$C$15, $D$11, 100%, $F$11)</f>
        <v>37.334699999999998</v>
      </c>
      <c r="J1011" s="4">
        <f>CHOOSE( CONTROL!$C$32, 37.1547, 37.1545) * CHOOSE(CONTROL!$C$15, $D$11, 100%, $F$11)</f>
        <v>37.154699999999998</v>
      </c>
      <c r="K1011" s="4"/>
      <c r="L1011" s="9">
        <v>28.360600000000002</v>
      </c>
      <c r="M1011" s="9">
        <v>11.6745</v>
      </c>
      <c r="N1011" s="9">
        <v>4.7850000000000001</v>
      </c>
      <c r="O1011" s="9">
        <v>0.36199999999999999</v>
      </c>
      <c r="P1011" s="9">
        <v>1.2509999999999999</v>
      </c>
      <c r="Q1011" s="9">
        <v>19.053000000000001</v>
      </c>
      <c r="R1011" s="9"/>
      <c r="S1011" s="11"/>
    </row>
    <row r="1012" spans="1:19" ht="15.75">
      <c r="A1012" s="13">
        <v>71955</v>
      </c>
      <c r="B1012" s="8">
        <f>CHOOSE( CONTROL!$C$32, 38.2235, 38.2232) * CHOOSE(CONTROL!$C$15, $D$11, 100%, $F$11)</f>
        <v>38.223500000000001</v>
      </c>
      <c r="C1012" s="8">
        <f>CHOOSE( CONTROL!$C$32, 38.2286, 38.2283) * CHOOSE(CONTROL!$C$15, $D$11, 100%, $F$11)</f>
        <v>38.2286</v>
      </c>
      <c r="D1012" s="8">
        <f>CHOOSE( CONTROL!$C$32, 38.2131, 38.2128) * CHOOSE( CONTROL!$C$15, $D$11, 100%, $F$11)</f>
        <v>38.213099999999997</v>
      </c>
      <c r="E1012" s="12">
        <f>CHOOSE( CONTROL!$C$32, 38.2182, 38.2179) * CHOOSE( CONTROL!$C$15, $D$11, 100%, $F$11)</f>
        <v>38.218200000000003</v>
      </c>
      <c r="F1012" s="4">
        <f>CHOOSE( CONTROL!$C$32, 38.8888, 38.8885) * CHOOSE(CONTROL!$C$15, $D$11, 100%, $F$11)</f>
        <v>38.888800000000003</v>
      </c>
      <c r="G1012" s="8">
        <f>CHOOSE( CONTROL!$C$32, 37.7865, 37.7863) * CHOOSE( CONTROL!$C$15, $D$11, 100%, $F$11)</f>
        <v>37.786499999999997</v>
      </c>
      <c r="H1012" s="4">
        <f>CHOOSE( CONTROL!$C$32, 38.68, 38.6797) * CHOOSE(CONTROL!$C$15, $D$11, 100%, $F$11)</f>
        <v>38.68</v>
      </c>
      <c r="I1012" s="8">
        <f>CHOOSE( CONTROL!$C$32, 37.2727, 37.2725) * CHOOSE(CONTROL!$C$15, $D$11, 100%, $F$11)</f>
        <v>37.2727</v>
      </c>
      <c r="J1012" s="4">
        <f>CHOOSE( CONTROL!$C$32, 37.0871, 37.0869) * CHOOSE(CONTROL!$C$15, $D$11, 100%, $F$11)</f>
        <v>37.0871</v>
      </c>
      <c r="K1012" s="4"/>
      <c r="L1012" s="9">
        <v>29.306000000000001</v>
      </c>
      <c r="M1012" s="9">
        <v>12.063700000000001</v>
      </c>
      <c r="N1012" s="9">
        <v>4.9444999999999997</v>
      </c>
      <c r="O1012" s="9">
        <v>0.37409999999999999</v>
      </c>
      <c r="P1012" s="9">
        <v>1.2927</v>
      </c>
      <c r="Q1012" s="9">
        <v>19.688099999999999</v>
      </c>
      <c r="R1012" s="9"/>
      <c r="S1012" s="11"/>
    </row>
    <row r="1013" spans="1:19" ht="15.75">
      <c r="A1013" s="13">
        <v>71986</v>
      </c>
      <c r="B1013" s="8">
        <f>CHOOSE( CONTROL!$C$32, 39.3507, 39.3504) * CHOOSE(CONTROL!$C$15, $D$11, 100%, $F$11)</f>
        <v>39.350700000000003</v>
      </c>
      <c r="C1013" s="8">
        <f>CHOOSE( CONTROL!$C$32, 39.3558, 39.3555) * CHOOSE(CONTROL!$C$15, $D$11, 100%, $F$11)</f>
        <v>39.355800000000002</v>
      </c>
      <c r="D1013" s="8">
        <f>CHOOSE( CONTROL!$C$32, 39.3462, 39.3459) * CHOOSE( CONTROL!$C$15, $D$11, 100%, $F$11)</f>
        <v>39.346200000000003</v>
      </c>
      <c r="E1013" s="12">
        <f>CHOOSE( CONTROL!$C$32, 39.3492, 39.3489) * CHOOSE( CONTROL!$C$15, $D$11, 100%, $F$11)</f>
        <v>39.349200000000003</v>
      </c>
      <c r="F1013" s="4">
        <f>CHOOSE( CONTROL!$C$32, 40.016, 40.0157) * CHOOSE(CONTROL!$C$15, $D$11, 100%, $F$11)</f>
        <v>40.015999999999998</v>
      </c>
      <c r="G1013" s="8">
        <f>CHOOSE( CONTROL!$C$32, 38.9012, 38.901) * CHOOSE( CONTROL!$C$15, $D$11, 100%, $F$11)</f>
        <v>38.901200000000003</v>
      </c>
      <c r="H1013" s="4">
        <f>CHOOSE( CONTROL!$C$32, 39.794, 39.7937) * CHOOSE(CONTROL!$C$15, $D$11, 100%, $F$11)</f>
        <v>39.793999999999997</v>
      </c>
      <c r="I1013" s="8">
        <f>CHOOSE( CONTROL!$C$32, 38.3477, 38.3474) * CHOOSE(CONTROL!$C$15, $D$11, 100%, $F$11)</f>
        <v>38.347700000000003</v>
      </c>
      <c r="J1013" s="4">
        <f>CHOOSE( CONTROL!$C$32, 38.1811, 38.1808) * CHOOSE(CONTROL!$C$15, $D$11, 100%, $F$11)</f>
        <v>38.181100000000001</v>
      </c>
      <c r="K1013" s="4"/>
      <c r="L1013" s="9">
        <v>29.306000000000001</v>
      </c>
      <c r="M1013" s="9">
        <v>12.063700000000001</v>
      </c>
      <c r="N1013" s="9">
        <v>4.9444999999999997</v>
      </c>
      <c r="O1013" s="9">
        <v>0.37409999999999999</v>
      </c>
      <c r="P1013" s="9">
        <v>1.2927</v>
      </c>
      <c r="Q1013" s="9">
        <v>19.688099999999999</v>
      </c>
      <c r="R1013" s="9"/>
      <c r="S1013" s="11"/>
    </row>
    <row r="1014" spans="1:19" ht="15.75">
      <c r="A1014" s="13">
        <v>72014</v>
      </c>
      <c r="B1014" s="8">
        <f>CHOOSE( CONTROL!$C$32, 36.8073, 36.8071) * CHOOSE(CONTROL!$C$15, $D$11, 100%, $F$11)</f>
        <v>36.807299999999998</v>
      </c>
      <c r="C1014" s="8">
        <f>CHOOSE( CONTROL!$C$32, 36.8124, 36.8121) * CHOOSE(CONTROL!$C$15, $D$11, 100%, $F$11)</f>
        <v>36.812399999999997</v>
      </c>
      <c r="D1014" s="8">
        <f>CHOOSE( CONTROL!$C$32, 36.8045, 36.8042) * CHOOSE( CONTROL!$C$15, $D$11, 100%, $F$11)</f>
        <v>36.804499999999997</v>
      </c>
      <c r="E1014" s="12">
        <f>CHOOSE( CONTROL!$C$32, 36.8068, 36.8066) * CHOOSE( CONTROL!$C$15, $D$11, 100%, $F$11)</f>
        <v>36.806800000000003</v>
      </c>
      <c r="F1014" s="4">
        <f>CHOOSE( CONTROL!$C$32, 37.4726, 37.4723) * CHOOSE(CONTROL!$C$15, $D$11, 100%, $F$11)</f>
        <v>37.4726</v>
      </c>
      <c r="G1014" s="8">
        <f>CHOOSE( CONTROL!$C$32, 36.3862, 36.3859) * CHOOSE( CONTROL!$C$15, $D$11, 100%, $F$11)</f>
        <v>36.386200000000002</v>
      </c>
      <c r="H1014" s="4">
        <f>CHOOSE( CONTROL!$C$32, 37.2804, 37.2802) * CHOOSE(CONTROL!$C$15, $D$11, 100%, $F$11)</f>
        <v>37.2804</v>
      </c>
      <c r="I1014" s="8">
        <f>CHOOSE( CONTROL!$C$32, 35.8627, 35.8625) * CHOOSE(CONTROL!$C$15, $D$11, 100%, $F$11)</f>
        <v>35.862699999999997</v>
      </c>
      <c r="J1014" s="4">
        <f>CHOOSE( CONTROL!$C$32, 35.7128, 35.7125) * CHOOSE(CONTROL!$C$15, $D$11, 100%, $F$11)</f>
        <v>35.712800000000001</v>
      </c>
      <c r="K1014" s="4"/>
      <c r="L1014" s="9">
        <v>26.469899999999999</v>
      </c>
      <c r="M1014" s="9">
        <v>10.8962</v>
      </c>
      <c r="N1014" s="9">
        <v>4.4660000000000002</v>
      </c>
      <c r="O1014" s="9">
        <v>0.33789999999999998</v>
      </c>
      <c r="P1014" s="9">
        <v>1.1676</v>
      </c>
      <c r="Q1014" s="9">
        <v>17.782800000000002</v>
      </c>
      <c r="R1014" s="9"/>
      <c r="S1014" s="11"/>
    </row>
    <row r="1015" spans="1:19" ht="15.75">
      <c r="A1015" s="13">
        <v>72045</v>
      </c>
      <c r="B1015" s="8">
        <f>CHOOSE( CONTROL!$C$32, 36.024, 36.0237) * CHOOSE(CONTROL!$C$15, $D$11, 100%, $F$11)</f>
        <v>36.024000000000001</v>
      </c>
      <c r="C1015" s="8">
        <f>CHOOSE( CONTROL!$C$32, 36.0291, 36.0288) * CHOOSE(CONTROL!$C$15, $D$11, 100%, $F$11)</f>
        <v>36.0291</v>
      </c>
      <c r="D1015" s="8">
        <f>CHOOSE( CONTROL!$C$32, 36.0164, 36.0161) * CHOOSE( CONTROL!$C$15, $D$11, 100%, $F$11)</f>
        <v>36.016399999999997</v>
      </c>
      <c r="E1015" s="12">
        <f>CHOOSE( CONTROL!$C$32, 36.0205, 36.0202) * CHOOSE( CONTROL!$C$15, $D$11, 100%, $F$11)</f>
        <v>36.020499999999998</v>
      </c>
      <c r="F1015" s="4">
        <f>CHOOSE( CONTROL!$C$32, 36.6893, 36.689) * CHOOSE(CONTROL!$C$15, $D$11, 100%, $F$11)</f>
        <v>36.689300000000003</v>
      </c>
      <c r="G1015" s="8">
        <f>CHOOSE( CONTROL!$C$32, 35.6086, 35.6083) * CHOOSE( CONTROL!$C$15, $D$11, 100%, $F$11)</f>
        <v>35.608600000000003</v>
      </c>
      <c r="H1015" s="4">
        <f>CHOOSE( CONTROL!$C$32, 36.5063, 36.506) * CHOOSE(CONTROL!$C$15, $D$11, 100%, $F$11)</f>
        <v>36.506300000000003</v>
      </c>
      <c r="I1015" s="8">
        <f>CHOOSE( CONTROL!$C$32, 35.1005, 35.1002) * CHOOSE(CONTROL!$C$15, $D$11, 100%, $F$11)</f>
        <v>35.100499999999997</v>
      </c>
      <c r="J1015" s="4">
        <f>CHOOSE( CONTROL!$C$32, 34.9525, 34.9523) * CHOOSE(CONTROL!$C$15, $D$11, 100%, $F$11)</f>
        <v>34.952500000000001</v>
      </c>
      <c r="K1015" s="4"/>
      <c r="L1015" s="9">
        <v>29.306000000000001</v>
      </c>
      <c r="M1015" s="9">
        <v>12.063700000000001</v>
      </c>
      <c r="N1015" s="9">
        <v>4.9444999999999997</v>
      </c>
      <c r="O1015" s="9">
        <v>0.37409999999999999</v>
      </c>
      <c r="P1015" s="9">
        <v>1.2927</v>
      </c>
      <c r="Q1015" s="9">
        <v>19.688099999999999</v>
      </c>
      <c r="R1015" s="9"/>
      <c r="S1015" s="11"/>
    </row>
    <row r="1016" spans="1:19" ht="15.75">
      <c r="A1016" s="13">
        <v>72075</v>
      </c>
      <c r="B1016" s="8">
        <f>CHOOSE( CONTROL!$C$32, 36.5721, 36.5719) * CHOOSE(CONTROL!$C$15, $D$11, 100%, $F$11)</f>
        <v>36.572099999999999</v>
      </c>
      <c r="C1016" s="8">
        <f>CHOOSE( CONTROL!$C$32, 36.5766, 36.5764) * CHOOSE(CONTROL!$C$15, $D$11, 100%, $F$11)</f>
        <v>36.576599999999999</v>
      </c>
      <c r="D1016" s="8">
        <f>CHOOSE( CONTROL!$C$32, 36.5815, 36.5812) * CHOOSE( CONTROL!$C$15, $D$11, 100%, $F$11)</f>
        <v>36.581499999999998</v>
      </c>
      <c r="E1016" s="12">
        <f>CHOOSE( CONTROL!$C$32, 36.5794, 36.5791) * CHOOSE( CONTROL!$C$15, $D$11, 100%, $F$11)</f>
        <v>36.5794</v>
      </c>
      <c r="F1016" s="4">
        <f>CHOOSE( CONTROL!$C$32, 37.2763, 37.2761) * CHOOSE(CONTROL!$C$15, $D$11, 100%, $F$11)</f>
        <v>37.276299999999999</v>
      </c>
      <c r="G1016" s="8">
        <f>CHOOSE( CONTROL!$C$32, 36.1553, 36.155) * CHOOSE( CONTROL!$C$15, $D$11, 100%, $F$11)</f>
        <v>36.155299999999997</v>
      </c>
      <c r="H1016" s="4">
        <f>CHOOSE( CONTROL!$C$32, 37.0864, 37.0862) * CHOOSE(CONTROL!$C$15, $D$11, 100%, $F$11)</f>
        <v>37.086399999999998</v>
      </c>
      <c r="I1016" s="8">
        <f>CHOOSE( CONTROL!$C$32, 35.6062, 35.606) * CHOOSE(CONTROL!$C$15, $D$11, 100%, $F$11)</f>
        <v>35.606200000000001</v>
      </c>
      <c r="J1016" s="4">
        <f>CHOOSE( CONTROL!$C$32, 35.4838, 35.4835) * CHOOSE(CONTROL!$C$15, $D$11, 100%, $F$11)</f>
        <v>35.483800000000002</v>
      </c>
      <c r="K1016" s="4"/>
      <c r="L1016" s="9">
        <v>30.092199999999998</v>
      </c>
      <c r="M1016" s="9">
        <v>11.6745</v>
      </c>
      <c r="N1016" s="9">
        <v>4.7850000000000001</v>
      </c>
      <c r="O1016" s="9">
        <v>0.36199999999999999</v>
      </c>
      <c r="P1016" s="9">
        <v>1.2509999999999999</v>
      </c>
      <c r="Q1016" s="9">
        <v>19.053000000000001</v>
      </c>
      <c r="R1016" s="9"/>
      <c r="S1016" s="11"/>
    </row>
    <row r="1017" spans="1:19" ht="15.75">
      <c r="A1017" s="13">
        <v>72106</v>
      </c>
      <c r="B1017" s="8">
        <f>CHOOSE( CONTROL!$C$32, 37.5479, 37.5474) * CHOOSE(CONTROL!$C$15, $D$11, 100%, $F$11)</f>
        <v>37.547899999999998</v>
      </c>
      <c r="C1017" s="8">
        <f>CHOOSE( CONTROL!$C$32, 37.5559, 37.5554) * CHOOSE(CONTROL!$C$15, $D$11, 100%, $F$11)</f>
        <v>37.555900000000001</v>
      </c>
      <c r="D1017" s="8">
        <f>CHOOSE( CONTROL!$C$32, 37.5547, 37.5542) * CHOOSE( CONTROL!$C$15, $D$11, 100%, $F$11)</f>
        <v>37.554699999999997</v>
      </c>
      <c r="E1017" s="12">
        <f>CHOOSE( CONTROL!$C$32, 37.5539, 37.5534) * CHOOSE( CONTROL!$C$15, $D$11, 100%, $F$11)</f>
        <v>37.553899999999999</v>
      </c>
      <c r="F1017" s="4">
        <f>CHOOSE( CONTROL!$C$32, 38.2507, 38.2503) * CHOOSE(CONTROL!$C$15, $D$11, 100%, $F$11)</f>
        <v>38.250700000000002</v>
      </c>
      <c r="G1017" s="8">
        <f>CHOOSE( CONTROL!$C$32, 37.1181, 37.1177) * CHOOSE( CONTROL!$C$15, $D$11, 100%, $F$11)</f>
        <v>37.118099999999998</v>
      </c>
      <c r="H1017" s="4">
        <f>CHOOSE( CONTROL!$C$32, 38.0494, 38.049) * CHOOSE(CONTROL!$C$15, $D$11, 100%, $F$11)</f>
        <v>38.049399999999999</v>
      </c>
      <c r="I1017" s="8">
        <f>CHOOSE( CONTROL!$C$32, 36.5515, 36.5511) * CHOOSE(CONTROL!$C$15, $D$11, 100%, $F$11)</f>
        <v>36.551499999999997</v>
      </c>
      <c r="J1017" s="4">
        <f>CHOOSE( CONTROL!$C$32, 36.4294, 36.429) * CHOOSE(CONTROL!$C$15, $D$11, 100%, $F$11)</f>
        <v>36.429400000000001</v>
      </c>
      <c r="K1017" s="4"/>
      <c r="L1017" s="9">
        <v>30.7165</v>
      </c>
      <c r="M1017" s="9">
        <v>12.063700000000001</v>
      </c>
      <c r="N1017" s="9">
        <v>4.9444999999999997</v>
      </c>
      <c r="O1017" s="9">
        <v>0.37409999999999999</v>
      </c>
      <c r="P1017" s="9">
        <v>1.2927</v>
      </c>
      <c r="Q1017" s="9">
        <v>19.688099999999999</v>
      </c>
      <c r="R1017" s="9"/>
      <c r="S1017" s="11"/>
    </row>
    <row r="1018" spans="1:19" ht="15.75">
      <c r="A1018" s="13">
        <v>72136</v>
      </c>
      <c r="B1018" s="8">
        <f>CHOOSE( CONTROL!$C$32, 36.9444, 36.944) * CHOOSE(CONTROL!$C$15, $D$11, 100%, $F$11)</f>
        <v>36.944400000000002</v>
      </c>
      <c r="C1018" s="8">
        <f>CHOOSE( CONTROL!$C$32, 36.9524, 36.9519) * CHOOSE(CONTROL!$C$15, $D$11, 100%, $F$11)</f>
        <v>36.952399999999997</v>
      </c>
      <c r="D1018" s="8">
        <f>CHOOSE( CONTROL!$C$32, 36.9514, 36.9509) * CHOOSE( CONTROL!$C$15, $D$11, 100%, $F$11)</f>
        <v>36.9514</v>
      </c>
      <c r="E1018" s="12">
        <f>CHOOSE( CONTROL!$C$32, 36.9505, 36.9501) * CHOOSE( CONTROL!$C$15, $D$11, 100%, $F$11)</f>
        <v>36.950499999999998</v>
      </c>
      <c r="F1018" s="4">
        <f>CHOOSE( CONTROL!$C$32, 37.6472, 37.6468) * CHOOSE(CONTROL!$C$15, $D$11, 100%, $F$11)</f>
        <v>37.647199999999998</v>
      </c>
      <c r="G1018" s="8">
        <f>CHOOSE( CONTROL!$C$32, 36.5218, 36.5214) * CHOOSE( CONTROL!$C$15, $D$11, 100%, $F$11)</f>
        <v>36.521799999999999</v>
      </c>
      <c r="H1018" s="4">
        <f>CHOOSE( CONTROL!$C$32, 37.453, 37.4525) * CHOOSE(CONTROL!$C$15, $D$11, 100%, $F$11)</f>
        <v>37.453000000000003</v>
      </c>
      <c r="I1018" s="8">
        <f>CHOOSE( CONTROL!$C$32, 35.9662, 35.9657) * CHOOSE(CONTROL!$C$15, $D$11, 100%, $F$11)</f>
        <v>35.966200000000001</v>
      </c>
      <c r="J1018" s="4">
        <f>CHOOSE( CONTROL!$C$32, 35.8437, 35.8433) * CHOOSE(CONTROL!$C$15, $D$11, 100%, $F$11)</f>
        <v>35.843699999999998</v>
      </c>
      <c r="K1018" s="4"/>
      <c r="L1018" s="9">
        <v>29.7257</v>
      </c>
      <c r="M1018" s="9">
        <v>11.6745</v>
      </c>
      <c r="N1018" s="9">
        <v>4.7850000000000001</v>
      </c>
      <c r="O1018" s="9">
        <v>0.36199999999999999</v>
      </c>
      <c r="P1018" s="9">
        <v>1.2509999999999999</v>
      </c>
      <c r="Q1018" s="9">
        <v>19.053000000000001</v>
      </c>
      <c r="R1018" s="9"/>
      <c r="S1018" s="11"/>
    </row>
    <row r="1019" spans="1:19" ht="15.75">
      <c r="A1019" s="13">
        <v>72167</v>
      </c>
      <c r="B1019" s="8">
        <f>CHOOSE( CONTROL!$C$32, 38.5336, 38.5332) * CHOOSE(CONTROL!$C$15, $D$11, 100%, $F$11)</f>
        <v>38.5336</v>
      </c>
      <c r="C1019" s="8">
        <f>CHOOSE( CONTROL!$C$32, 38.5416, 38.5412) * CHOOSE(CONTROL!$C$15, $D$11, 100%, $F$11)</f>
        <v>38.541600000000003</v>
      </c>
      <c r="D1019" s="8">
        <f>CHOOSE( CONTROL!$C$32, 38.5408, 38.5404) * CHOOSE( CONTROL!$C$15, $D$11, 100%, $F$11)</f>
        <v>38.540799999999997</v>
      </c>
      <c r="E1019" s="12">
        <f>CHOOSE( CONTROL!$C$32, 38.5399, 38.5395) * CHOOSE( CONTROL!$C$15, $D$11, 100%, $F$11)</f>
        <v>38.539900000000003</v>
      </c>
      <c r="F1019" s="4">
        <f>CHOOSE( CONTROL!$C$32, 39.2365, 39.236) * CHOOSE(CONTROL!$C$15, $D$11, 100%, $F$11)</f>
        <v>39.236499999999999</v>
      </c>
      <c r="G1019" s="8">
        <f>CHOOSE( CONTROL!$C$32, 38.0926, 38.0922) * CHOOSE( CONTROL!$C$15, $D$11, 100%, $F$11)</f>
        <v>38.092599999999997</v>
      </c>
      <c r="H1019" s="4">
        <f>CHOOSE( CONTROL!$C$32, 39.0236, 39.0232) * CHOOSE(CONTROL!$C$15, $D$11, 100%, $F$11)</f>
        <v>39.023600000000002</v>
      </c>
      <c r="I1019" s="8">
        <f>CHOOSE( CONTROL!$C$32, 37.5101, 37.5096) * CHOOSE(CONTROL!$C$15, $D$11, 100%, $F$11)</f>
        <v>37.510100000000001</v>
      </c>
      <c r="J1019" s="4">
        <f>CHOOSE( CONTROL!$C$32, 37.3861, 37.3856) * CHOOSE(CONTROL!$C$15, $D$11, 100%, $F$11)</f>
        <v>37.386099999999999</v>
      </c>
      <c r="K1019" s="4"/>
      <c r="L1019" s="9">
        <v>30.7165</v>
      </c>
      <c r="M1019" s="9">
        <v>12.063700000000001</v>
      </c>
      <c r="N1019" s="9">
        <v>4.9444999999999997</v>
      </c>
      <c r="O1019" s="9">
        <v>0.37409999999999999</v>
      </c>
      <c r="P1019" s="9">
        <v>1.2927</v>
      </c>
      <c r="Q1019" s="9">
        <v>19.688099999999999</v>
      </c>
      <c r="R1019" s="9"/>
      <c r="S1019" s="11"/>
    </row>
    <row r="1020" spans="1:19" ht="15.75">
      <c r="A1020" s="13">
        <v>72198</v>
      </c>
      <c r="B1020" s="8">
        <f>CHOOSE( CONTROL!$C$32, 35.56, 35.5596) * CHOOSE(CONTROL!$C$15, $D$11, 100%, $F$11)</f>
        <v>35.56</v>
      </c>
      <c r="C1020" s="8">
        <f>CHOOSE( CONTROL!$C$32, 35.568, 35.5675) * CHOOSE(CONTROL!$C$15, $D$11, 100%, $F$11)</f>
        <v>35.567999999999998</v>
      </c>
      <c r="D1020" s="8">
        <f>CHOOSE( CONTROL!$C$32, 35.5673, 35.5668) * CHOOSE( CONTROL!$C$15, $D$11, 100%, $F$11)</f>
        <v>35.567300000000003</v>
      </c>
      <c r="E1020" s="12">
        <f>CHOOSE( CONTROL!$C$32, 35.5663, 35.5658) * CHOOSE( CONTROL!$C$15, $D$11, 100%, $F$11)</f>
        <v>35.566299999999998</v>
      </c>
      <c r="F1020" s="4">
        <f>CHOOSE( CONTROL!$C$32, 36.2628, 36.2624) * CHOOSE(CONTROL!$C$15, $D$11, 100%, $F$11)</f>
        <v>36.262799999999999</v>
      </c>
      <c r="G1020" s="8">
        <f>CHOOSE( CONTROL!$C$32, 35.1539, 35.1534) * CHOOSE( CONTROL!$C$15, $D$11, 100%, $F$11)</f>
        <v>35.1539</v>
      </c>
      <c r="H1020" s="4">
        <f>CHOOSE( CONTROL!$C$32, 36.0848, 36.0844) * CHOOSE(CONTROL!$C$15, $D$11, 100%, $F$11)</f>
        <v>36.084800000000001</v>
      </c>
      <c r="I1020" s="8">
        <f>CHOOSE( CONTROL!$C$32, 34.6229, 34.6225) * CHOOSE(CONTROL!$C$15, $D$11, 100%, $F$11)</f>
        <v>34.622900000000001</v>
      </c>
      <c r="J1020" s="4">
        <f>CHOOSE( CONTROL!$C$32, 34.5002, 34.4997) * CHOOSE(CONTROL!$C$15, $D$11, 100%, $F$11)</f>
        <v>34.5002</v>
      </c>
      <c r="K1020" s="4"/>
      <c r="L1020" s="9">
        <v>30.7165</v>
      </c>
      <c r="M1020" s="9">
        <v>12.063700000000001</v>
      </c>
      <c r="N1020" s="9">
        <v>4.9444999999999997</v>
      </c>
      <c r="O1020" s="9">
        <v>0.37409999999999999</v>
      </c>
      <c r="P1020" s="9">
        <v>1.2927</v>
      </c>
      <c r="Q1020" s="9">
        <v>19.688099999999999</v>
      </c>
      <c r="R1020" s="9"/>
      <c r="S1020" s="11"/>
    </row>
    <row r="1021" spans="1:19" ht="15.75">
      <c r="A1021" s="13">
        <v>72228</v>
      </c>
      <c r="B1021" s="8">
        <f>CHOOSE( CONTROL!$C$32, 34.8154, 34.8149) * CHOOSE(CONTROL!$C$15, $D$11, 100%, $F$11)</f>
        <v>34.815399999999997</v>
      </c>
      <c r="C1021" s="8">
        <f>CHOOSE( CONTROL!$C$32, 34.8234, 34.8229) * CHOOSE(CONTROL!$C$15, $D$11, 100%, $F$11)</f>
        <v>34.823399999999999</v>
      </c>
      <c r="D1021" s="8">
        <f>CHOOSE( CONTROL!$C$32, 34.8225, 34.822) * CHOOSE( CONTROL!$C$15, $D$11, 100%, $F$11)</f>
        <v>34.822499999999998</v>
      </c>
      <c r="E1021" s="12">
        <f>CHOOSE( CONTROL!$C$32, 34.8216, 34.8211) * CHOOSE( CONTROL!$C$15, $D$11, 100%, $F$11)</f>
        <v>34.821599999999997</v>
      </c>
      <c r="F1021" s="4">
        <f>CHOOSE( CONTROL!$C$32, 35.5182, 35.5178) * CHOOSE(CONTROL!$C$15, $D$11, 100%, $F$11)</f>
        <v>35.5182</v>
      </c>
      <c r="G1021" s="8">
        <f>CHOOSE( CONTROL!$C$32, 34.4178, 34.4174) * CHOOSE( CONTROL!$C$15, $D$11, 100%, $F$11)</f>
        <v>34.4178</v>
      </c>
      <c r="H1021" s="4">
        <f>CHOOSE( CONTROL!$C$32, 35.3489, 35.3485) * CHOOSE(CONTROL!$C$15, $D$11, 100%, $F$11)</f>
        <v>35.3489</v>
      </c>
      <c r="I1021" s="8">
        <f>CHOOSE( CONTROL!$C$32, 33.8994, 33.899) * CHOOSE(CONTROL!$C$15, $D$11, 100%, $F$11)</f>
        <v>33.8994</v>
      </c>
      <c r="J1021" s="4">
        <f>CHOOSE( CONTROL!$C$32, 33.7775, 33.7771) * CHOOSE(CONTROL!$C$15, $D$11, 100%, $F$11)</f>
        <v>33.777500000000003</v>
      </c>
      <c r="K1021" s="4"/>
      <c r="L1021" s="9">
        <v>29.7257</v>
      </c>
      <c r="M1021" s="9">
        <v>11.6745</v>
      </c>
      <c r="N1021" s="9">
        <v>4.7850000000000001</v>
      </c>
      <c r="O1021" s="9">
        <v>0.36199999999999999</v>
      </c>
      <c r="P1021" s="9">
        <v>1.2509999999999999</v>
      </c>
      <c r="Q1021" s="9">
        <v>19.053000000000001</v>
      </c>
      <c r="R1021" s="9"/>
      <c r="S1021" s="11"/>
    </row>
    <row r="1022" spans="1:19" ht="15.75">
      <c r="A1022" s="13">
        <v>72259</v>
      </c>
      <c r="B1022" s="8">
        <f>CHOOSE( CONTROL!$C$32, 36.3596, 36.3593) * CHOOSE(CONTROL!$C$15, $D$11, 100%, $F$11)</f>
        <v>36.3596</v>
      </c>
      <c r="C1022" s="8">
        <f>CHOOSE( CONTROL!$C$32, 36.3649, 36.3646) * CHOOSE(CONTROL!$C$15, $D$11, 100%, $F$11)</f>
        <v>36.364899999999999</v>
      </c>
      <c r="D1022" s="8">
        <f>CHOOSE( CONTROL!$C$32, 36.3696, 36.3693) * CHOOSE( CONTROL!$C$15, $D$11, 100%, $F$11)</f>
        <v>36.369599999999998</v>
      </c>
      <c r="E1022" s="12">
        <f>CHOOSE( CONTROL!$C$32, 36.3675, 36.3672) * CHOOSE( CONTROL!$C$15, $D$11, 100%, $F$11)</f>
        <v>36.3675</v>
      </c>
      <c r="F1022" s="4">
        <f>CHOOSE( CONTROL!$C$32, 37.0641, 37.0639) * CHOOSE(CONTROL!$C$15, $D$11, 100%, $F$11)</f>
        <v>37.064100000000003</v>
      </c>
      <c r="G1022" s="8">
        <f>CHOOSE( CONTROL!$C$32, 35.9458, 35.9456) * CHOOSE( CONTROL!$C$15, $D$11, 100%, $F$11)</f>
        <v>35.945799999999998</v>
      </c>
      <c r="H1022" s="4">
        <f>CHOOSE( CONTROL!$C$32, 36.8767, 36.8765) * CHOOSE(CONTROL!$C$15, $D$11, 100%, $F$11)</f>
        <v>36.8767</v>
      </c>
      <c r="I1022" s="8">
        <f>CHOOSE( CONTROL!$C$32, 35.4013, 35.401) * CHOOSE(CONTROL!$C$15, $D$11, 100%, $F$11)</f>
        <v>35.401299999999999</v>
      </c>
      <c r="J1022" s="4">
        <f>CHOOSE( CONTROL!$C$32, 35.2778, 35.2776) * CHOOSE(CONTROL!$C$15, $D$11, 100%, $F$11)</f>
        <v>35.277799999999999</v>
      </c>
      <c r="K1022" s="4"/>
      <c r="L1022" s="9">
        <v>31.095300000000002</v>
      </c>
      <c r="M1022" s="9">
        <v>12.063700000000001</v>
      </c>
      <c r="N1022" s="9">
        <v>4.9444999999999997</v>
      </c>
      <c r="O1022" s="9">
        <v>0.37409999999999999</v>
      </c>
      <c r="P1022" s="9">
        <v>1.2927</v>
      </c>
      <c r="Q1022" s="9">
        <v>19.688099999999999</v>
      </c>
      <c r="R1022" s="9"/>
      <c r="S1022" s="11"/>
    </row>
    <row r="1023" spans="1:19" ht="15.75">
      <c r="A1023" s="13">
        <v>72289</v>
      </c>
      <c r="B1023" s="8">
        <f>CHOOSE( CONTROL!$C$32, 39.213, 39.2127) * CHOOSE(CONTROL!$C$15, $D$11, 100%, $F$11)</f>
        <v>39.213000000000001</v>
      </c>
      <c r="C1023" s="8">
        <f>CHOOSE( CONTROL!$C$32, 39.2181, 39.2178) * CHOOSE(CONTROL!$C$15, $D$11, 100%, $F$11)</f>
        <v>39.2181</v>
      </c>
      <c r="D1023" s="8">
        <f>CHOOSE( CONTROL!$C$32, 39.2008, 39.2005) * CHOOSE( CONTROL!$C$15, $D$11, 100%, $F$11)</f>
        <v>39.200800000000001</v>
      </c>
      <c r="E1023" s="12">
        <f>CHOOSE( CONTROL!$C$32, 39.2066, 39.2063) * CHOOSE( CONTROL!$C$15, $D$11, 100%, $F$11)</f>
        <v>39.206600000000002</v>
      </c>
      <c r="F1023" s="4">
        <f>CHOOSE( CONTROL!$C$32, 39.8783, 39.878) * CHOOSE(CONTROL!$C$15, $D$11, 100%, $F$11)</f>
        <v>39.878300000000003</v>
      </c>
      <c r="G1023" s="8">
        <f>CHOOSE( CONTROL!$C$32, 38.7631, 38.7629) * CHOOSE( CONTROL!$C$15, $D$11, 100%, $F$11)</f>
        <v>38.763100000000001</v>
      </c>
      <c r="H1023" s="4">
        <f>CHOOSE( CONTROL!$C$32, 39.6579, 39.6576) * CHOOSE(CONTROL!$C$15, $D$11, 100%, $F$11)</f>
        <v>39.657899999999998</v>
      </c>
      <c r="I1023" s="8">
        <f>CHOOSE( CONTROL!$C$32, 38.2279, 38.2276) * CHOOSE(CONTROL!$C$15, $D$11, 100%, $F$11)</f>
        <v>38.227899999999998</v>
      </c>
      <c r="J1023" s="4">
        <f>CHOOSE( CONTROL!$C$32, 38.0474, 38.0472) * CHOOSE(CONTROL!$C$15, $D$11, 100%, $F$11)</f>
        <v>38.047400000000003</v>
      </c>
      <c r="K1023" s="4"/>
      <c r="L1023" s="9">
        <v>28.360600000000002</v>
      </c>
      <c r="M1023" s="9">
        <v>11.6745</v>
      </c>
      <c r="N1023" s="9">
        <v>4.7850000000000001</v>
      </c>
      <c r="O1023" s="9">
        <v>0.36199999999999999</v>
      </c>
      <c r="P1023" s="9">
        <v>1.2509999999999999</v>
      </c>
      <c r="Q1023" s="9">
        <v>19.053000000000001</v>
      </c>
      <c r="R1023" s="9"/>
      <c r="S1023" s="11"/>
    </row>
    <row r="1024" spans="1:19" ht="15.75">
      <c r="A1024" s="13">
        <v>72320</v>
      </c>
      <c r="B1024" s="8">
        <f>CHOOSE( CONTROL!$C$32, 39.1417, 39.1414) * CHOOSE(CONTROL!$C$15, $D$11, 100%, $F$11)</f>
        <v>39.1417</v>
      </c>
      <c r="C1024" s="8">
        <f>CHOOSE( CONTROL!$C$32, 39.1468, 39.1465) * CHOOSE(CONTROL!$C$15, $D$11, 100%, $F$11)</f>
        <v>39.146799999999999</v>
      </c>
      <c r="D1024" s="8">
        <f>CHOOSE( CONTROL!$C$32, 39.1313, 39.131) * CHOOSE( CONTROL!$C$15, $D$11, 100%, $F$11)</f>
        <v>39.131300000000003</v>
      </c>
      <c r="E1024" s="12">
        <f>CHOOSE( CONTROL!$C$32, 39.1364, 39.1361) * CHOOSE( CONTROL!$C$15, $D$11, 100%, $F$11)</f>
        <v>39.136400000000002</v>
      </c>
      <c r="F1024" s="4">
        <f>CHOOSE( CONTROL!$C$32, 39.807, 39.8067) * CHOOSE(CONTROL!$C$15, $D$11, 100%, $F$11)</f>
        <v>39.807000000000002</v>
      </c>
      <c r="G1024" s="8">
        <f>CHOOSE( CONTROL!$C$32, 38.694, 38.6937) * CHOOSE( CONTROL!$C$15, $D$11, 100%, $F$11)</f>
        <v>38.694000000000003</v>
      </c>
      <c r="H1024" s="4">
        <f>CHOOSE( CONTROL!$C$32, 39.5874, 39.5872) * CHOOSE(CONTROL!$C$15, $D$11, 100%, $F$11)</f>
        <v>39.587400000000002</v>
      </c>
      <c r="I1024" s="8">
        <f>CHOOSE( CONTROL!$C$32, 38.1643, 38.164) * CHOOSE(CONTROL!$C$15, $D$11, 100%, $F$11)</f>
        <v>38.164299999999997</v>
      </c>
      <c r="J1024" s="4">
        <f>CHOOSE( CONTROL!$C$32, 37.9782, 37.978) * CHOOSE(CONTROL!$C$15, $D$11, 100%, $F$11)</f>
        <v>37.978200000000001</v>
      </c>
      <c r="K1024" s="4"/>
      <c r="L1024" s="9">
        <v>29.306000000000001</v>
      </c>
      <c r="M1024" s="9">
        <v>12.063700000000001</v>
      </c>
      <c r="N1024" s="9">
        <v>4.9444999999999997</v>
      </c>
      <c r="O1024" s="9">
        <v>0.37409999999999999</v>
      </c>
      <c r="P1024" s="9">
        <v>1.2927</v>
      </c>
      <c r="Q1024" s="9">
        <v>19.688099999999999</v>
      </c>
      <c r="R1024" s="9"/>
      <c r="S1024" s="11"/>
    </row>
    <row r="1025" spans="1:19" ht="15.75">
      <c r="A1025" s="13">
        <v>72351</v>
      </c>
      <c r="B1025" s="8">
        <f>CHOOSE( CONTROL!$C$32, 40.296, 40.2957) * CHOOSE(CONTROL!$C$15, $D$11, 100%, $F$11)</f>
        <v>40.295999999999999</v>
      </c>
      <c r="C1025" s="8">
        <f>CHOOSE( CONTROL!$C$32, 40.301, 40.3008) * CHOOSE(CONTROL!$C$15, $D$11, 100%, $F$11)</f>
        <v>40.301000000000002</v>
      </c>
      <c r="D1025" s="8">
        <f>CHOOSE( CONTROL!$C$32, 40.2915, 40.2912) * CHOOSE( CONTROL!$C$15, $D$11, 100%, $F$11)</f>
        <v>40.291499999999999</v>
      </c>
      <c r="E1025" s="12">
        <f>CHOOSE( CONTROL!$C$32, 40.2944, 40.2942) * CHOOSE( CONTROL!$C$15, $D$11, 100%, $F$11)</f>
        <v>40.294400000000003</v>
      </c>
      <c r="F1025" s="4">
        <f>CHOOSE( CONTROL!$C$32, 40.9612, 40.961) * CHOOSE(CONTROL!$C$15, $D$11, 100%, $F$11)</f>
        <v>40.961199999999998</v>
      </c>
      <c r="G1025" s="8">
        <f>CHOOSE( CONTROL!$C$32, 39.8354, 39.8352) * CHOOSE( CONTROL!$C$15, $D$11, 100%, $F$11)</f>
        <v>39.8354</v>
      </c>
      <c r="H1025" s="4">
        <f>CHOOSE( CONTROL!$C$32, 40.7282, 40.7279) * CHOOSE(CONTROL!$C$15, $D$11, 100%, $F$11)</f>
        <v>40.728200000000001</v>
      </c>
      <c r="I1025" s="8">
        <f>CHOOSE( CONTROL!$C$32, 39.2655, 39.2652) * CHOOSE(CONTROL!$C$15, $D$11, 100%, $F$11)</f>
        <v>39.265500000000003</v>
      </c>
      <c r="J1025" s="4">
        <f>CHOOSE( CONTROL!$C$32, 39.0985, 39.0982) * CHOOSE(CONTROL!$C$15, $D$11, 100%, $F$11)</f>
        <v>39.098500000000001</v>
      </c>
      <c r="K1025" s="4"/>
      <c r="L1025" s="9">
        <v>29.306000000000001</v>
      </c>
      <c r="M1025" s="9">
        <v>12.063700000000001</v>
      </c>
      <c r="N1025" s="9">
        <v>4.9444999999999997</v>
      </c>
      <c r="O1025" s="9">
        <v>0.37409999999999999</v>
      </c>
      <c r="P1025" s="9">
        <v>1.2927</v>
      </c>
      <c r="Q1025" s="9">
        <v>19.688099999999999</v>
      </c>
      <c r="R1025" s="9"/>
      <c r="S1025" s="11"/>
    </row>
    <row r="1026" spans="1:19" ht="15.75">
      <c r="A1026" s="13">
        <v>72379</v>
      </c>
      <c r="B1026" s="8">
        <f>CHOOSE( CONTROL!$C$32, 37.6915, 37.6912) * CHOOSE(CONTROL!$C$15, $D$11, 100%, $F$11)</f>
        <v>37.691499999999998</v>
      </c>
      <c r="C1026" s="8">
        <f>CHOOSE( CONTROL!$C$32, 37.6966, 37.6963) * CHOOSE(CONTROL!$C$15, $D$11, 100%, $F$11)</f>
        <v>37.696599999999997</v>
      </c>
      <c r="D1026" s="8">
        <f>CHOOSE( CONTROL!$C$32, 37.6887, 37.6884) * CHOOSE( CONTROL!$C$15, $D$11, 100%, $F$11)</f>
        <v>37.688699999999997</v>
      </c>
      <c r="E1026" s="12">
        <f>CHOOSE( CONTROL!$C$32, 37.691, 37.6907) * CHOOSE( CONTROL!$C$15, $D$11, 100%, $F$11)</f>
        <v>37.691000000000003</v>
      </c>
      <c r="F1026" s="4">
        <f>CHOOSE( CONTROL!$C$32, 38.3568, 38.3565) * CHOOSE(CONTROL!$C$15, $D$11, 100%, $F$11)</f>
        <v>38.3568</v>
      </c>
      <c r="G1026" s="8">
        <f>CHOOSE( CONTROL!$C$32, 37.26, 37.2597) * CHOOSE( CONTROL!$C$15, $D$11, 100%, $F$11)</f>
        <v>37.26</v>
      </c>
      <c r="H1026" s="4">
        <f>CHOOSE( CONTROL!$C$32, 38.1542, 38.154) * CHOOSE(CONTROL!$C$15, $D$11, 100%, $F$11)</f>
        <v>38.154200000000003</v>
      </c>
      <c r="I1026" s="8">
        <f>CHOOSE( CONTROL!$C$32, 36.7212, 36.721) * CHOOSE(CONTROL!$C$15, $D$11, 100%, $F$11)</f>
        <v>36.721200000000003</v>
      </c>
      <c r="J1026" s="4">
        <f>CHOOSE( CONTROL!$C$32, 36.5708, 36.5706) * CHOOSE(CONTROL!$C$15, $D$11, 100%, $F$11)</f>
        <v>36.570799999999998</v>
      </c>
      <c r="K1026" s="4"/>
      <c r="L1026" s="9">
        <v>26.469899999999999</v>
      </c>
      <c r="M1026" s="9">
        <v>10.8962</v>
      </c>
      <c r="N1026" s="9">
        <v>4.4660000000000002</v>
      </c>
      <c r="O1026" s="9">
        <v>0.33789999999999998</v>
      </c>
      <c r="P1026" s="9">
        <v>1.1676</v>
      </c>
      <c r="Q1026" s="9">
        <v>17.782800000000002</v>
      </c>
      <c r="R1026" s="9"/>
      <c r="S1026" s="11"/>
    </row>
    <row r="1027" spans="1:19" ht="15.75">
      <c r="A1027" s="13">
        <v>72410</v>
      </c>
      <c r="B1027" s="8">
        <f>CHOOSE( CONTROL!$C$32, 36.8893, 36.8891) * CHOOSE(CONTROL!$C$15, $D$11, 100%, $F$11)</f>
        <v>36.889299999999999</v>
      </c>
      <c r="C1027" s="8">
        <f>CHOOSE( CONTROL!$C$32, 36.8944, 36.8941) * CHOOSE(CONTROL!$C$15, $D$11, 100%, $F$11)</f>
        <v>36.894399999999997</v>
      </c>
      <c r="D1027" s="8">
        <f>CHOOSE( CONTROL!$C$32, 36.8817, 36.8814) * CHOOSE( CONTROL!$C$15, $D$11, 100%, $F$11)</f>
        <v>36.881700000000002</v>
      </c>
      <c r="E1027" s="12">
        <f>CHOOSE( CONTROL!$C$32, 36.8858, 36.8855) * CHOOSE( CONTROL!$C$15, $D$11, 100%, $F$11)</f>
        <v>36.885800000000003</v>
      </c>
      <c r="F1027" s="4">
        <f>CHOOSE( CONTROL!$C$32, 37.5546, 37.5543) * CHOOSE(CONTROL!$C$15, $D$11, 100%, $F$11)</f>
        <v>37.554600000000001</v>
      </c>
      <c r="G1027" s="8">
        <f>CHOOSE( CONTROL!$C$32, 36.4638, 36.4635) * CHOOSE( CONTROL!$C$15, $D$11, 100%, $F$11)</f>
        <v>36.463799999999999</v>
      </c>
      <c r="H1027" s="4">
        <f>CHOOSE( CONTROL!$C$32, 37.3615, 37.3612) * CHOOSE(CONTROL!$C$15, $D$11, 100%, $F$11)</f>
        <v>37.361499999999999</v>
      </c>
      <c r="I1027" s="8">
        <f>CHOOSE( CONTROL!$C$32, 35.9407, 35.9405) * CHOOSE(CONTROL!$C$15, $D$11, 100%, $F$11)</f>
        <v>35.9407</v>
      </c>
      <c r="J1027" s="4">
        <f>CHOOSE( CONTROL!$C$32, 35.7923, 35.7921) * CHOOSE(CONTROL!$C$15, $D$11, 100%, $F$11)</f>
        <v>35.792299999999997</v>
      </c>
      <c r="K1027" s="4"/>
      <c r="L1027" s="9">
        <v>29.306000000000001</v>
      </c>
      <c r="M1027" s="9">
        <v>12.063700000000001</v>
      </c>
      <c r="N1027" s="9">
        <v>4.9444999999999997</v>
      </c>
      <c r="O1027" s="9">
        <v>0.37409999999999999</v>
      </c>
      <c r="P1027" s="9">
        <v>1.2927</v>
      </c>
      <c r="Q1027" s="9">
        <v>19.688099999999999</v>
      </c>
      <c r="R1027" s="9"/>
      <c r="S1027" s="11"/>
    </row>
    <row r="1028" spans="1:19" ht="15.75">
      <c r="A1028" s="13">
        <v>72440</v>
      </c>
      <c r="B1028" s="8">
        <f>CHOOSE( CONTROL!$C$32, 37.4506, 37.4504) * CHOOSE(CONTROL!$C$15, $D$11, 100%, $F$11)</f>
        <v>37.450600000000001</v>
      </c>
      <c r="C1028" s="8">
        <f>CHOOSE( CONTROL!$C$32, 37.4551, 37.4549) * CHOOSE(CONTROL!$C$15, $D$11, 100%, $F$11)</f>
        <v>37.455100000000002</v>
      </c>
      <c r="D1028" s="8">
        <f>CHOOSE( CONTROL!$C$32, 37.46, 37.4597) * CHOOSE( CONTROL!$C$15, $D$11, 100%, $F$11)</f>
        <v>37.46</v>
      </c>
      <c r="E1028" s="12">
        <f>CHOOSE( CONTROL!$C$32, 37.4579, 37.4576) * CHOOSE( CONTROL!$C$15, $D$11, 100%, $F$11)</f>
        <v>37.457900000000002</v>
      </c>
      <c r="F1028" s="4">
        <f>CHOOSE( CONTROL!$C$32, 38.1548, 38.1545) * CHOOSE(CONTROL!$C$15, $D$11, 100%, $F$11)</f>
        <v>38.154800000000002</v>
      </c>
      <c r="G1028" s="8">
        <f>CHOOSE( CONTROL!$C$32, 37.0235, 37.0232) * CHOOSE( CONTROL!$C$15, $D$11, 100%, $F$11)</f>
        <v>37.023499999999999</v>
      </c>
      <c r="H1028" s="4">
        <f>CHOOSE( CONTROL!$C$32, 37.9546, 37.9544) * CHOOSE(CONTROL!$C$15, $D$11, 100%, $F$11)</f>
        <v>37.954599999999999</v>
      </c>
      <c r="I1028" s="8">
        <f>CHOOSE( CONTROL!$C$32, 36.4592, 36.459) * CHOOSE(CONTROL!$C$15, $D$11, 100%, $F$11)</f>
        <v>36.459200000000003</v>
      </c>
      <c r="J1028" s="4">
        <f>CHOOSE( CONTROL!$C$32, 36.3363, 36.3361) * CHOOSE(CONTROL!$C$15, $D$11, 100%, $F$11)</f>
        <v>36.336300000000001</v>
      </c>
      <c r="K1028" s="4"/>
      <c r="L1028" s="9">
        <v>30.092199999999998</v>
      </c>
      <c r="M1028" s="9">
        <v>11.6745</v>
      </c>
      <c r="N1028" s="9">
        <v>4.7850000000000001</v>
      </c>
      <c r="O1028" s="9">
        <v>0.36199999999999999</v>
      </c>
      <c r="P1028" s="9">
        <v>1.2509999999999999</v>
      </c>
      <c r="Q1028" s="9">
        <v>19.053000000000001</v>
      </c>
      <c r="R1028" s="9"/>
      <c r="S1028" s="11"/>
    </row>
    <row r="1029" spans="1:19" ht="15.75">
      <c r="A1029" s="13">
        <v>72471</v>
      </c>
      <c r="B1029" s="8">
        <f>CHOOSE( CONTROL!$C$32, 38.4498, 38.4494) * CHOOSE(CONTROL!$C$15, $D$11, 100%, $F$11)</f>
        <v>38.449800000000003</v>
      </c>
      <c r="C1029" s="8">
        <f>CHOOSE( CONTROL!$C$32, 38.4578, 38.4573) * CHOOSE(CONTROL!$C$15, $D$11, 100%, $F$11)</f>
        <v>38.457799999999999</v>
      </c>
      <c r="D1029" s="8">
        <f>CHOOSE( CONTROL!$C$32, 38.4566, 38.4561) * CHOOSE( CONTROL!$C$15, $D$11, 100%, $F$11)</f>
        <v>38.456600000000002</v>
      </c>
      <c r="E1029" s="12">
        <f>CHOOSE( CONTROL!$C$32, 38.4558, 38.4553) * CHOOSE( CONTROL!$C$15, $D$11, 100%, $F$11)</f>
        <v>38.455800000000004</v>
      </c>
      <c r="F1029" s="4">
        <f>CHOOSE( CONTROL!$C$32, 39.1526, 39.1522) * CHOOSE(CONTROL!$C$15, $D$11, 100%, $F$11)</f>
        <v>39.1526</v>
      </c>
      <c r="G1029" s="8">
        <f>CHOOSE( CONTROL!$C$32, 38.0094, 38.009) * CHOOSE( CONTROL!$C$15, $D$11, 100%, $F$11)</f>
        <v>38.009399999999999</v>
      </c>
      <c r="H1029" s="4">
        <f>CHOOSE( CONTROL!$C$32, 38.9408, 38.9403) * CHOOSE(CONTROL!$C$15, $D$11, 100%, $F$11)</f>
        <v>38.940800000000003</v>
      </c>
      <c r="I1029" s="8">
        <f>CHOOSE( CONTROL!$C$32, 37.4272, 37.4268) * CHOOSE(CONTROL!$C$15, $D$11, 100%, $F$11)</f>
        <v>37.427199999999999</v>
      </c>
      <c r="J1029" s="4">
        <f>CHOOSE( CONTROL!$C$32, 37.3047, 37.3043) * CHOOSE(CONTROL!$C$15, $D$11, 100%, $F$11)</f>
        <v>37.304699999999997</v>
      </c>
      <c r="K1029" s="4"/>
      <c r="L1029" s="9">
        <v>30.7165</v>
      </c>
      <c r="M1029" s="9">
        <v>12.063700000000001</v>
      </c>
      <c r="N1029" s="9">
        <v>4.9444999999999997</v>
      </c>
      <c r="O1029" s="9">
        <v>0.37409999999999999</v>
      </c>
      <c r="P1029" s="9">
        <v>1.2927</v>
      </c>
      <c r="Q1029" s="9">
        <v>19.688099999999999</v>
      </c>
      <c r="R1029" s="9"/>
      <c r="S1029" s="11"/>
    </row>
    <row r="1030" spans="1:19" ht="15.75">
      <c r="A1030" s="13">
        <v>72501</v>
      </c>
      <c r="B1030" s="8">
        <f>CHOOSE( CONTROL!$C$32, 37.8318, 37.8314) * CHOOSE(CONTROL!$C$15, $D$11, 100%, $F$11)</f>
        <v>37.831800000000001</v>
      </c>
      <c r="C1030" s="8">
        <f>CHOOSE( CONTROL!$C$32, 37.8398, 37.8393) * CHOOSE(CONTROL!$C$15, $D$11, 100%, $F$11)</f>
        <v>37.839799999999997</v>
      </c>
      <c r="D1030" s="8">
        <f>CHOOSE( CONTROL!$C$32, 37.8388, 37.8383) * CHOOSE( CONTROL!$C$15, $D$11, 100%, $F$11)</f>
        <v>37.838799999999999</v>
      </c>
      <c r="E1030" s="12">
        <f>CHOOSE( CONTROL!$C$32, 37.8379, 37.8375) * CHOOSE( CONTROL!$C$15, $D$11, 100%, $F$11)</f>
        <v>37.837899999999998</v>
      </c>
      <c r="F1030" s="4">
        <f>CHOOSE( CONTROL!$C$32, 38.5346, 38.5342) * CHOOSE(CONTROL!$C$15, $D$11, 100%, $F$11)</f>
        <v>38.534599999999998</v>
      </c>
      <c r="G1030" s="8">
        <f>CHOOSE( CONTROL!$C$32, 37.3988, 37.3984) * CHOOSE( CONTROL!$C$15, $D$11, 100%, $F$11)</f>
        <v>37.398800000000001</v>
      </c>
      <c r="H1030" s="4">
        <f>CHOOSE( CONTROL!$C$32, 38.33, 38.3296) * CHOOSE(CONTROL!$C$15, $D$11, 100%, $F$11)</f>
        <v>38.33</v>
      </c>
      <c r="I1030" s="8">
        <f>CHOOSE( CONTROL!$C$32, 36.8278, 36.8274) * CHOOSE(CONTROL!$C$15, $D$11, 100%, $F$11)</f>
        <v>36.827800000000003</v>
      </c>
      <c r="J1030" s="4">
        <f>CHOOSE( CONTROL!$C$32, 36.705, 36.7045) * CHOOSE(CONTROL!$C$15, $D$11, 100%, $F$11)</f>
        <v>36.704999999999998</v>
      </c>
      <c r="K1030" s="4"/>
      <c r="L1030" s="9">
        <v>29.7257</v>
      </c>
      <c r="M1030" s="9">
        <v>11.6745</v>
      </c>
      <c r="N1030" s="9">
        <v>4.7850000000000001</v>
      </c>
      <c r="O1030" s="9">
        <v>0.36199999999999999</v>
      </c>
      <c r="P1030" s="9">
        <v>1.2509999999999999</v>
      </c>
      <c r="Q1030" s="9">
        <v>19.053000000000001</v>
      </c>
      <c r="R1030" s="9"/>
      <c r="S1030" s="11"/>
    </row>
    <row r="1031" spans="1:19" ht="15.75">
      <c r="A1031" s="13">
        <v>72532</v>
      </c>
      <c r="B1031" s="8">
        <f>CHOOSE( CONTROL!$C$32, 39.4592, 39.4588) * CHOOSE(CONTROL!$C$15, $D$11, 100%, $F$11)</f>
        <v>39.459200000000003</v>
      </c>
      <c r="C1031" s="8">
        <f>CHOOSE( CONTROL!$C$32, 39.4672, 39.4667) * CHOOSE(CONTROL!$C$15, $D$11, 100%, $F$11)</f>
        <v>39.467199999999998</v>
      </c>
      <c r="D1031" s="8">
        <f>CHOOSE( CONTROL!$C$32, 39.4664, 39.4659) * CHOOSE( CONTROL!$C$15, $D$11, 100%, $F$11)</f>
        <v>39.4664</v>
      </c>
      <c r="E1031" s="12">
        <f>CHOOSE( CONTROL!$C$32, 39.4655, 39.465) * CHOOSE( CONTROL!$C$15, $D$11, 100%, $F$11)</f>
        <v>39.465499999999999</v>
      </c>
      <c r="F1031" s="4">
        <f>CHOOSE( CONTROL!$C$32, 40.162, 40.1616) * CHOOSE(CONTROL!$C$15, $D$11, 100%, $F$11)</f>
        <v>40.161999999999999</v>
      </c>
      <c r="G1031" s="8">
        <f>CHOOSE( CONTROL!$C$32, 39.0074, 39.0069) * CHOOSE( CONTROL!$C$15, $D$11, 100%, $F$11)</f>
        <v>39.007399999999997</v>
      </c>
      <c r="H1031" s="4">
        <f>CHOOSE( CONTROL!$C$32, 39.9384, 39.9379) * CHOOSE(CONTROL!$C$15, $D$11, 100%, $F$11)</f>
        <v>39.938400000000001</v>
      </c>
      <c r="I1031" s="8">
        <f>CHOOSE( CONTROL!$C$32, 38.4088, 38.4084) * CHOOSE(CONTROL!$C$15, $D$11, 100%, $F$11)</f>
        <v>38.408799999999999</v>
      </c>
      <c r="J1031" s="4">
        <f>CHOOSE( CONTROL!$C$32, 38.2844, 38.2839) * CHOOSE(CONTROL!$C$15, $D$11, 100%, $F$11)</f>
        <v>38.284399999999998</v>
      </c>
      <c r="K1031" s="4"/>
      <c r="L1031" s="9">
        <v>30.7165</v>
      </c>
      <c r="M1031" s="9">
        <v>12.063700000000001</v>
      </c>
      <c r="N1031" s="9">
        <v>4.9444999999999997</v>
      </c>
      <c r="O1031" s="9">
        <v>0.37409999999999999</v>
      </c>
      <c r="P1031" s="9">
        <v>1.2927</v>
      </c>
      <c r="Q1031" s="9">
        <v>19.688099999999999</v>
      </c>
      <c r="R1031" s="9"/>
      <c r="S1031" s="11"/>
    </row>
    <row r="1032" spans="1:19" ht="15.75">
      <c r="A1032" s="13">
        <v>72563</v>
      </c>
      <c r="B1032" s="8">
        <f>CHOOSE( CONTROL!$C$32, 36.4142, 36.4137) * CHOOSE(CONTROL!$C$15, $D$11, 100%, $F$11)</f>
        <v>36.414200000000001</v>
      </c>
      <c r="C1032" s="8">
        <f>CHOOSE( CONTROL!$C$32, 36.4221, 36.4217) * CHOOSE(CONTROL!$C$15, $D$11, 100%, $F$11)</f>
        <v>36.4221</v>
      </c>
      <c r="D1032" s="8">
        <f>CHOOSE( CONTROL!$C$32, 36.4214, 36.4209) * CHOOSE( CONTROL!$C$15, $D$11, 100%, $F$11)</f>
        <v>36.421399999999998</v>
      </c>
      <c r="E1032" s="12">
        <f>CHOOSE( CONTROL!$C$32, 36.4204, 36.42) * CHOOSE( CONTROL!$C$15, $D$11, 100%, $F$11)</f>
        <v>36.420400000000001</v>
      </c>
      <c r="F1032" s="4">
        <f>CHOOSE( CONTROL!$C$32, 37.117, 37.1165) * CHOOSE(CONTROL!$C$15, $D$11, 100%, $F$11)</f>
        <v>37.116999999999997</v>
      </c>
      <c r="G1032" s="8">
        <f>CHOOSE( CONTROL!$C$32, 35.998, 35.9976) * CHOOSE( CONTROL!$C$15, $D$11, 100%, $F$11)</f>
        <v>35.997999999999998</v>
      </c>
      <c r="H1032" s="4">
        <f>CHOOSE( CONTROL!$C$32, 36.929, 36.9285) * CHOOSE(CONTROL!$C$15, $D$11, 100%, $F$11)</f>
        <v>36.929000000000002</v>
      </c>
      <c r="I1032" s="8">
        <f>CHOOSE( CONTROL!$C$32, 35.4523, 35.4519) * CHOOSE(CONTROL!$C$15, $D$11, 100%, $F$11)</f>
        <v>35.452300000000001</v>
      </c>
      <c r="J1032" s="4">
        <f>CHOOSE( CONTROL!$C$32, 35.3291, 35.3287) * CHOOSE(CONTROL!$C$15, $D$11, 100%, $F$11)</f>
        <v>35.329099999999997</v>
      </c>
      <c r="K1032" s="4"/>
      <c r="L1032" s="9">
        <v>30.7165</v>
      </c>
      <c r="M1032" s="9">
        <v>12.063700000000001</v>
      </c>
      <c r="N1032" s="9">
        <v>4.9444999999999997</v>
      </c>
      <c r="O1032" s="9">
        <v>0.37409999999999999</v>
      </c>
      <c r="P1032" s="9">
        <v>1.2927</v>
      </c>
      <c r="Q1032" s="9">
        <v>19.688099999999999</v>
      </c>
      <c r="R1032" s="9"/>
      <c r="S1032" s="11"/>
    </row>
    <row r="1033" spans="1:19" ht="15.75">
      <c r="A1033" s="13">
        <v>72593</v>
      </c>
      <c r="B1033" s="8">
        <f>CHOOSE( CONTROL!$C$32, 35.6516, 35.6512) * CHOOSE(CONTROL!$C$15, $D$11, 100%, $F$11)</f>
        <v>35.651600000000002</v>
      </c>
      <c r="C1033" s="8">
        <f>CHOOSE( CONTROL!$C$32, 35.6596, 35.6592) * CHOOSE(CONTROL!$C$15, $D$11, 100%, $F$11)</f>
        <v>35.659599999999998</v>
      </c>
      <c r="D1033" s="8">
        <f>CHOOSE( CONTROL!$C$32, 35.6587, 35.6583) * CHOOSE( CONTROL!$C$15, $D$11, 100%, $F$11)</f>
        <v>35.658700000000003</v>
      </c>
      <c r="E1033" s="12">
        <f>CHOOSE( CONTROL!$C$32, 35.6578, 35.6574) * CHOOSE( CONTROL!$C$15, $D$11, 100%, $F$11)</f>
        <v>35.657800000000002</v>
      </c>
      <c r="F1033" s="4">
        <f>CHOOSE( CONTROL!$C$32, 36.3545, 36.354) * CHOOSE(CONTROL!$C$15, $D$11, 100%, $F$11)</f>
        <v>36.354500000000002</v>
      </c>
      <c r="G1033" s="8">
        <f>CHOOSE( CONTROL!$C$32, 35.2443, 35.2438) * CHOOSE( CONTROL!$C$15, $D$11, 100%, $F$11)</f>
        <v>35.244300000000003</v>
      </c>
      <c r="H1033" s="4">
        <f>CHOOSE( CONTROL!$C$32, 36.1754, 36.1749) * CHOOSE(CONTROL!$C$15, $D$11, 100%, $F$11)</f>
        <v>36.175400000000003</v>
      </c>
      <c r="I1033" s="8">
        <f>CHOOSE( CONTROL!$C$32, 34.7114, 34.7109) * CHOOSE(CONTROL!$C$15, $D$11, 100%, $F$11)</f>
        <v>34.711399999999998</v>
      </c>
      <c r="J1033" s="4">
        <f>CHOOSE( CONTROL!$C$32, 34.5891, 34.5887) * CHOOSE(CONTROL!$C$15, $D$11, 100%, $F$11)</f>
        <v>34.589100000000002</v>
      </c>
      <c r="K1033" s="4"/>
      <c r="L1033" s="9">
        <v>29.7257</v>
      </c>
      <c r="M1033" s="9">
        <v>11.6745</v>
      </c>
      <c r="N1033" s="9">
        <v>4.7850000000000001</v>
      </c>
      <c r="O1033" s="9">
        <v>0.36199999999999999</v>
      </c>
      <c r="P1033" s="9">
        <v>1.2509999999999999</v>
      </c>
      <c r="Q1033" s="9">
        <v>19.053000000000001</v>
      </c>
      <c r="R1033" s="9"/>
      <c r="S1033" s="11"/>
    </row>
    <row r="1034" spans="1:19" ht="15.75">
      <c r="A1034" s="13">
        <v>72624</v>
      </c>
      <c r="B1034" s="8">
        <f>CHOOSE( CONTROL!$C$32, 37.233, 37.2327) * CHOOSE(CONTROL!$C$15, $D$11, 100%, $F$11)</f>
        <v>37.232999999999997</v>
      </c>
      <c r="C1034" s="8">
        <f>CHOOSE( CONTROL!$C$32, 37.2383, 37.238) * CHOOSE(CONTROL!$C$15, $D$11, 100%, $F$11)</f>
        <v>37.238300000000002</v>
      </c>
      <c r="D1034" s="8">
        <f>CHOOSE( CONTROL!$C$32, 37.243, 37.2427) * CHOOSE( CONTROL!$C$15, $D$11, 100%, $F$11)</f>
        <v>37.243000000000002</v>
      </c>
      <c r="E1034" s="12">
        <f>CHOOSE( CONTROL!$C$32, 37.2409, 37.2406) * CHOOSE( CONTROL!$C$15, $D$11, 100%, $F$11)</f>
        <v>37.240900000000003</v>
      </c>
      <c r="F1034" s="4">
        <f>CHOOSE( CONTROL!$C$32, 37.9375, 37.9373) * CHOOSE(CONTROL!$C$15, $D$11, 100%, $F$11)</f>
        <v>37.9375</v>
      </c>
      <c r="G1034" s="8">
        <f>CHOOSE( CONTROL!$C$32, 36.809, 36.8087) * CHOOSE( CONTROL!$C$15, $D$11, 100%, $F$11)</f>
        <v>36.808999999999997</v>
      </c>
      <c r="H1034" s="4">
        <f>CHOOSE( CONTROL!$C$32, 37.7399, 37.7396) * CHOOSE(CONTROL!$C$15, $D$11, 100%, $F$11)</f>
        <v>37.739899999999999</v>
      </c>
      <c r="I1034" s="8">
        <f>CHOOSE( CONTROL!$C$32, 36.2493, 36.2491) * CHOOSE(CONTROL!$C$15, $D$11, 100%, $F$11)</f>
        <v>36.249299999999998</v>
      </c>
      <c r="J1034" s="4">
        <f>CHOOSE( CONTROL!$C$32, 36.1255, 36.1252) * CHOOSE(CONTROL!$C$15, $D$11, 100%, $F$11)</f>
        <v>36.125500000000002</v>
      </c>
      <c r="K1034" s="4"/>
      <c r="L1034" s="9">
        <v>31.095300000000002</v>
      </c>
      <c r="M1034" s="9">
        <v>12.063700000000001</v>
      </c>
      <c r="N1034" s="9">
        <v>4.9444999999999997</v>
      </c>
      <c r="O1034" s="9">
        <v>0.37409999999999999</v>
      </c>
      <c r="P1034" s="9">
        <v>1.2927</v>
      </c>
      <c r="Q1034" s="9">
        <v>19.688099999999999</v>
      </c>
      <c r="R1034" s="9"/>
      <c r="S1034" s="11"/>
    </row>
    <row r="1035" spans="1:19" ht="15.75">
      <c r="A1035" s="13">
        <v>72654</v>
      </c>
      <c r="B1035" s="8">
        <f>CHOOSE( CONTROL!$C$32, 40.1549, 40.1547) * CHOOSE(CONTROL!$C$15, $D$11, 100%, $F$11)</f>
        <v>40.154899999999998</v>
      </c>
      <c r="C1035" s="8">
        <f>CHOOSE( CONTROL!$C$32, 40.16, 40.1598) * CHOOSE(CONTROL!$C$15, $D$11, 100%, $F$11)</f>
        <v>40.159999999999997</v>
      </c>
      <c r="D1035" s="8">
        <f>CHOOSE( CONTROL!$C$32, 40.1427, 40.1425) * CHOOSE( CONTROL!$C$15, $D$11, 100%, $F$11)</f>
        <v>40.142699999999998</v>
      </c>
      <c r="E1035" s="12">
        <f>CHOOSE( CONTROL!$C$32, 40.1485, 40.1483) * CHOOSE( CONTROL!$C$15, $D$11, 100%, $F$11)</f>
        <v>40.148499999999999</v>
      </c>
      <c r="F1035" s="4">
        <f>CHOOSE( CONTROL!$C$32, 40.8202, 40.82) * CHOOSE(CONTROL!$C$15, $D$11, 100%, $F$11)</f>
        <v>40.8202</v>
      </c>
      <c r="G1035" s="8">
        <f>CHOOSE( CONTROL!$C$32, 39.6941, 39.6938) * CHOOSE( CONTROL!$C$15, $D$11, 100%, $F$11)</f>
        <v>39.694099999999999</v>
      </c>
      <c r="H1035" s="4">
        <f>CHOOSE( CONTROL!$C$32, 40.5888, 40.5886) * CHOOSE(CONTROL!$C$15, $D$11, 100%, $F$11)</f>
        <v>40.588799999999999</v>
      </c>
      <c r="I1035" s="8">
        <f>CHOOSE( CONTROL!$C$32, 39.1425, 39.1423) * CHOOSE(CONTROL!$C$15, $D$11, 100%, $F$11)</f>
        <v>39.142499999999998</v>
      </c>
      <c r="J1035" s="4">
        <f>CHOOSE( CONTROL!$C$32, 38.9616, 38.9614) * CHOOSE(CONTROL!$C$15, $D$11, 100%, $F$11)</f>
        <v>38.961599999999997</v>
      </c>
      <c r="K1035" s="4"/>
      <c r="L1035" s="9">
        <v>28.360600000000002</v>
      </c>
      <c r="M1035" s="9">
        <v>11.6745</v>
      </c>
      <c r="N1035" s="9">
        <v>4.7850000000000001</v>
      </c>
      <c r="O1035" s="9">
        <v>0.36199999999999999</v>
      </c>
      <c r="P1035" s="9">
        <v>1.2509999999999999</v>
      </c>
      <c r="Q1035" s="9">
        <v>19.053000000000001</v>
      </c>
      <c r="R1035" s="9"/>
      <c r="S1035" s="11"/>
    </row>
    <row r="1036" spans="1:19" ht="15.75">
      <c r="A1036" s="13">
        <v>72685</v>
      </c>
      <c r="B1036" s="8">
        <f>CHOOSE( CONTROL!$C$32, 40.0819, 40.0817) * CHOOSE(CONTROL!$C$15, $D$11, 100%, $F$11)</f>
        <v>40.081899999999997</v>
      </c>
      <c r="C1036" s="8">
        <f>CHOOSE( CONTROL!$C$32, 40.087, 40.0867) * CHOOSE(CONTROL!$C$15, $D$11, 100%, $F$11)</f>
        <v>40.087000000000003</v>
      </c>
      <c r="D1036" s="8">
        <f>CHOOSE( CONTROL!$C$32, 40.0715, 40.0712) * CHOOSE( CONTROL!$C$15, $D$11, 100%, $F$11)</f>
        <v>40.0715</v>
      </c>
      <c r="E1036" s="12">
        <f>CHOOSE( CONTROL!$C$32, 40.0766, 40.0763) * CHOOSE( CONTROL!$C$15, $D$11, 100%, $F$11)</f>
        <v>40.076599999999999</v>
      </c>
      <c r="F1036" s="4">
        <f>CHOOSE( CONTROL!$C$32, 40.7472, 40.7469) * CHOOSE(CONTROL!$C$15, $D$11, 100%, $F$11)</f>
        <v>40.747199999999999</v>
      </c>
      <c r="G1036" s="8">
        <f>CHOOSE( CONTROL!$C$32, 39.6232, 39.6229) * CHOOSE( CONTROL!$C$15, $D$11, 100%, $F$11)</f>
        <v>39.623199999999997</v>
      </c>
      <c r="H1036" s="4">
        <f>CHOOSE( CONTROL!$C$32, 40.5167, 40.5164) * CHOOSE(CONTROL!$C$15, $D$11, 100%, $F$11)</f>
        <v>40.5167</v>
      </c>
      <c r="I1036" s="8">
        <f>CHOOSE( CONTROL!$C$32, 39.0772, 39.077) * CHOOSE(CONTROL!$C$15, $D$11, 100%, $F$11)</f>
        <v>39.077199999999998</v>
      </c>
      <c r="J1036" s="4">
        <f>CHOOSE( CONTROL!$C$32, 38.8908, 38.8905) * CHOOSE(CONTROL!$C$15, $D$11, 100%, $F$11)</f>
        <v>38.890799999999999</v>
      </c>
      <c r="K1036" s="4"/>
      <c r="L1036" s="9">
        <v>29.306000000000001</v>
      </c>
      <c r="M1036" s="9">
        <v>12.063700000000001</v>
      </c>
      <c r="N1036" s="9">
        <v>4.9444999999999997</v>
      </c>
      <c r="O1036" s="9">
        <v>0.37409999999999999</v>
      </c>
      <c r="P1036" s="9">
        <v>1.2927</v>
      </c>
      <c r="Q1036" s="9">
        <v>19.688099999999999</v>
      </c>
      <c r="R1036" s="9"/>
      <c r="S1036" s="11"/>
    </row>
    <row r="1037" spans="1:19" ht="15.75">
      <c r="A1037" s="13">
        <v>72716</v>
      </c>
      <c r="B1037" s="8">
        <f>CHOOSE( CONTROL!$C$32, 41.2639, 41.2637) * CHOOSE(CONTROL!$C$15, $D$11, 100%, $F$11)</f>
        <v>41.2639</v>
      </c>
      <c r="C1037" s="8">
        <f>CHOOSE( CONTROL!$C$32, 41.269, 41.2688) * CHOOSE(CONTROL!$C$15, $D$11, 100%, $F$11)</f>
        <v>41.268999999999998</v>
      </c>
      <c r="D1037" s="8">
        <f>CHOOSE( CONTROL!$C$32, 41.2595, 41.2592) * CHOOSE( CONTROL!$C$15, $D$11, 100%, $F$11)</f>
        <v>41.259500000000003</v>
      </c>
      <c r="E1037" s="12">
        <f>CHOOSE( CONTROL!$C$32, 41.2624, 41.2622) * CHOOSE( CONTROL!$C$15, $D$11, 100%, $F$11)</f>
        <v>41.2624</v>
      </c>
      <c r="F1037" s="4">
        <f>CHOOSE( CONTROL!$C$32, 41.9292, 41.929) * CHOOSE(CONTROL!$C$15, $D$11, 100%, $F$11)</f>
        <v>41.929200000000002</v>
      </c>
      <c r="G1037" s="8">
        <f>CHOOSE( CONTROL!$C$32, 40.7921, 40.7918) * CHOOSE( CONTROL!$C$15, $D$11, 100%, $F$11)</f>
        <v>40.792099999999998</v>
      </c>
      <c r="H1037" s="4">
        <f>CHOOSE( CONTROL!$C$32, 41.6848, 41.6846) * CHOOSE(CONTROL!$C$15, $D$11, 100%, $F$11)</f>
        <v>41.684800000000003</v>
      </c>
      <c r="I1037" s="8">
        <f>CHOOSE( CONTROL!$C$32, 40.2054, 40.2051) * CHOOSE(CONTROL!$C$15, $D$11, 100%, $F$11)</f>
        <v>40.205399999999997</v>
      </c>
      <c r="J1037" s="4">
        <f>CHOOSE( CONTROL!$C$32, 40.0379, 40.0376) * CHOOSE(CONTROL!$C$15, $D$11, 100%, $F$11)</f>
        <v>40.0379</v>
      </c>
      <c r="K1037" s="4"/>
      <c r="L1037" s="9">
        <v>29.306000000000001</v>
      </c>
      <c r="M1037" s="9">
        <v>12.063700000000001</v>
      </c>
      <c r="N1037" s="9">
        <v>4.9444999999999997</v>
      </c>
      <c r="O1037" s="9">
        <v>0.37409999999999999</v>
      </c>
      <c r="P1037" s="9">
        <v>1.2927</v>
      </c>
      <c r="Q1037" s="9">
        <v>19.688099999999999</v>
      </c>
      <c r="R1037" s="9"/>
      <c r="S1037" s="11"/>
    </row>
    <row r="1038" spans="1:19" ht="15.75">
      <c r="A1038" s="13">
        <v>72744</v>
      </c>
      <c r="B1038" s="8">
        <f>CHOOSE( CONTROL!$C$32, 38.5969, 38.5966) * CHOOSE(CONTROL!$C$15, $D$11, 100%, $F$11)</f>
        <v>38.596899999999998</v>
      </c>
      <c r="C1038" s="8">
        <f>CHOOSE( CONTROL!$C$32, 38.602, 38.6017) * CHOOSE(CONTROL!$C$15, $D$11, 100%, $F$11)</f>
        <v>38.601999999999997</v>
      </c>
      <c r="D1038" s="8">
        <f>CHOOSE( CONTROL!$C$32, 38.5941, 38.5938) * CHOOSE( CONTROL!$C$15, $D$11, 100%, $F$11)</f>
        <v>38.594099999999997</v>
      </c>
      <c r="E1038" s="12">
        <f>CHOOSE( CONTROL!$C$32, 38.5964, 38.5961) * CHOOSE( CONTROL!$C$15, $D$11, 100%, $F$11)</f>
        <v>38.596400000000003</v>
      </c>
      <c r="F1038" s="4">
        <f>CHOOSE( CONTROL!$C$32, 39.2622, 39.2619) * CHOOSE(CONTROL!$C$15, $D$11, 100%, $F$11)</f>
        <v>39.2622</v>
      </c>
      <c r="G1038" s="8">
        <f>CHOOSE( CONTROL!$C$32, 38.1548, 38.1545) * CHOOSE( CONTROL!$C$15, $D$11, 100%, $F$11)</f>
        <v>38.154800000000002</v>
      </c>
      <c r="H1038" s="4">
        <f>CHOOSE( CONTROL!$C$32, 39.049, 39.0488) * CHOOSE(CONTROL!$C$15, $D$11, 100%, $F$11)</f>
        <v>39.048999999999999</v>
      </c>
      <c r="I1038" s="8">
        <f>CHOOSE( CONTROL!$C$32, 37.6004, 37.6001) * CHOOSE(CONTROL!$C$15, $D$11, 100%, $F$11)</f>
        <v>37.6004</v>
      </c>
      <c r="J1038" s="4">
        <f>CHOOSE( CONTROL!$C$32, 37.4495, 37.4493) * CHOOSE(CONTROL!$C$15, $D$11, 100%, $F$11)</f>
        <v>37.4495</v>
      </c>
      <c r="K1038" s="4"/>
      <c r="L1038" s="9">
        <v>26.469899999999999</v>
      </c>
      <c r="M1038" s="9">
        <v>10.8962</v>
      </c>
      <c r="N1038" s="9">
        <v>4.4660000000000002</v>
      </c>
      <c r="O1038" s="9">
        <v>0.33789999999999998</v>
      </c>
      <c r="P1038" s="9">
        <v>1.1676</v>
      </c>
      <c r="Q1038" s="9">
        <v>17.782800000000002</v>
      </c>
      <c r="R1038" s="9"/>
      <c r="S1038" s="11"/>
    </row>
    <row r="1039" spans="1:19" ht="15.75">
      <c r="A1039" s="13">
        <v>72775</v>
      </c>
      <c r="B1039" s="8">
        <f>CHOOSE( CONTROL!$C$32, 37.7755, 37.7752) * CHOOSE(CONTROL!$C$15, $D$11, 100%, $F$11)</f>
        <v>37.775500000000001</v>
      </c>
      <c r="C1039" s="8">
        <f>CHOOSE( CONTROL!$C$32, 37.7805, 37.7803) * CHOOSE(CONTROL!$C$15, $D$11, 100%, $F$11)</f>
        <v>37.780500000000004</v>
      </c>
      <c r="D1039" s="8">
        <f>CHOOSE( CONTROL!$C$32, 37.7678, 37.7676) * CHOOSE( CONTROL!$C$15, $D$11, 100%, $F$11)</f>
        <v>37.767800000000001</v>
      </c>
      <c r="E1039" s="12">
        <f>CHOOSE( CONTROL!$C$32, 37.7719, 37.7717) * CHOOSE( CONTROL!$C$15, $D$11, 100%, $F$11)</f>
        <v>37.771900000000002</v>
      </c>
      <c r="F1039" s="4">
        <f>CHOOSE( CONTROL!$C$32, 38.4407, 38.4405) * CHOOSE(CONTROL!$C$15, $D$11, 100%, $F$11)</f>
        <v>38.4407</v>
      </c>
      <c r="G1039" s="8">
        <f>CHOOSE( CONTROL!$C$32, 37.3395, 37.3393) * CHOOSE( CONTROL!$C$15, $D$11, 100%, $F$11)</f>
        <v>37.339500000000001</v>
      </c>
      <c r="H1039" s="4">
        <f>CHOOSE( CONTROL!$C$32, 38.2372, 38.2369) * CHOOSE(CONTROL!$C$15, $D$11, 100%, $F$11)</f>
        <v>38.237200000000001</v>
      </c>
      <c r="I1039" s="8">
        <f>CHOOSE( CONTROL!$C$32, 36.8011, 36.8009) * CHOOSE(CONTROL!$C$15, $D$11, 100%, $F$11)</f>
        <v>36.801099999999998</v>
      </c>
      <c r="J1039" s="4">
        <f>CHOOSE( CONTROL!$C$32, 36.6523, 36.6521) * CHOOSE(CONTROL!$C$15, $D$11, 100%, $F$11)</f>
        <v>36.652299999999997</v>
      </c>
      <c r="K1039" s="4"/>
      <c r="L1039" s="9">
        <v>29.306000000000001</v>
      </c>
      <c r="M1039" s="9">
        <v>12.063700000000001</v>
      </c>
      <c r="N1039" s="9">
        <v>4.9444999999999997</v>
      </c>
      <c r="O1039" s="9">
        <v>0.37409999999999999</v>
      </c>
      <c r="P1039" s="9">
        <v>1.2927</v>
      </c>
      <c r="Q1039" s="9">
        <v>19.688099999999999</v>
      </c>
      <c r="R1039" s="9"/>
      <c r="S1039" s="11"/>
    </row>
    <row r="1040" spans="1:19" ht="15.75">
      <c r="A1040" s="13">
        <v>72805</v>
      </c>
      <c r="B1040" s="8">
        <f>CHOOSE( CONTROL!$C$32, 38.3502, 38.35) * CHOOSE(CONTROL!$C$15, $D$11, 100%, $F$11)</f>
        <v>38.350200000000001</v>
      </c>
      <c r="C1040" s="8">
        <f>CHOOSE( CONTROL!$C$32, 38.3547, 38.3545) * CHOOSE(CONTROL!$C$15, $D$11, 100%, $F$11)</f>
        <v>38.354700000000001</v>
      </c>
      <c r="D1040" s="8">
        <f>CHOOSE( CONTROL!$C$32, 38.3596, 38.3593) * CHOOSE( CONTROL!$C$15, $D$11, 100%, $F$11)</f>
        <v>38.3596</v>
      </c>
      <c r="E1040" s="12">
        <f>CHOOSE( CONTROL!$C$32, 38.3575, 38.3572) * CHOOSE( CONTROL!$C$15, $D$11, 100%, $F$11)</f>
        <v>38.357500000000002</v>
      </c>
      <c r="F1040" s="4">
        <f>CHOOSE( CONTROL!$C$32, 39.0544, 39.0541) * CHOOSE(CONTROL!$C$15, $D$11, 100%, $F$11)</f>
        <v>39.054400000000001</v>
      </c>
      <c r="G1040" s="8">
        <f>CHOOSE( CONTROL!$C$32, 37.9126, 37.9123) * CHOOSE( CONTROL!$C$15, $D$11, 100%, $F$11)</f>
        <v>37.912599999999998</v>
      </c>
      <c r="H1040" s="4">
        <f>CHOOSE( CONTROL!$C$32, 38.8437, 38.8434) * CHOOSE(CONTROL!$C$15, $D$11, 100%, $F$11)</f>
        <v>38.843699999999998</v>
      </c>
      <c r="I1040" s="8">
        <f>CHOOSE( CONTROL!$C$32, 37.3327, 37.3325) * CHOOSE(CONTROL!$C$15, $D$11, 100%, $F$11)</f>
        <v>37.332700000000003</v>
      </c>
      <c r="J1040" s="4">
        <f>CHOOSE( CONTROL!$C$32, 37.2094, 37.2091) * CHOOSE(CONTROL!$C$15, $D$11, 100%, $F$11)</f>
        <v>37.209400000000002</v>
      </c>
      <c r="K1040" s="4"/>
      <c r="L1040" s="9">
        <v>30.092199999999998</v>
      </c>
      <c r="M1040" s="9">
        <v>11.6745</v>
      </c>
      <c r="N1040" s="9">
        <v>4.7850000000000001</v>
      </c>
      <c r="O1040" s="9">
        <v>0.36199999999999999</v>
      </c>
      <c r="P1040" s="9">
        <v>1.2509999999999999</v>
      </c>
      <c r="Q1040" s="9">
        <v>19.053000000000001</v>
      </c>
      <c r="R1040" s="9"/>
      <c r="S1040" s="11"/>
    </row>
    <row r="1041" spans="1:19" ht="15.75">
      <c r="A1041" s="13">
        <v>72836</v>
      </c>
      <c r="B1041" s="8">
        <f>CHOOSE( CONTROL!$C$32, 39.3734, 39.3729) * CHOOSE(CONTROL!$C$15, $D$11, 100%, $F$11)</f>
        <v>39.373399999999997</v>
      </c>
      <c r="C1041" s="8">
        <f>CHOOSE( CONTROL!$C$32, 39.3814, 39.3809) * CHOOSE(CONTROL!$C$15, $D$11, 100%, $F$11)</f>
        <v>39.381399999999999</v>
      </c>
      <c r="D1041" s="8">
        <f>CHOOSE( CONTROL!$C$32, 39.3801, 39.3797) * CHOOSE( CONTROL!$C$15, $D$11, 100%, $F$11)</f>
        <v>39.380099999999999</v>
      </c>
      <c r="E1041" s="12">
        <f>CHOOSE( CONTROL!$C$32, 39.3794, 39.3789) * CHOOSE( CONTROL!$C$15, $D$11, 100%, $F$11)</f>
        <v>39.379399999999997</v>
      </c>
      <c r="F1041" s="4">
        <f>CHOOSE( CONTROL!$C$32, 40.0762, 40.0757) * CHOOSE(CONTROL!$C$15, $D$11, 100%, $F$11)</f>
        <v>40.0762</v>
      </c>
      <c r="G1041" s="8">
        <f>CHOOSE( CONTROL!$C$32, 38.9222, 38.9217) * CHOOSE( CONTROL!$C$15, $D$11, 100%, $F$11)</f>
        <v>38.922199999999997</v>
      </c>
      <c r="H1041" s="4">
        <f>CHOOSE( CONTROL!$C$32, 39.8535, 39.8531) * CHOOSE(CONTROL!$C$15, $D$11, 100%, $F$11)</f>
        <v>39.853499999999997</v>
      </c>
      <c r="I1041" s="8">
        <f>CHOOSE( CONTROL!$C$32, 38.324, 38.3236) * CHOOSE(CONTROL!$C$15, $D$11, 100%, $F$11)</f>
        <v>38.323999999999998</v>
      </c>
      <c r="J1041" s="4">
        <f>CHOOSE( CONTROL!$C$32, 38.201, 38.2006) * CHOOSE(CONTROL!$C$15, $D$11, 100%, $F$11)</f>
        <v>38.201000000000001</v>
      </c>
      <c r="K1041" s="4"/>
      <c r="L1041" s="9">
        <v>30.7165</v>
      </c>
      <c r="M1041" s="9">
        <v>12.063700000000001</v>
      </c>
      <c r="N1041" s="9">
        <v>4.9444999999999997</v>
      </c>
      <c r="O1041" s="9">
        <v>0.37409999999999999</v>
      </c>
      <c r="P1041" s="9">
        <v>1.2927</v>
      </c>
      <c r="Q1041" s="9">
        <v>19.688099999999999</v>
      </c>
      <c r="R1041" s="9"/>
      <c r="S1041" s="11"/>
    </row>
    <row r="1042" spans="1:19" ht="15.75">
      <c r="A1042" s="13">
        <v>72866</v>
      </c>
      <c r="B1042" s="8">
        <f>CHOOSE( CONTROL!$C$32, 38.7405, 38.7401) * CHOOSE(CONTROL!$C$15, $D$11, 100%, $F$11)</f>
        <v>38.740499999999997</v>
      </c>
      <c r="C1042" s="8">
        <f>CHOOSE( CONTROL!$C$32, 38.7485, 38.7481) * CHOOSE(CONTROL!$C$15, $D$11, 100%, $F$11)</f>
        <v>38.7485</v>
      </c>
      <c r="D1042" s="8">
        <f>CHOOSE( CONTROL!$C$32, 38.7475, 38.747) * CHOOSE( CONTROL!$C$15, $D$11, 100%, $F$11)</f>
        <v>38.747500000000002</v>
      </c>
      <c r="E1042" s="12">
        <f>CHOOSE( CONTROL!$C$32, 38.7466, 38.7462) * CHOOSE( CONTROL!$C$15, $D$11, 100%, $F$11)</f>
        <v>38.746600000000001</v>
      </c>
      <c r="F1042" s="4">
        <f>CHOOSE( CONTROL!$C$32, 39.4434, 39.4429) * CHOOSE(CONTROL!$C$15, $D$11, 100%, $F$11)</f>
        <v>39.443399999999997</v>
      </c>
      <c r="G1042" s="8">
        <f>CHOOSE( CONTROL!$C$32, 38.2969, 38.2965) * CHOOSE( CONTROL!$C$15, $D$11, 100%, $F$11)</f>
        <v>38.296900000000001</v>
      </c>
      <c r="H1042" s="4">
        <f>CHOOSE( CONTROL!$C$32, 39.2281, 39.2276) * CHOOSE(CONTROL!$C$15, $D$11, 100%, $F$11)</f>
        <v>39.228099999999998</v>
      </c>
      <c r="I1042" s="8">
        <f>CHOOSE( CONTROL!$C$32, 37.7102, 37.7098) * CHOOSE(CONTROL!$C$15, $D$11, 100%, $F$11)</f>
        <v>37.7102</v>
      </c>
      <c r="J1042" s="4">
        <f>CHOOSE( CONTROL!$C$32, 37.5869, 37.5864) * CHOOSE(CONTROL!$C$15, $D$11, 100%, $F$11)</f>
        <v>37.5869</v>
      </c>
      <c r="K1042" s="4"/>
      <c r="L1042" s="9">
        <v>29.7257</v>
      </c>
      <c r="M1042" s="9">
        <v>11.6745</v>
      </c>
      <c r="N1042" s="9">
        <v>4.7850000000000001</v>
      </c>
      <c r="O1042" s="9">
        <v>0.36199999999999999</v>
      </c>
      <c r="P1042" s="9">
        <v>1.2509999999999999</v>
      </c>
      <c r="Q1042" s="9">
        <v>19.053000000000001</v>
      </c>
      <c r="R1042" s="9"/>
      <c r="S1042" s="11"/>
    </row>
    <row r="1043" spans="1:19" ht="15.75">
      <c r="A1043" s="13">
        <v>72897</v>
      </c>
      <c r="B1043" s="8">
        <f>CHOOSE( CONTROL!$C$32, 40.4071, 40.4066) * CHOOSE(CONTROL!$C$15, $D$11, 100%, $F$11)</f>
        <v>40.4071</v>
      </c>
      <c r="C1043" s="8">
        <f>CHOOSE( CONTROL!$C$32, 40.415, 40.4146) * CHOOSE(CONTROL!$C$15, $D$11, 100%, $F$11)</f>
        <v>40.414999999999999</v>
      </c>
      <c r="D1043" s="8">
        <f>CHOOSE( CONTROL!$C$32, 40.4142, 40.4138) * CHOOSE( CONTROL!$C$15, $D$11, 100%, $F$11)</f>
        <v>40.414200000000001</v>
      </c>
      <c r="E1043" s="12">
        <f>CHOOSE( CONTROL!$C$32, 40.4133, 40.4129) * CHOOSE( CONTROL!$C$15, $D$11, 100%, $F$11)</f>
        <v>40.4133</v>
      </c>
      <c r="F1043" s="4">
        <f>CHOOSE( CONTROL!$C$32, 41.1099, 41.1094) * CHOOSE(CONTROL!$C$15, $D$11, 100%, $F$11)</f>
        <v>41.109900000000003</v>
      </c>
      <c r="G1043" s="8">
        <f>CHOOSE( CONTROL!$C$32, 39.9441, 39.9436) * CHOOSE( CONTROL!$C$15, $D$11, 100%, $F$11)</f>
        <v>39.944099999999999</v>
      </c>
      <c r="H1043" s="4">
        <f>CHOOSE( CONTROL!$C$32, 40.8751, 40.8746) * CHOOSE(CONTROL!$C$15, $D$11, 100%, $F$11)</f>
        <v>40.875100000000003</v>
      </c>
      <c r="I1043" s="8">
        <f>CHOOSE( CONTROL!$C$32, 39.3291, 39.3287) * CHOOSE(CONTROL!$C$15, $D$11, 100%, $F$11)</f>
        <v>39.329099999999997</v>
      </c>
      <c r="J1043" s="4">
        <f>CHOOSE( CONTROL!$C$32, 39.2042, 39.2038) * CHOOSE(CONTROL!$C$15, $D$11, 100%, $F$11)</f>
        <v>39.2042</v>
      </c>
      <c r="K1043" s="4"/>
      <c r="L1043" s="9">
        <v>30.7165</v>
      </c>
      <c r="M1043" s="9">
        <v>12.063700000000001</v>
      </c>
      <c r="N1043" s="9">
        <v>4.9444999999999997</v>
      </c>
      <c r="O1043" s="9">
        <v>0.37409999999999999</v>
      </c>
      <c r="P1043" s="9">
        <v>1.2927</v>
      </c>
      <c r="Q1043" s="9">
        <v>19.688099999999999</v>
      </c>
      <c r="R1043" s="9"/>
      <c r="S1043" s="11"/>
    </row>
    <row r="1044" spans="1:19" ht="15.75">
      <c r="A1044" s="13">
        <v>72928</v>
      </c>
      <c r="B1044" s="8">
        <f>CHOOSE( CONTROL!$C$32, 37.2888, 37.2884) * CHOOSE(CONTROL!$C$15, $D$11, 100%, $F$11)</f>
        <v>37.288800000000002</v>
      </c>
      <c r="C1044" s="8">
        <f>CHOOSE( CONTROL!$C$32, 37.2968, 37.2963) * CHOOSE(CONTROL!$C$15, $D$11, 100%, $F$11)</f>
        <v>37.296799999999998</v>
      </c>
      <c r="D1044" s="8">
        <f>CHOOSE( CONTROL!$C$32, 37.2961, 37.2956) * CHOOSE( CONTROL!$C$15, $D$11, 100%, $F$11)</f>
        <v>37.296100000000003</v>
      </c>
      <c r="E1044" s="12">
        <f>CHOOSE( CONTROL!$C$32, 37.2951, 37.2946) * CHOOSE( CONTROL!$C$15, $D$11, 100%, $F$11)</f>
        <v>37.295099999999998</v>
      </c>
      <c r="F1044" s="4">
        <f>CHOOSE( CONTROL!$C$32, 37.9916, 37.9912) * CHOOSE(CONTROL!$C$15, $D$11, 100%, $F$11)</f>
        <v>37.991599999999998</v>
      </c>
      <c r="G1044" s="8">
        <f>CHOOSE( CONTROL!$C$32, 36.8624, 36.862) * CHOOSE( CONTROL!$C$15, $D$11, 100%, $F$11)</f>
        <v>36.862400000000001</v>
      </c>
      <c r="H1044" s="4">
        <f>CHOOSE( CONTROL!$C$32, 37.7934, 37.7929) * CHOOSE(CONTROL!$C$15, $D$11, 100%, $F$11)</f>
        <v>37.793399999999998</v>
      </c>
      <c r="I1044" s="8">
        <f>CHOOSE( CONTROL!$C$32, 36.3016, 36.3011) * CHOOSE(CONTROL!$C$15, $D$11, 100%, $F$11)</f>
        <v>36.301600000000001</v>
      </c>
      <c r="J1044" s="4">
        <f>CHOOSE( CONTROL!$C$32, 36.178, 36.1775) * CHOOSE(CONTROL!$C$15, $D$11, 100%, $F$11)</f>
        <v>36.177999999999997</v>
      </c>
      <c r="K1044" s="4"/>
      <c r="L1044" s="9">
        <v>30.7165</v>
      </c>
      <c r="M1044" s="9">
        <v>12.063700000000001</v>
      </c>
      <c r="N1044" s="9">
        <v>4.9444999999999997</v>
      </c>
      <c r="O1044" s="9">
        <v>0.37409999999999999</v>
      </c>
      <c r="P1044" s="9">
        <v>1.2927</v>
      </c>
      <c r="Q1044" s="9">
        <v>19.688099999999999</v>
      </c>
      <c r="R1044" s="9"/>
      <c r="S1044" s="11"/>
    </row>
    <row r="1045" spans="1:19" ht="15.75">
      <c r="A1045" s="13">
        <v>72958</v>
      </c>
      <c r="B1045" s="8">
        <f>CHOOSE( CONTROL!$C$32, 36.508, 36.5075) * CHOOSE(CONTROL!$C$15, $D$11, 100%, $F$11)</f>
        <v>36.508000000000003</v>
      </c>
      <c r="C1045" s="8">
        <f>CHOOSE( CONTROL!$C$32, 36.516, 36.5155) * CHOOSE(CONTROL!$C$15, $D$11, 100%, $F$11)</f>
        <v>36.515999999999998</v>
      </c>
      <c r="D1045" s="8">
        <f>CHOOSE( CONTROL!$C$32, 36.5151, 36.5146) * CHOOSE( CONTROL!$C$15, $D$11, 100%, $F$11)</f>
        <v>36.515099999999997</v>
      </c>
      <c r="E1045" s="12">
        <f>CHOOSE( CONTROL!$C$32, 36.5142, 36.5137) * CHOOSE( CONTROL!$C$15, $D$11, 100%, $F$11)</f>
        <v>36.514200000000002</v>
      </c>
      <c r="F1045" s="4">
        <f>CHOOSE( CONTROL!$C$32, 37.2108, 37.2103) * CHOOSE(CONTROL!$C$15, $D$11, 100%, $F$11)</f>
        <v>37.210799999999999</v>
      </c>
      <c r="G1045" s="8">
        <f>CHOOSE( CONTROL!$C$32, 36.0906, 36.0902) * CHOOSE( CONTROL!$C$15, $D$11, 100%, $F$11)</f>
        <v>36.090600000000002</v>
      </c>
      <c r="H1045" s="4">
        <f>CHOOSE( CONTROL!$C$32, 37.0217, 37.0212) * CHOOSE(CONTROL!$C$15, $D$11, 100%, $F$11)</f>
        <v>37.021700000000003</v>
      </c>
      <c r="I1045" s="8">
        <f>CHOOSE( CONTROL!$C$32, 35.5429, 35.5424) * CHOOSE(CONTROL!$C$15, $D$11, 100%, $F$11)</f>
        <v>35.542900000000003</v>
      </c>
      <c r="J1045" s="4">
        <f>CHOOSE( CONTROL!$C$32, 35.4202, 35.4197) * CHOOSE(CONTROL!$C$15, $D$11, 100%, $F$11)</f>
        <v>35.420200000000001</v>
      </c>
      <c r="K1045" s="4"/>
      <c r="L1045" s="9">
        <v>29.7257</v>
      </c>
      <c r="M1045" s="9">
        <v>11.6745</v>
      </c>
      <c r="N1045" s="9">
        <v>4.7850000000000001</v>
      </c>
      <c r="O1045" s="9">
        <v>0.36199999999999999</v>
      </c>
      <c r="P1045" s="9">
        <v>1.2509999999999999</v>
      </c>
      <c r="Q1045" s="9">
        <v>19.053000000000001</v>
      </c>
      <c r="R1045" s="9"/>
      <c r="S1045" s="11"/>
    </row>
    <row r="1046" spans="1:19" ht="15.75">
      <c r="A1046" s="13">
        <v>72989</v>
      </c>
      <c r="B1046" s="8">
        <f>CHOOSE( CONTROL!$C$32, 38.1274, 38.1271) * CHOOSE(CONTROL!$C$15, $D$11, 100%, $F$11)</f>
        <v>38.127400000000002</v>
      </c>
      <c r="C1046" s="8">
        <f>CHOOSE( CONTROL!$C$32, 38.1327, 38.1324) * CHOOSE(CONTROL!$C$15, $D$11, 100%, $F$11)</f>
        <v>38.1327</v>
      </c>
      <c r="D1046" s="8">
        <f>CHOOSE( CONTROL!$C$32, 38.1374, 38.1371) * CHOOSE( CONTROL!$C$15, $D$11, 100%, $F$11)</f>
        <v>38.1374</v>
      </c>
      <c r="E1046" s="12">
        <f>CHOOSE( CONTROL!$C$32, 38.1353, 38.135) * CHOOSE( CONTROL!$C$15, $D$11, 100%, $F$11)</f>
        <v>38.135300000000001</v>
      </c>
      <c r="F1046" s="4">
        <f>CHOOSE( CONTROL!$C$32, 38.8319, 38.8316) * CHOOSE(CONTROL!$C$15, $D$11, 100%, $F$11)</f>
        <v>38.831899999999997</v>
      </c>
      <c r="G1046" s="8">
        <f>CHOOSE( CONTROL!$C$32, 37.6929, 37.6926) * CHOOSE( CONTROL!$C$15, $D$11, 100%, $F$11)</f>
        <v>37.692900000000002</v>
      </c>
      <c r="H1046" s="4">
        <f>CHOOSE( CONTROL!$C$32, 38.6238, 38.6235) * CHOOSE(CONTROL!$C$15, $D$11, 100%, $F$11)</f>
        <v>38.623800000000003</v>
      </c>
      <c r="I1046" s="8">
        <f>CHOOSE( CONTROL!$C$32, 37.1178, 37.1175) * CHOOSE(CONTROL!$C$15, $D$11, 100%, $F$11)</f>
        <v>37.117800000000003</v>
      </c>
      <c r="J1046" s="4">
        <f>CHOOSE( CONTROL!$C$32, 36.9935, 36.9932) * CHOOSE(CONTROL!$C$15, $D$11, 100%, $F$11)</f>
        <v>36.993499999999997</v>
      </c>
      <c r="K1046" s="4"/>
      <c r="L1046" s="9">
        <v>31.095300000000002</v>
      </c>
      <c r="M1046" s="9">
        <v>12.063700000000001</v>
      </c>
      <c r="N1046" s="9">
        <v>4.9444999999999997</v>
      </c>
      <c r="O1046" s="9">
        <v>0.37409999999999999</v>
      </c>
      <c r="P1046" s="9">
        <v>1.2927</v>
      </c>
      <c r="Q1046" s="9">
        <v>19.688099999999999</v>
      </c>
      <c r="R1046" s="9"/>
      <c r="S1046" s="11"/>
    </row>
    <row r="1047" spans="1:19" ht="15.75">
      <c r="A1047" s="13">
        <v>73019</v>
      </c>
      <c r="B1047" s="8">
        <f>CHOOSE( CONTROL!$C$32, 41.1195, 41.1193) * CHOOSE(CONTROL!$C$15, $D$11, 100%, $F$11)</f>
        <v>41.119500000000002</v>
      </c>
      <c r="C1047" s="8">
        <f>CHOOSE( CONTROL!$C$32, 41.1246, 41.1244) * CHOOSE(CONTROL!$C$15, $D$11, 100%, $F$11)</f>
        <v>41.124600000000001</v>
      </c>
      <c r="D1047" s="8">
        <f>CHOOSE( CONTROL!$C$32, 41.1073, 41.1071) * CHOOSE( CONTROL!$C$15, $D$11, 100%, $F$11)</f>
        <v>41.107300000000002</v>
      </c>
      <c r="E1047" s="12">
        <f>CHOOSE( CONTROL!$C$32, 41.1131, 41.1129) * CHOOSE( CONTROL!$C$15, $D$11, 100%, $F$11)</f>
        <v>41.113100000000003</v>
      </c>
      <c r="F1047" s="4">
        <f>CHOOSE( CONTROL!$C$32, 41.7848, 41.7846) * CHOOSE(CONTROL!$C$15, $D$11, 100%, $F$11)</f>
        <v>41.784799999999997</v>
      </c>
      <c r="G1047" s="8">
        <f>CHOOSE( CONTROL!$C$32, 40.6474, 40.6471) * CHOOSE( CONTROL!$C$15, $D$11, 100%, $F$11)</f>
        <v>40.647399999999998</v>
      </c>
      <c r="H1047" s="4">
        <f>CHOOSE( CONTROL!$C$32, 41.5421, 41.5419) * CHOOSE(CONTROL!$C$15, $D$11, 100%, $F$11)</f>
        <v>41.542099999999998</v>
      </c>
      <c r="I1047" s="8">
        <f>CHOOSE( CONTROL!$C$32, 40.0792, 40.0789) * CHOOSE(CONTROL!$C$15, $D$11, 100%, $F$11)</f>
        <v>40.0792</v>
      </c>
      <c r="J1047" s="4">
        <f>CHOOSE( CONTROL!$C$32, 39.8978, 39.8975) * CHOOSE(CONTROL!$C$15, $D$11, 100%, $F$11)</f>
        <v>39.897799999999997</v>
      </c>
      <c r="K1047" s="4"/>
      <c r="L1047" s="9">
        <v>28.360600000000002</v>
      </c>
      <c r="M1047" s="9">
        <v>11.6745</v>
      </c>
      <c r="N1047" s="9">
        <v>4.7850000000000001</v>
      </c>
      <c r="O1047" s="9">
        <v>0.36199999999999999</v>
      </c>
      <c r="P1047" s="9">
        <v>1.2509999999999999</v>
      </c>
      <c r="Q1047" s="9">
        <v>19.053000000000001</v>
      </c>
      <c r="R1047" s="9"/>
      <c r="S1047" s="11"/>
    </row>
    <row r="1048" spans="1:19" ht="15.75">
      <c r="A1048" s="13">
        <v>73050</v>
      </c>
      <c r="B1048" s="8">
        <f>CHOOSE( CONTROL!$C$32, 41.0448, 41.0445) * CHOOSE(CONTROL!$C$15, $D$11, 100%, $F$11)</f>
        <v>41.044800000000002</v>
      </c>
      <c r="C1048" s="8">
        <f>CHOOSE( CONTROL!$C$32, 41.0499, 41.0496) * CHOOSE(CONTROL!$C$15, $D$11, 100%, $F$11)</f>
        <v>41.049900000000001</v>
      </c>
      <c r="D1048" s="8">
        <f>CHOOSE( CONTROL!$C$32, 41.0344, 41.0341) * CHOOSE( CONTROL!$C$15, $D$11, 100%, $F$11)</f>
        <v>41.034399999999998</v>
      </c>
      <c r="E1048" s="12">
        <f>CHOOSE( CONTROL!$C$32, 41.0395, 41.0392) * CHOOSE( CONTROL!$C$15, $D$11, 100%, $F$11)</f>
        <v>41.039499999999997</v>
      </c>
      <c r="F1048" s="4">
        <f>CHOOSE( CONTROL!$C$32, 41.7101, 41.7098) * CHOOSE(CONTROL!$C$15, $D$11, 100%, $F$11)</f>
        <v>41.710099999999997</v>
      </c>
      <c r="G1048" s="8">
        <f>CHOOSE( CONTROL!$C$32, 40.5748, 40.5745) * CHOOSE( CONTROL!$C$15, $D$11, 100%, $F$11)</f>
        <v>40.574800000000003</v>
      </c>
      <c r="H1048" s="4">
        <f>CHOOSE( CONTROL!$C$32, 41.4682, 41.468) * CHOOSE(CONTROL!$C$15, $D$11, 100%, $F$11)</f>
        <v>41.468200000000003</v>
      </c>
      <c r="I1048" s="8">
        <f>CHOOSE( CONTROL!$C$32, 40.0121, 40.0119) * CHOOSE(CONTROL!$C$15, $D$11, 100%, $F$11)</f>
        <v>40.012099999999997</v>
      </c>
      <c r="J1048" s="4">
        <f>CHOOSE( CONTROL!$C$32, 39.8252, 39.8249) * CHOOSE(CONTROL!$C$15, $D$11, 100%, $F$11)</f>
        <v>39.825200000000002</v>
      </c>
      <c r="K1048" s="4"/>
      <c r="L1048" s="9">
        <v>29.306000000000001</v>
      </c>
      <c r="M1048" s="9">
        <v>12.063700000000001</v>
      </c>
      <c r="N1048" s="9">
        <v>4.9444999999999997</v>
      </c>
      <c r="O1048" s="9">
        <v>0.37409999999999999</v>
      </c>
      <c r="P1048" s="9">
        <v>1.2927</v>
      </c>
      <c r="Q1048" s="9">
        <v>19.688099999999999</v>
      </c>
      <c r="R1048" s="9"/>
      <c r="S1048" s="11"/>
    </row>
    <row r="1049" spans="1:19" ht="15.75">
      <c r="A1049" s="13">
        <v>73081</v>
      </c>
      <c r="B1049" s="8">
        <f>CHOOSE( CONTROL!$C$32, 42.2552, 42.2549) * CHOOSE(CONTROL!$C$15, $D$11, 100%, $F$11)</f>
        <v>42.255200000000002</v>
      </c>
      <c r="C1049" s="8">
        <f>CHOOSE( CONTROL!$C$32, 42.2603, 42.26) * CHOOSE(CONTROL!$C$15, $D$11, 100%, $F$11)</f>
        <v>42.260300000000001</v>
      </c>
      <c r="D1049" s="8">
        <f>CHOOSE( CONTROL!$C$32, 42.2507, 42.2504) * CHOOSE( CONTROL!$C$15, $D$11, 100%, $F$11)</f>
        <v>42.250700000000002</v>
      </c>
      <c r="E1049" s="12">
        <f>CHOOSE( CONTROL!$C$32, 42.2537, 42.2534) * CHOOSE( CONTROL!$C$15, $D$11, 100%, $F$11)</f>
        <v>42.253700000000002</v>
      </c>
      <c r="F1049" s="4">
        <f>CHOOSE( CONTROL!$C$32, 42.9205, 42.9202) * CHOOSE(CONTROL!$C$15, $D$11, 100%, $F$11)</f>
        <v>42.920499999999997</v>
      </c>
      <c r="G1049" s="8">
        <f>CHOOSE( CONTROL!$C$32, 41.7717, 41.7715) * CHOOSE( CONTROL!$C$15, $D$11, 100%, $F$11)</f>
        <v>41.771700000000003</v>
      </c>
      <c r="H1049" s="4">
        <f>CHOOSE( CONTROL!$C$32, 42.6645, 42.6642) * CHOOSE(CONTROL!$C$15, $D$11, 100%, $F$11)</f>
        <v>42.664499999999997</v>
      </c>
      <c r="I1049" s="8">
        <f>CHOOSE( CONTROL!$C$32, 41.1679, 41.1676) * CHOOSE(CONTROL!$C$15, $D$11, 100%, $F$11)</f>
        <v>41.167900000000003</v>
      </c>
      <c r="J1049" s="4">
        <f>CHOOSE( CONTROL!$C$32, 40.9999, 40.9996) * CHOOSE(CONTROL!$C$15, $D$11, 100%, $F$11)</f>
        <v>40.999899999999997</v>
      </c>
      <c r="K1049" s="4"/>
      <c r="L1049" s="9">
        <v>29.306000000000001</v>
      </c>
      <c r="M1049" s="9">
        <v>12.063700000000001</v>
      </c>
      <c r="N1049" s="9">
        <v>4.9444999999999997</v>
      </c>
      <c r="O1049" s="9">
        <v>0.37409999999999999</v>
      </c>
      <c r="P1049" s="9">
        <v>1.2927</v>
      </c>
      <c r="Q1049" s="9">
        <v>19.688099999999999</v>
      </c>
      <c r="R1049" s="9"/>
      <c r="S1049" s="11"/>
    </row>
    <row r="1050" spans="1:19" ht="15.75">
      <c r="A1050" s="13">
        <v>73109</v>
      </c>
      <c r="B1050" s="8">
        <f>CHOOSE( CONTROL!$C$32, 39.5241, 39.5238) * CHOOSE(CONTROL!$C$15, $D$11, 100%, $F$11)</f>
        <v>39.524099999999997</v>
      </c>
      <c r="C1050" s="8">
        <f>CHOOSE( CONTROL!$C$32, 39.5291, 39.5289) * CHOOSE(CONTROL!$C$15, $D$11, 100%, $F$11)</f>
        <v>39.5291</v>
      </c>
      <c r="D1050" s="8">
        <f>CHOOSE( CONTROL!$C$32, 39.5212, 39.521) * CHOOSE( CONTROL!$C$15, $D$11, 100%, $F$11)</f>
        <v>39.5212</v>
      </c>
      <c r="E1050" s="12">
        <f>CHOOSE( CONTROL!$C$32, 39.5236, 39.5233) * CHOOSE( CONTROL!$C$15, $D$11, 100%, $F$11)</f>
        <v>39.523600000000002</v>
      </c>
      <c r="F1050" s="4">
        <f>CHOOSE( CONTROL!$C$32, 40.1893, 40.1891) * CHOOSE(CONTROL!$C$15, $D$11, 100%, $F$11)</f>
        <v>40.189300000000003</v>
      </c>
      <c r="G1050" s="8">
        <f>CHOOSE( CONTROL!$C$32, 39.0711, 39.0708) * CHOOSE( CONTROL!$C$15, $D$11, 100%, $F$11)</f>
        <v>39.071100000000001</v>
      </c>
      <c r="H1050" s="4">
        <f>CHOOSE( CONTROL!$C$32, 39.9653, 39.9651) * CHOOSE(CONTROL!$C$15, $D$11, 100%, $F$11)</f>
        <v>39.965299999999999</v>
      </c>
      <c r="I1050" s="8">
        <f>CHOOSE( CONTROL!$C$32, 38.5006, 38.5004) * CHOOSE(CONTROL!$C$15, $D$11, 100%, $F$11)</f>
        <v>38.500599999999999</v>
      </c>
      <c r="J1050" s="4">
        <f>CHOOSE( CONTROL!$C$32, 38.3494, 38.3491) * CHOOSE(CONTROL!$C$15, $D$11, 100%, $F$11)</f>
        <v>38.349400000000003</v>
      </c>
      <c r="K1050" s="4"/>
      <c r="L1050" s="9">
        <v>26.469899999999999</v>
      </c>
      <c r="M1050" s="9">
        <v>10.8962</v>
      </c>
      <c r="N1050" s="9">
        <v>4.4660000000000002</v>
      </c>
      <c r="O1050" s="9">
        <v>0.33789999999999998</v>
      </c>
      <c r="P1050" s="9">
        <v>1.1676</v>
      </c>
      <c r="Q1050" s="9">
        <v>17.782800000000002</v>
      </c>
      <c r="R1050" s="9"/>
      <c r="S1050" s="11"/>
    </row>
    <row r="1051" spans="1:19" ht="15.75">
      <c r="A1051" s="13">
        <v>73140</v>
      </c>
      <c r="B1051" s="8">
        <f>CHOOSE( CONTROL!$C$32, 38.6829, 38.6826) * CHOOSE(CONTROL!$C$15, $D$11, 100%, $F$11)</f>
        <v>38.682899999999997</v>
      </c>
      <c r="C1051" s="8">
        <f>CHOOSE( CONTROL!$C$32, 38.688, 38.6877) * CHOOSE(CONTROL!$C$15, $D$11, 100%, $F$11)</f>
        <v>38.688000000000002</v>
      </c>
      <c r="D1051" s="8">
        <f>CHOOSE( CONTROL!$C$32, 38.6753, 38.675) * CHOOSE( CONTROL!$C$15, $D$11, 100%, $F$11)</f>
        <v>38.6753</v>
      </c>
      <c r="E1051" s="12">
        <f>CHOOSE( CONTROL!$C$32, 38.6794, 38.6791) * CHOOSE( CONTROL!$C$15, $D$11, 100%, $F$11)</f>
        <v>38.679400000000001</v>
      </c>
      <c r="F1051" s="4">
        <f>CHOOSE( CONTROL!$C$32, 39.3482, 39.3479) * CHOOSE(CONTROL!$C$15, $D$11, 100%, $F$11)</f>
        <v>39.348199999999999</v>
      </c>
      <c r="G1051" s="8">
        <f>CHOOSE( CONTROL!$C$32, 38.2363, 38.236) * CHOOSE( CONTROL!$C$15, $D$11, 100%, $F$11)</f>
        <v>38.2363</v>
      </c>
      <c r="H1051" s="4">
        <f>CHOOSE( CONTROL!$C$32, 39.134, 39.1337) * CHOOSE(CONTROL!$C$15, $D$11, 100%, $F$11)</f>
        <v>39.134</v>
      </c>
      <c r="I1051" s="8">
        <f>CHOOSE( CONTROL!$C$32, 37.6822, 37.682) * CHOOSE(CONTROL!$C$15, $D$11, 100%, $F$11)</f>
        <v>37.682200000000002</v>
      </c>
      <c r="J1051" s="4">
        <f>CHOOSE( CONTROL!$C$32, 37.533, 37.5327) * CHOOSE(CONTROL!$C$15, $D$11, 100%, $F$11)</f>
        <v>37.533000000000001</v>
      </c>
      <c r="K1051" s="4"/>
      <c r="L1051" s="9">
        <v>29.306000000000001</v>
      </c>
      <c r="M1051" s="9">
        <v>12.063700000000001</v>
      </c>
      <c r="N1051" s="9">
        <v>4.9444999999999997</v>
      </c>
      <c r="O1051" s="9">
        <v>0.37409999999999999</v>
      </c>
      <c r="P1051" s="9">
        <v>1.2927</v>
      </c>
      <c r="Q1051" s="9">
        <v>19.688099999999999</v>
      </c>
      <c r="R1051" s="9"/>
      <c r="S1051" s="11"/>
    </row>
    <row r="1052" spans="1:19" ht="15.75">
      <c r="A1052" s="13">
        <v>73170</v>
      </c>
      <c r="B1052" s="8">
        <f>CHOOSE( CONTROL!$C$32, 39.2715, 39.2712) * CHOOSE(CONTROL!$C$15, $D$11, 100%, $F$11)</f>
        <v>39.271500000000003</v>
      </c>
      <c r="C1052" s="8">
        <f>CHOOSE( CONTROL!$C$32, 39.276, 39.2757) * CHOOSE(CONTROL!$C$15, $D$11, 100%, $F$11)</f>
        <v>39.276000000000003</v>
      </c>
      <c r="D1052" s="8">
        <f>CHOOSE( CONTROL!$C$32, 39.2808, 39.2806) * CHOOSE( CONTROL!$C$15, $D$11, 100%, $F$11)</f>
        <v>39.280799999999999</v>
      </c>
      <c r="E1052" s="12">
        <f>CHOOSE( CONTROL!$C$32, 39.2787, 39.2785) * CHOOSE( CONTROL!$C$15, $D$11, 100%, $F$11)</f>
        <v>39.278700000000001</v>
      </c>
      <c r="F1052" s="4">
        <f>CHOOSE( CONTROL!$C$32, 39.9756, 39.9754) * CHOOSE(CONTROL!$C$15, $D$11, 100%, $F$11)</f>
        <v>39.9756</v>
      </c>
      <c r="G1052" s="8">
        <f>CHOOSE( CONTROL!$C$32, 38.823, 38.8227) * CHOOSE( CONTROL!$C$15, $D$11, 100%, $F$11)</f>
        <v>38.823</v>
      </c>
      <c r="H1052" s="4">
        <f>CHOOSE( CONTROL!$C$32, 39.7541, 39.7539) * CHOOSE(CONTROL!$C$15, $D$11, 100%, $F$11)</f>
        <v>39.754100000000001</v>
      </c>
      <c r="I1052" s="8">
        <f>CHOOSE( CONTROL!$C$32, 38.2272, 38.2269) * CHOOSE(CONTROL!$C$15, $D$11, 100%, $F$11)</f>
        <v>38.227200000000003</v>
      </c>
      <c r="J1052" s="4">
        <f>CHOOSE( CONTROL!$C$32, 38.1034, 38.1032) * CHOOSE(CONTROL!$C$15, $D$11, 100%, $F$11)</f>
        <v>38.103400000000001</v>
      </c>
      <c r="K1052" s="4"/>
      <c r="L1052" s="9">
        <v>30.092199999999998</v>
      </c>
      <c r="M1052" s="9">
        <v>11.6745</v>
      </c>
      <c r="N1052" s="9">
        <v>4.7850000000000001</v>
      </c>
      <c r="O1052" s="9">
        <v>0.36199999999999999</v>
      </c>
      <c r="P1052" s="9">
        <v>1.2509999999999999</v>
      </c>
      <c r="Q1052" s="9">
        <v>19.053000000000001</v>
      </c>
      <c r="R1052" s="9"/>
      <c r="S1052" s="11"/>
    </row>
    <row r="1053" spans="1:19" ht="15.75">
      <c r="A1053" s="13">
        <v>73201</v>
      </c>
      <c r="B1053" s="8">
        <f>CHOOSE( CONTROL!$C$32, 40.3191, 40.3187) * CHOOSE(CONTROL!$C$15, $D$11, 100%, $F$11)</f>
        <v>40.319099999999999</v>
      </c>
      <c r="C1053" s="8">
        <f>CHOOSE( CONTROL!$C$32, 40.3271, 40.3267) * CHOOSE(CONTROL!$C$15, $D$11, 100%, $F$11)</f>
        <v>40.327100000000002</v>
      </c>
      <c r="D1053" s="8">
        <f>CHOOSE( CONTROL!$C$32, 40.3259, 40.3254) * CHOOSE( CONTROL!$C$15, $D$11, 100%, $F$11)</f>
        <v>40.325899999999997</v>
      </c>
      <c r="E1053" s="12">
        <f>CHOOSE( CONTROL!$C$32, 40.3251, 40.3247) * CHOOSE( CONTROL!$C$15, $D$11, 100%, $F$11)</f>
        <v>40.325099999999999</v>
      </c>
      <c r="F1053" s="4">
        <f>CHOOSE( CONTROL!$C$32, 41.022, 41.0215) * CHOOSE(CONTROL!$C$15, $D$11, 100%, $F$11)</f>
        <v>41.021999999999998</v>
      </c>
      <c r="G1053" s="8">
        <f>CHOOSE( CONTROL!$C$32, 39.8569, 39.8564) * CHOOSE( CONTROL!$C$15, $D$11, 100%, $F$11)</f>
        <v>39.856900000000003</v>
      </c>
      <c r="H1053" s="4">
        <f>CHOOSE( CONTROL!$C$32, 40.7882, 40.7878) * CHOOSE(CONTROL!$C$15, $D$11, 100%, $F$11)</f>
        <v>40.788200000000003</v>
      </c>
      <c r="I1053" s="8">
        <f>CHOOSE( CONTROL!$C$32, 39.2423, 39.2419) * CHOOSE(CONTROL!$C$15, $D$11, 100%, $F$11)</f>
        <v>39.2423</v>
      </c>
      <c r="J1053" s="4">
        <f>CHOOSE( CONTROL!$C$32, 39.1189, 39.1185) * CHOOSE(CONTROL!$C$15, $D$11, 100%, $F$11)</f>
        <v>39.118899999999996</v>
      </c>
      <c r="K1053" s="4"/>
      <c r="L1053" s="9">
        <v>30.7165</v>
      </c>
      <c r="M1053" s="9">
        <v>12.063700000000001</v>
      </c>
      <c r="N1053" s="9">
        <v>4.9444999999999997</v>
      </c>
      <c r="O1053" s="9">
        <v>0.37409999999999999</v>
      </c>
      <c r="P1053" s="9">
        <v>1.2927</v>
      </c>
      <c r="Q1053" s="9">
        <v>19.688099999999999</v>
      </c>
      <c r="R1053" s="9"/>
      <c r="S1053" s="11"/>
    </row>
    <row r="1054" spans="1:19" ht="15.75">
      <c r="A1054" s="13">
        <v>73231</v>
      </c>
      <c r="B1054" s="8">
        <f>CHOOSE( CONTROL!$C$32, 39.6711, 39.6706) * CHOOSE(CONTROL!$C$15, $D$11, 100%, $F$11)</f>
        <v>39.671100000000003</v>
      </c>
      <c r="C1054" s="8">
        <f>CHOOSE( CONTROL!$C$32, 39.6791, 39.6786) * CHOOSE(CONTROL!$C$15, $D$11, 100%, $F$11)</f>
        <v>39.679099999999998</v>
      </c>
      <c r="D1054" s="8">
        <f>CHOOSE( CONTROL!$C$32, 39.678, 39.6776) * CHOOSE( CONTROL!$C$15, $D$11, 100%, $F$11)</f>
        <v>39.677999999999997</v>
      </c>
      <c r="E1054" s="12">
        <f>CHOOSE( CONTROL!$C$32, 39.6772, 39.6767) * CHOOSE( CONTROL!$C$15, $D$11, 100%, $F$11)</f>
        <v>39.677199999999999</v>
      </c>
      <c r="F1054" s="4">
        <f>CHOOSE( CONTROL!$C$32, 40.3739, 40.3735) * CHOOSE(CONTROL!$C$15, $D$11, 100%, $F$11)</f>
        <v>40.373899999999999</v>
      </c>
      <c r="G1054" s="8">
        <f>CHOOSE( CONTROL!$C$32, 39.2166, 39.2161) * CHOOSE( CONTROL!$C$15, $D$11, 100%, $F$11)</f>
        <v>39.2166</v>
      </c>
      <c r="H1054" s="4">
        <f>CHOOSE( CONTROL!$C$32, 40.1477, 40.1473) * CHOOSE(CONTROL!$C$15, $D$11, 100%, $F$11)</f>
        <v>40.1477</v>
      </c>
      <c r="I1054" s="8">
        <f>CHOOSE( CONTROL!$C$32, 38.6138, 38.6133) * CHOOSE(CONTROL!$C$15, $D$11, 100%, $F$11)</f>
        <v>38.613799999999998</v>
      </c>
      <c r="J1054" s="4">
        <f>CHOOSE( CONTROL!$C$32, 38.49, 38.4895) * CHOOSE(CONTROL!$C$15, $D$11, 100%, $F$11)</f>
        <v>38.49</v>
      </c>
      <c r="K1054" s="4"/>
      <c r="L1054" s="9">
        <v>29.7257</v>
      </c>
      <c r="M1054" s="9">
        <v>11.6745</v>
      </c>
      <c r="N1054" s="9">
        <v>4.7850000000000001</v>
      </c>
      <c r="O1054" s="9">
        <v>0.36199999999999999</v>
      </c>
      <c r="P1054" s="9">
        <v>1.2509999999999999</v>
      </c>
      <c r="Q1054" s="9">
        <v>19.053000000000001</v>
      </c>
      <c r="R1054" s="9"/>
      <c r="S1054" s="11"/>
    </row>
    <row r="1055" spans="1:19" ht="15.75">
      <c r="A1055" s="13">
        <v>73262</v>
      </c>
      <c r="B1055" s="8">
        <f>CHOOSE( CONTROL!$C$32, 41.3777, 41.3772) * CHOOSE(CONTROL!$C$15, $D$11, 100%, $F$11)</f>
        <v>41.377699999999997</v>
      </c>
      <c r="C1055" s="8">
        <f>CHOOSE( CONTROL!$C$32, 41.3856, 41.3852) * CHOOSE(CONTROL!$C$15, $D$11, 100%, $F$11)</f>
        <v>41.385599999999997</v>
      </c>
      <c r="D1055" s="8">
        <f>CHOOSE( CONTROL!$C$32, 41.3848, 41.3844) * CHOOSE( CONTROL!$C$15, $D$11, 100%, $F$11)</f>
        <v>41.384799999999998</v>
      </c>
      <c r="E1055" s="12">
        <f>CHOOSE( CONTROL!$C$32, 41.3839, 41.3835) * CHOOSE( CONTROL!$C$15, $D$11, 100%, $F$11)</f>
        <v>41.383899999999997</v>
      </c>
      <c r="F1055" s="4">
        <f>CHOOSE( CONTROL!$C$32, 42.0805, 42.08) * CHOOSE(CONTROL!$C$15, $D$11, 100%, $F$11)</f>
        <v>42.080500000000001</v>
      </c>
      <c r="G1055" s="8">
        <f>CHOOSE( CONTROL!$C$32, 40.9033, 40.9029) * CHOOSE( CONTROL!$C$15, $D$11, 100%, $F$11)</f>
        <v>40.903300000000002</v>
      </c>
      <c r="H1055" s="4">
        <f>CHOOSE( CONTROL!$C$32, 41.8343, 41.8339) * CHOOSE(CONTROL!$C$15, $D$11, 100%, $F$11)</f>
        <v>41.834299999999999</v>
      </c>
      <c r="I1055" s="8">
        <f>CHOOSE( CONTROL!$C$32, 40.2716, 40.2711) * CHOOSE(CONTROL!$C$15, $D$11, 100%, $F$11)</f>
        <v>40.271599999999999</v>
      </c>
      <c r="J1055" s="4">
        <f>CHOOSE( CONTROL!$C$32, 40.1462, 40.1457) * CHOOSE(CONTROL!$C$15, $D$11, 100%, $F$11)</f>
        <v>40.1462</v>
      </c>
      <c r="K1055" s="4"/>
      <c r="L1055" s="9">
        <v>30.7165</v>
      </c>
      <c r="M1055" s="9">
        <v>12.063700000000001</v>
      </c>
      <c r="N1055" s="9">
        <v>4.9444999999999997</v>
      </c>
      <c r="O1055" s="9">
        <v>0.37409999999999999</v>
      </c>
      <c r="P1055" s="9">
        <v>1.2927</v>
      </c>
      <c r="Q1055" s="9">
        <v>19.688099999999999</v>
      </c>
      <c r="R1055" s="9"/>
      <c r="S1055" s="11"/>
    </row>
    <row r="1056" spans="1:19" ht="15.75">
      <c r="A1056" s="13">
        <v>73293</v>
      </c>
      <c r="B1056" s="8">
        <f>CHOOSE( CONTROL!$C$32, 38.1845, 38.184) * CHOOSE(CONTROL!$C$15, $D$11, 100%, $F$11)</f>
        <v>38.1845</v>
      </c>
      <c r="C1056" s="8">
        <f>CHOOSE( CONTROL!$C$32, 38.1925, 38.192) * CHOOSE(CONTROL!$C$15, $D$11, 100%, $F$11)</f>
        <v>38.192500000000003</v>
      </c>
      <c r="D1056" s="8">
        <f>CHOOSE( CONTROL!$C$32, 38.1917, 38.1913) * CHOOSE( CONTROL!$C$15, $D$11, 100%, $F$11)</f>
        <v>38.191699999999997</v>
      </c>
      <c r="E1056" s="12">
        <f>CHOOSE( CONTROL!$C$32, 38.1908, 38.1903) * CHOOSE( CONTROL!$C$15, $D$11, 100%, $F$11)</f>
        <v>38.190800000000003</v>
      </c>
      <c r="F1056" s="4">
        <f>CHOOSE( CONTROL!$C$32, 38.8873, 38.8869) * CHOOSE(CONTROL!$C$15, $D$11, 100%, $F$11)</f>
        <v>38.887300000000003</v>
      </c>
      <c r="G1056" s="8">
        <f>CHOOSE( CONTROL!$C$32, 37.7476, 37.7472) * CHOOSE( CONTROL!$C$15, $D$11, 100%, $F$11)</f>
        <v>37.747599999999998</v>
      </c>
      <c r="H1056" s="4">
        <f>CHOOSE( CONTROL!$C$32, 38.6786, 38.6781) * CHOOSE(CONTROL!$C$15, $D$11, 100%, $F$11)</f>
        <v>38.678600000000003</v>
      </c>
      <c r="I1056" s="8">
        <f>CHOOSE( CONTROL!$C$32, 37.1713, 37.1708) * CHOOSE(CONTROL!$C$15, $D$11, 100%, $F$11)</f>
        <v>37.171300000000002</v>
      </c>
      <c r="J1056" s="4">
        <f>CHOOSE( CONTROL!$C$32, 37.0472, 37.0468) * CHOOSE(CONTROL!$C$15, $D$11, 100%, $F$11)</f>
        <v>37.047199999999997</v>
      </c>
      <c r="K1056" s="4"/>
      <c r="L1056" s="9">
        <v>30.7165</v>
      </c>
      <c r="M1056" s="9">
        <v>12.063700000000001</v>
      </c>
      <c r="N1056" s="9">
        <v>4.9444999999999997</v>
      </c>
      <c r="O1056" s="9">
        <v>0.37409999999999999</v>
      </c>
      <c r="P1056" s="9">
        <v>1.2927</v>
      </c>
      <c r="Q1056" s="9">
        <v>19.688099999999999</v>
      </c>
      <c r="R1056" s="9"/>
      <c r="S1056" s="11"/>
    </row>
    <row r="1057" spans="1:19" ht="15.75">
      <c r="A1057" s="13">
        <v>73323</v>
      </c>
      <c r="B1057" s="8">
        <f>CHOOSE( CONTROL!$C$32, 37.3849, 37.3844) * CHOOSE(CONTROL!$C$15, $D$11, 100%, $F$11)</f>
        <v>37.384900000000002</v>
      </c>
      <c r="C1057" s="8">
        <f>CHOOSE( CONTROL!$C$32, 37.3929, 37.3924) * CHOOSE(CONTROL!$C$15, $D$11, 100%, $F$11)</f>
        <v>37.392899999999997</v>
      </c>
      <c r="D1057" s="8">
        <f>CHOOSE( CONTROL!$C$32, 37.392, 37.3915) * CHOOSE( CONTROL!$C$15, $D$11, 100%, $F$11)</f>
        <v>37.392000000000003</v>
      </c>
      <c r="E1057" s="12">
        <f>CHOOSE( CONTROL!$C$32, 37.3911, 37.3906) * CHOOSE( CONTROL!$C$15, $D$11, 100%, $F$11)</f>
        <v>37.391100000000002</v>
      </c>
      <c r="F1057" s="4">
        <f>CHOOSE( CONTROL!$C$32, 38.0877, 38.0873) * CHOOSE(CONTROL!$C$15, $D$11, 100%, $F$11)</f>
        <v>38.087699999999998</v>
      </c>
      <c r="G1057" s="8">
        <f>CHOOSE( CONTROL!$C$32, 36.9573, 36.9568) * CHOOSE( CONTROL!$C$15, $D$11, 100%, $F$11)</f>
        <v>36.957299999999996</v>
      </c>
      <c r="H1057" s="4">
        <f>CHOOSE( CONTROL!$C$32, 37.8883, 37.8879) * CHOOSE(CONTROL!$C$15, $D$11, 100%, $F$11)</f>
        <v>37.888300000000001</v>
      </c>
      <c r="I1057" s="8">
        <f>CHOOSE( CONTROL!$C$32, 36.3944, 36.3939) * CHOOSE(CONTROL!$C$15, $D$11, 100%, $F$11)</f>
        <v>36.394399999999997</v>
      </c>
      <c r="J1057" s="4">
        <f>CHOOSE( CONTROL!$C$32, 36.2712, 36.2708) * CHOOSE(CONTROL!$C$15, $D$11, 100%, $F$11)</f>
        <v>36.2712</v>
      </c>
      <c r="K1057" s="4"/>
      <c r="L1057" s="9">
        <v>29.7257</v>
      </c>
      <c r="M1057" s="9">
        <v>11.6745</v>
      </c>
      <c r="N1057" s="9">
        <v>4.7850000000000001</v>
      </c>
      <c r="O1057" s="9">
        <v>0.36199999999999999</v>
      </c>
      <c r="P1057" s="9">
        <v>1.2509999999999999</v>
      </c>
      <c r="Q1057" s="9">
        <v>19.053000000000001</v>
      </c>
      <c r="R1057" s="9"/>
      <c r="S1057" s="11"/>
    </row>
    <row r="1058" spans="1:19" ht="15.75">
      <c r="A1058" s="13">
        <v>73354</v>
      </c>
      <c r="B1058" s="8">
        <f>CHOOSE( CONTROL!$C$32, 39.0432, 39.043) * CHOOSE(CONTROL!$C$15, $D$11, 100%, $F$11)</f>
        <v>39.043199999999999</v>
      </c>
      <c r="C1058" s="8">
        <f>CHOOSE( CONTROL!$C$32, 39.0486, 39.0483) * CHOOSE(CONTROL!$C$15, $D$11, 100%, $F$11)</f>
        <v>39.0486</v>
      </c>
      <c r="D1058" s="8">
        <f>CHOOSE( CONTROL!$C$32, 39.0533, 39.053) * CHOOSE( CONTROL!$C$15, $D$11, 100%, $F$11)</f>
        <v>39.0533</v>
      </c>
      <c r="E1058" s="12">
        <f>CHOOSE( CONTROL!$C$32, 39.0512, 39.0509) * CHOOSE( CONTROL!$C$15, $D$11, 100%, $F$11)</f>
        <v>39.051200000000001</v>
      </c>
      <c r="F1058" s="4">
        <f>CHOOSE( CONTROL!$C$32, 39.7478, 39.7475) * CHOOSE(CONTROL!$C$15, $D$11, 100%, $F$11)</f>
        <v>39.747799999999998</v>
      </c>
      <c r="G1058" s="8">
        <f>CHOOSE( CONTROL!$C$32, 38.5981, 38.5978) * CHOOSE( CONTROL!$C$15, $D$11, 100%, $F$11)</f>
        <v>38.598100000000002</v>
      </c>
      <c r="H1058" s="4">
        <f>CHOOSE( CONTROL!$C$32, 39.5289, 39.5287) * CHOOSE(CONTROL!$C$15, $D$11, 100%, $F$11)</f>
        <v>39.5289</v>
      </c>
      <c r="I1058" s="8">
        <f>CHOOSE( CONTROL!$C$32, 38.0071, 38.0068) * CHOOSE(CONTROL!$C$15, $D$11, 100%, $F$11)</f>
        <v>38.007100000000001</v>
      </c>
      <c r="J1058" s="4">
        <f>CHOOSE( CONTROL!$C$32, 37.8823, 37.882) * CHOOSE(CONTROL!$C$15, $D$11, 100%, $F$11)</f>
        <v>37.882300000000001</v>
      </c>
      <c r="K1058" s="4"/>
      <c r="L1058" s="9">
        <v>31.095300000000002</v>
      </c>
      <c r="M1058" s="9">
        <v>12.063700000000001</v>
      </c>
      <c r="N1058" s="9">
        <v>4.9444999999999997</v>
      </c>
      <c r="O1058" s="9">
        <v>0.37409999999999999</v>
      </c>
      <c r="P1058" s="9">
        <v>1.2927</v>
      </c>
      <c r="Q1058" s="9">
        <v>19.688099999999999</v>
      </c>
      <c r="R1058" s="9"/>
      <c r="S1058" s="11"/>
    </row>
    <row r="1059" spans="1:19" ht="15.75">
      <c r="A1059" s="13">
        <v>73384</v>
      </c>
      <c r="B1059" s="8">
        <f>CHOOSE( CONTROL!$C$32, 42.1073, 42.107) * CHOOSE(CONTROL!$C$15, $D$11, 100%, $F$11)</f>
        <v>42.107300000000002</v>
      </c>
      <c r="C1059" s="8">
        <f>CHOOSE( CONTROL!$C$32, 42.1124, 42.1121) * CHOOSE(CONTROL!$C$15, $D$11, 100%, $F$11)</f>
        <v>42.112400000000001</v>
      </c>
      <c r="D1059" s="8">
        <f>CHOOSE( CONTROL!$C$32, 42.0951, 42.0948) * CHOOSE( CONTROL!$C$15, $D$11, 100%, $F$11)</f>
        <v>42.095100000000002</v>
      </c>
      <c r="E1059" s="12">
        <f>CHOOSE( CONTROL!$C$32, 42.1009, 42.1006) * CHOOSE( CONTROL!$C$15, $D$11, 100%, $F$11)</f>
        <v>42.100900000000003</v>
      </c>
      <c r="F1059" s="4">
        <f>CHOOSE( CONTROL!$C$32, 42.7726, 42.7723) * CHOOSE(CONTROL!$C$15, $D$11, 100%, $F$11)</f>
        <v>42.772599999999997</v>
      </c>
      <c r="G1059" s="8">
        <f>CHOOSE( CONTROL!$C$32, 41.6236, 41.6233) * CHOOSE( CONTROL!$C$15, $D$11, 100%, $F$11)</f>
        <v>41.623600000000003</v>
      </c>
      <c r="H1059" s="4">
        <f>CHOOSE( CONTROL!$C$32, 42.5183, 42.5181) * CHOOSE(CONTROL!$C$15, $D$11, 100%, $F$11)</f>
        <v>42.518300000000004</v>
      </c>
      <c r="I1059" s="8">
        <f>CHOOSE( CONTROL!$C$32, 41.0383, 41.038) * CHOOSE(CONTROL!$C$15, $D$11, 100%, $F$11)</f>
        <v>41.0383</v>
      </c>
      <c r="J1059" s="4">
        <f>CHOOSE( CONTROL!$C$32, 40.8564, 40.8561) * CHOOSE(CONTROL!$C$15, $D$11, 100%, $F$11)</f>
        <v>40.856400000000001</v>
      </c>
      <c r="K1059" s="4"/>
      <c r="L1059" s="9">
        <v>28.360600000000002</v>
      </c>
      <c r="M1059" s="9">
        <v>11.6745</v>
      </c>
      <c r="N1059" s="9">
        <v>4.7850000000000001</v>
      </c>
      <c r="O1059" s="9">
        <v>0.36199999999999999</v>
      </c>
      <c r="P1059" s="9">
        <v>1.2509999999999999</v>
      </c>
      <c r="Q1059" s="9">
        <v>19.053000000000001</v>
      </c>
      <c r="R1059" s="9"/>
      <c r="S1059" s="11"/>
    </row>
    <row r="1060" spans="1:19" ht="15.75">
      <c r="A1060" s="13">
        <v>73415</v>
      </c>
      <c r="B1060" s="8">
        <f>CHOOSE( CONTROL!$C$32, 42.0308, 42.0305) * CHOOSE(CONTROL!$C$15, $D$11, 100%, $F$11)</f>
        <v>42.030799999999999</v>
      </c>
      <c r="C1060" s="8">
        <f>CHOOSE( CONTROL!$C$32, 42.0358, 42.0356) * CHOOSE(CONTROL!$C$15, $D$11, 100%, $F$11)</f>
        <v>42.035800000000002</v>
      </c>
      <c r="D1060" s="8">
        <f>CHOOSE( CONTROL!$C$32, 42.0203, 42.0201) * CHOOSE( CONTROL!$C$15, $D$11, 100%, $F$11)</f>
        <v>42.020299999999999</v>
      </c>
      <c r="E1060" s="12">
        <f>CHOOSE( CONTROL!$C$32, 42.0254, 42.0252) * CHOOSE( CONTROL!$C$15, $D$11, 100%, $F$11)</f>
        <v>42.025399999999998</v>
      </c>
      <c r="F1060" s="4">
        <f>CHOOSE( CONTROL!$C$32, 42.696, 42.6958) * CHOOSE(CONTROL!$C$15, $D$11, 100%, $F$11)</f>
        <v>42.695999999999998</v>
      </c>
      <c r="G1060" s="8">
        <f>CHOOSE( CONTROL!$C$32, 41.5492, 41.5489) * CHOOSE( CONTROL!$C$15, $D$11, 100%, $F$11)</f>
        <v>41.549199999999999</v>
      </c>
      <c r="H1060" s="4">
        <f>CHOOSE( CONTROL!$C$32, 42.4427, 42.4424) * CHOOSE(CONTROL!$C$15, $D$11, 100%, $F$11)</f>
        <v>42.442700000000002</v>
      </c>
      <c r="I1060" s="8">
        <f>CHOOSE( CONTROL!$C$32, 40.9695, 40.9693) * CHOOSE(CONTROL!$C$15, $D$11, 100%, $F$11)</f>
        <v>40.969499999999996</v>
      </c>
      <c r="J1060" s="4">
        <f>CHOOSE( CONTROL!$C$32, 40.7821, 40.7818) * CHOOSE(CONTROL!$C$15, $D$11, 100%, $F$11)</f>
        <v>40.7821</v>
      </c>
      <c r="K1060" s="4"/>
      <c r="L1060" s="9">
        <v>29.306000000000001</v>
      </c>
      <c r="M1060" s="9">
        <v>12.063700000000001</v>
      </c>
      <c r="N1060" s="9">
        <v>4.9444999999999997</v>
      </c>
      <c r="O1060" s="9">
        <v>0.37409999999999999</v>
      </c>
      <c r="P1060" s="9">
        <v>1.2927</v>
      </c>
      <c r="Q1060" s="9">
        <v>19.688099999999999</v>
      </c>
      <c r="R1060" s="9"/>
      <c r="S1060" s="11"/>
    </row>
    <row r="1061" spans="1:19">
      <c r="A1061" s="10"/>
      <c r="F1061" s="1"/>
      <c r="H1061" s="1"/>
      <c r="Q1061" s="9"/>
    </row>
    <row r="1062" spans="1:19" ht="15" customHeight="1">
      <c r="A1062" s="3">
        <v>2014</v>
      </c>
      <c r="B1062" s="8">
        <f t="shared" ref="B1062:H1062" si="1">AVERAGE(B17:B28)</f>
        <v>4.5548486952413842</v>
      </c>
      <c r="C1062" s="8">
        <f t="shared" si="1"/>
        <v>4.5610514770891291</v>
      </c>
      <c r="D1062" s="8">
        <f t="shared" si="1"/>
        <v>4.5884379200117626</v>
      </c>
      <c r="E1062" s="8">
        <f t="shared" si="1"/>
        <v>4.5792702664601812</v>
      </c>
      <c r="F1062" s="4">
        <f t="shared" si="1"/>
        <v>5.2555833824796379</v>
      </c>
      <c r="G1062" s="8">
        <f t="shared" si="1"/>
        <v>4.5492030047081569</v>
      </c>
      <c r="H1062" s="4">
        <f t="shared" si="1"/>
        <v>5.3740238437301926</v>
      </c>
      <c r="I1062" s="8"/>
      <c r="J1062" s="4">
        <f>AVERAGE(J17:J28)</f>
        <v>4.4151717793054299</v>
      </c>
      <c r="K1062" s="4">
        <f>AVERAGE(K17:K28)</f>
        <v>4.5161421146080842</v>
      </c>
      <c r="L1062" s="5">
        <f>SUM(L17:L28)</f>
        <v>360.57927420000004</v>
      </c>
      <c r="M1062" s="5">
        <f>SUM(M17:M28)</f>
        <v>142.03995</v>
      </c>
      <c r="N1062" s="5">
        <f>SUM(N17:N28)</f>
        <v>56.540100000000002</v>
      </c>
      <c r="O1062" s="5">
        <f>SUM(O17:O28)</f>
        <v>7.7105140000000025</v>
      </c>
      <c r="P1062" s="5">
        <f>SUM(P17:P28)</f>
        <v>7.914449276</v>
      </c>
      <c r="Q1062" s="5"/>
      <c r="R1062" s="5">
        <f>SUM(R17:R28)</f>
        <v>3.899999999999999</v>
      </c>
      <c r="S1062" s="5">
        <f>SUM(S17:S28)</f>
        <v>12.630875000000003</v>
      </c>
    </row>
    <row r="1063" spans="1:19" ht="15" customHeight="1">
      <c r="A1063" s="3">
        <v>2015</v>
      </c>
      <c r="B1063" s="8">
        <f t="shared" ref="B1063:H1063" si="2">AVERAGE(B29:B40)</f>
        <v>3.901383333333333</v>
      </c>
      <c r="C1063" s="8">
        <f t="shared" si="2"/>
        <v>3.9076583333333335</v>
      </c>
      <c r="D1063" s="8">
        <f t="shared" si="2"/>
        <v>3.8897083333333331</v>
      </c>
      <c r="E1063" s="8">
        <f t="shared" si="2"/>
        <v>3.8951916666666668</v>
      </c>
      <c r="F1063" s="4">
        <f t="shared" si="2"/>
        <v>4.5826083333333338</v>
      </c>
      <c r="G1063" s="8">
        <f t="shared" si="2"/>
        <v>3.8607499999999995</v>
      </c>
      <c r="H1063" s="4">
        <f t="shared" si="2"/>
        <v>4.7755833333333335</v>
      </c>
      <c r="I1063" s="8"/>
      <c r="J1063" s="4">
        <f>AVERAGE(J29:J40)</f>
        <v>3.7765916666666666</v>
      </c>
      <c r="K1063" s="4">
        <f>AVERAGE(K29:K40)</f>
        <v>3.8603916666666667</v>
      </c>
      <c r="L1063" s="5">
        <f>SUM(L29:L40)</f>
        <v>361.77389999999997</v>
      </c>
      <c r="M1063" s="5">
        <f>SUM(M29:M40)</f>
        <v>142.0401</v>
      </c>
      <c r="N1063" s="5">
        <f>SUM(N29:N40)</f>
        <v>56.113899999999994</v>
      </c>
      <c r="O1063" s="5">
        <f>SUM(O29:O40)</f>
        <v>7.2496000000000018</v>
      </c>
      <c r="P1063" s="5">
        <f>SUM(P29:P40)</f>
        <v>16.906700000000001</v>
      </c>
      <c r="Q1063" s="5"/>
      <c r="R1063" s="5">
        <f>SUM(R29:R40)</f>
        <v>3.5999999999999992</v>
      </c>
      <c r="S1063" s="5">
        <f>SUM(S29:S40)</f>
        <v>12.811500000000002</v>
      </c>
    </row>
    <row r="1064" spans="1:19" ht="15" customHeight="1">
      <c r="A1064" s="3">
        <v>2016</v>
      </c>
      <c r="B1064" s="8">
        <f t="shared" ref="B1064:H1064" si="3">AVERAGE(B41:B52)</f>
        <v>4.0399833333333337</v>
      </c>
      <c r="C1064" s="8">
        <f t="shared" si="3"/>
        <v>4.0462333333333325</v>
      </c>
      <c r="D1064" s="8">
        <f t="shared" si="3"/>
        <v>4.0344499999999996</v>
      </c>
      <c r="E1064" s="8">
        <f t="shared" si="3"/>
        <v>4.0378416666666661</v>
      </c>
      <c r="F1064" s="4">
        <f t="shared" si="3"/>
        <v>4.7274083333333339</v>
      </c>
      <c r="G1064" s="8">
        <f t="shared" si="3"/>
        <v>3.9929749999999999</v>
      </c>
      <c r="H1064" s="4">
        <f t="shared" si="3"/>
        <v>4.9186916666666676</v>
      </c>
      <c r="I1064" s="8"/>
      <c r="J1064" s="4">
        <f>AVERAGE(J41:J52)</f>
        <v>3.9110916666666662</v>
      </c>
      <c r="K1064" s="5"/>
      <c r="L1064" s="5">
        <f>SUM(L41:L52)</f>
        <v>356.48229999999995</v>
      </c>
      <c r="M1064" s="5">
        <f>SUM(M41:M52)</f>
        <v>142.42920000000001</v>
      </c>
      <c r="N1064" s="5">
        <f>SUM(N41:N52)</f>
        <v>58.377000000000002</v>
      </c>
      <c r="O1064" s="5">
        <f>SUM(O41:O52)</f>
        <v>5.3597999999999999</v>
      </c>
      <c r="P1064" s="5">
        <f>SUM(P41:P52)</f>
        <v>20.483299999999996</v>
      </c>
      <c r="Q1064" s="5"/>
      <c r="R1064" s="5">
        <f>SUM(R41:R52)</f>
        <v>3.5999999999999992</v>
      </c>
      <c r="S1064" s="5"/>
    </row>
    <row r="1065" spans="1:19" ht="15" customHeight="1">
      <c r="A1065" s="3">
        <v>2017</v>
      </c>
      <c r="B1065" s="8">
        <f t="shared" ref="B1065:J1065" si="4">AVERAGE(B53:B64)</f>
        <v>4.0878916666666667</v>
      </c>
      <c r="C1065" s="8">
        <f t="shared" si="4"/>
        <v>4.0941499999999991</v>
      </c>
      <c r="D1065" s="8">
        <f t="shared" si="4"/>
        <v>4.0844166666666668</v>
      </c>
      <c r="E1065" s="8">
        <f t="shared" si="4"/>
        <v>4.0871000000000004</v>
      </c>
      <c r="F1065" s="4">
        <f t="shared" si="4"/>
        <v>4.7753250000000005</v>
      </c>
      <c r="G1065" s="8">
        <f t="shared" si="4"/>
        <v>4.0396916666666671</v>
      </c>
      <c r="H1065" s="4">
        <f t="shared" si="4"/>
        <v>4.9660666666666673</v>
      </c>
      <c r="I1065" s="8">
        <f t="shared" si="4"/>
        <v>4.0823416666666672</v>
      </c>
      <c r="J1065" s="4">
        <f t="shared" si="4"/>
        <v>3.9575999999999998</v>
      </c>
      <c r="K1065" s="4"/>
      <c r="L1065" s="5">
        <f t="shared" ref="L1065:Q1065" si="5">SUM(L53:L64)</f>
        <v>355.53689999999995</v>
      </c>
      <c r="M1065" s="5">
        <f t="shared" si="5"/>
        <v>142.0401</v>
      </c>
      <c r="N1065" s="5">
        <f t="shared" si="5"/>
        <v>58.217499999999994</v>
      </c>
      <c r="O1065" s="5">
        <f t="shared" si="5"/>
        <v>4.4046000000000003</v>
      </c>
      <c r="P1065" s="5">
        <f t="shared" si="5"/>
        <v>20.590200000000003</v>
      </c>
      <c r="Q1065" s="5">
        <f t="shared" si="5"/>
        <v>198.18529999999998</v>
      </c>
      <c r="R1065" s="5"/>
      <c r="S1065" s="4"/>
    </row>
    <row r="1066" spans="1:19" ht="15" customHeight="1">
      <c r="A1066" s="3">
        <v>2018</v>
      </c>
      <c r="B1066" s="8">
        <f t="shared" ref="B1066:J1066" si="6">AVERAGE(B65:B76)</f>
        <v>4.3532083333333329</v>
      </c>
      <c r="C1066" s="8">
        <f t="shared" si="6"/>
        <v>4.3594833333333334</v>
      </c>
      <c r="D1066" s="8">
        <f t="shared" si="6"/>
        <v>4.3546416666666667</v>
      </c>
      <c r="E1066" s="8">
        <f t="shared" si="6"/>
        <v>4.3556083333333335</v>
      </c>
      <c r="F1066" s="4">
        <f t="shared" si="6"/>
        <v>5.0406666666666657</v>
      </c>
      <c r="G1066" s="8">
        <f t="shared" si="6"/>
        <v>4.312383333333333</v>
      </c>
      <c r="H1066" s="4">
        <f t="shared" si="6"/>
        <v>5.2282833333333336</v>
      </c>
      <c r="I1066" s="8">
        <f t="shared" si="6"/>
        <v>4.3399749999999999</v>
      </c>
      <c r="J1066" s="4">
        <f t="shared" si="6"/>
        <v>4.2151000000000005</v>
      </c>
      <c r="K1066" s="4"/>
      <c r="L1066" s="5">
        <f t="shared" ref="L1066:Q1066" si="7">SUM(L65:L76)</f>
        <v>355.53689999999995</v>
      </c>
      <c r="M1066" s="5">
        <f t="shared" si="7"/>
        <v>142.0401</v>
      </c>
      <c r="N1066" s="5">
        <f t="shared" si="7"/>
        <v>58.217499999999994</v>
      </c>
      <c r="O1066" s="5">
        <f t="shared" si="7"/>
        <v>4.4046000000000003</v>
      </c>
      <c r="P1066" s="5">
        <f t="shared" si="7"/>
        <v>15.220499999999998</v>
      </c>
      <c r="Q1066" s="5">
        <f t="shared" si="7"/>
        <v>293.19730000000004</v>
      </c>
      <c r="R1066" s="5"/>
      <c r="S1066" s="4"/>
    </row>
    <row r="1067" spans="1:19" ht="15" customHeight="1">
      <c r="A1067" s="3">
        <v>2019</v>
      </c>
      <c r="B1067" s="8">
        <f t="shared" ref="B1067:J1067" si="8">AVERAGE(B77:B88)</f>
        <v>4.6986500000000007</v>
      </c>
      <c r="C1067" s="8">
        <f t="shared" si="8"/>
        <v>4.7049250000000002</v>
      </c>
      <c r="D1067" s="8">
        <f t="shared" si="8"/>
        <v>4.7000916666666663</v>
      </c>
      <c r="E1067" s="8">
        <f t="shared" si="8"/>
        <v>4.7010666666666676</v>
      </c>
      <c r="F1067" s="4">
        <f t="shared" si="8"/>
        <v>5.3861083333333335</v>
      </c>
      <c r="G1067" s="8">
        <f t="shared" si="8"/>
        <v>4.6538083333333331</v>
      </c>
      <c r="H1067" s="4">
        <f t="shared" si="8"/>
        <v>5.569675000000001</v>
      </c>
      <c r="I1067" s="8">
        <f t="shared" si="8"/>
        <v>4.6754000000000007</v>
      </c>
      <c r="J1067" s="4">
        <f t="shared" si="8"/>
        <v>4.5503500000000008</v>
      </c>
      <c r="K1067" s="4"/>
      <c r="L1067" s="5">
        <f t="shared" ref="L1067:Q1067" si="9">SUM(L77:L88)</f>
        <v>355.53689999999995</v>
      </c>
      <c r="M1067" s="5">
        <f t="shared" si="9"/>
        <v>142.0401</v>
      </c>
      <c r="N1067" s="5">
        <f t="shared" si="9"/>
        <v>58.217499999999994</v>
      </c>
      <c r="O1067" s="5">
        <f t="shared" si="9"/>
        <v>4.4046000000000003</v>
      </c>
      <c r="P1067" s="5">
        <f t="shared" si="9"/>
        <v>15.220499999999998</v>
      </c>
      <c r="Q1067" s="5">
        <f t="shared" si="9"/>
        <v>290.24799999999999</v>
      </c>
      <c r="R1067" s="5"/>
      <c r="S1067" s="4"/>
    </row>
    <row r="1068" spans="1:19" ht="15" customHeight="1">
      <c r="A1068" s="3">
        <v>2020</v>
      </c>
      <c r="B1068" s="8">
        <f t="shared" ref="B1068:J1068" si="10">AVERAGE(B89:B100)</f>
        <v>5.1623583333333336</v>
      </c>
      <c r="C1068" s="8">
        <f t="shared" si="10"/>
        <v>5.1685916666666669</v>
      </c>
      <c r="D1068" s="8">
        <f t="shared" si="10"/>
        <v>5.1637750000000002</v>
      </c>
      <c r="E1068" s="8">
        <f t="shared" si="10"/>
        <v>5.1647333333333334</v>
      </c>
      <c r="F1068" s="4">
        <f t="shared" si="10"/>
        <v>5.8497916666666674</v>
      </c>
      <c r="G1068" s="8">
        <f t="shared" si="10"/>
        <v>5.1120333333333337</v>
      </c>
      <c r="H1068" s="4">
        <f t="shared" si="10"/>
        <v>6.0279166666666661</v>
      </c>
      <c r="I1068" s="8">
        <f t="shared" si="10"/>
        <v>5.1256166666666667</v>
      </c>
      <c r="J1068" s="4">
        <f t="shared" si="10"/>
        <v>5.0003333333333329</v>
      </c>
      <c r="K1068" s="4"/>
      <c r="L1068" s="5">
        <f t="shared" ref="L1068:Q1068" si="11">SUM(L89:L100)</f>
        <v>356.48229999999995</v>
      </c>
      <c r="M1068" s="5">
        <f t="shared" si="11"/>
        <v>142.42920000000001</v>
      </c>
      <c r="N1068" s="5">
        <f t="shared" si="11"/>
        <v>58.377000000000002</v>
      </c>
      <c r="O1068" s="5">
        <f t="shared" si="11"/>
        <v>4.4165999999999999</v>
      </c>
      <c r="P1068" s="5">
        <f t="shared" si="11"/>
        <v>15.262199999999998</v>
      </c>
      <c r="Q1068" s="5">
        <f t="shared" si="11"/>
        <v>349.04309999999998</v>
      </c>
      <c r="R1068" s="5"/>
      <c r="S1068" s="4"/>
    </row>
    <row r="1069" spans="1:19" ht="15" customHeight="1">
      <c r="A1069" s="3">
        <v>2021</v>
      </c>
      <c r="B1069" s="8">
        <f t="shared" ref="B1069:J1069" si="12">AVERAGE(B101:B112)</f>
        <v>5.5641999999999996</v>
      </c>
      <c r="C1069" s="8">
        <f t="shared" si="12"/>
        <v>5.5704666666666673</v>
      </c>
      <c r="D1069" s="8">
        <f t="shared" si="12"/>
        <v>5.5656250000000007</v>
      </c>
      <c r="E1069" s="8">
        <f t="shared" si="12"/>
        <v>5.5666000000000002</v>
      </c>
      <c r="F1069" s="4">
        <f t="shared" si="12"/>
        <v>6.2516333333333334</v>
      </c>
      <c r="G1069" s="8">
        <f t="shared" si="12"/>
        <v>5.5091916666666663</v>
      </c>
      <c r="H1069" s="4">
        <f t="shared" si="12"/>
        <v>6.425066666666666</v>
      </c>
      <c r="I1069" s="8">
        <f t="shared" si="12"/>
        <v>5.5158249999999995</v>
      </c>
      <c r="J1069" s="4">
        <f t="shared" si="12"/>
        <v>5.3903500000000006</v>
      </c>
      <c r="K1069" s="4"/>
      <c r="L1069" s="5">
        <f t="shared" ref="L1069:Q1069" si="13">SUM(L101:L112)</f>
        <v>355.53689999999995</v>
      </c>
      <c r="M1069" s="5">
        <f t="shared" si="13"/>
        <v>142.0401</v>
      </c>
      <c r="N1069" s="5">
        <f t="shared" si="13"/>
        <v>58.217499999999994</v>
      </c>
      <c r="O1069" s="5">
        <f t="shared" si="13"/>
        <v>4.4046000000000003</v>
      </c>
      <c r="P1069" s="5">
        <f t="shared" si="13"/>
        <v>15.220499999999998</v>
      </c>
      <c r="Q1069" s="5">
        <f t="shared" si="13"/>
        <v>388.68129999999996</v>
      </c>
      <c r="R1069" s="5"/>
      <c r="S1069" s="4"/>
    </row>
    <row r="1070" spans="1:19" ht="15" customHeight="1">
      <c r="A1070" s="3">
        <v>2022</v>
      </c>
      <c r="B1070" s="8">
        <f t="shared" ref="B1070:J1070" si="14">AVERAGE(B113:B124)</f>
        <v>5.8733250000000004</v>
      </c>
      <c r="C1070" s="8">
        <f t="shared" si="14"/>
        <v>5.8795666666666664</v>
      </c>
      <c r="D1070" s="8">
        <f t="shared" si="14"/>
        <v>5.8747499999999988</v>
      </c>
      <c r="E1070" s="8">
        <f t="shared" si="14"/>
        <v>5.8757166666666683</v>
      </c>
      <c r="F1070" s="4">
        <f t="shared" si="14"/>
        <v>6.5607583333333332</v>
      </c>
      <c r="G1070" s="8">
        <f t="shared" si="14"/>
        <v>5.8146833333333321</v>
      </c>
      <c r="H1070" s="4">
        <f t="shared" si="14"/>
        <v>6.7305750000000009</v>
      </c>
      <c r="I1070" s="8">
        <f t="shared" si="14"/>
        <v>5.8159583333333336</v>
      </c>
      <c r="J1070" s="4">
        <f t="shared" si="14"/>
        <v>5.690341666666666</v>
      </c>
      <c r="K1070" s="4"/>
      <c r="L1070" s="5">
        <f t="shared" ref="L1070:Q1070" si="15">SUM(L113:L124)</f>
        <v>355.53689999999995</v>
      </c>
      <c r="M1070" s="5">
        <f t="shared" si="15"/>
        <v>142.0401</v>
      </c>
      <c r="N1070" s="5">
        <f t="shared" si="15"/>
        <v>58.217499999999994</v>
      </c>
      <c r="O1070" s="5">
        <f t="shared" si="15"/>
        <v>4.4046000000000003</v>
      </c>
      <c r="P1070" s="5">
        <f t="shared" si="15"/>
        <v>15.220499999999998</v>
      </c>
      <c r="Q1070" s="5">
        <f t="shared" si="15"/>
        <v>386.33820000000003</v>
      </c>
      <c r="R1070" s="5"/>
      <c r="S1070" s="4"/>
    </row>
    <row r="1071" spans="1:19" ht="15" customHeight="1">
      <c r="A1071" s="3">
        <v>2023</v>
      </c>
      <c r="B1071" s="8">
        <f t="shared" ref="B1071:J1071" si="16">AVERAGE(B125:B136)</f>
        <v>6.1103083333333332</v>
      </c>
      <c r="C1071" s="8">
        <f t="shared" si="16"/>
        <v>6.1165583333333329</v>
      </c>
      <c r="D1071" s="8">
        <f t="shared" si="16"/>
        <v>6.1117250000000007</v>
      </c>
      <c r="E1071" s="8">
        <f t="shared" si="16"/>
        <v>6.1127000000000002</v>
      </c>
      <c r="F1071" s="4">
        <f t="shared" si="16"/>
        <v>6.7977583333333333</v>
      </c>
      <c r="G1071" s="8">
        <f t="shared" si="16"/>
        <v>6.0489166666666669</v>
      </c>
      <c r="H1071" s="4">
        <f t="shared" si="16"/>
        <v>6.9647666666666685</v>
      </c>
      <c r="I1071" s="8">
        <f t="shared" si="16"/>
        <v>6.0460916666666664</v>
      </c>
      <c r="J1071" s="4">
        <f t="shared" si="16"/>
        <v>5.92035</v>
      </c>
      <c r="K1071" s="4"/>
      <c r="L1071" s="5">
        <f t="shared" ref="L1071:Q1071" si="17">SUM(L125:L136)</f>
        <v>355.53689999999995</v>
      </c>
      <c r="M1071" s="5">
        <f t="shared" si="17"/>
        <v>142.0401</v>
      </c>
      <c r="N1071" s="5">
        <f t="shared" si="17"/>
        <v>58.217499999999994</v>
      </c>
      <c r="O1071" s="5">
        <f t="shared" si="17"/>
        <v>4.4046000000000003</v>
      </c>
      <c r="P1071" s="5">
        <f t="shared" si="17"/>
        <v>15.220499999999998</v>
      </c>
      <c r="Q1071" s="5">
        <f t="shared" si="17"/>
        <v>384.12599999999998</v>
      </c>
      <c r="R1071" s="5"/>
      <c r="S1071" s="4"/>
    </row>
    <row r="1072" spans="1:19" ht="15" customHeight="1">
      <c r="A1072" s="3">
        <v>2024</v>
      </c>
      <c r="B1072" s="8">
        <f t="shared" ref="B1072:J1072" si="18">AVERAGE(B137:B148)</f>
        <v>6.2957749999999999</v>
      </c>
      <c r="C1072" s="8">
        <f t="shared" si="18"/>
        <v>6.3020416666666668</v>
      </c>
      <c r="D1072" s="8">
        <f t="shared" si="18"/>
        <v>6.2972000000000001</v>
      </c>
      <c r="E1072" s="8">
        <f t="shared" si="18"/>
        <v>6.2981749999999996</v>
      </c>
      <c r="F1072" s="4">
        <f t="shared" si="18"/>
        <v>6.9832250000000009</v>
      </c>
      <c r="G1072" s="8">
        <f t="shared" si="18"/>
        <v>6.232216666666667</v>
      </c>
      <c r="H1072" s="4">
        <f t="shared" si="18"/>
        <v>7.1480833333333349</v>
      </c>
      <c r="I1072" s="8">
        <f t="shared" si="18"/>
        <v>6.2261583333333332</v>
      </c>
      <c r="J1072" s="4">
        <f t="shared" si="18"/>
        <v>6.1003499999999997</v>
      </c>
      <c r="K1072" s="4"/>
      <c r="L1072" s="5">
        <f t="shared" ref="L1072:Q1072" si="19">SUM(L137:L148)</f>
        <v>356.48229999999995</v>
      </c>
      <c r="M1072" s="5">
        <f t="shared" si="19"/>
        <v>142.42920000000001</v>
      </c>
      <c r="N1072" s="5">
        <f t="shared" si="19"/>
        <v>58.377000000000002</v>
      </c>
      <c r="O1072" s="5">
        <f t="shared" si="19"/>
        <v>4.4165999999999999</v>
      </c>
      <c r="P1072" s="5">
        <f t="shared" si="19"/>
        <v>15.262199999999998</v>
      </c>
      <c r="Q1072" s="5">
        <f t="shared" si="19"/>
        <v>383.00459999999998</v>
      </c>
      <c r="R1072" s="5"/>
      <c r="S1072" s="4"/>
    </row>
    <row r="1073" spans="1:19" ht="15" customHeight="1">
      <c r="A1073" s="3">
        <v>2025</v>
      </c>
      <c r="B1073" s="8">
        <f t="shared" ref="B1073:J1073" si="20">AVERAGE(B149:B160)</f>
        <v>6.4915583333333338</v>
      </c>
      <c r="C1073" s="8">
        <f t="shared" si="20"/>
        <v>6.4978166666666661</v>
      </c>
      <c r="D1073" s="8">
        <f t="shared" si="20"/>
        <v>6.4929750000000004</v>
      </c>
      <c r="E1073" s="8">
        <f t="shared" si="20"/>
        <v>6.493949999999999</v>
      </c>
      <c r="F1073" s="4">
        <f t="shared" si="20"/>
        <v>7.1790083333333348</v>
      </c>
      <c r="G1073" s="8">
        <f t="shared" si="20"/>
        <v>6.4256916666666664</v>
      </c>
      <c r="H1073" s="4">
        <f t="shared" si="20"/>
        <v>7.3415583333333325</v>
      </c>
      <c r="I1073" s="8">
        <f t="shared" si="20"/>
        <v>6.4162666666666679</v>
      </c>
      <c r="J1073" s="4">
        <f t="shared" si="20"/>
        <v>6.2903333333333338</v>
      </c>
      <c r="K1073" s="4"/>
      <c r="L1073" s="5">
        <f t="shared" ref="L1073:Q1073" si="21">SUM(L149:L160)</f>
        <v>355.53689999999995</v>
      </c>
      <c r="M1073" s="5">
        <f t="shared" si="21"/>
        <v>142.0401</v>
      </c>
      <c r="N1073" s="5">
        <f t="shared" si="21"/>
        <v>58.217499999999994</v>
      </c>
      <c r="O1073" s="5">
        <f t="shared" si="21"/>
        <v>4.4046000000000003</v>
      </c>
      <c r="P1073" s="5">
        <f t="shared" si="21"/>
        <v>15.220499999999998</v>
      </c>
      <c r="Q1073" s="5">
        <f t="shared" si="21"/>
        <v>379.76819999999998</v>
      </c>
      <c r="R1073" s="5"/>
      <c r="S1073" s="4"/>
    </row>
    <row r="1074" spans="1:19" ht="15" customHeight="1">
      <c r="A1074" s="3">
        <v>2026</v>
      </c>
      <c r="B1074" s="8">
        <f t="shared" ref="B1074:J1074" si="22">AVERAGE(B161:B172)</f>
        <v>6.6873333333333322</v>
      </c>
      <c r="C1074" s="8">
        <f t="shared" si="22"/>
        <v>6.6935916666666673</v>
      </c>
      <c r="D1074" s="8">
        <f t="shared" si="22"/>
        <v>6.6887500000000015</v>
      </c>
      <c r="E1074" s="8">
        <f t="shared" si="22"/>
        <v>6.6897250000000001</v>
      </c>
      <c r="F1074" s="4">
        <f t="shared" si="22"/>
        <v>7.3747749999999996</v>
      </c>
      <c r="G1074" s="8">
        <f t="shared" si="22"/>
        <v>6.6191749999999994</v>
      </c>
      <c r="H1074" s="4">
        <f t="shared" si="22"/>
        <v>7.5350500000000009</v>
      </c>
      <c r="I1074" s="8">
        <f t="shared" si="22"/>
        <v>6.6063666666666663</v>
      </c>
      <c r="J1074" s="4">
        <f t="shared" si="22"/>
        <v>6.4803583333333323</v>
      </c>
      <c r="K1074" s="4"/>
      <c r="L1074" s="5">
        <f t="shared" ref="L1074:Q1074" si="23">SUM(L161:L172)</f>
        <v>355.53689999999995</v>
      </c>
      <c r="M1074" s="5">
        <f t="shared" si="23"/>
        <v>142.0401</v>
      </c>
      <c r="N1074" s="5">
        <f t="shared" si="23"/>
        <v>58.217499999999994</v>
      </c>
      <c r="O1074" s="5">
        <f t="shared" si="23"/>
        <v>4.4046000000000003</v>
      </c>
      <c r="P1074" s="5">
        <f t="shared" si="23"/>
        <v>15.220499999999998</v>
      </c>
      <c r="Q1074" s="5">
        <f t="shared" si="23"/>
        <v>377.59969999999987</v>
      </c>
      <c r="R1074" s="5"/>
      <c r="S1074" s="4"/>
    </row>
    <row r="1075" spans="1:19" ht="15" customHeight="1">
      <c r="A1075" s="3">
        <v>2027</v>
      </c>
      <c r="B1075" s="8">
        <f t="shared" ref="B1075:J1075" si="24">AVERAGE(B173:B184)</f>
        <v>6.8934166666666661</v>
      </c>
      <c r="C1075" s="8">
        <f t="shared" si="24"/>
        <v>6.8996833333333347</v>
      </c>
      <c r="D1075" s="8">
        <f t="shared" si="24"/>
        <v>6.8948416666666672</v>
      </c>
      <c r="E1075" s="8">
        <f t="shared" si="24"/>
        <v>6.895808333333334</v>
      </c>
      <c r="F1075" s="4">
        <f t="shared" si="24"/>
        <v>7.580849999999999</v>
      </c>
      <c r="G1075" s="8">
        <f t="shared" si="24"/>
        <v>6.822841666666668</v>
      </c>
      <c r="H1075" s="4">
        <f t="shared" si="24"/>
        <v>7.7387249999999996</v>
      </c>
      <c r="I1075" s="8">
        <f t="shared" si="24"/>
        <v>6.8064500000000008</v>
      </c>
      <c r="J1075" s="4">
        <f t="shared" si="24"/>
        <v>6.6803249999999998</v>
      </c>
      <c r="K1075" s="4"/>
      <c r="L1075" s="5">
        <f t="shared" ref="L1075:Q1075" si="25">SUM(L173:L184)</f>
        <v>355.53689999999995</v>
      </c>
      <c r="M1075" s="5">
        <f t="shared" si="25"/>
        <v>142.0401</v>
      </c>
      <c r="N1075" s="5">
        <f t="shared" si="25"/>
        <v>58.217499999999994</v>
      </c>
      <c r="O1075" s="5">
        <f t="shared" si="25"/>
        <v>4.4046000000000003</v>
      </c>
      <c r="P1075" s="5">
        <f t="shared" si="25"/>
        <v>15.220499999999998</v>
      </c>
      <c r="Q1075" s="5">
        <f t="shared" si="25"/>
        <v>375.43180000000001</v>
      </c>
      <c r="R1075" s="5"/>
      <c r="S1075" s="4"/>
    </row>
    <row r="1076" spans="1:19" ht="15" customHeight="1">
      <c r="A1076" s="3">
        <v>2028</v>
      </c>
      <c r="B1076" s="8">
        <f t="shared" ref="B1076:J1076" si="26">AVERAGE(B185:B196)</f>
        <v>7.0994916666666663</v>
      </c>
      <c r="C1076" s="8">
        <f t="shared" si="26"/>
        <v>7.1057499999999996</v>
      </c>
      <c r="D1076" s="8">
        <f t="shared" si="26"/>
        <v>7.1009166666666665</v>
      </c>
      <c r="E1076" s="8">
        <f t="shared" si="26"/>
        <v>7.1018916666666669</v>
      </c>
      <c r="F1076" s="4">
        <f t="shared" si="26"/>
        <v>7.7869249999999992</v>
      </c>
      <c r="G1076" s="8">
        <f t="shared" si="26"/>
        <v>7.0265166666666659</v>
      </c>
      <c r="H1076" s="4">
        <f t="shared" si="26"/>
        <v>7.9423916666666665</v>
      </c>
      <c r="I1076" s="8">
        <f t="shared" si="26"/>
        <v>7.0065500000000007</v>
      </c>
      <c r="J1076" s="4">
        <f t="shared" si="26"/>
        <v>6.8803583333333327</v>
      </c>
      <c r="K1076" s="4"/>
      <c r="L1076" s="5">
        <f t="shared" ref="L1076:Q1076" si="27">SUM(L185:L196)</f>
        <v>356.48229999999995</v>
      </c>
      <c r="M1076" s="5">
        <f t="shared" si="27"/>
        <v>142.42920000000001</v>
      </c>
      <c r="N1076" s="5">
        <f t="shared" si="27"/>
        <v>58.377000000000002</v>
      </c>
      <c r="O1076" s="5">
        <f t="shared" si="27"/>
        <v>4.4165999999999999</v>
      </c>
      <c r="P1076" s="5">
        <f t="shared" si="27"/>
        <v>15.262199999999998</v>
      </c>
      <c r="Q1076" s="5">
        <f t="shared" si="27"/>
        <v>374.28599999999994</v>
      </c>
      <c r="R1076" s="5"/>
      <c r="S1076" s="4"/>
    </row>
    <row r="1077" spans="1:19" ht="15" customHeight="1">
      <c r="A1077" s="3">
        <v>2029</v>
      </c>
      <c r="B1077" s="8">
        <f t="shared" ref="B1077:J1077" si="28">AVERAGE(B197:B208)</f>
        <v>7.3158999999999992</v>
      </c>
      <c r="C1077" s="8">
        <f t="shared" si="28"/>
        <v>7.3221333333333334</v>
      </c>
      <c r="D1077" s="8">
        <f t="shared" si="28"/>
        <v>7.3172833333333323</v>
      </c>
      <c r="E1077" s="8">
        <f t="shared" si="28"/>
        <v>7.3182583333333326</v>
      </c>
      <c r="F1077" s="4">
        <f t="shared" si="28"/>
        <v>8.0033166666666666</v>
      </c>
      <c r="G1077" s="8">
        <f t="shared" si="28"/>
        <v>7.240358333333333</v>
      </c>
      <c r="H1077" s="4">
        <f t="shared" si="28"/>
        <v>8.1562333333333328</v>
      </c>
      <c r="I1077" s="8">
        <f t="shared" si="28"/>
        <v>7.2166666666666677</v>
      </c>
      <c r="J1077" s="4">
        <f t="shared" si="28"/>
        <v>7.0903416666666672</v>
      </c>
      <c r="K1077" s="4"/>
      <c r="L1077" s="5">
        <f t="shared" ref="L1077:Q1077" si="29">SUM(L197:L208)</f>
        <v>355.53689999999995</v>
      </c>
      <c r="M1077" s="5">
        <f t="shared" si="29"/>
        <v>142.0401</v>
      </c>
      <c r="N1077" s="5">
        <f t="shared" si="29"/>
        <v>58.217499999999994</v>
      </c>
      <c r="O1077" s="5">
        <f t="shared" si="29"/>
        <v>4.4046000000000003</v>
      </c>
      <c r="P1077" s="5">
        <f t="shared" si="29"/>
        <v>15.220499999999998</v>
      </c>
      <c r="Q1077" s="5">
        <f t="shared" si="29"/>
        <v>371.09549999999996</v>
      </c>
      <c r="R1077" s="5"/>
      <c r="S1077" s="4"/>
    </row>
    <row r="1078" spans="1:19" ht="15" customHeight="1">
      <c r="A1078" s="3">
        <v>2030</v>
      </c>
      <c r="B1078" s="8">
        <f t="shared" ref="B1078:J1078" si="30">AVERAGE(B209:B220)</f>
        <v>7.5322583333333339</v>
      </c>
      <c r="C1078" s="8">
        <f t="shared" si="30"/>
        <v>7.538524999999999</v>
      </c>
      <c r="D1078" s="8">
        <f t="shared" si="30"/>
        <v>7.5336833333333333</v>
      </c>
      <c r="E1078" s="8">
        <f t="shared" si="30"/>
        <v>7.5346583333333319</v>
      </c>
      <c r="F1078" s="4">
        <f t="shared" si="30"/>
        <v>8.2196916666666677</v>
      </c>
      <c r="G1078" s="8">
        <f t="shared" si="30"/>
        <v>7.4542166666666647</v>
      </c>
      <c r="H1078" s="4">
        <f t="shared" si="30"/>
        <v>8.3700749999999999</v>
      </c>
      <c r="I1078" s="8">
        <f t="shared" si="30"/>
        <v>7.4267750000000019</v>
      </c>
      <c r="J1078" s="4">
        <f t="shared" si="30"/>
        <v>7.3003333333333336</v>
      </c>
      <c r="K1078" s="4"/>
      <c r="L1078" s="5">
        <f t="shared" ref="L1078:Q1078" si="31">SUM(L209:L220)</f>
        <v>355.53689999999995</v>
      </c>
      <c r="M1078" s="5">
        <f t="shared" si="31"/>
        <v>142.0401</v>
      </c>
      <c r="N1078" s="5">
        <f t="shared" si="31"/>
        <v>58.217499999999994</v>
      </c>
      <c r="O1078" s="5">
        <f t="shared" si="31"/>
        <v>4.4046000000000003</v>
      </c>
      <c r="P1078" s="5">
        <f t="shared" si="31"/>
        <v>15.220499999999998</v>
      </c>
      <c r="Q1078" s="5">
        <f t="shared" si="31"/>
        <v>368.9276999999999</v>
      </c>
      <c r="R1078" s="5"/>
      <c r="S1078" s="4"/>
    </row>
    <row r="1079" spans="1:19" ht="15" customHeight="1">
      <c r="A1079" s="3">
        <v>2031</v>
      </c>
      <c r="B1079" s="8">
        <f t="shared" ref="B1079:J1079" si="32">AVERAGE(B221:B232)</f>
        <v>7.758958333333335</v>
      </c>
      <c r="C1079" s="8">
        <f t="shared" si="32"/>
        <v>7.7652083333333337</v>
      </c>
      <c r="D1079" s="8">
        <f t="shared" si="32"/>
        <v>7.7603750000000007</v>
      </c>
      <c r="E1079" s="8">
        <f t="shared" si="32"/>
        <v>7.7613499999999993</v>
      </c>
      <c r="F1079" s="4">
        <f t="shared" si="32"/>
        <v>8.4463916666666652</v>
      </c>
      <c r="G1079" s="8">
        <f t="shared" si="32"/>
        <v>7.6782499999999994</v>
      </c>
      <c r="H1079" s="4">
        <f t="shared" si="32"/>
        <v>8.5941083333333328</v>
      </c>
      <c r="I1079" s="8">
        <f t="shared" si="32"/>
        <v>7.6468833333333341</v>
      </c>
      <c r="J1079" s="4">
        <f t="shared" si="32"/>
        <v>7.5203499999999996</v>
      </c>
      <c r="K1079" s="4"/>
      <c r="L1079" s="5">
        <f t="shared" ref="L1079:Q1079" si="33">SUM(L221:L232)</f>
        <v>355.53689999999995</v>
      </c>
      <c r="M1079" s="5">
        <f t="shared" si="33"/>
        <v>142.0401</v>
      </c>
      <c r="N1079" s="5">
        <f t="shared" si="33"/>
        <v>58.217499999999994</v>
      </c>
      <c r="O1079" s="5">
        <f t="shared" si="33"/>
        <v>4.4046000000000003</v>
      </c>
      <c r="P1079" s="5">
        <f t="shared" si="33"/>
        <v>15.220499999999998</v>
      </c>
      <c r="Q1079" s="5">
        <f t="shared" si="33"/>
        <v>365.31420000000003</v>
      </c>
      <c r="R1079" s="5"/>
      <c r="S1079" s="4"/>
    </row>
    <row r="1080" spans="1:19" ht="15" customHeight="1">
      <c r="A1080" s="3">
        <v>2032</v>
      </c>
      <c r="B1080" s="8">
        <f t="shared" ref="B1080:J1080" si="34">AVERAGE(B233:B244)</f>
        <v>7.9856333333333325</v>
      </c>
      <c r="C1080" s="8">
        <f t="shared" si="34"/>
        <v>7.9918916666666675</v>
      </c>
      <c r="D1080" s="8">
        <f t="shared" si="34"/>
        <v>7.9870500000000009</v>
      </c>
      <c r="E1080" s="8">
        <f t="shared" si="34"/>
        <v>7.9880250000000004</v>
      </c>
      <c r="F1080" s="4">
        <f t="shared" si="34"/>
        <v>8.673074999999999</v>
      </c>
      <c r="G1080" s="8">
        <f t="shared" si="34"/>
        <v>7.9022833333333331</v>
      </c>
      <c r="H1080" s="4">
        <f t="shared" si="34"/>
        <v>8.818150000000001</v>
      </c>
      <c r="I1080" s="8">
        <f t="shared" si="34"/>
        <v>7.8669916666666682</v>
      </c>
      <c r="J1080" s="4">
        <f t="shared" si="34"/>
        <v>7.740358333333333</v>
      </c>
      <c r="K1080" s="4"/>
      <c r="L1080" s="5">
        <f t="shared" ref="L1080:Q1080" si="35">SUM(L233:L244)</f>
        <v>356.48229999999995</v>
      </c>
      <c r="M1080" s="5">
        <f t="shared" si="35"/>
        <v>142.42920000000001</v>
      </c>
      <c r="N1080" s="5">
        <f t="shared" si="35"/>
        <v>58.377000000000002</v>
      </c>
      <c r="O1080" s="5">
        <f t="shared" si="35"/>
        <v>4.4165999999999999</v>
      </c>
      <c r="P1080" s="5">
        <f t="shared" si="35"/>
        <v>15.262199999999998</v>
      </c>
      <c r="Q1080" s="5">
        <f t="shared" si="35"/>
        <v>364.46999999999997</v>
      </c>
      <c r="R1080" s="5"/>
      <c r="S1080" s="4"/>
    </row>
    <row r="1081" spans="1:19" ht="15" customHeight="1">
      <c r="A1081" s="3">
        <v>2033</v>
      </c>
      <c r="B1081" s="8">
        <f t="shared" ref="B1081:J1081" si="36">AVERAGE(B245:B256)</f>
        <v>8.2226333333333343</v>
      </c>
      <c r="C1081" s="8">
        <f t="shared" si="36"/>
        <v>8.2288916666666676</v>
      </c>
      <c r="D1081" s="8">
        <f t="shared" si="36"/>
        <v>8.2240333333333329</v>
      </c>
      <c r="E1081" s="8">
        <f t="shared" si="36"/>
        <v>8.2250166666666669</v>
      </c>
      <c r="F1081" s="4">
        <f t="shared" si="36"/>
        <v>8.9100583333333336</v>
      </c>
      <c r="G1081" s="8">
        <f t="shared" si="36"/>
        <v>8.1364833333333326</v>
      </c>
      <c r="H1081" s="4">
        <f t="shared" si="36"/>
        <v>9.0523583333333324</v>
      </c>
      <c r="I1081" s="8">
        <f t="shared" si="36"/>
        <v>8.0970999999999993</v>
      </c>
      <c r="J1081" s="4">
        <f t="shared" si="36"/>
        <v>7.9703500000000007</v>
      </c>
      <c r="K1081" s="4"/>
      <c r="L1081" s="5">
        <f t="shared" ref="L1081:Q1081" si="37">SUM(L245:L256)</f>
        <v>355.53689999999995</v>
      </c>
      <c r="M1081" s="5">
        <f t="shared" si="37"/>
        <v>142.0401</v>
      </c>
      <c r="N1081" s="5">
        <f t="shared" si="37"/>
        <v>58.217499999999994</v>
      </c>
      <c r="O1081" s="5">
        <f t="shared" si="37"/>
        <v>4.4046000000000003</v>
      </c>
      <c r="P1081" s="5">
        <f t="shared" si="37"/>
        <v>15.220499999999998</v>
      </c>
      <c r="Q1081" s="5">
        <f t="shared" si="37"/>
        <v>362.33550000000002</v>
      </c>
      <c r="R1081" s="5"/>
      <c r="S1081" s="4"/>
    </row>
    <row r="1082" spans="1:19" ht="15" customHeight="1">
      <c r="A1082" s="3">
        <v>2034</v>
      </c>
      <c r="B1082" s="8">
        <f t="shared" ref="B1082:J1082" si="38">AVERAGE(B257:B268)</f>
        <v>8.3874833333333338</v>
      </c>
      <c r="C1082" s="8">
        <f t="shared" si="38"/>
        <v>8.3937416666666653</v>
      </c>
      <c r="D1082" s="8">
        <f t="shared" si="38"/>
        <v>8.3889166666666686</v>
      </c>
      <c r="E1082" s="8">
        <f t="shared" si="38"/>
        <v>8.3898833333333336</v>
      </c>
      <c r="F1082" s="4">
        <f t="shared" si="38"/>
        <v>9.0749416666666676</v>
      </c>
      <c r="G1082" s="8">
        <f t="shared" si="38"/>
        <v>8.2994249999999994</v>
      </c>
      <c r="H1082" s="4">
        <f t="shared" si="38"/>
        <v>9.2153083333333345</v>
      </c>
      <c r="I1082" s="8">
        <f t="shared" si="38"/>
        <v>8.2571999999999992</v>
      </c>
      <c r="J1082" s="4">
        <f t="shared" si="38"/>
        <v>8.13035</v>
      </c>
      <c r="K1082" s="4"/>
      <c r="L1082" s="5">
        <f t="shared" ref="L1082:Q1082" si="39">SUM(L257:L268)</f>
        <v>355.53689999999995</v>
      </c>
      <c r="M1082" s="5">
        <f t="shared" si="39"/>
        <v>142.0401</v>
      </c>
      <c r="N1082" s="5">
        <f t="shared" si="39"/>
        <v>58.217499999999994</v>
      </c>
      <c r="O1082" s="5">
        <f t="shared" si="39"/>
        <v>4.4046000000000003</v>
      </c>
      <c r="P1082" s="5">
        <f t="shared" si="39"/>
        <v>15.220499999999998</v>
      </c>
      <c r="Q1082" s="5">
        <f t="shared" si="39"/>
        <v>361.59120000000007</v>
      </c>
      <c r="R1082" s="5"/>
      <c r="S1082" s="4"/>
    </row>
    <row r="1083" spans="1:19" ht="15" customHeight="1">
      <c r="A1083" s="3">
        <v>2035</v>
      </c>
      <c r="B1083" s="8">
        <f t="shared" ref="B1083:J1083" si="40">AVERAGE(B269:B280)</f>
        <v>8.5523583333333342</v>
      </c>
      <c r="C1083" s="8">
        <f t="shared" si="40"/>
        <v>8.5586083333333338</v>
      </c>
      <c r="D1083" s="8">
        <f t="shared" si="40"/>
        <v>8.5537666666666663</v>
      </c>
      <c r="E1083" s="8">
        <f t="shared" si="40"/>
        <v>8.5547500000000003</v>
      </c>
      <c r="F1083" s="4">
        <f t="shared" si="40"/>
        <v>9.2397916666666671</v>
      </c>
      <c r="G1083" s="8">
        <f t="shared" si="40"/>
        <v>8.4623666666666661</v>
      </c>
      <c r="H1083" s="4">
        <f t="shared" si="40"/>
        <v>9.3782250000000005</v>
      </c>
      <c r="I1083" s="8">
        <f t="shared" si="40"/>
        <v>8.417250000000001</v>
      </c>
      <c r="J1083" s="4">
        <f t="shared" si="40"/>
        <v>8.2903500000000001</v>
      </c>
      <c r="K1083" s="4"/>
      <c r="L1083" s="5">
        <f t="shared" ref="L1083:Q1083" si="41">SUM(L269:L280)</f>
        <v>355.53689999999995</v>
      </c>
      <c r="M1083" s="5">
        <f t="shared" si="41"/>
        <v>142.0401</v>
      </c>
      <c r="N1083" s="5">
        <f t="shared" si="41"/>
        <v>58.217499999999994</v>
      </c>
      <c r="O1083" s="5">
        <f t="shared" si="41"/>
        <v>4.4046000000000003</v>
      </c>
      <c r="P1083" s="5">
        <f t="shared" si="41"/>
        <v>15.220499999999998</v>
      </c>
      <c r="Q1083" s="5">
        <f t="shared" si="41"/>
        <v>360.82469999999995</v>
      </c>
      <c r="R1083" s="5"/>
      <c r="S1083" s="4"/>
    </row>
    <row r="1084" spans="1:19" ht="15" customHeight="1">
      <c r="A1084" s="3">
        <v>2036</v>
      </c>
      <c r="B1084" s="8">
        <f t="shared" ref="B1084:J1084" si="42">AVERAGE(B281:B292)</f>
        <v>8.7575999999999983</v>
      </c>
      <c r="C1084" s="8">
        <f t="shared" si="42"/>
        <v>8.7638583333333333</v>
      </c>
      <c r="D1084" s="8">
        <f t="shared" si="42"/>
        <v>8.759033333333333</v>
      </c>
      <c r="E1084" s="8">
        <f t="shared" si="42"/>
        <v>8.76</v>
      </c>
      <c r="F1084" s="4">
        <f t="shared" si="42"/>
        <v>9.4450333333333329</v>
      </c>
      <c r="G1084" s="8">
        <f t="shared" si="42"/>
        <v>8.6652000000000005</v>
      </c>
      <c r="H1084" s="4">
        <f t="shared" si="42"/>
        <v>9.5810666666666666</v>
      </c>
      <c r="I1084" s="8">
        <f t="shared" si="42"/>
        <v>8.6165416666666665</v>
      </c>
      <c r="J1084" s="4">
        <f t="shared" si="42"/>
        <v>8.4895333333333358</v>
      </c>
      <c r="K1084" s="4"/>
      <c r="L1084" s="5">
        <f t="shared" ref="L1084:Q1084" si="43">SUM(L281:L292)</f>
        <v>356.48229999999995</v>
      </c>
      <c r="M1084" s="5">
        <f t="shared" si="43"/>
        <v>142.42920000000001</v>
      </c>
      <c r="N1084" s="5">
        <f t="shared" si="43"/>
        <v>58.377000000000002</v>
      </c>
      <c r="O1084" s="5">
        <f t="shared" si="43"/>
        <v>4.4165999999999999</v>
      </c>
      <c r="P1084" s="5">
        <f t="shared" si="43"/>
        <v>15.262199999999998</v>
      </c>
      <c r="Q1084" s="5">
        <f t="shared" si="43"/>
        <v>361.0446</v>
      </c>
      <c r="R1084" s="5"/>
      <c r="S1084" s="4"/>
    </row>
    <row r="1085" spans="1:19" ht="15" customHeight="1">
      <c r="A1085" s="3">
        <v>2037</v>
      </c>
      <c r="B1085" s="8">
        <f t="shared" ref="B1085:J1085" si="44">AVERAGE(B293:B304)</f>
        <v>8.9677833333333332</v>
      </c>
      <c r="C1085" s="8">
        <f t="shared" si="44"/>
        <v>8.9740416666666665</v>
      </c>
      <c r="D1085" s="8">
        <f t="shared" si="44"/>
        <v>8.9691916666666653</v>
      </c>
      <c r="E1085" s="8">
        <f t="shared" si="44"/>
        <v>8.9701749999999993</v>
      </c>
      <c r="F1085" s="4">
        <f t="shared" si="44"/>
        <v>9.6552083333333361</v>
      </c>
      <c r="G1085" s="8">
        <f t="shared" si="44"/>
        <v>8.8729083333333332</v>
      </c>
      <c r="H1085" s="4">
        <f t="shared" si="44"/>
        <v>9.7887749999999993</v>
      </c>
      <c r="I1085" s="8">
        <f t="shared" si="44"/>
        <v>8.8206166666666661</v>
      </c>
      <c r="J1085" s="4">
        <f t="shared" si="44"/>
        <v>8.6935083333333321</v>
      </c>
      <c r="K1085" s="4"/>
      <c r="L1085" s="5">
        <f t="shared" ref="L1085:Q1085" si="45">SUM(L293:L304)</f>
        <v>355.53689999999995</v>
      </c>
      <c r="M1085" s="5">
        <f t="shared" si="45"/>
        <v>142.0401</v>
      </c>
      <c r="N1085" s="5">
        <f t="shared" si="45"/>
        <v>58.217499999999994</v>
      </c>
      <c r="O1085" s="5">
        <f t="shared" si="45"/>
        <v>4.4046000000000003</v>
      </c>
      <c r="P1085" s="5">
        <f t="shared" si="45"/>
        <v>15.220499999999998</v>
      </c>
      <c r="Q1085" s="5">
        <f t="shared" si="45"/>
        <v>359.29169999999999</v>
      </c>
      <c r="R1085" s="5"/>
      <c r="S1085" s="4"/>
    </row>
    <row r="1086" spans="1:19" ht="15" customHeight="1">
      <c r="A1086" s="3">
        <f t="shared" ref="A1086:A1117" si="46">A1085+1</f>
        <v>2038</v>
      </c>
      <c r="B1086" s="8">
        <f t="shared" ref="B1086:J1086" si="47">AVERAGE(B305:B316)</f>
        <v>9.1829999999999998</v>
      </c>
      <c r="C1086" s="8">
        <f t="shared" si="47"/>
        <v>9.1892499999999995</v>
      </c>
      <c r="D1086" s="8">
        <f t="shared" si="47"/>
        <v>9.1844250000000009</v>
      </c>
      <c r="E1086" s="8">
        <f t="shared" si="47"/>
        <v>9.1853833333333323</v>
      </c>
      <c r="F1086" s="4">
        <f t="shared" si="47"/>
        <v>9.8704166666666655</v>
      </c>
      <c r="G1086" s="8">
        <f t="shared" si="47"/>
        <v>9.0856166666666667</v>
      </c>
      <c r="H1086" s="4">
        <f t="shared" si="47"/>
        <v>10.001491666666666</v>
      </c>
      <c r="I1086" s="8">
        <f t="shared" si="47"/>
        <v>9.0296166666666675</v>
      </c>
      <c r="J1086" s="4">
        <f t="shared" si="47"/>
        <v>8.9023833333333329</v>
      </c>
      <c r="K1086" s="4"/>
      <c r="L1086" s="5">
        <f t="shared" ref="L1086:Q1086" si="48">SUM(L305:L316)</f>
        <v>355.53689999999995</v>
      </c>
      <c r="M1086" s="5">
        <f t="shared" si="48"/>
        <v>142.0401</v>
      </c>
      <c r="N1086" s="5">
        <f t="shared" si="48"/>
        <v>58.217499999999994</v>
      </c>
      <c r="O1086" s="5">
        <f t="shared" si="48"/>
        <v>4.4046000000000003</v>
      </c>
      <c r="P1086" s="5">
        <f t="shared" si="48"/>
        <v>15.220499999999998</v>
      </c>
      <c r="Q1086" s="5">
        <f t="shared" si="48"/>
        <v>358.54670000000004</v>
      </c>
      <c r="R1086" s="5"/>
      <c r="S1086" s="4"/>
    </row>
    <row r="1087" spans="1:19" ht="15" customHeight="1">
      <c r="A1087" s="3">
        <f t="shared" si="46"/>
        <v>2039</v>
      </c>
      <c r="B1087" s="8">
        <f t="shared" ref="B1087:J1087" si="49">AVERAGE(B317:B328)</f>
        <v>9.4033916666666659</v>
      </c>
      <c r="C1087" s="8">
        <f t="shared" si="49"/>
        <v>9.4096416666666656</v>
      </c>
      <c r="D1087" s="8">
        <f t="shared" si="49"/>
        <v>9.404816666666667</v>
      </c>
      <c r="E1087" s="8">
        <f t="shared" si="49"/>
        <v>9.4057833333333338</v>
      </c>
      <c r="F1087" s="4">
        <f t="shared" si="49"/>
        <v>10.090825000000001</v>
      </c>
      <c r="G1087" s="8">
        <f t="shared" si="49"/>
        <v>9.3034250000000007</v>
      </c>
      <c r="H1087" s="4">
        <f t="shared" si="49"/>
        <v>10.219283333333335</v>
      </c>
      <c r="I1087" s="8">
        <f t="shared" si="49"/>
        <v>9.2435916666666671</v>
      </c>
      <c r="J1087" s="4">
        <f t="shared" si="49"/>
        <v>9.1162833333333335</v>
      </c>
      <c r="K1087" s="7"/>
      <c r="L1087" s="5">
        <f t="shared" ref="L1087:Q1087" si="50">SUM(L317:L328)</f>
        <v>355.53689999999995</v>
      </c>
      <c r="M1087" s="5">
        <f t="shared" si="50"/>
        <v>142.0401</v>
      </c>
      <c r="N1087" s="5">
        <f t="shared" si="50"/>
        <v>58.217499999999994</v>
      </c>
      <c r="O1087" s="5">
        <f t="shared" si="50"/>
        <v>4.4046000000000003</v>
      </c>
      <c r="P1087" s="5">
        <f t="shared" si="50"/>
        <v>15.220499999999998</v>
      </c>
      <c r="Q1087" s="5">
        <f t="shared" si="50"/>
        <v>357.78019999999998</v>
      </c>
      <c r="R1087" s="5"/>
      <c r="S1087" s="6"/>
    </row>
    <row r="1088" spans="1:19" ht="15" customHeight="1">
      <c r="A1088" s="3">
        <f t="shared" si="46"/>
        <v>2040</v>
      </c>
      <c r="B1088" s="8">
        <f t="shared" ref="B1088:J1088" si="51">AVERAGE(B329:B340)</f>
        <v>9.6290833333333339</v>
      </c>
      <c r="C1088" s="8">
        <f t="shared" si="51"/>
        <v>9.6353333333333318</v>
      </c>
      <c r="D1088" s="8">
        <f t="shared" si="51"/>
        <v>9.6304999999999978</v>
      </c>
      <c r="E1088" s="8">
        <f t="shared" si="51"/>
        <v>9.6314833333333336</v>
      </c>
      <c r="F1088" s="4">
        <f t="shared" si="51"/>
        <v>10.316516666666667</v>
      </c>
      <c r="G1088" s="8">
        <f t="shared" si="51"/>
        <v>9.5264749999999996</v>
      </c>
      <c r="H1088" s="4">
        <f t="shared" si="51"/>
        <v>10.442350000000001</v>
      </c>
      <c r="I1088" s="8">
        <f t="shared" si="51"/>
        <v>9.4627500000000015</v>
      </c>
      <c r="J1088" s="4">
        <f t="shared" si="51"/>
        <v>9.3353250000000028</v>
      </c>
      <c r="K1088" s="7"/>
      <c r="L1088" s="5">
        <f t="shared" ref="L1088:Q1088" si="52">SUM(L329:L340)</f>
        <v>356.48229999999995</v>
      </c>
      <c r="M1088" s="5">
        <f t="shared" si="52"/>
        <v>142.42920000000001</v>
      </c>
      <c r="N1088" s="5">
        <f t="shared" si="52"/>
        <v>58.377000000000002</v>
      </c>
      <c r="O1088" s="5">
        <f t="shared" si="52"/>
        <v>4.4165999999999999</v>
      </c>
      <c r="P1088" s="5">
        <f t="shared" si="52"/>
        <v>15.262199999999998</v>
      </c>
      <c r="Q1088" s="5">
        <f t="shared" si="52"/>
        <v>357.99180000000001</v>
      </c>
      <c r="R1088" s="5"/>
      <c r="S1088" s="6"/>
    </row>
    <row r="1089" spans="1:19" ht="15" customHeight="1">
      <c r="A1089" s="3">
        <f t="shared" si="46"/>
        <v>2041</v>
      </c>
      <c r="B1089" s="8">
        <f t="shared" ref="B1089:J1089" si="53">AVERAGE(B341:B352)</f>
        <v>9.8601916666666654</v>
      </c>
      <c r="C1089" s="8">
        <f t="shared" si="53"/>
        <v>9.8664500000000022</v>
      </c>
      <c r="D1089" s="8">
        <f t="shared" si="53"/>
        <v>9.8616166666666665</v>
      </c>
      <c r="E1089" s="8">
        <f t="shared" si="53"/>
        <v>9.8625916666666686</v>
      </c>
      <c r="F1089" s="4">
        <f t="shared" si="53"/>
        <v>10.547633333333335</v>
      </c>
      <c r="G1089" s="8">
        <f t="shared" si="53"/>
        <v>9.7548750000000002</v>
      </c>
      <c r="H1089" s="4">
        <f t="shared" si="53"/>
        <v>10.670758333333332</v>
      </c>
      <c r="I1089" s="8">
        <f t="shared" si="53"/>
        <v>9.6871583333333326</v>
      </c>
      <c r="J1089" s="4">
        <f t="shared" si="53"/>
        <v>9.5595999999999979</v>
      </c>
      <c r="K1089" s="7"/>
      <c r="L1089" s="5">
        <f t="shared" ref="L1089:Q1089" si="54">SUM(L341:L352)</f>
        <v>355.53689999999995</v>
      </c>
      <c r="M1089" s="5">
        <f t="shared" si="54"/>
        <v>142.0401</v>
      </c>
      <c r="N1089" s="5">
        <f t="shared" si="54"/>
        <v>58.217499999999994</v>
      </c>
      <c r="O1089" s="5">
        <f t="shared" si="54"/>
        <v>4.4046000000000003</v>
      </c>
      <c r="P1089" s="5">
        <f t="shared" si="54"/>
        <v>15.220499999999998</v>
      </c>
      <c r="Q1089" s="5">
        <f t="shared" si="54"/>
        <v>356.26930000000004</v>
      </c>
      <c r="R1089" s="5"/>
      <c r="S1089" s="6"/>
    </row>
    <row r="1090" spans="1:19" ht="15" customHeight="1">
      <c r="A1090" s="3">
        <f t="shared" si="46"/>
        <v>2042</v>
      </c>
      <c r="B1090" s="8">
        <f t="shared" ref="B1090:J1090" si="55">AVERAGE(B353:B364)</f>
        <v>10.096858333333332</v>
      </c>
      <c r="C1090" s="8">
        <f t="shared" si="55"/>
        <v>10.103116666666667</v>
      </c>
      <c r="D1090" s="8">
        <f t="shared" si="55"/>
        <v>10.098291666666666</v>
      </c>
      <c r="E1090" s="8">
        <f t="shared" si="55"/>
        <v>10.099258333333333</v>
      </c>
      <c r="F1090" s="4">
        <f t="shared" si="55"/>
        <v>10.784283333333335</v>
      </c>
      <c r="G1090" s="8">
        <f t="shared" si="55"/>
        <v>9.9887749999999986</v>
      </c>
      <c r="H1090" s="4">
        <f t="shared" si="55"/>
        <v>10.904658333333332</v>
      </c>
      <c r="I1090" s="8">
        <f t="shared" si="55"/>
        <v>9.9169583333333335</v>
      </c>
      <c r="J1090" s="4">
        <f t="shared" si="55"/>
        <v>9.7893083333333326</v>
      </c>
      <c r="K1090" s="7"/>
      <c r="L1090" s="5">
        <f t="shared" ref="L1090:Q1090" si="56">SUM(L353:L364)</f>
        <v>355.53689999999995</v>
      </c>
      <c r="M1090" s="5">
        <f t="shared" si="56"/>
        <v>142.0401</v>
      </c>
      <c r="N1090" s="5">
        <f t="shared" si="56"/>
        <v>58.217499999999994</v>
      </c>
      <c r="O1090" s="5">
        <f t="shared" si="56"/>
        <v>4.4046000000000003</v>
      </c>
      <c r="P1090" s="5">
        <f t="shared" si="56"/>
        <v>15.220499999999998</v>
      </c>
      <c r="Q1090" s="5">
        <f t="shared" si="56"/>
        <v>242.47669999999997</v>
      </c>
      <c r="R1090" s="5"/>
      <c r="S1090" s="6"/>
    </row>
    <row r="1091" spans="1:19" ht="15" customHeight="1">
      <c r="A1091" s="3">
        <f t="shared" si="46"/>
        <v>2043</v>
      </c>
      <c r="B1091" s="8">
        <f t="shared" ref="B1091:J1091" si="57">AVERAGE(B365:B376)</f>
        <v>10.339216666666667</v>
      </c>
      <c r="C1091" s="8">
        <f t="shared" si="57"/>
        <v>10.345474999999999</v>
      </c>
      <c r="D1091" s="8">
        <f t="shared" si="57"/>
        <v>10.340625000000001</v>
      </c>
      <c r="E1091" s="8">
        <f t="shared" si="57"/>
        <v>10.341600000000001</v>
      </c>
      <c r="F1091" s="4">
        <f t="shared" si="57"/>
        <v>11.026666666666669</v>
      </c>
      <c r="G1091" s="8">
        <f t="shared" si="57"/>
        <v>10.228291666666667</v>
      </c>
      <c r="H1091" s="4">
        <f t="shared" si="57"/>
        <v>11.144158333333332</v>
      </c>
      <c r="I1091" s="8">
        <f t="shared" si="57"/>
        <v>10.152266666666668</v>
      </c>
      <c r="J1091" s="4">
        <f t="shared" si="57"/>
        <v>10.024491666666668</v>
      </c>
      <c r="K1091" s="7"/>
      <c r="L1091" s="5">
        <f t="shared" ref="L1091:Q1091" si="58">SUM(L365:L376)</f>
        <v>355.53689999999995</v>
      </c>
      <c r="M1091" s="5">
        <f t="shared" si="58"/>
        <v>142.0401</v>
      </c>
      <c r="N1091" s="5">
        <f t="shared" si="58"/>
        <v>58.217499999999994</v>
      </c>
      <c r="O1091" s="5">
        <f t="shared" si="58"/>
        <v>4.4046000000000003</v>
      </c>
      <c r="P1091" s="5">
        <f t="shared" si="58"/>
        <v>15.220499999999998</v>
      </c>
      <c r="Q1091" s="5">
        <f t="shared" si="58"/>
        <v>241.71019999999996</v>
      </c>
      <c r="R1091" s="5"/>
      <c r="S1091" s="6"/>
    </row>
    <row r="1092" spans="1:19" ht="15" customHeight="1">
      <c r="A1092" s="3">
        <f t="shared" si="46"/>
        <v>2044</v>
      </c>
      <c r="B1092" s="8">
        <f t="shared" ref="B1092:J1092" si="59">AVERAGE(B377:B388)</f>
        <v>10.587400000000001</v>
      </c>
      <c r="C1092" s="8">
        <f t="shared" si="59"/>
        <v>10.59365</v>
      </c>
      <c r="D1092" s="8">
        <f t="shared" si="59"/>
        <v>10.588824999999998</v>
      </c>
      <c r="E1092" s="8">
        <f t="shared" si="59"/>
        <v>10.589799999999999</v>
      </c>
      <c r="F1092" s="4">
        <f t="shared" si="59"/>
        <v>11.274833333333333</v>
      </c>
      <c r="G1092" s="8">
        <f t="shared" si="59"/>
        <v>10.473558333333331</v>
      </c>
      <c r="H1092" s="4">
        <f t="shared" si="59"/>
        <v>11.389441666666668</v>
      </c>
      <c r="I1092" s="8">
        <f t="shared" si="59"/>
        <v>10.393274999999999</v>
      </c>
      <c r="J1092" s="4">
        <f t="shared" si="59"/>
        <v>10.265341666666664</v>
      </c>
      <c r="K1092" s="7"/>
      <c r="L1092" s="5">
        <f t="shared" ref="L1092:Q1092" si="60">SUM(L377:L388)</f>
        <v>356.48229999999995</v>
      </c>
      <c r="M1092" s="5">
        <f t="shared" si="60"/>
        <v>142.42920000000001</v>
      </c>
      <c r="N1092" s="5">
        <f t="shared" si="60"/>
        <v>58.377000000000002</v>
      </c>
      <c r="O1092" s="5">
        <f t="shared" si="60"/>
        <v>4.4165999999999999</v>
      </c>
      <c r="P1092" s="5">
        <f t="shared" si="60"/>
        <v>15.262199999999998</v>
      </c>
      <c r="Q1092" s="5">
        <f t="shared" si="60"/>
        <v>241.58220000000006</v>
      </c>
      <c r="R1092" s="5"/>
      <c r="S1092" s="6"/>
    </row>
    <row r="1093" spans="1:19" ht="15" customHeight="1">
      <c r="A1093" s="3">
        <f t="shared" si="46"/>
        <v>2045</v>
      </c>
      <c r="B1093" s="8">
        <f t="shared" ref="B1093:J1093" si="61">AVERAGE(B389:B400)</f>
        <v>10.841524999999997</v>
      </c>
      <c r="C1093" s="8">
        <f t="shared" si="61"/>
        <v>10.847783333333334</v>
      </c>
      <c r="D1093" s="8">
        <f t="shared" si="61"/>
        <v>10.842933333333335</v>
      </c>
      <c r="E1093" s="8">
        <f t="shared" si="61"/>
        <v>10.84391666666667</v>
      </c>
      <c r="F1093" s="4">
        <f t="shared" si="61"/>
        <v>11.528975000000001</v>
      </c>
      <c r="G1093" s="8">
        <f t="shared" si="61"/>
        <v>10.724724999999999</v>
      </c>
      <c r="H1093" s="4">
        <f t="shared" si="61"/>
        <v>11.640608333333333</v>
      </c>
      <c r="I1093" s="8">
        <f t="shared" si="61"/>
        <v>10.640033333333333</v>
      </c>
      <c r="J1093" s="4">
        <f t="shared" si="61"/>
        <v>10.511991666666669</v>
      </c>
      <c r="K1093" s="7"/>
      <c r="L1093" s="5">
        <f t="shared" ref="L1093:Q1093" si="62">SUM(L389:L400)</f>
        <v>355.53689999999995</v>
      </c>
      <c r="M1093" s="5">
        <f t="shared" si="62"/>
        <v>142.0401</v>
      </c>
      <c r="N1093" s="5">
        <f t="shared" si="62"/>
        <v>58.217499999999994</v>
      </c>
      <c r="O1093" s="5">
        <f t="shared" si="62"/>
        <v>4.4046000000000003</v>
      </c>
      <c r="P1093" s="5">
        <f t="shared" si="62"/>
        <v>15.220499999999998</v>
      </c>
      <c r="Q1093" s="5">
        <f t="shared" si="62"/>
        <v>240.15570000000002</v>
      </c>
      <c r="R1093" s="5"/>
      <c r="S1093" s="6"/>
    </row>
    <row r="1094" spans="1:19" ht="15" customHeight="1">
      <c r="A1094" s="3">
        <f t="shared" si="46"/>
        <v>2046</v>
      </c>
      <c r="B1094" s="8">
        <f t="shared" ref="B1094:J1094" si="63">AVERAGE(B401:B412)</f>
        <v>11.101774999999998</v>
      </c>
      <c r="C1094" s="8">
        <f t="shared" si="63"/>
        <v>11.108041666666667</v>
      </c>
      <c r="D1094" s="8">
        <f t="shared" si="63"/>
        <v>11.103191666666667</v>
      </c>
      <c r="E1094" s="8">
        <f t="shared" si="63"/>
        <v>11.104166666666666</v>
      </c>
      <c r="F1094" s="4">
        <f t="shared" si="63"/>
        <v>11.789216666666668</v>
      </c>
      <c r="G1094" s="8">
        <f t="shared" si="63"/>
        <v>10.981933333333336</v>
      </c>
      <c r="H1094" s="4">
        <f t="shared" si="63"/>
        <v>11.897800000000002</v>
      </c>
      <c r="I1094" s="8">
        <f t="shared" si="63"/>
        <v>10.892724999999999</v>
      </c>
      <c r="J1094" s="4">
        <f t="shared" si="63"/>
        <v>10.764566666666667</v>
      </c>
      <c r="K1094" s="7"/>
      <c r="L1094" s="5">
        <f t="shared" ref="L1094:Q1094" si="64">SUM(L401:L412)</f>
        <v>355.53689999999995</v>
      </c>
      <c r="M1094" s="5">
        <f t="shared" si="64"/>
        <v>142.0401</v>
      </c>
      <c r="N1094" s="5">
        <f t="shared" si="64"/>
        <v>58.217499999999994</v>
      </c>
      <c r="O1094" s="5">
        <f t="shared" si="64"/>
        <v>4.4046000000000003</v>
      </c>
      <c r="P1094" s="5">
        <f t="shared" si="64"/>
        <v>15.220499999999998</v>
      </c>
      <c r="Q1094" s="5">
        <f t="shared" si="64"/>
        <v>239.38920000000005</v>
      </c>
      <c r="R1094" s="5"/>
      <c r="S1094" s="6"/>
    </row>
    <row r="1095" spans="1:19" ht="15" customHeight="1">
      <c r="A1095" s="3">
        <f t="shared" si="46"/>
        <v>2047</v>
      </c>
      <c r="B1095" s="8">
        <f t="shared" ref="B1095:J1095" si="65">AVERAGE(B413:B424)</f>
        <v>11.368274999999999</v>
      </c>
      <c r="C1095" s="8">
        <f t="shared" si="65"/>
        <v>11.374525</v>
      </c>
      <c r="D1095" s="8">
        <f t="shared" si="65"/>
        <v>11.369708333333334</v>
      </c>
      <c r="E1095" s="8">
        <f t="shared" si="65"/>
        <v>11.370666666666667</v>
      </c>
      <c r="F1095" s="4">
        <f t="shared" si="65"/>
        <v>12.055716666666667</v>
      </c>
      <c r="G1095" s="8">
        <f t="shared" si="65"/>
        <v>11.245299999999999</v>
      </c>
      <c r="H1095" s="4">
        <f t="shared" si="65"/>
        <v>12.161174999999998</v>
      </c>
      <c r="I1095" s="8">
        <f t="shared" si="65"/>
        <v>11.151475</v>
      </c>
      <c r="J1095" s="4">
        <f t="shared" si="65"/>
        <v>11.023216666666668</v>
      </c>
      <c r="K1095" s="7"/>
      <c r="L1095" s="5">
        <f t="shared" ref="L1095:Q1095" si="66">SUM(L413:L424)</f>
        <v>355.53689999999995</v>
      </c>
      <c r="M1095" s="5">
        <f t="shared" si="66"/>
        <v>142.0401</v>
      </c>
      <c r="N1095" s="5">
        <f t="shared" si="66"/>
        <v>58.217499999999994</v>
      </c>
      <c r="O1095" s="5">
        <f t="shared" si="66"/>
        <v>4.4046000000000003</v>
      </c>
      <c r="P1095" s="5">
        <f t="shared" si="66"/>
        <v>15.220499999999998</v>
      </c>
      <c r="Q1095" s="5">
        <f t="shared" si="66"/>
        <v>238.62270000000004</v>
      </c>
      <c r="R1095" s="5"/>
      <c r="S1095" s="6"/>
    </row>
    <row r="1096" spans="1:19" ht="15" customHeight="1">
      <c r="A1096" s="3">
        <f t="shared" si="46"/>
        <v>2048</v>
      </c>
      <c r="B1096" s="8">
        <f t="shared" ref="B1096:J1096" si="67">AVERAGE(B425:B436)</f>
        <v>11.641174999999999</v>
      </c>
      <c r="C1096" s="8">
        <f t="shared" si="67"/>
        <v>11.647433333333334</v>
      </c>
      <c r="D1096" s="8">
        <f t="shared" si="67"/>
        <v>11.642600000000002</v>
      </c>
      <c r="E1096" s="8">
        <f t="shared" si="67"/>
        <v>11.643575</v>
      </c>
      <c r="F1096" s="4">
        <f t="shared" si="67"/>
        <v>12.328616666666669</v>
      </c>
      <c r="G1096" s="8">
        <f t="shared" si="67"/>
        <v>11.515016666666668</v>
      </c>
      <c r="H1096" s="4">
        <f t="shared" si="67"/>
        <v>12.430883333333332</v>
      </c>
      <c r="I1096" s="8">
        <f t="shared" si="67"/>
        <v>11.416466666666667</v>
      </c>
      <c r="J1096" s="4">
        <f t="shared" si="67"/>
        <v>11.288058333333334</v>
      </c>
      <c r="K1096" s="7"/>
      <c r="L1096" s="5">
        <f t="shared" ref="L1096:Q1096" si="68">SUM(L425:L436)</f>
        <v>356.48229999999995</v>
      </c>
      <c r="M1096" s="5">
        <f t="shared" si="68"/>
        <v>142.42920000000001</v>
      </c>
      <c r="N1096" s="5">
        <f t="shared" si="68"/>
        <v>58.377000000000002</v>
      </c>
      <c r="O1096" s="5">
        <f t="shared" si="68"/>
        <v>4.4165999999999999</v>
      </c>
      <c r="P1096" s="5">
        <f t="shared" si="68"/>
        <v>15.262199999999998</v>
      </c>
      <c r="Q1096" s="5">
        <f t="shared" si="68"/>
        <v>238.50780000000003</v>
      </c>
      <c r="R1096" s="5"/>
      <c r="S1096" s="6"/>
    </row>
    <row r="1097" spans="1:19" ht="15" customHeight="1">
      <c r="A1097" s="3">
        <f t="shared" si="46"/>
        <v>2049</v>
      </c>
      <c r="B1097" s="8">
        <f t="shared" ref="B1097:J1097" si="69">AVERAGE(B437:B448)</f>
        <v>11.920641666666668</v>
      </c>
      <c r="C1097" s="8">
        <f t="shared" si="69"/>
        <v>11.926899999999998</v>
      </c>
      <c r="D1097" s="8">
        <f t="shared" si="69"/>
        <v>11.922049999999999</v>
      </c>
      <c r="E1097" s="8">
        <f t="shared" si="69"/>
        <v>11.923033333333331</v>
      </c>
      <c r="F1097" s="4">
        <f t="shared" si="69"/>
        <v>12.608058333333332</v>
      </c>
      <c r="G1097" s="8">
        <f t="shared" si="69"/>
        <v>11.791208333333337</v>
      </c>
      <c r="H1097" s="4">
        <f t="shared" si="69"/>
        <v>12.707058333333334</v>
      </c>
      <c r="I1097" s="8">
        <f t="shared" si="69"/>
        <v>11.687816666666668</v>
      </c>
      <c r="J1097" s="4">
        <f t="shared" si="69"/>
        <v>11.559258333333332</v>
      </c>
      <c r="K1097" s="7"/>
      <c r="L1097" s="5">
        <f t="shared" ref="L1097:Q1097" si="70">SUM(L437:L448)</f>
        <v>355.53689999999995</v>
      </c>
      <c r="M1097" s="5">
        <f t="shared" si="70"/>
        <v>142.0401</v>
      </c>
      <c r="N1097" s="5">
        <f t="shared" si="70"/>
        <v>58.217499999999994</v>
      </c>
      <c r="O1097" s="5">
        <f t="shared" si="70"/>
        <v>4.4046000000000003</v>
      </c>
      <c r="P1097" s="5">
        <f t="shared" si="70"/>
        <v>15.220499999999998</v>
      </c>
      <c r="Q1097" s="5">
        <f t="shared" si="70"/>
        <v>237.08969999999999</v>
      </c>
      <c r="R1097" s="5"/>
      <c r="S1097" s="6"/>
    </row>
    <row r="1098" spans="1:19" ht="15" customHeight="1">
      <c r="A1098" s="3">
        <f t="shared" si="46"/>
        <v>2050</v>
      </c>
      <c r="B1098" s="8">
        <f t="shared" ref="B1098:J1098" si="71">AVERAGE(B449:B460)</f>
        <v>12.206808333333333</v>
      </c>
      <c r="C1098" s="8">
        <f t="shared" si="71"/>
        <v>12.213066666666668</v>
      </c>
      <c r="D1098" s="8">
        <f t="shared" si="71"/>
        <v>12.208241666666666</v>
      </c>
      <c r="E1098" s="8">
        <f t="shared" si="71"/>
        <v>12.209208333333331</v>
      </c>
      <c r="F1098" s="4">
        <f t="shared" si="71"/>
        <v>12.89425</v>
      </c>
      <c r="G1098" s="8">
        <f t="shared" si="71"/>
        <v>12.074016666666665</v>
      </c>
      <c r="H1098" s="4">
        <f t="shared" si="71"/>
        <v>12.9899</v>
      </c>
      <c r="I1098" s="8">
        <f t="shared" si="71"/>
        <v>11.965683333333333</v>
      </c>
      <c r="J1098" s="4">
        <f t="shared" si="71"/>
        <v>11.837008333333335</v>
      </c>
      <c r="K1098" s="7"/>
      <c r="L1098" s="5">
        <f t="shared" ref="L1098:Q1098" si="72">SUM(L449:L460)</f>
        <v>355.53689999999995</v>
      </c>
      <c r="M1098" s="5">
        <f t="shared" si="72"/>
        <v>142.0401</v>
      </c>
      <c r="N1098" s="5">
        <f t="shared" si="72"/>
        <v>58.217499999999994</v>
      </c>
      <c r="O1098" s="5">
        <f t="shared" si="72"/>
        <v>4.4046000000000003</v>
      </c>
      <c r="P1098" s="5">
        <f t="shared" si="72"/>
        <v>15.220499999999998</v>
      </c>
      <c r="Q1098" s="5">
        <f t="shared" si="72"/>
        <v>236.32320000000004</v>
      </c>
      <c r="R1098" s="5"/>
      <c r="S1098" s="6"/>
    </row>
    <row r="1099" spans="1:19" ht="15" customHeight="1">
      <c r="A1099" s="3">
        <f t="shared" si="46"/>
        <v>2051</v>
      </c>
      <c r="B1099" s="8">
        <f t="shared" ref="B1099:J1099" si="73">AVERAGE(B461:B472)</f>
        <v>12.499866666666668</v>
      </c>
      <c r="C1099" s="8">
        <f t="shared" si="73"/>
        <v>12.506116666666665</v>
      </c>
      <c r="D1099" s="8">
        <f t="shared" si="73"/>
        <v>12.501283333333333</v>
      </c>
      <c r="E1099" s="8">
        <f t="shared" si="73"/>
        <v>12.502258333333335</v>
      </c>
      <c r="F1099" s="4">
        <f t="shared" si="73"/>
        <v>13.1873</v>
      </c>
      <c r="G1099" s="8">
        <f t="shared" si="73"/>
        <v>12.363633333333334</v>
      </c>
      <c r="H1099" s="4">
        <f t="shared" si="73"/>
        <v>13.279491666666667</v>
      </c>
      <c r="I1099" s="8">
        <f t="shared" si="73"/>
        <v>12.250225</v>
      </c>
      <c r="J1099" s="4">
        <f t="shared" si="73"/>
        <v>12.121408333333333</v>
      </c>
      <c r="K1099" s="7"/>
      <c r="L1099" s="5">
        <f t="shared" ref="L1099:Q1099" si="74">SUM(L461:L472)</f>
        <v>355.53689999999995</v>
      </c>
      <c r="M1099" s="5">
        <f t="shared" si="74"/>
        <v>142.0401</v>
      </c>
      <c r="N1099" s="5">
        <f t="shared" si="74"/>
        <v>58.217499999999994</v>
      </c>
      <c r="O1099" s="5">
        <f t="shared" si="74"/>
        <v>4.4046000000000003</v>
      </c>
      <c r="P1099" s="5">
        <f t="shared" si="74"/>
        <v>15.220499999999998</v>
      </c>
      <c r="Q1099" s="5">
        <f t="shared" si="74"/>
        <v>235.57820000000007</v>
      </c>
      <c r="R1099" s="5"/>
      <c r="S1099" s="6"/>
    </row>
    <row r="1100" spans="1:19" ht="15" customHeight="1">
      <c r="A1100" s="3">
        <f t="shared" si="46"/>
        <v>2052</v>
      </c>
      <c r="B1100" s="8">
        <f t="shared" ref="B1100:J1100" si="75">AVERAGE(B473:B484)</f>
        <v>12.799950000000001</v>
      </c>
      <c r="C1100" s="8">
        <f t="shared" si="75"/>
        <v>12.806208333333332</v>
      </c>
      <c r="D1100" s="8">
        <f t="shared" si="75"/>
        <v>12.801383333333334</v>
      </c>
      <c r="E1100" s="8">
        <f t="shared" si="75"/>
        <v>12.802341666666669</v>
      </c>
      <c r="F1100" s="4">
        <f t="shared" si="75"/>
        <v>13.487375</v>
      </c>
      <c r="G1100" s="8">
        <f t="shared" si="75"/>
        <v>12.660216666666665</v>
      </c>
      <c r="H1100" s="4">
        <f t="shared" si="75"/>
        <v>13.576075000000001</v>
      </c>
      <c r="I1100" s="8">
        <f t="shared" si="75"/>
        <v>12.541633333333335</v>
      </c>
      <c r="J1100" s="4">
        <f t="shared" si="75"/>
        <v>12.412641666666667</v>
      </c>
      <c r="K1100" s="7"/>
      <c r="L1100" s="5">
        <f t="shared" ref="L1100:Q1100" si="76">SUM(L473:L484)</f>
        <v>356.48229999999995</v>
      </c>
      <c r="M1100" s="5">
        <f t="shared" si="76"/>
        <v>142.42920000000001</v>
      </c>
      <c r="N1100" s="5">
        <f t="shared" si="76"/>
        <v>58.377000000000002</v>
      </c>
      <c r="O1100" s="5">
        <f t="shared" si="76"/>
        <v>4.4165999999999999</v>
      </c>
      <c r="P1100" s="5">
        <f t="shared" si="76"/>
        <v>15.262199999999998</v>
      </c>
      <c r="Q1100" s="5">
        <f t="shared" si="76"/>
        <v>235.45500000000004</v>
      </c>
      <c r="R1100" s="5"/>
      <c r="S1100" s="6"/>
    </row>
    <row r="1101" spans="1:19" ht="15" customHeight="1">
      <c r="A1101" s="3">
        <f t="shared" si="46"/>
        <v>2053</v>
      </c>
      <c r="B1101" s="8">
        <f t="shared" ref="B1101:J1101" si="77">AVERAGE(B485:B496)</f>
        <v>13.107275</v>
      </c>
      <c r="C1101" s="8">
        <f t="shared" si="77"/>
        <v>13.113508333333336</v>
      </c>
      <c r="D1101" s="8">
        <f t="shared" si="77"/>
        <v>13.108658333333333</v>
      </c>
      <c r="E1101" s="8">
        <f t="shared" si="77"/>
        <v>13.10965</v>
      </c>
      <c r="F1101" s="4">
        <f t="shared" si="77"/>
        <v>13.794683333333333</v>
      </c>
      <c r="G1101" s="8">
        <f t="shared" si="77"/>
        <v>12.963916666666668</v>
      </c>
      <c r="H1101" s="4">
        <f t="shared" si="77"/>
        <v>13.879783333333334</v>
      </c>
      <c r="I1101" s="8">
        <f t="shared" si="77"/>
        <v>12.839999999999998</v>
      </c>
      <c r="J1101" s="4">
        <f t="shared" si="77"/>
        <v>12.710875000000001</v>
      </c>
      <c r="K1101" s="7"/>
      <c r="L1101" s="5">
        <f t="shared" ref="L1101:Q1101" si="78">SUM(L485:L496)</f>
        <v>355.53689999999995</v>
      </c>
      <c r="M1101" s="5">
        <f t="shared" si="78"/>
        <v>142.0401</v>
      </c>
      <c r="N1101" s="5">
        <f t="shared" si="78"/>
        <v>58.217499999999994</v>
      </c>
      <c r="O1101" s="5">
        <f t="shared" si="78"/>
        <v>4.4046000000000003</v>
      </c>
      <c r="P1101" s="5">
        <f t="shared" si="78"/>
        <v>15.220499999999998</v>
      </c>
      <c r="Q1101" s="5">
        <f t="shared" si="78"/>
        <v>234.04520000000002</v>
      </c>
      <c r="R1101" s="5"/>
      <c r="S1101" s="6"/>
    </row>
    <row r="1102" spans="1:19" ht="15" customHeight="1">
      <c r="A1102" s="3">
        <f t="shared" si="46"/>
        <v>2054</v>
      </c>
      <c r="B1102" s="8">
        <f t="shared" ref="B1102:J1102" si="79">AVERAGE(B497:B508)</f>
        <v>13.421941666666669</v>
      </c>
      <c r="C1102" s="8">
        <f t="shared" si="79"/>
        <v>13.428200000000002</v>
      </c>
      <c r="D1102" s="8">
        <f t="shared" si="79"/>
        <v>13.423366666666668</v>
      </c>
      <c r="E1102" s="8">
        <f t="shared" si="79"/>
        <v>13.424333333333335</v>
      </c>
      <c r="F1102" s="4">
        <f t="shared" si="79"/>
        <v>14.109374999999998</v>
      </c>
      <c r="G1102" s="8">
        <f t="shared" si="79"/>
        <v>13.274908333333334</v>
      </c>
      <c r="H1102" s="4">
        <f t="shared" si="79"/>
        <v>14.190799999999998</v>
      </c>
      <c r="I1102" s="8">
        <f t="shared" si="79"/>
        <v>13.145558333333334</v>
      </c>
      <c r="J1102" s="4">
        <f t="shared" si="79"/>
        <v>13.016275000000002</v>
      </c>
      <c r="K1102" s="7"/>
      <c r="L1102" s="5">
        <f t="shared" ref="L1102:Q1102" si="80">SUM(L497:L508)</f>
        <v>355.53689999999995</v>
      </c>
      <c r="M1102" s="5">
        <f t="shared" si="80"/>
        <v>142.0401</v>
      </c>
      <c r="N1102" s="5">
        <f t="shared" si="80"/>
        <v>58.217499999999994</v>
      </c>
      <c r="O1102" s="5">
        <f t="shared" si="80"/>
        <v>4.4046000000000003</v>
      </c>
      <c r="P1102" s="5">
        <f t="shared" si="80"/>
        <v>15.220499999999998</v>
      </c>
      <c r="Q1102" s="5">
        <f t="shared" si="80"/>
        <v>233.30079999999998</v>
      </c>
      <c r="R1102" s="5"/>
      <c r="S1102" s="6"/>
    </row>
    <row r="1103" spans="1:19" ht="15" customHeight="1">
      <c r="A1103" s="3">
        <f t="shared" si="46"/>
        <v>2055</v>
      </c>
      <c r="B1103" s="8">
        <f t="shared" ref="B1103:J1103" si="81">AVERAGE(B509:B520)</f>
        <v>13.744175</v>
      </c>
      <c r="C1103" s="8">
        <f t="shared" si="81"/>
        <v>13.750425</v>
      </c>
      <c r="D1103" s="8">
        <f t="shared" si="81"/>
        <v>13.745599999999998</v>
      </c>
      <c r="E1103" s="8">
        <f t="shared" si="81"/>
        <v>13.746566666666666</v>
      </c>
      <c r="F1103" s="4">
        <f t="shared" si="81"/>
        <v>14.431625000000002</v>
      </c>
      <c r="G1103" s="8">
        <f t="shared" si="81"/>
        <v>13.593391666666667</v>
      </c>
      <c r="H1103" s="4">
        <f t="shared" si="81"/>
        <v>14.50925833333333</v>
      </c>
      <c r="I1103" s="8">
        <f t="shared" si="81"/>
        <v>13.458449999999999</v>
      </c>
      <c r="J1103" s="4">
        <f t="shared" si="81"/>
        <v>13.329025000000001</v>
      </c>
      <c r="K1103" s="7"/>
      <c r="L1103" s="5">
        <f t="shared" ref="L1103:Q1103" si="82">SUM(L509:L520)</f>
        <v>355.53689999999995</v>
      </c>
      <c r="M1103" s="5">
        <f t="shared" si="82"/>
        <v>142.0401</v>
      </c>
      <c r="N1103" s="5">
        <f t="shared" si="82"/>
        <v>58.217499999999994</v>
      </c>
      <c r="O1103" s="5">
        <f t="shared" si="82"/>
        <v>4.4046000000000003</v>
      </c>
      <c r="P1103" s="5">
        <f t="shared" si="82"/>
        <v>15.220499999999998</v>
      </c>
      <c r="Q1103" s="5">
        <f t="shared" si="82"/>
        <v>232.55579999999998</v>
      </c>
      <c r="R1103" s="5"/>
      <c r="S1103" s="6"/>
    </row>
    <row r="1104" spans="1:19" ht="15" customHeight="1">
      <c r="A1104" s="3">
        <f t="shared" si="46"/>
        <v>2056</v>
      </c>
      <c r="B1104" s="8">
        <f t="shared" ref="B1104:J1104" si="83">AVERAGE(B521:B532)</f>
        <v>14.074174999999999</v>
      </c>
      <c r="C1104" s="8">
        <f t="shared" si="83"/>
        <v>14.080425</v>
      </c>
      <c r="D1104" s="8">
        <f t="shared" si="83"/>
        <v>14.075583333333336</v>
      </c>
      <c r="E1104" s="8">
        <f t="shared" si="83"/>
        <v>14.076558333333333</v>
      </c>
      <c r="F1104" s="4">
        <f t="shared" si="83"/>
        <v>14.761608333333333</v>
      </c>
      <c r="G1104" s="8">
        <f t="shared" si="83"/>
        <v>13.919516666666667</v>
      </c>
      <c r="H1104" s="4">
        <f t="shared" si="83"/>
        <v>14.835383333333334</v>
      </c>
      <c r="I1104" s="8">
        <f t="shared" si="83"/>
        <v>13.778875000000001</v>
      </c>
      <c r="J1104" s="4">
        <f t="shared" si="83"/>
        <v>13.649275000000001</v>
      </c>
      <c r="K1104" s="7"/>
      <c r="L1104" s="5">
        <f t="shared" ref="L1104:Q1104" si="84">SUM(L521:L532)</f>
        <v>356.48229999999995</v>
      </c>
      <c r="M1104" s="5">
        <f t="shared" si="84"/>
        <v>142.42920000000001</v>
      </c>
      <c r="N1104" s="5">
        <f t="shared" si="84"/>
        <v>58.377000000000002</v>
      </c>
      <c r="O1104" s="5">
        <f t="shared" si="84"/>
        <v>4.4165999999999999</v>
      </c>
      <c r="P1104" s="5">
        <f t="shared" si="84"/>
        <v>15.262199999999998</v>
      </c>
      <c r="Q1104" s="5">
        <f t="shared" si="84"/>
        <v>232.44659999999996</v>
      </c>
      <c r="R1104" s="5"/>
      <c r="S1104" s="6"/>
    </row>
    <row r="1105" spans="1:19" ht="15" customHeight="1">
      <c r="A1105" s="3">
        <f t="shared" si="46"/>
        <v>2057</v>
      </c>
      <c r="B1105" s="8">
        <f t="shared" ref="B1105:J1105" si="85">AVERAGE(B533:B544)</f>
        <v>14.412083333333335</v>
      </c>
      <c r="C1105" s="8">
        <f t="shared" si="85"/>
        <v>14.418358333333332</v>
      </c>
      <c r="D1105" s="8">
        <f t="shared" si="85"/>
        <v>14.413516666666668</v>
      </c>
      <c r="E1105" s="8">
        <f t="shared" si="85"/>
        <v>14.414491666666665</v>
      </c>
      <c r="F1105" s="4">
        <f t="shared" si="85"/>
        <v>15.099533333333335</v>
      </c>
      <c r="G1105" s="8">
        <f t="shared" si="85"/>
        <v>14.253475000000002</v>
      </c>
      <c r="H1105" s="4">
        <f t="shared" si="85"/>
        <v>15.169341666666668</v>
      </c>
      <c r="I1105" s="8">
        <f t="shared" si="85"/>
        <v>14.106983333333332</v>
      </c>
      <c r="J1105" s="4">
        <f t="shared" si="85"/>
        <v>13.977225000000002</v>
      </c>
      <c r="K1105" s="7"/>
      <c r="L1105" s="5">
        <f t="shared" ref="L1105:Q1105" si="86">SUM(L533:L544)</f>
        <v>355.53689999999995</v>
      </c>
      <c r="M1105" s="5">
        <f t="shared" si="86"/>
        <v>142.0401</v>
      </c>
      <c r="N1105" s="5">
        <f t="shared" si="86"/>
        <v>58.217499999999994</v>
      </c>
      <c r="O1105" s="5">
        <f t="shared" si="86"/>
        <v>4.4046000000000003</v>
      </c>
      <c r="P1105" s="5">
        <f t="shared" si="86"/>
        <v>15.220499999999998</v>
      </c>
      <c r="Q1105" s="5">
        <f t="shared" si="86"/>
        <v>231.81149999999997</v>
      </c>
      <c r="R1105" s="5"/>
      <c r="S1105" s="6"/>
    </row>
    <row r="1106" spans="1:19" ht="15" customHeight="1">
      <c r="A1106" s="3">
        <f t="shared" si="46"/>
        <v>2058</v>
      </c>
      <c r="B1106" s="8">
        <f t="shared" ref="B1106:J1106" si="87">AVERAGE(B545:B556)</f>
        <v>14.758125</v>
      </c>
      <c r="C1106" s="8">
        <f t="shared" si="87"/>
        <v>14.764383333333333</v>
      </c>
      <c r="D1106" s="8">
        <f t="shared" si="87"/>
        <v>14.759549999999999</v>
      </c>
      <c r="E1106" s="8">
        <f t="shared" si="87"/>
        <v>14.760516666666666</v>
      </c>
      <c r="F1106" s="4">
        <f t="shared" si="87"/>
        <v>15.445558333333333</v>
      </c>
      <c r="G1106" s="8">
        <f t="shared" si="87"/>
        <v>14.595458333333335</v>
      </c>
      <c r="H1106" s="4">
        <f t="shared" si="87"/>
        <v>15.511341666666668</v>
      </c>
      <c r="I1106" s="8">
        <f t="shared" si="87"/>
        <v>14.442983333333332</v>
      </c>
      <c r="J1106" s="4">
        <f t="shared" si="87"/>
        <v>14.313058333333336</v>
      </c>
      <c r="K1106" s="7"/>
      <c r="L1106" s="5">
        <f t="shared" ref="L1106:Q1106" si="88">SUM(L545:L556)</f>
        <v>355.53689999999995</v>
      </c>
      <c r="M1106" s="5">
        <f t="shared" si="88"/>
        <v>142.0401</v>
      </c>
      <c r="N1106" s="5">
        <f t="shared" si="88"/>
        <v>58.217499999999994</v>
      </c>
      <c r="O1106" s="5">
        <f t="shared" si="88"/>
        <v>4.4046000000000003</v>
      </c>
      <c r="P1106" s="5">
        <f t="shared" si="88"/>
        <v>15.220499999999998</v>
      </c>
      <c r="Q1106" s="5">
        <f t="shared" si="88"/>
        <v>231.81149999999997</v>
      </c>
      <c r="R1106" s="5"/>
      <c r="S1106" s="6"/>
    </row>
    <row r="1107" spans="1:19" ht="15" customHeight="1">
      <c r="A1107" s="3">
        <f t="shared" si="46"/>
        <v>2059</v>
      </c>
      <c r="B1107" s="8">
        <f t="shared" ref="B1107:J1107" si="89">AVERAGE(B557:B568)</f>
        <v>15.112483333333335</v>
      </c>
      <c r="C1107" s="8">
        <f t="shared" si="89"/>
        <v>15.118725</v>
      </c>
      <c r="D1107" s="8">
        <f t="shared" si="89"/>
        <v>15.113891666666666</v>
      </c>
      <c r="E1107" s="8">
        <f t="shared" si="89"/>
        <v>15.11486666666667</v>
      </c>
      <c r="F1107" s="4">
        <f t="shared" si="89"/>
        <v>15.799916666666666</v>
      </c>
      <c r="G1107" s="8">
        <f t="shared" si="89"/>
        <v>14.945675000000003</v>
      </c>
      <c r="H1107" s="4">
        <f t="shared" si="89"/>
        <v>15.861516666666667</v>
      </c>
      <c r="I1107" s="8">
        <f t="shared" si="89"/>
        <v>14.787041666666665</v>
      </c>
      <c r="J1107" s="4">
        <f t="shared" si="89"/>
        <v>14.656958333333334</v>
      </c>
      <c r="K1107" s="4"/>
      <c r="L1107" s="5">
        <f>SUM(L557:L568)</f>
        <v>355.53689999999995</v>
      </c>
      <c r="M1107" s="5">
        <f>SUM(M557:M568)</f>
        <v>142.0401</v>
      </c>
      <c r="N1107" s="5">
        <f>SUM(N557:N568)</f>
        <v>58.217499999999994</v>
      </c>
      <c r="O1107" s="5">
        <f>SUM(O546:O557)</f>
        <v>4.4046000000000003</v>
      </c>
      <c r="P1107" s="5">
        <f>SUM(P557:P568)</f>
        <v>15.220499999999998</v>
      </c>
      <c r="Q1107" s="5">
        <f>SUM(Q557:Q568)</f>
        <v>231.81149999999997</v>
      </c>
      <c r="R1107" s="5"/>
      <c r="S1107" s="4"/>
    </row>
    <row r="1108" spans="1:19" ht="15" customHeight="1">
      <c r="A1108" s="3">
        <f t="shared" si="46"/>
        <v>2060</v>
      </c>
      <c r="B1108" s="8">
        <f t="shared" ref="B1108:J1108" si="90">AVERAGE(B569:B580)</f>
        <v>15.475333333333333</v>
      </c>
      <c r="C1108" s="8">
        <f t="shared" si="90"/>
        <v>15.481583333333333</v>
      </c>
      <c r="D1108" s="8">
        <f t="shared" si="90"/>
        <v>15.476758333333335</v>
      </c>
      <c r="E1108" s="8">
        <f t="shared" si="90"/>
        <v>15.477716666666668</v>
      </c>
      <c r="F1108" s="4">
        <f t="shared" si="90"/>
        <v>16.162775</v>
      </c>
      <c r="G1108" s="8">
        <f t="shared" si="90"/>
        <v>15.304274999999999</v>
      </c>
      <c r="H1108" s="4">
        <f t="shared" si="90"/>
        <v>16.22015</v>
      </c>
      <c r="I1108" s="8">
        <f t="shared" si="90"/>
        <v>15.139391666666667</v>
      </c>
      <c r="J1108" s="4">
        <f t="shared" si="90"/>
        <v>15.009124999999997</v>
      </c>
      <c r="K1108" s="7"/>
      <c r="L1108" s="5">
        <f>SUM(L569:L580)</f>
        <v>356.48229999999995</v>
      </c>
      <c r="M1108" s="5">
        <f>SUM(M569:M580)</f>
        <v>142.42920000000001</v>
      </c>
      <c r="N1108" s="5">
        <f>SUM(N569:N580)</f>
        <v>58.377000000000002</v>
      </c>
      <c r="O1108" s="5">
        <f>SUM(O547:O558)</f>
        <v>4.4046000000000003</v>
      </c>
      <c r="P1108" s="5">
        <f>SUM(P569:P580)</f>
        <v>15.262199999999998</v>
      </c>
      <c r="Q1108" s="5">
        <f>SUM(Q569:Q580)</f>
        <v>232.44659999999996</v>
      </c>
      <c r="R1108" s="5"/>
      <c r="S1108" s="6"/>
    </row>
    <row r="1109" spans="1:19" ht="15" customHeight="1">
      <c r="A1109" s="3">
        <f t="shared" si="46"/>
        <v>2061</v>
      </c>
      <c r="B1109" s="8">
        <f t="shared" ref="B1109:J1109" si="91">AVERAGE(B581:B592)</f>
        <v>15.846924999999999</v>
      </c>
      <c r="C1109" s="8">
        <f t="shared" si="91"/>
        <v>15.853174999999998</v>
      </c>
      <c r="D1109" s="8">
        <f t="shared" si="91"/>
        <v>15.848341666666668</v>
      </c>
      <c r="E1109" s="8">
        <f t="shared" si="91"/>
        <v>15.849316666666667</v>
      </c>
      <c r="F1109" s="4">
        <f t="shared" si="91"/>
        <v>16.53435</v>
      </c>
      <c r="G1109" s="8">
        <f t="shared" si="91"/>
        <v>15.671500000000002</v>
      </c>
      <c r="H1109" s="4">
        <f t="shared" si="91"/>
        <v>16.587375000000005</v>
      </c>
      <c r="I1109" s="8">
        <f t="shared" si="91"/>
        <v>15.500191666666668</v>
      </c>
      <c r="J1109" s="4">
        <f t="shared" si="91"/>
        <v>15.369716666666667</v>
      </c>
      <c r="K1109" s="7"/>
      <c r="L1109" s="5">
        <f>SUM(L581:L592)</f>
        <v>355.53689999999995</v>
      </c>
      <c r="M1109" s="5">
        <f>SUM(M581:M592)</f>
        <v>142.0401</v>
      </c>
      <c r="N1109" s="5">
        <f>SUM(N581:N592)</f>
        <v>58.217499999999994</v>
      </c>
      <c r="O1109" s="5">
        <f>SUM(O548:O559)</f>
        <v>4.4046000000000003</v>
      </c>
      <c r="P1109" s="5">
        <f>SUM(P581:P592)</f>
        <v>15.220499999999998</v>
      </c>
      <c r="Q1109" s="5">
        <f>SUM(Q581:Q592)</f>
        <v>231.81149999999997</v>
      </c>
      <c r="R1109" s="5"/>
      <c r="S1109" s="6"/>
    </row>
    <row r="1110" spans="1:19" ht="15" customHeight="1">
      <c r="A1110" s="3">
        <f t="shared" si="46"/>
        <v>2062</v>
      </c>
      <c r="B1110" s="4">
        <f t="shared" ref="B1110:J1119" ca="1" si="92">AVERAGE(OFFSET(B$593,($A1110-$A$1110)*12,0,12,1))</f>
        <v>16.227425</v>
      </c>
      <c r="C1110" s="4">
        <f t="shared" ca="1" si="92"/>
        <v>16.233691666666665</v>
      </c>
      <c r="D1110" s="4">
        <f t="shared" ca="1" si="92"/>
        <v>16.228858333333331</v>
      </c>
      <c r="E1110" s="4">
        <f t="shared" ca="1" si="92"/>
        <v>16.229833333333332</v>
      </c>
      <c r="F1110" s="4">
        <f t="shared" ca="1" si="92"/>
        <v>16.914883333333332</v>
      </c>
      <c r="G1110" s="4">
        <f t="shared" ca="1" si="92"/>
        <v>16.047541666666664</v>
      </c>
      <c r="H1110" s="4">
        <f t="shared" ca="1" si="92"/>
        <v>16.963441666666668</v>
      </c>
      <c r="I1110" s="4">
        <f t="shared" ca="1" si="92"/>
        <v>15.869666666666665</v>
      </c>
      <c r="J1110" s="4">
        <f t="shared" ca="1" si="92"/>
        <v>15.739025000000003</v>
      </c>
      <c r="K1110" s="4"/>
      <c r="L1110" s="5">
        <f t="shared" ref="L1110:Q1119" ca="1" si="93">SUM(OFFSET(L$593,($A1110-$A$1110)*12,0,12,1))</f>
        <v>355.53689999999995</v>
      </c>
      <c r="M1110" s="5">
        <f t="shared" ca="1" si="93"/>
        <v>142.0401</v>
      </c>
      <c r="N1110" s="5">
        <f t="shared" ca="1" si="93"/>
        <v>58.217499999999994</v>
      </c>
      <c r="O1110" s="5">
        <f t="shared" ca="1" si="93"/>
        <v>4.4046000000000003</v>
      </c>
      <c r="P1110" s="5">
        <f t="shared" ca="1" si="93"/>
        <v>15.220499999999998</v>
      </c>
      <c r="Q1110" s="5">
        <f t="shared" ca="1" si="93"/>
        <v>231.81149999999997</v>
      </c>
      <c r="R1110" s="4"/>
      <c r="S1110" s="4"/>
    </row>
    <row r="1111" spans="1:19" ht="15" customHeight="1">
      <c r="A1111" s="3">
        <f t="shared" si="46"/>
        <v>2063</v>
      </c>
      <c r="B1111" s="4">
        <f t="shared" ca="1" si="92"/>
        <v>16.617100000000001</v>
      </c>
      <c r="C1111" s="4">
        <f t="shared" ca="1" si="92"/>
        <v>16.623366666666669</v>
      </c>
      <c r="D1111" s="4">
        <f t="shared" ca="1" si="92"/>
        <v>16.618525000000002</v>
      </c>
      <c r="E1111" s="4">
        <f t="shared" ca="1" si="92"/>
        <v>16.619499999999999</v>
      </c>
      <c r="F1111" s="4">
        <f t="shared" ca="1" si="92"/>
        <v>17.304524999999998</v>
      </c>
      <c r="G1111" s="4">
        <f t="shared" ca="1" si="92"/>
        <v>16.432658333333332</v>
      </c>
      <c r="H1111" s="4">
        <f t="shared" ca="1" si="92"/>
        <v>17.348524999999999</v>
      </c>
      <c r="I1111" s="4">
        <f t="shared" ca="1" si="92"/>
        <v>16.248016666666668</v>
      </c>
      <c r="J1111" s="4">
        <f t="shared" ca="1" si="92"/>
        <v>16.117183333333333</v>
      </c>
      <c r="K1111" s="4"/>
      <c r="L1111" s="5">
        <f t="shared" ca="1" si="93"/>
        <v>355.53689999999995</v>
      </c>
      <c r="M1111" s="5">
        <f t="shared" ca="1" si="93"/>
        <v>142.0401</v>
      </c>
      <c r="N1111" s="5">
        <f t="shared" ca="1" si="93"/>
        <v>58.217499999999994</v>
      </c>
      <c r="O1111" s="5">
        <f t="shared" ca="1" si="93"/>
        <v>4.4046000000000003</v>
      </c>
      <c r="P1111" s="5">
        <f t="shared" ca="1" si="93"/>
        <v>15.220499999999998</v>
      </c>
      <c r="Q1111" s="5">
        <f t="shared" ca="1" si="93"/>
        <v>231.81149999999997</v>
      </c>
      <c r="R1111" s="4"/>
      <c r="S1111" s="4"/>
    </row>
    <row r="1112" spans="1:19" ht="15" customHeight="1">
      <c r="A1112" s="3">
        <f t="shared" si="46"/>
        <v>2064</v>
      </c>
      <c r="B1112" s="4">
        <f t="shared" ca="1" si="92"/>
        <v>17.016125000000002</v>
      </c>
      <c r="C1112" s="4">
        <f t="shared" ca="1" si="92"/>
        <v>17.022366666666667</v>
      </c>
      <c r="D1112" s="4">
        <f t="shared" ca="1" si="92"/>
        <v>17.017533333333333</v>
      </c>
      <c r="E1112" s="4">
        <f t="shared" ca="1" si="92"/>
        <v>17.018508333333333</v>
      </c>
      <c r="F1112" s="4">
        <f t="shared" ca="1" si="92"/>
        <v>17.703566666666671</v>
      </c>
      <c r="G1112" s="4">
        <f t="shared" ca="1" si="92"/>
        <v>16.826991666666668</v>
      </c>
      <c r="H1112" s="4">
        <f t="shared" ca="1" si="92"/>
        <v>17.742875000000002</v>
      </c>
      <c r="I1112" s="4">
        <f t="shared" ca="1" si="92"/>
        <v>16.635458333333336</v>
      </c>
      <c r="J1112" s="4">
        <f t="shared" ca="1" si="92"/>
        <v>16.504433333333331</v>
      </c>
      <c r="K1112" s="4"/>
      <c r="L1112" s="5">
        <f t="shared" ca="1" si="93"/>
        <v>356.48229999999995</v>
      </c>
      <c r="M1112" s="5">
        <f t="shared" ca="1" si="93"/>
        <v>142.42920000000001</v>
      </c>
      <c r="N1112" s="5">
        <f t="shared" ca="1" si="93"/>
        <v>58.377000000000002</v>
      </c>
      <c r="O1112" s="5">
        <f t="shared" ca="1" si="93"/>
        <v>4.4165999999999999</v>
      </c>
      <c r="P1112" s="5">
        <f t="shared" ca="1" si="93"/>
        <v>15.262199999999998</v>
      </c>
      <c r="Q1112" s="5">
        <f t="shared" ca="1" si="93"/>
        <v>232.44659999999996</v>
      </c>
      <c r="R1112" s="4"/>
      <c r="S1112" s="4"/>
    </row>
    <row r="1113" spans="1:19" ht="15" customHeight="1">
      <c r="A1113" s="3">
        <f t="shared" si="46"/>
        <v>2065</v>
      </c>
      <c r="B1113" s="4">
        <f t="shared" ca="1" si="92"/>
        <v>17.424716666666665</v>
      </c>
      <c r="C1113" s="4">
        <f t="shared" ca="1" si="92"/>
        <v>17.430975</v>
      </c>
      <c r="D1113" s="4">
        <f t="shared" ca="1" si="92"/>
        <v>17.426141666666666</v>
      </c>
      <c r="E1113" s="4">
        <f t="shared" ca="1" si="92"/>
        <v>17.427108333333333</v>
      </c>
      <c r="F1113" s="4">
        <f t="shared" ca="1" si="92"/>
        <v>18.112141666666666</v>
      </c>
      <c r="G1113" s="4">
        <f t="shared" ca="1" si="92"/>
        <v>17.230833333333333</v>
      </c>
      <c r="H1113" s="4">
        <f t="shared" ca="1" si="92"/>
        <v>18.146691666666669</v>
      </c>
      <c r="I1113" s="4">
        <f t="shared" ca="1" si="92"/>
        <v>17.032208333333333</v>
      </c>
      <c r="J1113" s="4">
        <f t="shared" ca="1" si="92"/>
        <v>16.900991666666666</v>
      </c>
      <c r="K1113" s="4"/>
      <c r="L1113" s="5">
        <f t="shared" ca="1" si="93"/>
        <v>355.53689999999995</v>
      </c>
      <c r="M1113" s="5">
        <f t="shared" ca="1" si="93"/>
        <v>142.0401</v>
      </c>
      <c r="N1113" s="5">
        <f t="shared" ca="1" si="93"/>
        <v>58.217499999999994</v>
      </c>
      <c r="O1113" s="5">
        <f t="shared" ca="1" si="93"/>
        <v>4.4046000000000003</v>
      </c>
      <c r="P1113" s="5">
        <f t="shared" ca="1" si="93"/>
        <v>15.220499999999998</v>
      </c>
      <c r="Q1113" s="5">
        <f t="shared" ca="1" si="93"/>
        <v>231.81149999999997</v>
      </c>
      <c r="R1113" s="4"/>
      <c r="S1113" s="4"/>
    </row>
    <row r="1114" spans="1:19" ht="15" customHeight="1">
      <c r="A1114" s="3">
        <f t="shared" si="46"/>
        <v>2066</v>
      </c>
      <c r="B1114" s="4">
        <f t="shared" ca="1" si="92"/>
        <v>17.843149999999998</v>
      </c>
      <c r="C1114" s="4">
        <f t="shared" ca="1" si="92"/>
        <v>17.849399999999999</v>
      </c>
      <c r="D1114" s="4">
        <f t="shared" ca="1" si="92"/>
        <v>17.844566666666665</v>
      </c>
      <c r="E1114" s="4">
        <f t="shared" ca="1" si="92"/>
        <v>17.845550000000003</v>
      </c>
      <c r="F1114" s="4">
        <f t="shared" ca="1" si="92"/>
        <v>18.530574999999999</v>
      </c>
      <c r="G1114" s="4">
        <f t="shared" ca="1" si="92"/>
        <v>17.644341666666673</v>
      </c>
      <c r="H1114" s="4">
        <f t="shared" ca="1" si="92"/>
        <v>18.560225000000003</v>
      </c>
      <c r="I1114" s="4">
        <f t="shared" ca="1" si="92"/>
        <v>17.438483333333334</v>
      </c>
      <c r="J1114" s="4">
        <f t="shared" ca="1" si="92"/>
        <v>17.307066666666667</v>
      </c>
      <c r="K1114" s="4"/>
      <c r="L1114" s="5">
        <f t="shared" ca="1" si="93"/>
        <v>355.53689999999995</v>
      </c>
      <c r="M1114" s="5">
        <f t="shared" ca="1" si="93"/>
        <v>142.0401</v>
      </c>
      <c r="N1114" s="5">
        <f t="shared" ca="1" si="93"/>
        <v>58.217499999999994</v>
      </c>
      <c r="O1114" s="5">
        <f t="shared" ca="1" si="93"/>
        <v>4.4046000000000003</v>
      </c>
      <c r="P1114" s="5">
        <f t="shared" ca="1" si="93"/>
        <v>15.220499999999998</v>
      </c>
      <c r="Q1114" s="5">
        <f t="shared" ca="1" si="93"/>
        <v>231.81149999999997</v>
      </c>
      <c r="R1114" s="4"/>
      <c r="S1114" s="4"/>
    </row>
    <row r="1115" spans="1:19" ht="15" customHeight="1">
      <c r="A1115" s="3">
        <f t="shared" si="46"/>
        <v>2067</v>
      </c>
      <c r="B1115" s="4">
        <f t="shared" ca="1" si="92"/>
        <v>18.271625</v>
      </c>
      <c r="C1115" s="4">
        <f t="shared" ca="1" si="92"/>
        <v>18.277883333333332</v>
      </c>
      <c r="D1115" s="4">
        <f t="shared" ca="1" si="92"/>
        <v>18.273049999999998</v>
      </c>
      <c r="E1115" s="4">
        <f t="shared" ca="1" si="92"/>
        <v>18.274033333333335</v>
      </c>
      <c r="F1115" s="4">
        <f t="shared" ca="1" si="92"/>
        <v>18.959058333333331</v>
      </c>
      <c r="G1115" s="4">
        <f t="shared" ca="1" si="92"/>
        <v>18.067825000000003</v>
      </c>
      <c r="H1115" s="4">
        <f t="shared" ca="1" si="92"/>
        <v>18.983666666666668</v>
      </c>
      <c r="I1115" s="4">
        <f t="shared" ca="1" si="92"/>
        <v>17.854533333333336</v>
      </c>
      <c r="J1115" s="4">
        <f t="shared" ca="1" si="92"/>
        <v>17.722900000000003</v>
      </c>
      <c r="K1115" s="4"/>
      <c r="L1115" s="5">
        <f t="shared" ca="1" si="93"/>
        <v>355.53689999999995</v>
      </c>
      <c r="M1115" s="5">
        <f t="shared" ca="1" si="93"/>
        <v>142.0401</v>
      </c>
      <c r="N1115" s="5">
        <f t="shared" ca="1" si="93"/>
        <v>58.217499999999994</v>
      </c>
      <c r="O1115" s="5">
        <f t="shared" ca="1" si="93"/>
        <v>4.4046000000000003</v>
      </c>
      <c r="P1115" s="5">
        <f t="shared" ca="1" si="93"/>
        <v>15.220499999999998</v>
      </c>
      <c r="Q1115" s="5">
        <f t="shared" ca="1" si="93"/>
        <v>231.81149999999997</v>
      </c>
      <c r="R1115" s="4"/>
      <c r="S1115" s="4"/>
    </row>
    <row r="1116" spans="1:19" ht="15" customHeight="1">
      <c r="A1116" s="3">
        <f t="shared" si="46"/>
        <v>2068</v>
      </c>
      <c r="B1116" s="4">
        <f t="shared" ca="1" si="92"/>
        <v>18.710400000000003</v>
      </c>
      <c r="C1116" s="4">
        <f t="shared" ca="1" si="92"/>
        <v>18.716649999999998</v>
      </c>
      <c r="D1116" s="4">
        <f t="shared" ca="1" si="92"/>
        <v>18.711808333333334</v>
      </c>
      <c r="E1116" s="4">
        <f t="shared" ca="1" si="92"/>
        <v>18.712799999999998</v>
      </c>
      <c r="F1116" s="4">
        <f t="shared" ca="1" si="92"/>
        <v>19.397833333333335</v>
      </c>
      <c r="G1116" s="4">
        <f t="shared" ca="1" si="92"/>
        <v>18.501441666666668</v>
      </c>
      <c r="H1116" s="4">
        <f t="shared" ca="1" si="92"/>
        <v>19.417300000000001</v>
      </c>
      <c r="I1116" s="4">
        <f t="shared" ca="1" si="92"/>
        <v>18.280599999999996</v>
      </c>
      <c r="J1116" s="4">
        <f t="shared" ca="1" si="92"/>
        <v>18.148724999999999</v>
      </c>
      <c r="K1116" s="4"/>
      <c r="L1116" s="5">
        <f t="shared" ca="1" si="93"/>
        <v>356.48229999999995</v>
      </c>
      <c r="M1116" s="5">
        <f t="shared" ca="1" si="93"/>
        <v>142.42920000000001</v>
      </c>
      <c r="N1116" s="5">
        <f t="shared" ca="1" si="93"/>
        <v>58.377000000000002</v>
      </c>
      <c r="O1116" s="5">
        <f t="shared" ca="1" si="93"/>
        <v>4.4165999999999999</v>
      </c>
      <c r="P1116" s="5">
        <f t="shared" ca="1" si="93"/>
        <v>15.262199999999998</v>
      </c>
      <c r="Q1116" s="5">
        <f t="shared" ca="1" si="93"/>
        <v>232.44659999999996</v>
      </c>
      <c r="R1116" s="4"/>
      <c r="S1116" s="4"/>
    </row>
    <row r="1117" spans="1:19" ht="15" customHeight="1">
      <c r="A1117" s="3">
        <f t="shared" si="46"/>
        <v>2069</v>
      </c>
      <c r="B1117" s="4">
        <f t="shared" ca="1" si="92"/>
        <v>19.159716666666668</v>
      </c>
      <c r="C1117" s="4">
        <f t="shared" ca="1" si="92"/>
        <v>19.165966666666666</v>
      </c>
      <c r="D1117" s="4">
        <f t="shared" ca="1" si="92"/>
        <v>19.161133333333336</v>
      </c>
      <c r="E1117" s="4">
        <f t="shared" ca="1" si="92"/>
        <v>19.162100000000002</v>
      </c>
      <c r="F1117" s="4">
        <f t="shared" ca="1" si="92"/>
        <v>19.847149999999999</v>
      </c>
      <c r="G1117" s="4">
        <f t="shared" ca="1" si="92"/>
        <v>18.945483333333332</v>
      </c>
      <c r="H1117" s="4">
        <f t="shared" ca="1" si="92"/>
        <v>19.861341666666664</v>
      </c>
      <c r="I1117" s="4">
        <f t="shared" ca="1" si="92"/>
        <v>18.716841666666667</v>
      </c>
      <c r="J1117" s="4">
        <f t="shared" ca="1" si="92"/>
        <v>18.584791666666668</v>
      </c>
      <c r="K1117" s="4"/>
      <c r="L1117" s="5">
        <f t="shared" ca="1" si="93"/>
        <v>355.53689999999995</v>
      </c>
      <c r="M1117" s="5">
        <f t="shared" ca="1" si="93"/>
        <v>142.0401</v>
      </c>
      <c r="N1117" s="5">
        <f t="shared" ca="1" si="93"/>
        <v>58.217499999999994</v>
      </c>
      <c r="O1117" s="5">
        <f t="shared" ca="1" si="93"/>
        <v>4.4046000000000003</v>
      </c>
      <c r="P1117" s="5">
        <f t="shared" ca="1" si="93"/>
        <v>15.220499999999998</v>
      </c>
      <c r="Q1117" s="5">
        <f t="shared" ca="1" si="93"/>
        <v>231.81149999999997</v>
      </c>
      <c r="R1117" s="4"/>
      <c r="S1117" s="4"/>
    </row>
    <row r="1118" spans="1:19" ht="15" customHeight="1">
      <c r="A1118" s="3">
        <f t="shared" ref="A1118:A1148" si="94">A1117+1</f>
        <v>2070</v>
      </c>
      <c r="B1118" s="4">
        <f t="shared" ca="1" si="92"/>
        <v>19.619816666666665</v>
      </c>
      <c r="C1118" s="4">
        <f t="shared" ca="1" si="92"/>
        <v>19.626058333333329</v>
      </c>
      <c r="D1118" s="4">
        <f t="shared" ca="1" si="92"/>
        <v>19.621224999999999</v>
      </c>
      <c r="E1118" s="4">
        <f t="shared" ca="1" si="92"/>
        <v>19.622208333333329</v>
      </c>
      <c r="F1118" s="4">
        <f t="shared" ca="1" si="92"/>
        <v>20.307258333333333</v>
      </c>
      <c r="G1118" s="4">
        <f t="shared" ca="1" si="92"/>
        <v>19.400199999999998</v>
      </c>
      <c r="H1118" s="4">
        <f t="shared" ca="1" si="92"/>
        <v>20.316083333333331</v>
      </c>
      <c r="I1118" s="4">
        <f t="shared" ca="1" si="92"/>
        <v>19.163625</v>
      </c>
      <c r="J1118" s="4">
        <f t="shared" ca="1" si="92"/>
        <v>19.031316666666665</v>
      </c>
      <c r="K1118" s="4"/>
      <c r="L1118" s="5">
        <f t="shared" ca="1" si="93"/>
        <v>355.53689999999995</v>
      </c>
      <c r="M1118" s="5">
        <f t="shared" ca="1" si="93"/>
        <v>142.0401</v>
      </c>
      <c r="N1118" s="5">
        <f t="shared" ca="1" si="93"/>
        <v>58.217499999999994</v>
      </c>
      <c r="O1118" s="5">
        <f t="shared" ca="1" si="93"/>
        <v>4.4046000000000003</v>
      </c>
      <c r="P1118" s="5">
        <f t="shared" ca="1" si="93"/>
        <v>15.220499999999998</v>
      </c>
      <c r="Q1118" s="5">
        <f t="shared" ca="1" si="93"/>
        <v>231.81149999999997</v>
      </c>
      <c r="R1118" s="4"/>
      <c r="S1118" s="4"/>
    </row>
    <row r="1119" spans="1:19" ht="15" customHeight="1">
      <c r="A1119" s="3">
        <f t="shared" si="94"/>
        <v>2071</v>
      </c>
      <c r="B1119" s="4">
        <f t="shared" ca="1" si="92"/>
        <v>20.091000000000001</v>
      </c>
      <c r="C1119" s="4">
        <f t="shared" ca="1" si="92"/>
        <v>20.097250000000006</v>
      </c>
      <c r="D1119" s="4">
        <f t="shared" ca="1" si="92"/>
        <v>20.092400000000001</v>
      </c>
      <c r="E1119" s="4">
        <f t="shared" ca="1" si="92"/>
        <v>20.093375000000002</v>
      </c>
      <c r="F1119" s="4">
        <f t="shared" ca="1" si="92"/>
        <v>20.778416666666669</v>
      </c>
      <c r="G1119" s="4">
        <f t="shared" ca="1" si="92"/>
        <v>19.865874999999996</v>
      </c>
      <c r="H1119" s="4">
        <f t="shared" ca="1" si="92"/>
        <v>20.781733333333335</v>
      </c>
      <c r="I1119" s="4">
        <f t="shared" ca="1" si="92"/>
        <v>19.621133333333329</v>
      </c>
      <c r="J1119" s="4">
        <f t="shared" ca="1" si="92"/>
        <v>19.488600000000002</v>
      </c>
      <c r="K1119" s="4"/>
      <c r="L1119" s="5">
        <f t="shared" ca="1" si="93"/>
        <v>355.53689999999995</v>
      </c>
      <c r="M1119" s="5">
        <f t="shared" ca="1" si="93"/>
        <v>142.0401</v>
      </c>
      <c r="N1119" s="5">
        <f t="shared" ca="1" si="93"/>
        <v>58.217499999999994</v>
      </c>
      <c r="O1119" s="5">
        <f t="shared" ca="1" si="93"/>
        <v>4.4046000000000003</v>
      </c>
      <c r="P1119" s="5">
        <f t="shared" ca="1" si="93"/>
        <v>15.220499999999998</v>
      </c>
      <c r="Q1119" s="5">
        <f t="shared" ca="1" si="93"/>
        <v>231.81149999999997</v>
      </c>
      <c r="R1119" s="4"/>
      <c r="S1119" s="4"/>
    </row>
    <row r="1120" spans="1:19" ht="15" customHeight="1">
      <c r="A1120" s="3">
        <f t="shared" si="94"/>
        <v>2072</v>
      </c>
      <c r="B1120" s="4">
        <f t="shared" ref="B1120:J1129" ca="1" si="95">AVERAGE(OFFSET(B$593,($A1120-$A$1110)*12,0,12,1))</f>
        <v>20.573466666666665</v>
      </c>
      <c r="C1120" s="4">
        <f t="shared" ca="1" si="95"/>
        <v>20.579725</v>
      </c>
      <c r="D1120" s="4">
        <f t="shared" ca="1" si="95"/>
        <v>20.574891666666669</v>
      </c>
      <c r="E1120" s="4">
        <f t="shared" ca="1" si="95"/>
        <v>20.575858333333336</v>
      </c>
      <c r="F1120" s="4">
        <f t="shared" ca="1" si="95"/>
        <v>21.260916666666663</v>
      </c>
      <c r="G1120" s="4">
        <f t="shared" ca="1" si="95"/>
        <v>20.342708333333338</v>
      </c>
      <c r="H1120" s="4">
        <f t="shared" ca="1" si="95"/>
        <v>21.258575</v>
      </c>
      <c r="I1120" s="4">
        <f t="shared" ca="1" si="95"/>
        <v>20.089591666666667</v>
      </c>
      <c r="J1120" s="4">
        <f t="shared" ca="1" si="95"/>
        <v>19.956849999999999</v>
      </c>
      <c r="K1120" s="4"/>
      <c r="L1120" s="5">
        <f t="shared" ref="L1120:Q1129" ca="1" si="96">SUM(OFFSET(L$593,($A1120-$A$1110)*12,0,12,1))</f>
        <v>356.48229999999995</v>
      </c>
      <c r="M1120" s="5">
        <f t="shared" ca="1" si="96"/>
        <v>142.42920000000001</v>
      </c>
      <c r="N1120" s="5">
        <f t="shared" ca="1" si="96"/>
        <v>58.377000000000002</v>
      </c>
      <c r="O1120" s="5">
        <f t="shared" ca="1" si="96"/>
        <v>4.4165999999999999</v>
      </c>
      <c r="P1120" s="5">
        <f t="shared" ca="1" si="96"/>
        <v>15.262199999999998</v>
      </c>
      <c r="Q1120" s="5">
        <f t="shared" ca="1" si="96"/>
        <v>232.44659999999996</v>
      </c>
      <c r="R1120" s="4"/>
      <c r="S1120" s="4"/>
    </row>
    <row r="1121" spans="1:19" ht="15" customHeight="1">
      <c r="A1121" s="3">
        <f t="shared" si="94"/>
        <v>2073</v>
      </c>
      <c r="B1121" s="4">
        <f t="shared" ca="1" si="95"/>
        <v>21.067558333333338</v>
      </c>
      <c r="C1121" s="4">
        <f t="shared" ca="1" si="95"/>
        <v>21.073824999999996</v>
      </c>
      <c r="D1121" s="4">
        <f t="shared" ca="1" si="95"/>
        <v>21.068974999999998</v>
      </c>
      <c r="E1121" s="4">
        <f t="shared" ca="1" si="95"/>
        <v>21.069949999999995</v>
      </c>
      <c r="F1121" s="4">
        <f t="shared" ca="1" si="95"/>
        <v>21.754991666666669</v>
      </c>
      <c r="G1121" s="4">
        <f t="shared" ca="1" si="95"/>
        <v>20.830983333333332</v>
      </c>
      <c r="H1121" s="4">
        <f t="shared" ca="1" si="95"/>
        <v>21.746841666666668</v>
      </c>
      <c r="I1121" s="4">
        <f t="shared" ca="1" si="95"/>
        <v>20.569324999999999</v>
      </c>
      <c r="J1121" s="4">
        <f t="shared" ca="1" si="95"/>
        <v>20.436341666666667</v>
      </c>
      <c r="K1121" s="4"/>
      <c r="L1121" s="5">
        <f t="shared" ca="1" si="96"/>
        <v>355.53689999999995</v>
      </c>
      <c r="M1121" s="5">
        <f t="shared" ca="1" si="96"/>
        <v>142.0401</v>
      </c>
      <c r="N1121" s="5">
        <f t="shared" ca="1" si="96"/>
        <v>58.217499999999994</v>
      </c>
      <c r="O1121" s="5">
        <f t="shared" ca="1" si="96"/>
        <v>4.4046000000000003</v>
      </c>
      <c r="P1121" s="5">
        <f t="shared" ca="1" si="96"/>
        <v>15.220499999999998</v>
      </c>
      <c r="Q1121" s="5">
        <f t="shared" ca="1" si="96"/>
        <v>231.81149999999997</v>
      </c>
      <c r="R1121" s="4"/>
      <c r="S1121" s="4"/>
    </row>
    <row r="1122" spans="1:19" ht="15" customHeight="1">
      <c r="A1122" s="3">
        <f t="shared" si="94"/>
        <v>2074</v>
      </c>
      <c r="B1122" s="4">
        <f t="shared" ca="1" si="95"/>
        <v>21.573499999999999</v>
      </c>
      <c r="C1122" s="4">
        <f t="shared" ca="1" si="95"/>
        <v>21.579741666666663</v>
      </c>
      <c r="D1122" s="4">
        <f t="shared" ca="1" si="95"/>
        <v>21.574924999999997</v>
      </c>
      <c r="E1122" s="4">
        <f t="shared" ca="1" si="95"/>
        <v>21.575883333333334</v>
      </c>
      <c r="F1122" s="4">
        <f t="shared" ca="1" si="95"/>
        <v>22.260933333333337</v>
      </c>
      <c r="G1122" s="4">
        <f t="shared" ca="1" si="95"/>
        <v>21.331016666666667</v>
      </c>
      <c r="H1122" s="4">
        <f t="shared" ca="1" si="95"/>
        <v>22.246883333333333</v>
      </c>
      <c r="I1122" s="4">
        <f t="shared" ca="1" si="95"/>
        <v>21.060616666666668</v>
      </c>
      <c r="J1122" s="4">
        <f t="shared" ca="1" si="95"/>
        <v>20.927358333333334</v>
      </c>
      <c r="K1122" s="4"/>
      <c r="L1122" s="5">
        <f t="shared" ca="1" si="96"/>
        <v>355.53689999999995</v>
      </c>
      <c r="M1122" s="5">
        <f t="shared" ca="1" si="96"/>
        <v>142.0401</v>
      </c>
      <c r="N1122" s="5">
        <f t="shared" ca="1" si="96"/>
        <v>58.217499999999994</v>
      </c>
      <c r="O1122" s="5">
        <f t="shared" ca="1" si="96"/>
        <v>4.4046000000000003</v>
      </c>
      <c r="P1122" s="5">
        <f t="shared" ca="1" si="96"/>
        <v>15.220499999999998</v>
      </c>
      <c r="Q1122" s="5">
        <f t="shared" ca="1" si="96"/>
        <v>231.81149999999997</v>
      </c>
      <c r="R1122" s="4"/>
      <c r="S1122" s="4"/>
    </row>
    <row r="1123" spans="1:19" ht="15" customHeight="1">
      <c r="A1123" s="3">
        <f t="shared" si="94"/>
        <v>2075</v>
      </c>
      <c r="B1123" s="4">
        <f t="shared" ca="1" si="95"/>
        <v>22.091608333333337</v>
      </c>
      <c r="C1123" s="4">
        <f t="shared" ca="1" si="95"/>
        <v>22.097874999999998</v>
      </c>
      <c r="D1123" s="4">
        <f t="shared" ca="1" si="95"/>
        <v>22.09301666666666</v>
      </c>
      <c r="E1123" s="4">
        <f t="shared" ca="1" si="95"/>
        <v>22.094008333333331</v>
      </c>
      <c r="F1123" s="4">
        <f t="shared" ca="1" si="95"/>
        <v>22.779049999999998</v>
      </c>
      <c r="G1123" s="4">
        <f t="shared" ca="1" si="95"/>
        <v>21.843058333333332</v>
      </c>
      <c r="H1123" s="4">
        <f t="shared" ca="1" si="95"/>
        <v>22.758925000000001</v>
      </c>
      <c r="I1123" s="4">
        <f t="shared" ca="1" si="95"/>
        <v>21.563691666666671</v>
      </c>
      <c r="J1123" s="4">
        <f t="shared" ca="1" si="95"/>
        <v>21.430191666666669</v>
      </c>
      <c r="K1123" s="4"/>
      <c r="L1123" s="5">
        <f t="shared" ca="1" si="96"/>
        <v>355.53689999999995</v>
      </c>
      <c r="M1123" s="5">
        <f t="shared" ca="1" si="96"/>
        <v>142.0401</v>
      </c>
      <c r="N1123" s="5">
        <f t="shared" ca="1" si="96"/>
        <v>58.217499999999994</v>
      </c>
      <c r="O1123" s="5">
        <f t="shared" ca="1" si="96"/>
        <v>4.4046000000000003</v>
      </c>
      <c r="P1123" s="5">
        <f t="shared" ca="1" si="96"/>
        <v>15.220499999999998</v>
      </c>
      <c r="Q1123" s="5">
        <f t="shared" ca="1" si="96"/>
        <v>231.81149999999997</v>
      </c>
      <c r="R1123" s="4"/>
      <c r="S1123" s="4"/>
    </row>
    <row r="1124" spans="1:19" ht="15" customHeight="1">
      <c r="A1124" s="3">
        <f t="shared" si="94"/>
        <v>2076</v>
      </c>
      <c r="B1124" s="4">
        <f t="shared" ca="1" si="95"/>
        <v>22.622158333333335</v>
      </c>
      <c r="C1124" s="4">
        <f t="shared" ca="1" si="95"/>
        <v>22.628433333333337</v>
      </c>
      <c r="D1124" s="4">
        <f t="shared" ca="1" si="95"/>
        <v>22.623591666666666</v>
      </c>
      <c r="E1124" s="4">
        <f t="shared" ca="1" si="95"/>
        <v>22.624566666666666</v>
      </c>
      <c r="F1124" s="4">
        <f t="shared" ca="1" si="95"/>
        <v>23.3096</v>
      </c>
      <c r="G1124" s="4">
        <f t="shared" ca="1" si="95"/>
        <v>22.367408333333334</v>
      </c>
      <c r="H1124" s="4">
        <f t="shared" ca="1" si="95"/>
        <v>23.283266666666663</v>
      </c>
      <c r="I1124" s="4">
        <f t="shared" ca="1" si="95"/>
        <v>22.078858333333329</v>
      </c>
      <c r="J1124" s="4">
        <f t="shared" ca="1" si="95"/>
        <v>21.9451</v>
      </c>
      <c r="K1124" s="4"/>
      <c r="L1124" s="5">
        <f t="shared" ca="1" si="96"/>
        <v>356.48229999999995</v>
      </c>
      <c r="M1124" s="5">
        <f t="shared" ca="1" si="96"/>
        <v>142.42920000000001</v>
      </c>
      <c r="N1124" s="5">
        <f t="shared" ca="1" si="96"/>
        <v>58.377000000000002</v>
      </c>
      <c r="O1124" s="5">
        <f t="shared" ca="1" si="96"/>
        <v>4.4165999999999999</v>
      </c>
      <c r="P1124" s="5">
        <f t="shared" ca="1" si="96"/>
        <v>15.262199999999998</v>
      </c>
      <c r="Q1124" s="5">
        <f t="shared" ca="1" si="96"/>
        <v>232.44659999999996</v>
      </c>
      <c r="R1124" s="4"/>
      <c r="S1124" s="4"/>
    </row>
    <row r="1125" spans="1:19" ht="15" customHeight="1">
      <c r="A1125" s="3">
        <f t="shared" si="94"/>
        <v>2077</v>
      </c>
      <c r="B1125" s="4">
        <f t="shared" ca="1" si="95"/>
        <v>23.165475000000001</v>
      </c>
      <c r="C1125" s="4">
        <f t="shared" ca="1" si="95"/>
        <v>23.171741666666666</v>
      </c>
      <c r="D1125" s="4">
        <f t="shared" ca="1" si="95"/>
        <v>23.166891666666668</v>
      </c>
      <c r="E1125" s="4">
        <f t="shared" ca="1" si="95"/>
        <v>23.167875000000006</v>
      </c>
      <c r="F1125" s="4">
        <f t="shared" ca="1" si="95"/>
        <v>23.852916666666669</v>
      </c>
      <c r="G1125" s="4">
        <f t="shared" ca="1" si="95"/>
        <v>22.90433333333333</v>
      </c>
      <c r="H1125" s="4">
        <f t="shared" ca="1" si="95"/>
        <v>23.82020833333333</v>
      </c>
      <c r="I1125" s="4">
        <f t="shared" ca="1" si="95"/>
        <v>22.606391666666667</v>
      </c>
      <c r="J1125" s="4">
        <f t="shared" ca="1" si="95"/>
        <v>22.472391666666667</v>
      </c>
      <c r="K1125" s="4"/>
      <c r="L1125" s="5">
        <f t="shared" ca="1" si="96"/>
        <v>355.53689999999995</v>
      </c>
      <c r="M1125" s="5">
        <f t="shared" ca="1" si="96"/>
        <v>142.0401</v>
      </c>
      <c r="N1125" s="5">
        <f t="shared" ca="1" si="96"/>
        <v>58.217499999999994</v>
      </c>
      <c r="O1125" s="5">
        <f t="shared" ca="1" si="96"/>
        <v>4.4046000000000003</v>
      </c>
      <c r="P1125" s="5">
        <f t="shared" ca="1" si="96"/>
        <v>15.220499999999998</v>
      </c>
      <c r="Q1125" s="5">
        <f t="shared" ca="1" si="96"/>
        <v>231.81149999999997</v>
      </c>
      <c r="R1125" s="4"/>
      <c r="S1125" s="4"/>
    </row>
    <row r="1126" spans="1:19" ht="15" customHeight="1">
      <c r="A1126" s="3">
        <f t="shared" si="94"/>
        <v>2078</v>
      </c>
      <c r="B1126" s="4">
        <f t="shared" ca="1" si="95"/>
        <v>23.721833333333333</v>
      </c>
      <c r="C1126" s="4">
        <f t="shared" ca="1" si="95"/>
        <v>23.728083333333331</v>
      </c>
      <c r="D1126" s="4">
        <f t="shared" ca="1" si="95"/>
        <v>23.723249999999997</v>
      </c>
      <c r="E1126" s="4">
        <f t="shared" ca="1" si="95"/>
        <v>23.724225000000004</v>
      </c>
      <c r="F1126" s="4">
        <f t="shared" ca="1" si="95"/>
        <v>24.409275000000004</v>
      </c>
      <c r="G1126" s="4">
        <f t="shared" ca="1" si="95"/>
        <v>23.454174999999996</v>
      </c>
      <c r="H1126" s="4">
        <f t="shared" ca="1" si="95"/>
        <v>24.370066666666663</v>
      </c>
      <c r="I1126" s="4">
        <f t="shared" ca="1" si="95"/>
        <v>23.146583333333336</v>
      </c>
      <c r="J1126" s="4">
        <f t="shared" ca="1" si="95"/>
        <v>23.012325000000001</v>
      </c>
      <c r="K1126" s="4"/>
      <c r="L1126" s="5">
        <f t="shared" ca="1" si="96"/>
        <v>355.53689999999995</v>
      </c>
      <c r="M1126" s="5">
        <f t="shared" ca="1" si="96"/>
        <v>142.0401</v>
      </c>
      <c r="N1126" s="5">
        <f t="shared" ca="1" si="96"/>
        <v>58.217499999999994</v>
      </c>
      <c r="O1126" s="5">
        <f t="shared" ca="1" si="96"/>
        <v>4.4046000000000003</v>
      </c>
      <c r="P1126" s="5">
        <f t="shared" ca="1" si="96"/>
        <v>15.220499999999998</v>
      </c>
      <c r="Q1126" s="5">
        <f t="shared" ca="1" si="96"/>
        <v>231.81149999999997</v>
      </c>
      <c r="R1126" s="4"/>
      <c r="S1126" s="4"/>
    </row>
    <row r="1127" spans="1:19" ht="15" customHeight="1">
      <c r="A1127" s="3">
        <f t="shared" si="94"/>
        <v>2079</v>
      </c>
      <c r="B1127" s="4">
        <f t="shared" ca="1" si="95"/>
        <v>24.291558333333331</v>
      </c>
      <c r="C1127" s="4">
        <f t="shared" ca="1" si="95"/>
        <v>24.297799999999999</v>
      </c>
      <c r="D1127" s="4">
        <f t="shared" ca="1" si="95"/>
        <v>24.292966666666668</v>
      </c>
      <c r="E1127" s="4">
        <f t="shared" ca="1" si="95"/>
        <v>24.293933333333328</v>
      </c>
      <c r="F1127" s="4">
        <f t="shared" ca="1" si="95"/>
        <v>24.978983333333332</v>
      </c>
      <c r="G1127" s="4">
        <f t="shared" ca="1" si="95"/>
        <v>24.017250000000001</v>
      </c>
      <c r="H1127" s="4">
        <f t="shared" ca="1" si="95"/>
        <v>24.9331</v>
      </c>
      <c r="I1127" s="4">
        <f t="shared" ca="1" si="95"/>
        <v>23.6998</v>
      </c>
      <c r="J1127" s="4">
        <f t="shared" ca="1" si="95"/>
        <v>23.565241666666669</v>
      </c>
      <c r="K1127" s="4"/>
      <c r="L1127" s="5">
        <f t="shared" ca="1" si="96"/>
        <v>355.53689999999995</v>
      </c>
      <c r="M1127" s="5">
        <f t="shared" ca="1" si="96"/>
        <v>142.0401</v>
      </c>
      <c r="N1127" s="5">
        <f t="shared" ca="1" si="96"/>
        <v>58.217499999999994</v>
      </c>
      <c r="O1127" s="5">
        <f t="shared" ca="1" si="96"/>
        <v>4.4046000000000003</v>
      </c>
      <c r="P1127" s="5">
        <f t="shared" ca="1" si="96"/>
        <v>15.220499999999998</v>
      </c>
      <c r="Q1127" s="5">
        <f t="shared" ca="1" si="96"/>
        <v>231.81149999999997</v>
      </c>
      <c r="R1127" s="4"/>
      <c r="S1127" s="4"/>
    </row>
    <row r="1128" spans="1:19" ht="15" customHeight="1">
      <c r="A1128" s="3">
        <f t="shared" si="94"/>
        <v>2080</v>
      </c>
      <c r="B1128" s="4">
        <f t="shared" ca="1" si="95"/>
        <v>24.874966666666666</v>
      </c>
      <c r="C1128" s="4">
        <f t="shared" ca="1" si="95"/>
        <v>24.881233333333331</v>
      </c>
      <c r="D1128" s="4">
        <f t="shared" ca="1" si="95"/>
        <v>24.876391666666667</v>
      </c>
      <c r="E1128" s="4">
        <f t="shared" ca="1" si="95"/>
        <v>24.877366666666664</v>
      </c>
      <c r="F1128" s="4">
        <f t="shared" ca="1" si="95"/>
        <v>25.562416666666667</v>
      </c>
      <c r="G1128" s="4">
        <f t="shared" ca="1" si="95"/>
        <v>24.593816666666665</v>
      </c>
      <c r="H1128" s="4">
        <f t="shared" ca="1" si="95"/>
        <v>25.509699999999999</v>
      </c>
      <c r="I1128" s="4">
        <f t="shared" ca="1" si="95"/>
        <v>24.266300000000001</v>
      </c>
      <c r="J1128" s="4">
        <f t="shared" ca="1" si="95"/>
        <v>24.131458333333331</v>
      </c>
      <c r="K1128" s="4"/>
      <c r="L1128" s="5">
        <f t="shared" ca="1" si="96"/>
        <v>356.48229999999995</v>
      </c>
      <c r="M1128" s="5">
        <f t="shared" ca="1" si="96"/>
        <v>142.42920000000001</v>
      </c>
      <c r="N1128" s="5">
        <f t="shared" ca="1" si="96"/>
        <v>58.377000000000002</v>
      </c>
      <c r="O1128" s="5">
        <f t="shared" ca="1" si="96"/>
        <v>4.4165999999999999</v>
      </c>
      <c r="P1128" s="5">
        <f t="shared" ca="1" si="96"/>
        <v>15.262199999999998</v>
      </c>
      <c r="Q1128" s="5">
        <f t="shared" ca="1" si="96"/>
        <v>232.44659999999996</v>
      </c>
      <c r="R1128" s="4"/>
      <c r="S1128" s="4"/>
    </row>
    <row r="1129" spans="1:19" ht="15" customHeight="1">
      <c r="A1129" s="3">
        <f t="shared" si="94"/>
        <v>2081</v>
      </c>
      <c r="B1129" s="4">
        <f t="shared" ca="1" si="95"/>
        <v>25.472391666666667</v>
      </c>
      <c r="C1129" s="4">
        <f t="shared" ca="1" si="95"/>
        <v>25.478666666666665</v>
      </c>
      <c r="D1129" s="4">
        <f t="shared" ca="1" si="95"/>
        <v>25.473825000000001</v>
      </c>
      <c r="E1129" s="4">
        <f t="shared" ca="1" si="95"/>
        <v>25.474799999999998</v>
      </c>
      <c r="F1129" s="4">
        <f t="shared" ca="1" si="95"/>
        <v>26.159841666666665</v>
      </c>
      <c r="G1129" s="4">
        <f t="shared" ca="1" si="95"/>
        <v>25.184258333333332</v>
      </c>
      <c r="H1129" s="4">
        <f t="shared" ca="1" si="95"/>
        <v>26.100116666666665</v>
      </c>
      <c r="I1129" s="4">
        <f t="shared" ca="1" si="95"/>
        <v>24.846400000000003</v>
      </c>
      <c r="J1129" s="4">
        <f t="shared" ca="1" si="95"/>
        <v>24.711250000000003</v>
      </c>
      <c r="K1129" s="4"/>
      <c r="L1129" s="5">
        <f t="shared" ca="1" si="96"/>
        <v>355.53689999999995</v>
      </c>
      <c r="M1129" s="5">
        <f t="shared" ca="1" si="96"/>
        <v>142.0401</v>
      </c>
      <c r="N1129" s="5">
        <f t="shared" ca="1" si="96"/>
        <v>58.217499999999994</v>
      </c>
      <c r="O1129" s="5">
        <f t="shared" ca="1" si="96"/>
        <v>4.4046000000000003</v>
      </c>
      <c r="P1129" s="5">
        <f t="shared" ca="1" si="96"/>
        <v>15.220499999999998</v>
      </c>
      <c r="Q1129" s="5">
        <f t="shared" ca="1" si="96"/>
        <v>231.81149999999997</v>
      </c>
      <c r="R1129" s="4"/>
      <c r="S1129" s="4"/>
    </row>
    <row r="1130" spans="1:19" ht="15" customHeight="1">
      <c r="A1130" s="3">
        <f t="shared" si="94"/>
        <v>2082</v>
      </c>
      <c r="B1130" s="4">
        <f t="shared" ref="B1130:J1139" ca="1" si="97">AVERAGE(OFFSET(B$593,($A1130-$A$1110)*12,0,12,1))</f>
        <v>26.084183333333328</v>
      </c>
      <c r="C1130" s="4">
        <f t="shared" ca="1" si="97"/>
        <v>26.090450000000004</v>
      </c>
      <c r="D1130" s="4">
        <f t="shared" ca="1" si="97"/>
        <v>26.08560833333333</v>
      </c>
      <c r="E1130" s="4">
        <f t="shared" ca="1" si="97"/>
        <v>26.086575</v>
      </c>
      <c r="F1130" s="4">
        <f t="shared" ca="1" si="97"/>
        <v>26.771624999999997</v>
      </c>
      <c r="G1130" s="4">
        <f t="shared" ca="1" si="97"/>
        <v>25.788883333333334</v>
      </c>
      <c r="H1130" s="4">
        <f t="shared" ca="1" si="97"/>
        <v>26.704758333333334</v>
      </c>
      <c r="I1130" s="4">
        <f t="shared" ca="1" si="97"/>
        <v>25.4404</v>
      </c>
      <c r="J1130" s="4">
        <f t="shared" ca="1" si="97"/>
        <v>25.304991666666666</v>
      </c>
      <c r="K1130" s="4"/>
      <c r="L1130" s="5">
        <f t="shared" ref="L1130:Q1139" ca="1" si="98">SUM(OFFSET(L$593,($A1130-$A$1110)*12,0,12,1))</f>
        <v>355.53689999999995</v>
      </c>
      <c r="M1130" s="5">
        <f t="shared" ca="1" si="98"/>
        <v>142.0401</v>
      </c>
      <c r="N1130" s="5">
        <f t="shared" ca="1" si="98"/>
        <v>58.217499999999994</v>
      </c>
      <c r="O1130" s="5">
        <f t="shared" ca="1" si="98"/>
        <v>4.4046000000000003</v>
      </c>
      <c r="P1130" s="5">
        <f t="shared" ca="1" si="98"/>
        <v>15.220499999999998</v>
      </c>
      <c r="Q1130" s="5">
        <f t="shared" ca="1" si="98"/>
        <v>231.81149999999997</v>
      </c>
      <c r="R1130" s="4"/>
      <c r="S1130" s="4"/>
    </row>
    <row r="1131" spans="1:19" ht="15" customHeight="1">
      <c r="A1131" s="3">
        <f t="shared" si="94"/>
        <v>2083</v>
      </c>
      <c r="B1131" s="4">
        <f t="shared" ca="1" si="97"/>
        <v>26.710683333333332</v>
      </c>
      <c r="C1131" s="4">
        <f t="shared" ca="1" si="97"/>
        <v>26.716916666666666</v>
      </c>
      <c r="D1131" s="4">
        <f t="shared" ca="1" si="97"/>
        <v>26.712100000000003</v>
      </c>
      <c r="E1131" s="4">
        <f t="shared" ca="1" si="97"/>
        <v>26.713058333333333</v>
      </c>
      <c r="F1131" s="4">
        <f t="shared" ca="1" si="97"/>
        <v>27.398116666666663</v>
      </c>
      <c r="G1131" s="4">
        <f t="shared" ca="1" si="97"/>
        <v>26.408033333333336</v>
      </c>
      <c r="H1131" s="4">
        <f t="shared" ca="1" si="97"/>
        <v>27.323899999999998</v>
      </c>
      <c r="I1131" s="4">
        <f t="shared" ca="1" si="97"/>
        <v>26.048741666666668</v>
      </c>
      <c r="J1131" s="4">
        <f t="shared" ca="1" si="97"/>
        <v>25.913008333333337</v>
      </c>
      <c r="K1131" s="4"/>
      <c r="L1131" s="5">
        <f t="shared" ca="1" si="98"/>
        <v>355.53689999999995</v>
      </c>
      <c r="M1131" s="5">
        <f t="shared" ca="1" si="98"/>
        <v>142.0401</v>
      </c>
      <c r="N1131" s="5">
        <f t="shared" ca="1" si="98"/>
        <v>58.217499999999994</v>
      </c>
      <c r="O1131" s="5">
        <f t="shared" ca="1" si="98"/>
        <v>4.4046000000000003</v>
      </c>
      <c r="P1131" s="5">
        <f t="shared" ca="1" si="98"/>
        <v>15.220499999999998</v>
      </c>
      <c r="Q1131" s="5">
        <f t="shared" ca="1" si="98"/>
        <v>231.81149999999997</v>
      </c>
      <c r="R1131" s="4"/>
      <c r="S1131" s="4"/>
    </row>
    <row r="1132" spans="1:19" ht="15" customHeight="1">
      <c r="A1132" s="3">
        <f t="shared" si="94"/>
        <v>2084</v>
      </c>
      <c r="B1132" s="4">
        <f t="shared" ca="1" si="97"/>
        <v>27.352233333333331</v>
      </c>
      <c r="C1132" s="4">
        <f t="shared" ca="1" si="97"/>
        <v>27.358491666666666</v>
      </c>
      <c r="D1132" s="4">
        <f t="shared" ca="1" si="97"/>
        <v>27.353641666666672</v>
      </c>
      <c r="E1132" s="4">
        <f t="shared" ca="1" si="97"/>
        <v>27.354616666666669</v>
      </c>
      <c r="F1132" s="4">
        <f t="shared" ca="1" si="97"/>
        <v>28.039666666666665</v>
      </c>
      <c r="G1132" s="4">
        <f t="shared" ca="1" si="97"/>
        <v>27.042075000000001</v>
      </c>
      <c r="H1132" s="4">
        <f t="shared" ca="1" si="97"/>
        <v>27.95793333333334</v>
      </c>
      <c r="I1132" s="4">
        <f t="shared" ca="1" si="97"/>
        <v>26.67166666666667</v>
      </c>
      <c r="J1132" s="4">
        <f t="shared" ca="1" si="97"/>
        <v>26.535625</v>
      </c>
      <c r="K1132" s="4"/>
      <c r="L1132" s="5">
        <f t="shared" ca="1" si="98"/>
        <v>356.48229999999995</v>
      </c>
      <c r="M1132" s="5">
        <f t="shared" ca="1" si="98"/>
        <v>142.42920000000001</v>
      </c>
      <c r="N1132" s="5">
        <f t="shared" ca="1" si="98"/>
        <v>58.377000000000002</v>
      </c>
      <c r="O1132" s="5">
        <f t="shared" ca="1" si="98"/>
        <v>4.4165999999999999</v>
      </c>
      <c r="P1132" s="5">
        <f t="shared" ca="1" si="98"/>
        <v>15.262199999999998</v>
      </c>
      <c r="Q1132" s="5">
        <f t="shared" ca="1" si="98"/>
        <v>232.44659999999996</v>
      </c>
      <c r="R1132" s="4"/>
      <c r="S1132" s="4"/>
    </row>
    <row r="1133" spans="1:19" ht="15" customHeight="1">
      <c r="A1133" s="3">
        <f t="shared" si="94"/>
        <v>2085</v>
      </c>
      <c r="B1133" s="4">
        <f t="shared" ca="1" si="97"/>
        <v>28.009175000000003</v>
      </c>
      <c r="C1133" s="4">
        <f t="shared" ca="1" si="97"/>
        <v>28.015424999999997</v>
      </c>
      <c r="D1133" s="4">
        <f t="shared" ca="1" si="97"/>
        <v>28.0106</v>
      </c>
      <c r="E1133" s="4">
        <f t="shared" ca="1" si="97"/>
        <v>28.011566666666667</v>
      </c>
      <c r="F1133" s="4">
        <f t="shared" ca="1" si="97"/>
        <v>28.696608333333334</v>
      </c>
      <c r="G1133" s="4">
        <f t="shared" ca="1" si="97"/>
        <v>27.69134166666667</v>
      </c>
      <c r="H1133" s="4">
        <f t="shared" ca="1" si="97"/>
        <v>28.607200000000002</v>
      </c>
      <c r="I1133" s="4">
        <f t="shared" ca="1" si="97"/>
        <v>27.309541666666675</v>
      </c>
      <c r="J1133" s="4">
        <f t="shared" ca="1" si="97"/>
        <v>27.173191666666668</v>
      </c>
      <c r="K1133" s="4"/>
      <c r="L1133" s="5">
        <f t="shared" ca="1" si="98"/>
        <v>355.53689999999995</v>
      </c>
      <c r="M1133" s="5">
        <f t="shared" ca="1" si="98"/>
        <v>142.0401</v>
      </c>
      <c r="N1133" s="5">
        <f t="shared" ca="1" si="98"/>
        <v>58.217499999999994</v>
      </c>
      <c r="O1133" s="5">
        <f t="shared" ca="1" si="98"/>
        <v>4.4046000000000003</v>
      </c>
      <c r="P1133" s="5">
        <f t="shared" ca="1" si="98"/>
        <v>15.220499999999998</v>
      </c>
      <c r="Q1133" s="5">
        <f t="shared" ca="1" si="98"/>
        <v>231.81149999999997</v>
      </c>
      <c r="R1133" s="4"/>
      <c r="S1133" s="4"/>
    </row>
    <row r="1134" spans="1:19" ht="15" customHeight="1">
      <c r="A1134" s="3">
        <f t="shared" si="94"/>
        <v>2086</v>
      </c>
      <c r="B1134" s="4">
        <f t="shared" ca="1" si="97"/>
        <v>28.681916666666666</v>
      </c>
      <c r="C1134" s="4">
        <f t="shared" ca="1" si="97"/>
        <v>28.688174999999998</v>
      </c>
      <c r="D1134" s="4">
        <f t="shared" ca="1" si="97"/>
        <v>28.683333333333334</v>
      </c>
      <c r="E1134" s="4">
        <f t="shared" ca="1" si="97"/>
        <v>28.684299999999993</v>
      </c>
      <c r="F1134" s="4">
        <f t="shared" ca="1" si="97"/>
        <v>29.369349999999997</v>
      </c>
      <c r="G1134" s="4">
        <f t="shared" ca="1" si="97"/>
        <v>28.356175000000004</v>
      </c>
      <c r="H1134" s="4">
        <f t="shared" ca="1" si="97"/>
        <v>29.27206666666666</v>
      </c>
      <c r="I1134" s="4">
        <f t="shared" ca="1" si="97"/>
        <v>27.962774999999997</v>
      </c>
      <c r="J1134" s="4">
        <f t="shared" ca="1" si="97"/>
        <v>27.82609166666667</v>
      </c>
      <c r="K1134" s="4"/>
      <c r="L1134" s="5">
        <f t="shared" ca="1" si="98"/>
        <v>355.53689999999995</v>
      </c>
      <c r="M1134" s="5">
        <f t="shared" ca="1" si="98"/>
        <v>142.0401</v>
      </c>
      <c r="N1134" s="5">
        <f t="shared" ca="1" si="98"/>
        <v>58.217499999999994</v>
      </c>
      <c r="O1134" s="5">
        <f t="shared" ca="1" si="98"/>
        <v>4.4046000000000003</v>
      </c>
      <c r="P1134" s="5">
        <f t="shared" ca="1" si="98"/>
        <v>15.220499999999998</v>
      </c>
      <c r="Q1134" s="5">
        <f t="shared" ca="1" si="98"/>
        <v>231.81149999999997</v>
      </c>
      <c r="R1134" s="4"/>
      <c r="S1134" s="4"/>
    </row>
    <row r="1135" spans="1:19" ht="15" customHeight="1">
      <c r="A1135" s="3">
        <f t="shared" si="94"/>
        <v>2087</v>
      </c>
      <c r="B1135" s="4">
        <f t="shared" ca="1" si="97"/>
        <v>29.370816666666666</v>
      </c>
      <c r="C1135" s="4">
        <f t="shared" ca="1" si="97"/>
        <v>29.377066666666668</v>
      </c>
      <c r="D1135" s="4">
        <f t="shared" ca="1" si="97"/>
        <v>29.372241666666667</v>
      </c>
      <c r="E1135" s="4">
        <f t="shared" ca="1" si="97"/>
        <v>29.373208333333334</v>
      </c>
      <c r="F1135" s="4">
        <f t="shared" ca="1" si="97"/>
        <v>30.058249999999997</v>
      </c>
      <c r="G1135" s="4">
        <f t="shared" ca="1" si="97"/>
        <v>29.037033333333337</v>
      </c>
      <c r="H1135" s="4">
        <f t="shared" ca="1" si="97"/>
        <v>29.952875000000002</v>
      </c>
      <c r="I1135" s="4">
        <f t="shared" ca="1" si="97"/>
        <v>28.631699999999999</v>
      </c>
      <c r="J1135" s="4">
        <f t="shared" ca="1" si="97"/>
        <v>28.494666666666664</v>
      </c>
      <c r="K1135" s="4"/>
      <c r="L1135" s="5">
        <f t="shared" ca="1" si="98"/>
        <v>355.53689999999995</v>
      </c>
      <c r="M1135" s="5">
        <f t="shared" ca="1" si="98"/>
        <v>142.0401</v>
      </c>
      <c r="N1135" s="5">
        <f t="shared" ca="1" si="98"/>
        <v>58.217499999999994</v>
      </c>
      <c r="O1135" s="5">
        <f t="shared" ca="1" si="98"/>
        <v>4.4046000000000003</v>
      </c>
      <c r="P1135" s="5">
        <f t="shared" ca="1" si="98"/>
        <v>15.220499999999998</v>
      </c>
      <c r="Q1135" s="5">
        <f t="shared" ca="1" si="98"/>
        <v>231.81149999999997</v>
      </c>
      <c r="R1135" s="4"/>
      <c r="S1135" s="4"/>
    </row>
    <row r="1136" spans="1:19" ht="15" customHeight="1">
      <c r="A1136" s="3">
        <f t="shared" si="94"/>
        <v>2088</v>
      </c>
      <c r="B1136" s="4">
        <f t="shared" ca="1" si="97"/>
        <v>30.076274999999999</v>
      </c>
      <c r="C1136" s="4">
        <f t="shared" ca="1" si="97"/>
        <v>30.08253333333333</v>
      </c>
      <c r="D1136" s="4">
        <f t="shared" ca="1" si="97"/>
        <v>30.077691666666666</v>
      </c>
      <c r="E1136" s="4">
        <f t="shared" ca="1" si="97"/>
        <v>30.078658333333333</v>
      </c>
      <c r="F1136" s="4">
        <f t="shared" ca="1" si="97"/>
        <v>30.763708333333337</v>
      </c>
      <c r="G1136" s="4">
        <f t="shared" ca="1" si="97"/>
        <v>29.734208333333331</v>
      </c>
      <c r="H1136" s="4">
        <f t="shared" ca="1" si="97"/>
        <v>30.650091666666668</v>
      </c>
      <c r="I1136" s="4">
        <f t="shared" ca="1" si="97"/>
        <v>29.316666666666674</v>
      </c>
      <c r="J1136" s="4">
        <f t="shared" ca="1" si="97"/>
        <v>29.179308333333339</v>
      </c>
      <c r="K1136" s="4"/>
      <c r="L1136" s="5">
        <f t="shared" ca="1" si="98"/>
        <v>356.48229999999995</v>
      </c>
      <c r="M1136" s="5">
        <f t="shared" ca="1" si="98"/>
        <v>142.42920000000001</v>
      </c>
      <c r="N1136" s="5">
        <f t="shared" ca="1" si="98"/>
        <v>58.377000000000002</v>
      </c>
      <c r="O1136" s="5">
        <f t="shared" ca="1" si="98"/>
        <v>4.4165999999999999</v>
      </c>
      <c r="P1136" s="5">
        <f t="shared" ca="1" si="98"/>
        <v>15.262199999999998</v>
      </c>
      <c r="Q1136" s="5">
        <f t="shared" ca="1" si="98"/>
        <v>232.44659999999996</v>
      </c>
      <c r="R1136" s="4"/>
      <c r="S1136" s="4"/>
    </row>
    <row r="1137" spans="1:19" ht="15" customHeight="1">
      <c r="A1137" s="3">
        <f t="shared" si="94"/>
        <v>2089</v>
      </c>
      <c r="B1137" s="4">
        <f t="shared" ca="1" si="97"/>
        <v>30.7987</v>
      </c>
      <c r="C1137" s="4">
        <f t="shared" ca="1" si="97"/>
        <v>30.804924999999997</v>
      </c>
      <c r="D1137" s="4">
        <f t="shared" ca="1" si="97"/>
        <v>30.800108333333331</v>
      </c>
      <c r="E1137" s="4">
        <f t="shared" ca="1" si="97"/>
        <v>30.801074999999997</v>
      </c>
      <c r="F1137" s="4">
        <f t="shared" ca="1" si="97"/>
        <v>31.486133333333331</v>
      </c>
      <c r="G1137" s="4">
        <f t="shared" ca="1" si="97"/>
        <v>30.448166666666669</v>
      </c>
      <c r="H1137" s="4">
        <f t="shared" ca="1" si="97"/>
        <v>31.364049999999995</v>
      </c>
      <c r="I1137" s="4">
        <f t="shared" ca="1" si="97"/>
        <v>30.018133333333335</v>
      </c>
      <c r="J1137" s="4">
        <f t="shared" ca="1" si="97"/>
        <v>29.880408333333332</v>
      </c>
      <c r="K1137" s="4"/>
      <c r="L1137" s="5">
        <f t="shared" ca="1" si="98"/>
        <v>355.53689999999995</v>
      </c>
      <c r="M1137" s="5">
        <f t="shared" ca="1" si="98"/>
        <v>142.0401</v>
      </c>
      <c r="N1137" s="5">
        <f t="shared" ca="1" si="98"/>
        <v>58.217499999999994</v>
      </c>
      <c r="O1137" s="5">
        <f t="shared" ca="1" si="98"/>
        <v>4.4046000000000003</v>
      </c>
      <c r="P1137" s="5">
        <f t="shared" ca="1" si="98"/>
        <v>15.220499999999998</v>
      </c>
      <c r="Q1137" s="5">
        <f t="shared" ca="1" si="98"/>
        <v>231.81149999999997</v>
      </c>
      <c r="R1137" s="4"/>
      <c r="S1137" s="4"/>
    </row>
    <row r="1138" spans="1:19" ht="15" customHeight="1">
      <c r="A1138" s="3">
        <f t="shared" si="94"/>
        <v>2090</v>
      </c>
      <c r="B1138" s="4">
        <f t="shared" ca="1" si="97"/>
        <v>31.538441666666667</v>
      </c>
      <c r="C1138" s="4">
        <f t="shared" ca="1" si="97"/>
        <v>31.544716666666673</v>
      </c>
      <c r="D1138" s="4">
        <f t="shared" ca="1" si="97"/>
        <v>31.539883333333332</v>
      </c>
      <c r="E1138" s="4">
        <f t="shared" ca="1" si="97"/>
        <v>31.540850000000006</v>
      </c>
      <c r="F1138" s="4">
        <f t="shared" ca="1" si="97"/>
        <v>32.225891666666662</v>
      </c>
      <c r="G1138" s="4">
        <f t="shared" ca="1" si="97"/>
        <v>31.179266666666674</v>
      </c>
      <c r="H1138" s="4">
        <f t="shared" ca="1" si="97"/>
        <v>32.09513333333333</v>
      </c>
      <c r="I1138" s="4">
        <f t="shared" ca="1" si="97"/>
        <v>30.736441666666668</v>
      </c>
      <c r="J1138" s="4">
        <f t="shared" ca="1" si="97"/>
        <v>30.598358333333334</v>
      </c>
      <c r="K1138" s="4"/>
      <c r="L1138" s="5">
        <f t="shared" ca="1" si="98"/>
        <v>355.53689999999995</v>
      </c>
      <c r="M1138" s="5">
        <f t="shared" ca="1" si="98"/>
        <v>142.0401</v>
      </c>
      <c r="N1138" s="5">
        <f t="shared" ca="1" si="98"/>
        <v>58.217499999999994</v>
      </c>
      <c r="O1138" s="5">
        <f t="shared" ca="1" si="98"/>
        <v>4.4046000000000003</v>
      </c>
      <c r="P1138" s="5">
        <f t="shared" ca="1" si="98"/>
        <v>15.220499999999998</v>
      </c>
      <c r="Q1138" s="5">
        <f t="shared" ca="1" si="98"/>
        <v>231.81149999999997</v>
      </c>
      <c r="R1138" s="4"/>
      <c r="S1138" s="4"/>
    </row>
    <row r="1139" spans="1:19" ht="15" customHeight="1">
      <c r="A1139" s="3">
        <f t="shared" si="94"/>
        <v>2091</v>
      </c>
      <c r="B1139" s="4">
        <f t="shared" ca="1" si="97"/>
        <v>32.295991666666666</v>
      </c>
      <c r="C1139" s="4">
        <f t="shared" ca="1" si="97"/>
        <v>32.302241666666667</v>
      </c>
      <c r="D1139" s="4">
        <f t="shared" ca="1" si="97"/>
        <v>32.297408333333337</v>
      </c>
      <c r="E1139" s="4">
        <f t="shared" ca="1" si="97"/>
        <v>32.298391666666667</v>
      </c>
      <c r="F1139" s="4">
        <f t="shared" ca="1" si="97"/>
        <v>32.983433333333338</v>
      </c>
      <c r="G1139" s="4">
        <f t="shared" ca="1" si="97"/>
        <v>31.927933333333332</v>
      </c>
      <c r="H1139" s="4">
        <f t="shared" ca="1" si="97"/>
        <v>32.84382500000001</v>
      </c>
      <c r="I1139" s="4">
        <f t="shared" ca="1" si="97"/>
        <v>31.471991666666668</v>
      </c>
      <c r="J1139" s="4">
        <f t="shared" ca="1" si="97"/>
        <v>31.333541666666672</v>
      </c>
      <c r="K1139" s="4"/>
      <c r="L1139" s="5">
        <f t="shared" ca="1" si="98"/>
        <v>355.53689999999995</v>
      </c>
      <c r="M1139" s="5">
        <f t="shared" ca="1" si="98"/>
        <v>142.0401</v>
      </c>
      <c r="N1139" s="5">
        <f t="shared" ca="1" si="98"/>
        <v>58.217499999999994</v>
      </c>
      <c r="O1139" s="5">
        <f t="shared" ca="1" si="98"/>
        <v>4.4046000000000003</v>
      </c>
      <c r="P1139" s="5">
        <f t="shared" ca="1" si="98"/>
        <v>15.220499999999998</v>
      </c>
      <c r="Q1139" s="5">
        <f t="shared" ca="1" si="98"/>
        <v>231.81149999999997</v>
      </c>
      <c r="R1139" s="4"/>
      <c r="S1139" s="4"/>
    </row>
    <row r="1140" spans="1:19" ht="15" customHeight="1">
      <c r="A1140" s="3">
        <f t="shared" si="94"/>
        <v>2092</v>
      </c>
      <c r="B1140" s="4">
        <f t="shared" ref="B1140:J1148" ca="1" si="99">AVERAGE(OFFSET(B$593,($A1140-$A$1110)*12,0,12,1))</f>
        <v>33.071741666666668</v>
      </c>
      <c r="C1140" s="4">
        <f t="shared" ca="1" si="99"/>
        <v>33.078000000000003</v>
      </c>
      <c r="D1140" s="4">
        <f t="shared" ca="1" si="99"/>
        <v>33.073149999999998</v>
      </c>
      <c r="E1140" s="4">
        <f t="shared" ca="1" si="99"/>
        <v>33.074125000000002</v>
      </c>
      <c r="F1140" s="4">
        <f t="shared" ca="1" si="99"/>
        <v>33.759174999999999</v>
      </c>
      <c r="G1140" s="4">
        <f t="shared" ca="1" si="99"/>
        <v>32.694600000000001</v>
      </c>
      <c r="H1140" s="4">
        <f t="shared" ca="1" si="99"/>
        <v>33.61046666666666</v>
      </c>
      <c r="I1140" s="4">
        <f t="shared" ca="1" si="99"/>
        <v>32.225233333333335</v>
      </c>
      <c r="J1140" s="4">
        <f t="shared" ca="1" si="99"/>
        <v>32.086400000000005</v>
      </c>
      <c r="K1140" s="4"/>
      <c r="L1140" s="5">
        <f t="shared" ref="L1140:Q1148" ca="1" si="100">SUM(OFFSET(L$593,($A1140-$A$1110)*12,0,12,1))</f>
        <v>356.48229999999995</v>
      </c>
      <c r="M1140" s="5">
        <f t="shared" ca="1" si="100"/>
        <v>142.42920000000001</v>
      </c>
      <c r="N1140" s="5">
        <f t="shared" ca="1" si="100"/>
        <v>58.377000000000002</v>
      </c>
      <c r="O1140" s="5">
        <f t="shared" ca="1" si="100"/>
        <v>4.4165999999999999</v>
      </c>
      <c r="P1140" s="5">
        <f t="shared" ca="1" si="100"/>
        <v>15.262199999999998</v>
      </c>
      <c r="Q1140" s="5">
        <f t="shared" ca="1" si="100"/>
        <v>232.44659999999996</v>
      </c>
      <c r="R1140" s="4"/>
      <c r="S1140" s="4"/>
    </row>
    <row r="1141" spans="1:19" ht="15" customHeight="1">
      <c r="A1141" s="3">
        <f t="shared" si="94"/>
        <v>2093</v>
      </c>
      <c r="B1141" s="4">
        <f t="shared" ca="1" si="99"/>
        <v>33.866108333333329</v>
      </c>
      <c r="C1141" s="4">
        <f t="shared" ca="1" si="99"/>
        <v>33.872366666666672</v>
      </c>
      <c r="D1141" s="4">
        <f t="shared" ca="1" si="99"/>
        <v>33.867541666666661</v>
      </c>
      <c r="E1141" s="4">
        <f t="shared" ca="1" si="99"/>
        <v>33.868508333333331</v>
      </c>
      <c r="F1141" s="4">
        <f t="shared" ca="1" si="99"/>
        <v>34.553549999999994</v>
      </c>
      <c r="G1141" s="4">
        <f t="shared" ca="1" si="99"/>
        <v>33.479675</v>
      </c>
      <c r="H1141" s="4">
        <f t="shared" ca="1" si="99"/>
        <v>34.395541666666666</v>
      </c>
      <c r="I1141" s="4">
        <f t="shared" ca="1" si="99"/>
        <v>32.996541666666673</v>
      </c>
      <c r="J1141" s="4">
        <f t="shared" ca="1" si="99"/>
        <v>32.85735833333333</v>
      </c>
      <c r="K1141" s="4"/>
      <c r="L1141" s="5">
        <f t="shared" ca="1" si="100"/>
        <v>355.53689999999995</v>
      </c>
      <c r="M1141" s="5">
        <f t="shared" ca="1" si="100"/>
        <v>142.0401</v>
      </c>
      <c r="N1141" s="5">
        <f t="shared" ca="1" si="100"/>
        <v>58.217499999999994</v>
      </c>
      <c r="O1141" s="5">
        <f t="shared" ca="1" si="100"/>
        <v>4.4046000000000003</v>
      </c>
      <c r="P1141" s="5">
        <f t="shared" ca="1" si="100"/>
        <v>15.220499999999998</v>
      </c>
      <c r="Q1141" s="5">
        <f t="shared" ca="1" si="100"/>
        <v>231.81149999999997</v>
      </c>
      <c r="R1141" s="4"/>
      <c r="S1141" s="4"/>
    </row>
    <row r="1142" spans="1:19" ht="15" customHeight="1">
      <c r="A1142" s="3">
        <f t="shared" si="94"/>
        <v>2094</v>
      </c>
      <c r="B1142" s="4">
        <f t="shared" ca="1" si="99"/>
        <v>34.679583333333333</v>
      </c>
      <c r="C1142" s="4">
        <f t="shared" ca="1" si="99"/>
        <v>34.685849999999995</v>
      </c>
      <c r="D1142" s="4">
        <f t="shared" ca="1" si="99"/>
        <v>34.681000000000004</v>
      </c>
      <c r="E1142" s="4">
        <f t="shared" ca="1" si="99"/>
        <v>34.681983333333328</v>
      </c>
      <c r="F1142" s="4">
        <f t="shared" ca="1" si="99"/>
        <v>35.367025000000005</v>
      </c>
      <c r="G1142" s="4">
        <f t="shared" ca="1" si="99"/>
        <v>34.283625000000001</v>
      </c>
      <c r="H1142" s="4">
        <f t="shared" ca="1" si="99"/>
        <v>35.199483333333333</v>
      </c>
      <c r="I1142" s="4">
        <f t="shared" ca="1" si="99"/>
        <v>33.786425000000001</v>
      </c>
      <c r="J1142" s="4">
        <f t="shared" ca="1" si="99"/>
        <v>33.646816666666666</v>
      </c>
      <c r="K1142" s="4"/>
      <c r="L1142" s="5">
        <f t="shared" ca="1" si="100"/>
        <v>355.53689999999995</v>
      </c>
      <c r="M1142" s="5">
        <f t="shared" ca="1" si="100"/>
        <v>142.0401</v>
      </c>
      <c r="N1142" s="5">
        <f t="shared" ca="1" si="100"/>
        <v>58.217499999999994</v>
      </c>
      <c r="O1142" s="5">
        <f t="shared" ca="1" si="100"/>
        <v>4.4046000000000003</v>
      </c>
      <c r="P1142" s="5">
        <f t="shared" ca="1" si="100"/>
        <v>15.220499999999998</v>
      </c>
      <c r="Q1142" s="5">
        <f t="shared" ca="1" si="100"/>
        <v>231.81149999999997</v>
      </c>
      <c r="R1142" s="4"/>
      <c r="S1142" s="4"/>
    </row>
    <row r="1143" spans="1:19" ht="15" customHeight="1">
      <c r="A1143" s="3">
        <f t="shared" si="94"/>
        <v>2095</v>
      </c>
      <c r="B1143" s="4">
        <f t="shared" ca="1" si="99"/>
        <v>35.512591666666658</v>
      </c>
      <c r="C1143" s="4">
        <f t="shared" ca="1" si="99"/>
        <v>35.51885</v>
      </c>
      <c r="D1143" s="4">
        <f t="shared" ca="1" si="99"/>
        <v>35.513999999999996</v>
      </c>
      <c r="E1143" s="4">
        <f t="shared" ca="1" si="99"/>
        <v>35.514991666666667</v>
      </c>
      <c r="F1143" s="4">
        <f t="shared" ca="1" si="99"/>
        <v>36.200008333333336</v>
      </c>
      <c r="G1143" s="4">
        <f t="shared" ca="1" si="99"/>
        <v>35.106891666666662</v>
      </c>
      <c r="H1143" s="4">
        <f t="shared" ca="1" si="99"/>
        <v>36.022749999999995</v>
      </c>
      <c r="I1143" s="4">
        <f t="shared" ca="1" si="99"/>
        <v>34.595274999999994</v>
      </c>
      <c r="J1143" s="4">
        <f t="shared" ca="1" si="99"/>
        <v>34.455266666666667</v>
      </c>
      <c r="K1143" s="4"/>
      <c r="L1143" s="5">
        <f t="shared" ca="1" si="100"/>
        <v>355.53689999999995</v>
      </c>
      <c r="M1143" s="5">
        <f t="shared" ca="1" si="100"/>
        <v>142.0401</v>
      </c>
      <c r="N1143" s="5">
        <f t="shared" ca="1" si="100"/>
        <v>58.217499999999994</v>
      </c>
      <c r="O1143" s="5">
        <f t="shared" ca="1" si="100"/>
        <v>4.4046000000000003</v>
      </c>
      <c r="P1143" s="5">
        <f t="shared" ca="1" si="100"/>
        <v>15.220499999999998</v>
      </c>
      <c r="Q1143" s="5">
        <f t="shared" ca="1" si="100"/>
        <v>231.81149999999997</v>
      </c>
      <c r="R1143" s="4"/>
      <c r="S1143" s="4"/>
    </row>
    <row r="1144" spans="1:19" ht="15" customHeight="1">
      <c r="A1144" s="3">
        <f t="shared" si="94"/>
        <v>2096</v>
      </c>
      <c r="B1144" s="4">
        <f t="shared" ca="1" si="99"/>
        <v>36.365633333333342</v>
      </c>
      <c r="C1144" s="4">
        <f t="shared" ca="1" si="99"/>
        <v>36.371874999999996</v>
      </c>
      <c r="D1144" s="4">
        <f t="shared" ca="1" si="99"/>
        <v>36.367033333333339</v>
      </c>
      <c r="E1144" s="4">
        <f t="shared" ca="1" si="99"/>
        <v>36.368000000000002</v>
      </c>
      <c r="F1144" s="4">
        <f t="shared" ca="1" si="99"/>
        <v>37.053058333333333</v>
      </c>
      <c r="G1144" s="4">
        <f t="shared" ca="1" si="99"/>
        <v>35.949899999999992</v>
      </c>
      <c r="H1144" s="4">
        <f t="shared" ca="1" si="99"/>
        <v>36.865774999999999</v>
      </c>
      <c r="I1144" s="4">
        <f t="shared" ca="1" si="99"/>
        <v>35.423549999999999</v>
      </c>
      <c r="J1144" s="4">
        <f t="shared" ca="1" si="99"/>
        <v>35.283125000000005</v>
      </c>
      <c r="K1144" s="4"/>
      <c r="L1144" s="5">
        <f t="shared" ca="1" si="100"/>
        <v>356.48229999999995</v>
      </c>
      <c r="M1144" s="5">
        <f t="shared" ca="1" si="100"/>
        <v>142.42920000000001</v>
      </c>
      <c r="N1144" s="5">
        <f t="shared" ca="1" si="100"/>
        <v>58.377000000000002</v>
      </c>
      <c r="O1144" s="5">
        <f t="shared" ca="1" si="100"/>
        <v>4.4165999999999999</v>
      </c>
      <c r="P1144" s="5">
        <f t="shared" ca="1" si="100"/>
        <v>15.262199999999998</v>
      </c>
      <c r="Q1144" s="5">
        <f t="shared" ca="1" si="100"/>
        <v>232.44659999999996</v>
      </c>
      <c r="R1144" s="4"/>
      <c r="S1144" s="4"/>
    </row>
    <row r="1145" spans="1:19" ht="15" customHeight="1">
      <c r="A1145" s="3">
        <f t="shared" si="94"/>
        <v>2097</v>
      </c>
      <c r="B1145" s="4">
        <f t="shared" ca="1" si="99"/>
        <v>37.239141666666669</v>
      </c>
      <c r="C1145" s="4">
        <f t="shared" ca="1" si="99"/>
        <v>37.245416666666664</v>
      </c>
      <c r="D1145" s="4">
        <f t="shared" ca="1" si="99"/>
        <v>37.240583333333333</v>
      </c>
      <c r="E1145" s="4">
        <f t="shared" ca="1" si="99"/>
        <v>37.241549999999997</v>
      </c>
      <c r="F1145" s="4">
        <f t="shared" ca="1" si="99"/>
        <v>37.926583333333333</v>
      </c>
      <c r="G1145" s="4">
        <f t="shared" ca="1" si="99"/>
        <v>36.813200000000009</v>
      </c>
      <c r="H1145" s="4">
        <f t="shared" ca="1" si="99"/>
        <v>37.729066666666668</v>
      </c>
      <c r="I1145" s="4">
        <f t="shared" ca="1" si="99"/>
        <v>36.271724999999996</v>
      </c>
      <c r="J1145" s="4">
        <f t="shared" ca="1" si="99"/>
        <v>36.130875000000003</v>
      </c>
      <c r="K1145" s="4"/>
      <c r="L1145" s="5">
        <f t="shared" ca="1" si="100"/>
        <v>355.53689999999995</v>
      </c>
      <c r="M1145" s="5">
        <f t="shared" ca="1" si="100"/>
        <v>142.0401</v>
      </c>
      <c r="N1145" s="5">
        <f t="shared" ca="1" si="100"/>
        <v>58.217499999999994</v>
      </c>
      <c r="O1145" s="5">
        <f t="shared" ca="1" si="100"/>
        <v>4.4046000000000003</v>
      </c>
      <c r="P1145" s="5">
        <f t="shared" ca="1" si="100"/>
        <v>15.220499999999998</v>
      </c>
      <c r="Q1145" s="5">
        <f t="shared" ca="1" si="100"/>
        <v>231.81149999999997</v>
      </c>
      <c r="R1145" s="4"/>
      <c r="S1145" s="4"/>
    </row>
    <row r="1146" spans="1:19" ht="15" customHeight="1">
      <c r="A1146" s="3">
        <f t="shared" si="94"/>
        <v>2098</v>
      </c>
      <c r="B1146" s="4">
        <f t="shared" ca="1" si="99"/>
        <v>38.133650000000003</v>
      </c>
      <c r="C1146" s="4">
        <f t="shared" ca="1" si="99"/>
        <v>38.139908333333331</v>
      </c>
      <c r="D1146" s="4">
        <f t="shared" ca="1" si="99"/>
        <v>38.135083333333334</v>
      </c>
      <c r="E1146" s="4">
        <f t="shared" ca="1" si="99"/>
        <v>38.136041666666664</v>
      </c>
      <c r="F1146" s="4">
        <f t="shared" ca="1" si="99"/>
        <v>38.821083333333341</v>
      </c>
      <c r="G1146" s="4">
        <f t="shared" ca="1" si="99"/>
        <v>37.697241666666663</v>
      </c>
      <c r="H1146" s="4">
        <f t="shared" ca="1" si="99"/>
        <v>38.613124999999997</v>
      </c>
      <c r="I1146" s="4">
        <f t="shared" ca="1" si="99"/>
        <v>37.140258333333335</v>
      </c>
      <c r="J1146" s="4">
        <f t="shared" ca="1" si="99"/>
        <v>36.999008333333329</v>
      </c>
      <c r="K1146" s="4"/>
      <c r="L1146" s="5">
        <f t="shared" ca="1" si="100"/>
        <v>355.53689999999995</v>
      </c>
      <c r="M1146" s="5">
        <f t="shared" ca="1" si="100"/>
        <v>142.0401</v>
      </c>
      <c r="N1146" s="5">
        <f t="shared" ca="1" si="100"/>
        <v>58.217499999999994</v>
      </c>
      <c r="O1146" s="5">
        <f t="shared" ca="1" si="100"/>
        <v>4.4046000000000003</v>
      </c>
      <c r="P1146" s="5">
        <f t="shared" ca="1" si="100"/>
        <v>15.220499999999998</v>
      </c>
      <c r="Q1146" s="5">
        <f t="shared" ca="1" si="100"/>
        <v>231.81149999999997</v>
      </c>
      <c r="R1146" s="4"/>
      <c r="S1146" s="4"/>
    </row>
    <row r="1147" spans="1:19" ht="15" customHeight="1">
      <c r="A1147" s="3">
        <f t="shared" si="94"/>
        <v>2099</v>
      </c>
      <c r="B1147" s="4">
        <f t="shared" ca="1" si="99"/>
        <v>39.049666666666667</v>
      </c>
      <c r="C1147" s="4">
        <f t="shared" ca="1" si="99"/>
        <v>39.055925000000002</v>
      </c>
      <c r="D1147" s="4">
        <f t="shared" ca="1" si="99"/>
        <v>39.051091666666672</v>
      </c>
      <c r="E1147" s="4">
        <f t="shared" ca="1" si="99"/>
        <v>39.052058333333342</v>
      </c>
      <c r="F1147" s="4">
        <f t="shared" ca="1" si="99"/>
        <v>39.737100000000005</v>
      </c>
      <c r="G1147" s="4">
        <f t="shared" ca="1" si="99"/>
        <v>38.602525</v>
      </c>
      <c r="H1147" s="4">
        <f t="shared" ca="1" si="99"/>
        <v>39.51838333333334</v>
      </c>
      <c r="I1147" s="4">
        <f t="shared" ca="1" si="99"/>
        <v>38.029708333333325</v>
      </c>
      <c r="J1147" s="4">
        <f t="shared" ca="1" si="99"/>
        <v>37.887991666666672</v>
      </c>
      <c r="K1147" s="4"/>
      <c r="L1147" s="5">
        <f t="shared" ca="1" si="100"/>
        <v>355.53689999999995</v>
      </c>
      <c r="M1147" s="5">
        <f t="shared" ca="1" si="100"/>
        <v>142.0401</v>
      </c>
      <c r="N1147" s="5">
        <f t="shared" ca="1" si="100"/>
        <v>58.217499999999994</v>
      </c>
      <c r="O1147" s="5">
        <f t="shared" ca="1" si="100"/>
        <v>4.4046000000000003</v>
      </c>
      <c r="P1147" s="5">
        <f t="shared" ca="1" si="100"/>
        <v>15.220499999999998</v>
      </c>
      <c r="Q1147" s="5">
        <f t="shared" ca="1" si="100"/>
        <v>231.81149999999997</v>
      </c>
      <c r="R1147" s="4"/>
      <c r="S1147" s="4"/>
    </row>
    <row r="1148" spans="1:19" ht="15" customHeight="1">
      <c r="A1148" s="3">
        <f t="shared" si="94"/>
        <v>2100</v>
      </c>
      <c r="B1148" s="4">
        <f t="shared" ca="1" si="99"/>
        <v>39.98769166666667</v>
      </c>
      <c r="C1148" s="4">
        <f t="shared" ca="1" si="99"/>
        <v>39.993949999999998</v>
      </c>
      <c r="D1148" s="4">
        <f t="shared" ca="1" si="99"/>
        <v>39.989091666666667</v>
      </c>
      <c r="E1148" s="4">
        <f t="shared" ca="1" si="99"/>
        <v>39.990083333333338</v>
      </c>
      <c r="F1148" s="4">
        <f t="shared" ca="1" si="99"/>
        <v>40.675116666666661</v>
      </c>
      <c r="G1148" s="4">
        <f t="shared" ca="1" si="99"/>
        <v>39.529558333333334</v>
      </c>
      <c r="H1148" s="4">
        <f t="shared" ca="1" si="99"/>
        <v>40.44540833333334</v>
      </c>
      <c r="I1148" s="4">
        <f t="shared" ca="1" si="99"/>
        <v>38.94051666666666</v>
      </c>
      <c r="J1148" s="4">
        <f t="shared" ca="1" si="99"/>
        <v>38.798333333333339</v>
      </c>
      <c r="K1148" s="4"/>
      <c r="L1148" s="5">
        <f t="shared" ca="1" si="100"/>
        <v>355.53689999999995</v>
      </c>
      <c r="M1148" s="5">
        <f t="shared" ca="1" si="100"/>
        <v>142.0401</v>
      </c>
      <c r="N1148" s="5">
        <f t="shared" ca="1" si="100"/>
        <v>58.217499999999994</v>
      </c>
      <c r="O1148" s="5">
        <f t="shared" ca="1" si="100"/>
        <v>4.4046000000000003</v>
      </c>
      <c r="P1148" s="5">
        <f t="shared" ca="1" si="100"/>
        <v>15.220499999999998</v>
      </c>
      <c r="Q1148" s="5">
        <f t="shared" ca="1" si="100"/>
        <v>231.81149999999997</v>
      </c>
      <c r="R1148" s="4"/>
      <c r="S1148" s="4"/>
    </row>
    <row r="1149" spans="1:19">
      <c r="A1149" s="3"/>
    </row>
    <row r="1150" spans="1:19">
      <c r="A1150" s="3"/>
    </row>
    <row r="1151" spans="1:19">
      <c r="A1151" s="3"/>
    </row>
    <row r="1152" spans="1:19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</sheetData>
  <mergeCells count="2">
    <mergeCell ref="L13:S13"/>
    <mergeCell ref="L14:S14"/>
  </mergeCells>
  <pageMargins left="0.25" right="0.25" top="0.5" bottom="0.5" header="0.25" footer="0.25"/>
  <pageSetup paperSize="5" scale="75" orientation="landscape" horizontalDpi="1200" verticalDpi="1200" r:id="rId1"/>
  <headerFooter alignWithMargins="0">
    <oddFooter>&amp;R&amp;A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Drop Down 1">
              <controlPr locked="0" defaultSize="0" autoLine="0" autoPict="0">
                <anchor moveWithCells="1">
                  <from>
                    <xdr:col>3</xdr:col>
                    <xdr:colOff>0</xdr:colOff>
                    <xdr:row>11</xdr:row>
                    <xdr:rowOff>171450</xdr:rowOff>
                  </from>
                  <to>
                    <xdr:col>4</xdr:col>
                    <xdr:colOff>533400</xdr:colOff>
                    <xdr:row>13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Drop Down 2">
              <controlPr locked="0" defaultSize="0" autoLine="0" autoPict="0">
                <anchor moveWithCells="1">
                  <from>
                    <xdr:col>4</xdr:col>
                    <xdr:colOff>533400</xdr:colOff>
                    <xdr:row>11</xdr:row>
                    <xdr:rowOff>171450</xdr:rowOff>
                  </from>
                  <to>
                    <xdr:col>6</xdr:col>
                    <xdr:colOff>257175</xdr:colOff>
                    <xdr:row>13</xdr:row>
                    <xdr:rowOff>95250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7"/>
  <dimension ref="A1:T1168"/>
  <sheetViews>
    <sheetView zoomScale="70" zoomScaleNormal="70" workbookViewId="0">
      <pane xSplit="1" ySplit="16" topLeftCell="B17" activePane="bottomRight" state="frozen"/>
      <selection activeCell="A7" sqref="A7"/>
      <selection pane="topRight" activeCell="A7" sqref="A7"/>
      <selection pane="bottomLeft" activeCell="A7" sqref="A7"/>
      <selection pane="bottomRight" activeCell="B17" sqref="B17"/>
    </sheetView>
  </sheetViews>
  <sheetFormatPr defaultColWidth="7.109375" defaultRowHeight="12.75"/>
  <cols>
    <col min="1" max="1" width="7.5546875" style="37" bestFit="1" customWidth="1"/>
    <col min="2" max="2" width="7.88671875" style="37" customWidth="1"/>
    <col min="3" max="7" width="11.33203125" style="36" customWidth="1"/>
    <col min="8" max="8" width="12.77734375" style="36" bestFit="1" customWidth="1"/>
    <col min="9" max="9" width="13.21875" style="36" customWidth="1"/>
    <col min="10" max="10" width="12.77734375" style="36" customWidth="1"/>
    <col min="11" max="11" width="7.77734375" style="36" customWidth="1"/>
    <col min="12" max="16384" width="7.109375" style="36"/>
  </cols>
  <sheetData>
    <row r="1" spans="1:10" ht="15.75">
      <c r="A1" s="88" t="s">
        <v>64</v>
      </c>
    </row>
    <row r="2" spans="1:10" ht="15.75">
      <c r="A2" s="88" t="s">
        <v>65</v>
      </c>
    </row>
    <row r="3" spans="1:10" ht="15.75">
      <c r="A3" s="88" t="s">
        <v>66</v>
      </c>
    </row>
    <row r="4" spans="1:10" ht="15.75">
      <c r="A4" s="88" t="s">
        <v>67</v>
      </c>
    </row>
    <row r="5" spans="1:10" ht="15.75">
      <c r="A5" s="88" t="s">
        <v>69</v>
      </c>
    </row>
    <row r="6" spans="1:10" ht="15.75">
      <c r="A6" s="88" t="s">
        <v>73</v>
      </c>
    </row>
    <row r="8" spans="1:10" ht="20.25">
      <c r="A8" s="35" t="s">
        <v>35</v>
      </c>
    </row>
    <row r="9" spans="1:10" ht="15.75">
      <c r="A9" s="34" t="s">
        <v>25</v>
      </c>
    </row>
    <row r="11" spans="1:10">
      <c r="A11" s="36"/>
    </row>
    <row r="12" spans="1:10" ht="15.75">
      <c r="A12" s="36"/>
      <c r="B12" s="34"/>
      <c r="C12" s="57"/>
      <c r="I12" s="28"/>
    </row>
    <row r="13" spans="1:10" ht="15.75">
      <c r="A13" s="34"/>
      <c r="B13" s="34"/>
      <c r="C13" s="57"/>
      <c r="I13" s="28"/>
    </row>
    <row r="14" spans="1:10" ht="15.75">
      <c r="A14" s="34"/>
      <c r="C14" s="90" t="s">
        <v>34</v>
      </c>
      <c r="D14" s="90"/>
      <c r="E14" s="90"/>
      <c r="F14" s="56"/>
      <c r="G14" s="55"/>
      <c r="H14" s="54"/>
      <c r="I14" s="53"/>
    </row>
    <row r="15" spans="1:10" ht="97.9" customHeight="1">
      <c r="A15" s="22"/>
      <c r="B15" s="22"/>
      <c r="C15" s="25" t="s">
        <v>20</v>
      </c>
      <c r="D15" s="52" t="s">
        <v>19</v>
      </c>
      <c r="E15" s="25" t="s">
        <v>33</v>
      </c>
      <c r="F15" s="25" t="s">
        <v>32</v>
      </c>
      <c r="G15" s="25" t="s">
        <v>16</v>
      </c>
      <c r="H15" s="51" t="s">
        <v>31</v>
      </c>
      <c r="I15" s="25" t="s">
        <v>30</v>
      </c>
      <c r="J15" s="25" t="s">
        <v>29</v>
      </c>
    </row>
    <row r="16" spans="1:10" ht="15.75">
      <c r="A16" s="24" t="s">
        <v>2</v>
      </c>
      <c r="B16" s="24" t="s">
        <v>28</v>
      </c>
      <c r="C16" s="24" t="s">
        <v>27</v>
      </c>
      <c r="D16" s="24" t="s">
        <v>27</v>
      </c>
      <c r="E16" s="24" t="s">
        <v>27</v>
      </c>
      <c r="F16" s="24" t="s">
        <v>27</v>
      </c>
      <c r="G16" s="24" t="s">
        <v>27</v>
      </c>
      <c r="H16" s="50" t="s">
        <v>27</v>
      </c>
      <c r="I16" s="24" t="s">
        <v>27</v>
      </c>
      <c r="J16" s="24" t="s">
        <v>27</v>
      </c>
    </row>
    <row r="17" spans="1:20" ht="15.75">
      <c r="A17" s="13">
        <v>41640</v>
      </c>
      <c r="B17" s="48">
        <v>31</v>
      </c>
      <c r="C17" s="39">
        <v>122.58</v>
      </c>
      <c r="D17" s="39">
        <v>297.94099999999997</v>
      </c>
      <c r="E17" s="45">
        <v>729.47900000000004</v>
      </c>
      <c r="F17" s="39">
        <v>1150</v>
      </c>
      <c r="G17" s="39">
        <v>100</v>
      </c>
      <c r="H17" s="47"/>
      <c r="I17" s="39">
        <v>695</v>
      </c>
      <c r="J17" s="39">
        <v>50</v>
      </c>
      <c r="K17" s="40"/>
      <c r="L17" s="49"/>
      <c r="M17" s="40"/>
      <c r="N17" s="40"/>
      <c r="O17" s="40"/>
      <c r="P17" s="40"/>
      <c r="Q17" s="40"/>
      <c r="R17" s="40"/>
      <c r="S17" s="40"/>
      <c r="T17" s="40"/>
    </row>
    <row r="18" spans="1:20" ht="15.75">
      <c r="A18" s="13">
        <v>41671</v>
      </c>
      <c r="B18" s="48">
        <v>30</v>
      </c>
      <c r="C18" s="39">
        <v>122.58</v>
      </c>
      <c r="D18" s="39">
        <v>297.94099999999997</v>
      </c>
      <c r="E18" s="45">
        <v>729.47900000000004</v>
      </c>
      <c r="F18" s="39">
        <v>1150</v>
      </c>
      <c r="G18" s="39">
        <v>100</v>
      </c>
      <c r="H18" s="47"/>
      <c r="I18" s="39">
        <v>695</v>
      </c>
      <c r="J18" s="39">
        <v>50</v>
      </c>
      <c r="K18" s="40"/>
      <c r="L18" s="49"/>
      <c r="M18" s="40"/>
      <c r="N18" s="40"/>
      <c r="O18" s="40"/>
      <c r="P18" s="40"/>
      <c r="Q18" s="40"/>
      <c r="R18" s="40"/>
      <c r="S18" s="40"/>
      <c r="T18" s="40"/>
    </row>
    <row r="19" spans="1:20" ht="15.75">
      <c r="A19" s="13">
        <v>41699</v>
      </c>
      <c r="B19" s="48">
        <v>31</v>
      </c>
      <c r="C19" s="39">
        <v>122.58</v>
      </c>
      <c r="D19" s="39">
        <v>297.94099999999997</v>
      </c>
      <c r="E19" s="45">
        <v>729.47900000000004</v>
      </c>
      <c r="F19" s="39">
        <v>1150</v>
      </c>
      <c r="G19" s="39">
        <v>100</v>
      </c>
      <c r="H19" s="47"/>
      <c r="I19" s="39">
        <v>695</v>
      </c>
      <c r="J19" s="39">
        <v>50</v>
      </c>
      <c r="K19" s="40"/>
      <c r="L19" s="49"/>
      <c r="M19" s="40"/>
      <c r="N19" s="40"/>
      <c r="O19" s="40"/>
      <c r="P19" s="40"/>
      <c r="Q19" s="40"/>
      <c r="R19" s="40"/>
      <c r="S19" s="40"/>
      <c r="T19" s="40"/>
    </row>
    <row r="20" spans="1:20" ht="15.75">
      <c r="A20" s="13">
        <v>41730</v>
      </c>
      <c r="B20" s="48">
        <v>30</v>
      </c>
      <c r="C20" s="39">
        <v>141.29300000000001</v>
      </c>
      <c r="D20" s="39">
        <v>267.99299999999999</v>
      </c>
      <c r="E20" s="45">
        <v>829.71400000000006</v>
      </c>
      <c r="F20" s="39">
        <v>1239</v>
      </c>
      <c r="G20" s="39">
        <v>100</v>
      </c>
      <c r="H20" s="47"/>
      <c r="I20" s="39">
        <v>695</v>
      </c>
      <c r="J20" s="39">
        <v>50</v>
      </c>
      <c r="K20" s="40"/>
      <c r="L20" s="49"/>
      <c r="M20" s="40"/>
      <c r="N20" s="40"/>
      <c r="O20" s="40"/>
      <c r="P20" s="40"/>
      <c r="Q20" s="40"/>
      <c r="R20" s="40"/>
      <c r="S20" s="40"/>
      <c r="T20" s="40"/>
    </row>
    <row r="21" spans="1:20" ht="15.75">
      <c r="A21" s="13">
        <v>41760</v>
      </c>
      <c r="B21" s="48">
        <v>31</v>
      </c>
      <c r="C21" s="39">
        <v>194.20500000000001</v>
      </c>
      <c r="D21" s="39">
        <v>267.46600000000001</v>
      </c>
      <c r="E21" s="45">
        <v>862.32899999999995</v>
      </c>
      <c r="F21" s="39">
        <v>1324</v>
      </c>
      <c r="G21" s="39">
        <v>75</v>
      </c>
      <c r="H21" s="47"/>
      <c r="I21" s="39">
        <v>695</v>
      </c>
      <c r="J21" s="39">
        <v>50</v>
      </c>
      <c r="K21" s="40"/>
      <c r="L21" s="49"/>
      <c r="M21" s="40"/>
      <c r="N21" s="40"/>
      <c r="O21" s="40"/>
      <c r="P21" s="40"/>
      <c r="Q21" s="40"/>
      <c r="R21" s="40"/>
      <c r="S21" s="40"/>
      <c r="T21" s="40"/>
    </row>
    <row r="22" spans="1:20" ht="15.75">
      <c r="A22" s="13">
        <v>41791</v>
      </c>
      <c r="B22" s="48">
        <v>30</v>
      </c>
      <c r="C22" s="39">
        <v>194.20500000000001</v>
      </c>
      <c r="D22" s="39">
        <v>267.46600000000001</v>
      </c>
      <c r="E22" s="45">
        <v>862.32899999999995</v>
      </c>
      <c r="F22" s="39">
        <v>1324</v>
      </c>
      <c r="G22" s="39">
        <v>50</v>
      </c>
      <c r="H22" s="47"/>
      <c r="I22" s="39">
        <v>695</v>
      </c>
      <c r="J22" s="39">
        <v>50</v>
      </c>
      <c r="K22" s="40"/>
      <c r="L22" s="49"/>
      <c r="M22" s="40"/>
      <c r="N22" s="40"/>
      <c r="O22" s="40"/>
      <c r="P22" s="40"/>
      <c r="Q22" s="40"/>
      <c r="R22" s="40"/>
      <c r="S22" s="40"/>
      <c r="T22" s="40"/>
    </row>
    <row r="23" spans="1:20" ht="15.75">
      <c r="A23" s="13">
        <v>41821</v>
      </c>
      <c r="B23" s="48">
        <v>31</v>
      </c>
      <c r="C23" s="39">
        <v>194.20500000000001</v>
      </c>
      <c r="D23" s="39">
        <v>267.46600000000001</v>
      </c>
      <c r="E23" s="45">
        <v>862.32899999999995</v>
      </c>
      <c r="F23" s="39">
        <v>1324</v>
      </c>
      <c r="G23" s="39">
        <v>50</v>
      </c>
      <c r="H23" s="47"/>
      <c r="I23" s="39">
        <v>695</v>
      </c>
      <c r="J23" s="39">
        <v>0</v>
      </c>
      <c r="K23" s="40"/>
      <c r="L23" s="49"/>
      <c r="M23" s="40"/>
      <c r="N23" s="40"/>
      <c r="O23" s="40"/>
      <c r="P23" s="40"/>
      <c r="Q23" s="40"/>
      <c r="R23" s="40"/>
      <c r="S23" s="40"/>
      <c r="T23" s="40"/>
    </row>
    <row r="24" spans="1:20" ht="15.75">
      <c r="A24" s="13">
        <v>41852</v>
      </c>
      <c r="B24" s="48">
        <v>31</v>
      </c>
      <c r="C24" s="39">
        <v>194.20500000000001</v>
      </c>
      <c r="D24" s="39">
        <v>267.46600000000001</v>
      </c>
      <c r="E24" s="45">
        <v>862.32899999999995</v>
      </c>
      <c r="F24" s="39">
        <v>1324</v>
      </c>
      <c r="G24" s="39">
        <v>50</v>
      </c>
      <c r="H24" s="47"/>
      <c r="I24" s="39">
        <v>695</v>
      </c>
      <c r="J24" s="39">
        <v>0</v>
      </c>
      <c r="K24" s="40"/>
      <c r="L24" s="49"/>
      <c r="M24" s="40"/>
      <c r="N24" s="40"/>
      <c r="O24" s="40"/>
      <c r="P24" s="40"/>
      <c r="Q24" s="40"/>
      <c r="R24" s="40"/>
      <c r="S24" s="40"/>
      <c r="T24" s="40"/>
    </row>
    <row r="25" spans="1:20" ht="15.75">
      <c r="A25" s="13">
        <v>41883</v>
      </c>
      <c r="B25" s="48">
        <v>30</v>
      </c>
      <c r="C25" s="39">
        <v>194.20500000000001</v>
      </c>
      <c r="D25" s="39">
        <v>267.46600000000001</v>
      </c>
      <c r="E25" s="45">
        <v>862.32899999999995</v>
      </c>
      <c r="F25" s="39">
        <v>1324</v>
      </c>
      <c r="G25" s="39">
        <v>50</v>
      </c>
      <c r="H25" s="47"/>
      <c r="I25" s="39">
        <v>695</v>
      </c>
      <c r="J25" s="39">
        <v>0</v>
      </c>
      <c r="K25" s="40"/>
      <c r="L25" s="49"/>
      <c r="M25" s="40"/>
      <c r="N25" s="40"/>
      <c r="O25" s="40"/>
      <c r="P25" s="40"/>
      <c r="Q25" s="40"/>
      <c r="R25" s="40"/>
      <c r="S25" s="40"/>
      <c r="T25" s="40"/>
    </row>
    <row r="26" spans="1:20" ht="15.75">
      <c r="A26" s="13">
        <v>41913</v>
      </c>
      <c r="B26" s="48">
        <v>31</v>
      </c>
      <c r="C26" s="39">
        <v>131.881</v>
      </c>
      <c r="D26" s="39">
        <v>277.16699999999997</v>
      </c>
      <c r="E26" s="45">
        <v>829.952</v>
      </c>
      <c r="F26" s="39">
        <v>1239</v>
      </c>
      <c r="G26" s="39">
        <v>75</v>
      </c>
      <c r="H26" s="47"/>
      <c r="I26" s="39">
        <v>695</v>
      </c>
      <c r="J26" s="39">
        <v>0</v>
      </c>
      <c r="K26" s="40"/>
      <c r="L26" s="49"/>
      <c r="M26" s="40"/>
      <c r="N26" s="40"/>
      <c r="O26" s="40"/>
      <c r="P26" s="40"/>
      <c r="Q26" s="40"/>
      <c r="R26" s="40"/>
      <c r="S26" s="40"/>
      <c r="T26" s="40"/>
    </row>
    <row r="27" spans="1:20" ht="15.75">
      <c r="A27" s="13">
        <v>41944</v>
      </c>
      <c r="B27" s="48">
        <v>30</v>
      </c>
      <c r="C27" s="39">
        <v>122.58</v>
      </c>
      <c r="D27" s="39">
        <v>297.94099999999997</v>
      </c>
      <c r="E27" s="45">
        <v>729.47900000000004</v>
      </c>
      <c r="F27" s="39">
        <v>1150</v>
      </c>
      <c r="G27" s="39">
        <v>100</v>
      </c>
      <c r="H27" s="47"/>
      <c r="I27" s="39">
        <v>695</v>
      </c>
      <c r="J27" s="39">
        <v>50</v>
      </c>
      <c r="K27" s="40"/>
      <c r="L27" s="49"/>
      <c r="M27" s="40"/>
      <c r="N27" s="40"/>
      <c r="O27" s="40"/>
      <c r="P27" s="40"/>
      <c r="Q27" s="40"/>
      <c r="R27" s="40"/>
      <c r="S27" s="40"/>
      <c r="T27" s="40"/>
    </row>
    <row r="28" spans="1:20" ht="15.75">
      <c r="A28" s="13">
        <v>41974</v>
      </c>
      <c r="B28" s="48">
        <v>31</v>
      </c>
      <c r="C28" s="39">
        <v>122.58</v>
      </c>
      <c r="D28" s="39">
        <v>297.94099999999997</v>
      </c>
      <c r="E28" s="45">
        <v>729.47900000000004</v>
      </c>
      <c r="F28" s="39">
        <v>1150</v>
      </c>
      <c r="G28" s="39">
        <v>100</v>
      </c>
      <c r="H28" s="47"/>
      <c r="I28" s="39">
        <v>695</v>
      </c>
      <c r="J28" s="39">
        <v>50</v>
      </c>
      <c r="K28" s="40"/>
      <c r="L28" s="49"/>
      <c r="M28" s="40"/>
      <c r="N28" s="40"/>
      <c r="O28" s="40"/>
      <c r="P28" s="40"/>
      <c r="Q28" s="40"/>
      <c r="R28" s="40"/>
      <c r="S28" s="40"/>
      <c r="T28" s="40"/>
    </row>
    <row r="29" spans="1:20" ht="15.75">
      <c r="A29" s="13">
        <v>42005</v>
      </c>
      <c r="B29" s="48">
        <v>31</v>
      </c>
      <c r="C29" s="39">
        <v>122.58</v>
      </c>
      <c r="D29" s="39">
        <v>297.94099999999997</v>
      </c>
      <c r="E29" s="45">
        <v>729.47900000000004</v>
      </c>
      <c r="F29" s="39">
        <v>1150</v>
      </c>
      <c r="G29" s="39">
        <v>100</v>
      </c>
      <c r="H29" s="47"/>
      <c r="I29" s="39">
        <v>695</v>
      </c>
      <c r="J29" s="39">
        <v>50</v>
      </c>
      <c r="K29" s="40"/>
      <c r="L29" s="49"/>
      <c r="M29" s="40"/>
      <c r="N29" s="40"/>
      <c r="O29" s="40"/>
      <c r="P29" s="40"/>
      <c r="Q29" s="40"/>
      <c r="R29" s="40"/>
      <c r="S29" s="40"/>
      <c r="T29" s="40"/>
    </row>
    <row r="30" spans="1:20" ht="15.75">
      <c r="A30" s="13">
        <v>42036</v>
      </c>
      <c r="B30" s="48">
        <v>28</v>
      </c>
      <c r="C30" s="39">
        <v>122.58</v>
      </c>
      <c r="D30" s="39">
        <v>297.94099999999997</v>
      </c>
      <c r="E30" s="45">
        <v>729.47900000000004</v>
      </c>
      <c r="F30" s="39">
        <v>1150</v>
      </c>
      <c r="G30" s="39">
        <v>100</v>
      </c>
      <c r="H30" s="47"/>
      <c r="I30" s="39">
        <v>695</v>
      </c>
      <c r="J30" s="39">
        <v>50</v>
      </c>
      <c r="K30" s="40"/>
      <c r="L30" s="49"/>
      <c r="M30" s="40"/>
      <c r="N30" s="40"/>
      <c r="O30" s="40"/>
      <c r="P30" s="40"/>
      <c r="Q30" s="40"/>
      <c r="R30" s="40"/>
      <c r="S30" s="40"/>
      <c r="T30" s="40"/>
    </row>
    <row r="31" spans="1:20" ht="15.75">
      <c r="A31" s="13">
        <v>42064</v>
      </c>
      <c r="B31" s="48">
        <v>31</v>
      </c>
      <c r="C31" s="39">
        <v>122.58</v>
      </c>
      <c r="D31" s="39">
        <v>297.94099999999997</v>
      </c>
      <c r="E31" s="45">
        <v>729.47900000000004</v>
      </c>
      <c r="F31" s="39">
        <v>1150</v>
      </c>
      <c r="G31" s="39">
        <v>100</v>
      </c>
      <c r="H31" s="47"/>
      <c r="I31" s="39">
        <v>695</v>
      </c>
      <c r="J31" s="39">
        <v>50</v>
      </c>
      <c r="K31" s="40"/>
      <c r="L31" s="49"/>
      <c r="M31" s="40"/>
      <c r="N31" s="40"/>
      <c r="O31" s="40"/>
      <c r="P31" s="40"/>
      <c r="Q31" s="40"/>
      <c r="R31" s="40"/>
      <c r="S31" s="40"/>
      <c r="T31" s="40"/>
    </row>
    <row r="32" spans="1:20" ht="15.75">
      <c r="A32" s="13">
        <v>42095</v>
      </c>
      <c r="B32" s="48">
        <v>30</v>
      </c>
      <c r="C32" s="39">
        <v>141.29300000000001</v>
      </c>
      <c r="D32" s="39">
        <v>267.99299999999999</v>
      </c>
      <c r="E32" s="45">
        <v>829.71400000000006</v>
      </c>
      <c r="F32" s="39">
        <v>1239</v>
      </c>
      <c r="G32" s="39">
        <v>100</v>
      </c>
      <c r="H32" s="47"/>
      <c r="I32" s="39">
        <v>695</v>
      </c>
      <c r="J32" s="39">
        <v>50</v>
      </c>
      <c r="K32" s="40"/>
      <c r="L32" s="49"/>
      <c r="M32" s="40"/>
      <c r="N32" s="40"/>
      <c r="O32" s="40"/>
      <c r="P32" s="40"/>
      <c r="Q32" s="40"/>
      <c r="R32" s="40"/>
      <c r="S32" s="40"/>
      <c r="T32" s="40"/>
    </row>
    <row r="33" spans="1:20" ht="15.75">
      <c r="A33" s="13">
        <v>42125</v>
      </c>
      <c r="B33" s="48">
        <v>31</v>
      </c>
      <c r="C33" s="39">
        <v>194.20500000000001</v>
      </c>
      <c r="D33" s="39">
        <v>267.46600000000001</v>
      </c>
      <c r="E33" s="45">
        <v>862.32899999999995</v>
      </c>
      <c r="F33" s="39">
        <v>1324</v>
      </c>
      <c r="G33" s="39">
        <v>75</v>
      </c>
      <c r="H33" s="47"/>
      <c r="I33" s="39">
        <v>695</v>
      </c>
      <c r="J33" s="39">
        <v>50</v>
      </c>
      <c r="K33" s="40"/>
      <c r="L33" s="49"/>
      <c r="M33" s="40"/>
      <c r="N33" s="40"/>
      <c r="O33" s="40"/>
      <c r="P33" s="40"/>
      <c r="Q33" s="40"/>
      <c r="R33" s="40"/>
      <c r="S33" s="40"/>
      <c r="T33" s="40"/>
    </row>
    <row r="34" spans="1:20" ht="15.75">
      <c r="A34" s="13">
        <v>42156</v>
      </c>
      <c r="B34" s="48">
        <v>30</v>
      </c>
      <c r="C34" s="39">
        <v>194.20500000000001</v>
      </c>
      <c r="D34" s="39">
        <v>267.46600000000001</v>
      </c>
      <c r="E34" s="45">
        <v>862.32899999999995</v>
      </c>
      <c r="F34" s="39">
        <v>1324</v>
      </c>
      <c r="G34" s="39">
        <v>50</v>
      </c>
      <c r="H34" s="47"/>
      <c r="I34" s="39">
        <v>695</v>
      </c>
      <c r="J34" s="39">
        <v>50</v>
      </c>
      <c r="K34" s="40"/>
      <c r="L34" s="49"/>
      <c r="M34" s="40"/>
      <c r="N34" s="40"/>
      <c r="O34" s="40"/>
      <c r="P34" s="40"/>
      <c r="Q34" s="40"/>
      <c r="R34" s="40"/>
      <c r="S34" s="40"/>
      <c r="T34" s="40"/>
    </row>
    <row r="35" spans="1:20" ht="15.75">
      <c r="A35" s="13">
        <v>42186</v>
      </c>
      <c r="B35" s="48">
        <v>31</v>
      </c>
      <c r="C35" s="39">
        <v>194.20500000000001</v>
      </c>
      <c r="D35" s="39">
        <v>267.46600000000001</v>
      </c>
      <c r="E35" s="45">
        <v>862.32899999999995</v>
      </c>
      <c r="F35" s="39">
        <v>1324</v>
      </c>
      <c r="G35" s="39">
        <v>50</v>
      </c>
      <c r="H35" s="47"/>
      <c r="I35" s="39">
        <v>695</v>
      </c>
      <c r="J35" s="39">
        <v>0</v>
      </c>
      <c r="K35" s="40"/>
      <c r="L35" s="49"/>
      <c r="M35" s="40"/>
      <c r="N35" s="40"/>
      <c r="O35" s="40"/>
      <c r="P35" s="40"/>
      <c r="Q35" s="40"/>
      <c r="R35" s="40"/>
      <c r="S35" s="40"/>
      <c r="T35" s="40"/>
    </row>
    <row r="36" spans="1:20" ht="15.75">
      <c r="A36" s="13">
        <v>42217</v>
      </c>
      <c r="B36" s="48">
        <v>31</v>
      </c>
      <c r="C36" s="39">
        <v>194.20500000000001</v>
      </c>
      <c r="D36" s="39">
        <v>267.46600000000001</v>
      </c>
      <c r="E36" s="45">
        <v>862.32899999999995</v>
      </c>
      <c r="F36" s="39">
        <v>1324</v>
      </c>
      <c r="G36" s="39">
        <v>50</v>
      </c>
      <c r="H36" s="47"/>
      <c r="I36" s="39">
        <v>695</v>
      </c>
      <c r="J36" s="39">
        <v>0</v>
      </c>
      <c r="K36" s="40"/>
      <c r="L36" s="49"/>
      <c r="M36" s="40"/>
      <c r="N36" s="40"/>
      <c r="O36" s="40"/>
      <c r="P36" s="40"/>
      <c r="Q36" s="40"/>
      <c r="R36" s="40"/>
      <c r="S36" s="40"/>
      <c r="T36" s="40"/>
    </row>
    <row r="37" spans="1:20" ht="15.75">
      <c r="A37" s="13">
        <v>42248</v>
      </c>
      <c r="B37" s="48">
        <v>30</v>
      </c>
      <c r="C37" s="39">
        <v>194.20500000000001</v>
      </c>
      <c r="D37" s="39">
        <v>267.46600000000001</v>
      </c>
      <c r="E37" s="45">
        <v>862.32899999999995</v>
      </c>
      <c r="F37" s="39">
        <v>1324</v>
      </c>
      <c r="G37" s="39">
        <v>50</v>
      </c>
      <c r="H37" s="47"/>
      <c r="I37" s="39">
        <v>695</v>
      </c>
      <c r="J37" s="39">
        <v>0</v>
      </c>
      <c r="K37" s="40"/>
      <c r="L37" s="49"/>
      <c r="M37" s="40"/>
      <c r="N37" s="40"/>
      <c r="O37" s="40"/>
      <c r="P37" s="40"/>
      <c r="Q37" s="40"/>
      <c r="R37" s="40"/>
      <c r="S37" s="40"/>
      <c r="T37" s="40"/>
    </row>
    <row r="38" spans="1:20" ht="15.75">
      <c r="A38" s="13">
        <v>42278</v>
      </c>
      <c r="B38" s="48">
        <v>31</v>
      </c>
      <c r="C38" s="39">
        <v>131.881</v>
      </c>
      <c r="D38" s="39">
        <v>277.16699999999997</v>
      </c>
      <c r="E38" s="45">
        <v>829.952</v>
      </c>
      <c r="F38" s="39">
        <v>1239</v>
      </c>
      <c r="G38" s="39">
        <v>75</v>
      </c>
      <c r="H38" s="47"/>
      <c r="I38" s="39">
        <v>695</v>
      </c>
      <c r="J38" s="39">
        <v>0</v>
      </c>
      <c r="K38" s="40"/>
      <c r="L38" s="49"/>
      <c r="M38" s="40"/>
      <c r="N38" s="40"/>
      <c r="O38" s="40"/>
      <c r="P38" s="40"/>
      <c r="Q38" s="40"/>
      <c r="R38" s="40"/>
      <c r="S38" s="40"/>
      <c r="T38" s="40"/>
    </row>
    <row r="39" spans="1:20" ht="15.75">
      <c r="A39" s="13">
        <v>42309</v>
      </c>
      <c r="B39" s="48">
        <v>30</v>
      </c>
      <c r="C39" s="39">
        <v>122.58</v>
      </c>
      <c r="D39" s="39">
        <v>297.94099999999997</v>
      </c>
      <c r="E39" s="45">
        <v>729.47900000000004</v>
      </c>
      <c r="F39" s="39">
        <v>1150</v>
      </c>
      <c r="G39" s="39">
        <v>100</v>
      </c>
      <c r="H39" s="47"/>
      <c r="I39" s="39">
        <v>695</v>
      </c>
      <c r="J39" s="39">
        <v>50</v>
      </c>
      <c r="K39" s="40"/>
      <c r="L39" s="49"/>
      <c r="M39" s="40"/>
      <c r="N39" s="40"/>
      <c r="O39" s="40"/>
      <c r="P39" s="40"/>
      <c r="Q39" s="40"/>
      <c r="R39" s="40"/>
      <c r="S39" s="40"/>
      <c r="T39" s="40"/>
    </row>
    <row r="40" spans="1:20" ht="15.75">
      <c r="A40" s="13">
        <v>42339</v>
      </c>
      <c r="B40" s="48">
        <v>31</v>
      </c>
      <c r="C40" s="39">
        <v>122.58</v>
      </c>
      <c r="D40" s="39">
        <v>297.94099999999997</v>
      </c>
      <c r="E40" s="45">
        <v>729.47900000000004</v>
      </c>
      <c r="F40" s="39">
        <v>1150</v>
      </c>
      <c r="G40" s="39">
        <v>100</v>
      </c>
      <c r="H40" s="47"/>
      <c r="I40" s="39">
        <v>695</v>
      </c>
      <c r="J40" s="39">
        <v>50</v>
      </c>
      <c r="K40" s="40"/>
      <c r="L40" s="49"/>
      <c r="M40" s="40"/>
      <c r="N40" s="40"/>
      <c r="O40" s="40"/>
      <c r="P40" s="40"/>
      <c r="Q40" s="40"/>
      <c r="R40" s="40"/>
      <c r="S40" s="40"/>
      <c r="T40" s="40"/>
    </row>
    <row r="41" spans="1:20" ht="15.75">
      <c r="A41" s="13">
        <v>42370</v>
      </c>
      <c r="B41" s="48">
        <v>31</v>
      </c>
      <c r="C41" s="39">
        <v>122.58</v>
      </c>
      <c r="D41" s="39">
        <v>297.94099999999997</v>
      </c>
      <c r="E41" s="45">
        <v>729.47900000000004</v>
      </c>
      <c r="F41" s="39">
        <v>1150</v>
      </c>
      <c r="G41" s="39">
        <v>100</v>
      </c>
      <c r="H41" s="47"/>
      <c r="I41" s="39">
        <v>695</v>
      </c>
      <c r="J41" s="39">
        <v>50</v>
      </c>
      <c r="K41" s="40"/>
      <c r="L41" s="49"/>
      <c r="M41" s="40"/>
      <c r="N41" s="40"/>
      <c r="O41" s="40"/>
      <c r="P41" s="40"/>
      <c r="Q41" s="40"/>
      <c r="R41" s="40"/>
      <c r="S41" s="40"/>
      <c r="T41" s="40"/>
    </row>
    <row r="42" spans="1:20" ht="15.75">
      <c r="A42" s="13">
        <v>42401</v>
      </c>
      <c r="B42" s="48">
        <v>29</v>
      </c>
      <c r="C42" s="39">
        <v>122.58</v>
      </c>
      <c r="D42" s="39">
        <v>297.94099999999997</v>
      </c>
      <c r="E42" s="45">
        <v>729.47900000000004</v>
      </c>
      <c r="F42" s="39">
        <v>1150</v>
      </c>
      <c r="G42" s="39">
        <v>100</v>
      </c>
      <c r="H42" s="47"/>
      <c r="I42" s="39">
        <v>695</v>
      </c>
      <c r="J42" s="39">
        <v>50</v>
      </c>
      <c r="K42" s="40"/>
      <c r="L42" s="49"/>
      <c r="M42" s="40"/>
      <c r="N42" s="40"/>
      <c r="O42" s="40"/>
      <c r="P42" s="40"/>
      <c r="Q42" s="40"/>
      <c r="R42" s="40"/>
      <c r="S42" s="40"/>
      <c r="T42" s="40"/>
    </row>
    <row r="43" spans="1:20" ht="15.75">
      <c r="A43" s="13">
        <v>42430</v>
      </c>
      <c r="B43" s="48">
        <v>31</v>
      </c>
      <c r="C43" s="39">
        <v>122.58</v>
      </c>
      <c r="D43" s="39">
        <v>297.94099999999997</v>
      </c>
      <c r="E43" s="45">
        <v>729.47900000000004</v>
      </c>
      <c r="F43" s="39">
        <v>1150</v>
      </c>
      <c r="G43" s="39">
        <v>100</v>
      </c>
      <c r="H43" s="47"/>
      <c r="I43" s="39">
        <v>695</v>
      </c>
      <c r="J43" s="39">
        <v>50</v>
      </c>
      <c r="K43" s="40"/>
      <c r="L43" s="49"/>
      <c r="M43" s="40"/>
      <c r="N43" s="40"/>
      <c r="O43" s="40"/>
      <c r="P43" s="40"/>
      <c r="Q43" s="40"/>
      <c r="R43" s="40"/>
      <c r="S43" s="40"/>
      <c r="T43" s="40"/>
    </row>
    <row r="44" spans="1:20" ht="15.75">
      <c r="A44" s="13">
        <v>42461</v>
      </c>
      <c r="B44" s="48">
        <v>30</v>
      </c>
      <c r="C44" s="39">
        <v>141.29300000000001</v>
      </c>
      <c r="D44" s="39">
        <v>267.99299999999999</v>
      </c>
      <c r="E44" s="45">
        <v>829.71400000000006</v>
      </c>
      <c r="F44" s="39">
        <v>1239</v>
      </c>
      <c r="G44" s="39">
        <v>100</v>
      </c>
      <c r="H44" s="47"/>
      <c r="I44" s="39">
        <v>695</v>
      </c>
      <c r="J44" s="39">
        <v>50</v>
      </c>
      <c r="K44" s="40"/>
      <c r="L44" s="49"/>
      <c r="M44" s="40"/>
      <c r="N44" s="40"/>
      <c r="O44" s="40"/>
      <c r="P44" s="40"/>
      <c r="Q44" s="40"/>
      <c r="R44" s="40"/>
      <c r="S44" s="40"/>
      <c r="T44" s="40"/>
    </row>
    <row r="45" spans="1:20" ht="15.75">
      <c r="A45" s="13">
        <v>42491</v>
      </c>
      <c r="B45" s="48">
        <v>31</v>
      </c>
      <c r="C45" s="39">
        <v>194.20500000000001</v>
      </c>
      <c r="D45" s="39">
        <v>267.46600000000001</v>
      </c>
      <c r="E45" s="45">
        <v>812.32899999999995</v>
      </c>
      <c r="F45" s="39">
        <v>1274</v>
      </c>
      <c r="G45" s="39">
        <v>75</v>
      </c>
      <c r="H45" s="47"/>
      <c r="I45" s="39">
        <v>695</v>
      </c>
      <c r="J45" s="39">
        <v>50</v>
      </c>
      <c r="K45" s="40"/>
      <c r="L45" s="49"/>
      <c r="M45" s="40"/>
      <c r="N45" s="40"/>
      <c r="O45" s="40"/>
      <c r="P45" s="40"/>
      <c r="Q45" s="40"/>
      <c r="R45" s="40"/>
      <c r="S45" s="40"/>
      <c r="T45" s="40"/>
    </row>
    <row r="46" spans="1:20" ht="15.75">
      <c r="A46" s="13">
        <v>42522</v>
      </c>
      <c r="B46" s="48">
        <v>30</v>
      </c>
      <c r="C46" s="39">
        <v>194.20500000000001</v>
      </c>
      <c r="D46" s="39">
        <v>267.46600000000001</v>
      </c>
      <c r="E46" s="45">
        <v>812.32899999999995</v>
      </c>
      <c r="F46" s="39">
        <v>1274</v>
      </c>
      <c r="G46" s="39">
        <v>50</v>
      </c>
      <c r="H46" s="47"/>
      <c r="I46" s="39">
        <v>695</v>
      </c>
      <c r="J46" s="39">
        <v>50</v>
      </c>
      <c r="K46" s="40"/>
      <c r="L46" s="49"/>
      <c r="M46" s="40"/>
      <c r="N46" s="40"/>
      <c r="O46" s="40"/>
      <c r="P46" s="40"/>
      <c r="Q46" s="40"/>
      <c r="R46" s="40"/>
      <c r="S46" s="40"/>
      <c r="T46" s="40"/>
    </row>
    <row r="47" spans="1:20" ht="15.75">
      <c r="A47" s="13">
        <v>42552</v>
      </c>
      <c r="B47" s="48">
        <v>31</v>
      </c>
      <c r="C47" s="39">
        <v>194.20500000000001</v>
      </c>
      <c r="D47" s="39">
        <v>267.46600000000001</v>
      </c>
      <c r="E47" s="45">
        <v>812.32899999999995</v>
      </c>
      <c r="F47" s="39">
        <v>1274</v>
      </c>
      <c r="G47" s="39">
        <v>50</v>
      </c>
      <c r="H47" s="47"/>
      <c r="I47" s="39">
        <v>695</v>
      </c>
      <c r="J47" s="39">
        <v>0</v>
      </c>
      <c r="K47" s="40"/>
      <c r="L47" s="49"/>
      <c r="M47" s="40"/>
      <c r="N47" s="40"/>
      <c r="O47" s="40"/>
      <c r="P47" s="40"/>
      <c r="Q47" s="40"/>
      <c r="R47" s="40"/>
      <c r="S47" s="40"/>
      <c r="T47" s="40"/>
    </row>
    <row r="48" spans="1:20" ht="15.75">
      <c r="A48" s="13">
        <v>42583</v>
      </c>
      <c r="B48" s="48">
        <v>31</v>
      </c>
      <c r="C48" s="39">
        <v>194.20500000000001</v>
      </c>
      <c r="D48" s="39">
        <v>267.46600000000001</v>
      </c>
      <c r="E48" s="45">
        <v>812.32899999999995</v>
      </c>
      <c r="F48" s="39">
        <v>1274</v>
      </c>
      <c r="G48" s="39">
        <v>50</v>
      </c>
      <c r="H48" s="47"/>
      <c r="I48" s="39">
        <v>695</v>
      </c>
      <c r="J48" s="39">
        <v>0</v>
      </c>
      <c r="K48" s="40"/>
      <c r="L48" s="49"/>
      <c r="M48" s="40"/>
      <c r="N48" s="40"/>
      <c r="O48" s="40"/>
      <c r="P48" s="40"/>
      <c r="Q48" s="40"/>
      <c r="R48" s="40"/>
      <c r="S48" s="40"/>
      <c r="T48" s="40"/>
    </row>
    <row r="49" spans="1:20" ht="15.75">
      <c r="A49" s="13">
        <v>42614</v>
      </c>
      <c r="B49" s="48">
        <v>30</v>
      </c>
      <c r="C49" s="39">
        <v>194.20500000000001</v>
      </c>
      <c r="D49" s="39">
        <v>267.46600000000001</v>
      </c>
      <c r="E49" s="45">
        <v>812.32899999999995</v>
      </c>
      <c r="F49" s="39">
        <v>1274</v>
      </c>
      <c r="G49" s="39">
        <v>50</v>
      </c>
      <c r="H49" s="47"/>
      <c r="I49" s="39">
        <v>695</v>
      </c>
      <c r="J49" s="39">
        <v>0</v>
      </c>
      <c r="K49" s="40"/>
      <c r="L49" s="49"/>
      <c r="M49" s="40"/>
      <c r="N49" s="40"/>
      <c r="O49" s="40"/>
      <c r="P49" s="40"/>
      <c r="Q49" s="40"/>
      <c r="R49" s="40"/>
      <c r="S49" s="40"/>
      <c r="T49" s="40"/>
    </row>
    <row r="50" spans="1:20" ht="15.75">
      <c r="A50" s="13">
        <v>42644</v>
      </c>
      <c r="B50" s="48">
        <v>31</v>
      </c>
      <c r="C50" s="39">
        <v>131.881</v>
      </c>
      <c r="D50" s="39">
        <v>277.16699999999997</v>
      </c>
      <c r="E50" s="45">
        <v>829.952</v>
      </c>
      <c r="F50" s="39">
        <v>1239</v>
      </c>
      <c r="G50" s="39">
        <v>75</v>
      </c>
      <c r="H50" s="47"/>
      <c r="I50" s="39">
        <v>695</v>
      </c>
      <c r="J50" s="39">
        <v>0</v>
      </c>
      <c r="K50" s="40"/>
      <c r="L50" s="49"/>
      <c r="M50" s="40"/>
      <c r="N50" s="40"/>
      <c r="O50" s="40"/>
      <c r="P50" s="40"/>
      <c r="Q50" s="40"/>
      <c r="R50" s="40"/>
      <c r="S50" s="40"/>
      <c r="T50" s="40"/>
    </row>
    <row r="51" spans="1:20" ht="15.75">
      <c r="A51" s="13">
        <v>42675</v>
      </c>
      <c r="B51" s="48">
        <v>30</v>
      </c>
      <c r="C51" s="39">
        <v>122.58</v>
      </c>
      <c r="D51" s="39">
        <v>297.94099999999997</v>
      </c>
      <c r="E51" s="45">
        <v>729.47900000000004</v>
      </c>
      <c r="F51" s="39">
        <v>1150</v>
      </c>
      <c r="G51" s="39">
        <v>100</v>
      </c>
      <c r="H51" s="47"/>
      <c r="I51" s="39">
        <v>695</v>
      </c>
      <c r="J51" s="39">
        <v>50</v>
      </c>
      <c r="K51" s="40"/>
      <c r="L51" s="49"/>
      <c r="M51" s="40"/>
      <c r="N51" s="40"/>
      <c r="O51" s="40"/>
      <c r="P51" s="40"/>
      <c r="Q51" s="40"/>
      <c r="R51" s="40"/>
      <c r="S51" s="40"/>
      <c r="T51" s="40"/>
    </row>
    <row r="52" spans="1:20" ht="15.75">
      <c r="A52" s="13">
        <v>42705</v>
      </c>
      <c r="B52" s="48">
        <v>31</v>
      </c>
      <c r="C52" s="39">
        <v>122.58</v>
      </c>
      <c r="D52" s="39">
        <v>297.94099999999997</v>
      </c>
      <c r="E52" s="45">
        <v>729.47900000000004</v>
      </c>
      <c r="F52" s="39">
        <v>1150</v>
      </c>
      <c r="G52" s="39">
        <v>100</v>
      </c>
      <c r="H52" s="47"/>
      <c r="I52" s="39">
        <v>695</v>
      </c>
      <c r="J52" s="39">
        <v>50</v>
      </c>
      <c r="K52" s="40"/>
      <c r="L52" s="49"/>
      <c r="M52" s="40"/>
      <c r="N52" s="40"/>
      <c r="O52" s="40"/>
      <c r="P52" s="40"/>
      <c r="Q52" s="40"/>
      <c r="R52" s="40"/>
      <c r="S52" s="40"/>
      <c r="T52" s="40"/>
    </row>
    <row r="53" spans="1:20" ht="15.75">
      <c r="A53" s="13">
        <v>42736</v>
      </c>
      <c r="B53" s="48">
        <v>31</v>
      </c>
      <c r="C53" s="39">
        <v>122.58</v>
      </c>
      <c r="D53" s="39">
        <v>297.94099999999997</v>
      </c>
      <c r="E53" s="45">
        <v>729.47900000000004</v>
      </c>
      <c r="F53" s="39">
        <v>1150</v>
      </c>
      <c r="G53" s="39">
        <v>100</v>
      </c>
      <c r="H53" s="47"/>
      <c r="I53" s="39">
        <v>695</v>
      </c>
      <c r="J53" s="39">
        <v>50</v>
      </c>
      <c r="K53" s="40"/>
      <c r="L53" s="49"/>
      <c r="M53" s="40"/>
      <c r="N53" s="40"/>
      <c r="O53" s="40"/>
      <c r="P53" s="40"/>
      <c r="Q53" s="40"/>
      <c r="R53" s="40"/>
      <c r="S53" s="40"/>
      <c r="T53" s="40"/>
    </row>
    <row r="54" spans="1:20" ht="15.75">
      <c r="A54" s="13">
        <v>42767</v>
      </c>
      <c r="B54" s="48">
        <v>28</v>
      </c>
      <c r="C54" s="39">
        <v>122.58</v>
      </c>
      <c r="D54" s="39">
        <v>297.94099999999997</v>
      </c>
      <c r="E54" s="45">
        <v>729.47900000000004</v>
      </c>
      <c r="F54" s="39">
        <v>1150</v>
      </c>
      <c r="G54" s="39">
        <v>100</v>
      </c>
      <c r="H54" s="47"/>
      <c r="I54" s="39">
        <v>695</v>
      </c>
      <c r="J54" s="39">
        <v>50</v>
      </c>
      <c r="K54" s="40"/>
      <c r="L54" s="49"/>
      <c r="M54" s="40"/>
      <c r="N54" s="40"/>
      <c r="O54" s="40"/>
      <c r="P54" s="40"/>
      <c r="Q54" s="40"/>
      <c r="R54" s="40"/>
      <c r="S54" s="40"/>
      <c r="T54" s="40"/>
    </row>
    <row r="55" spans="1:20" ht="15.75">
      <c r="A55" s="13">
        <v>42795</v>
      </c>
      <c r="B55" s="48">
        <v>31</v>
      </c>
      <c r="C55" s="39">
        <v>122.58</v>
      </c>
      <c r="D55" s="39">
        <v>297.94099999999997</v>
      </c>
      <c r="E55" s="45">
        <v>729.47900000000004</v>
      </c>
      <c r="F55" s="39">
        <v>1150</v>
      </c>
      <c r="G55" s="39">
        <v>100</v>
      </c>
      <c r="H55" s="47"/>
      <c r="I55" s="39">
        <v>695</v>
      </c>
      <c r="J55" s="39">
        <v>50</v>
      </c>
      <c r="K55" s="40"/>
      <c r="L55" s="49"/>
      <c r="M55" s="40"/>
      <c r="N55" s="40"/>
      <c r="O55" s="40"/>
      <c r="P55" s="40"/>
      <c r="Q55" s="40"/>
      <c r="R55" s="40"/>
      <c r="S55" s="40"/>
      <c r="T55" s="40"/>
    </row>
    <row r="56" spans="1:20" ht="15.75">
      <c r="A56" s="13">
        <v>42826</v>
      </c>
      <c r="B56" s="48">
        <v>30</v>
      </c>
      <c r="C56" s="39">
        <v>141.29300000000001</v>
      </c>
      <c r="D56" s="39">
        <v>267.99299999999999</v>
      </c>
      <c r="E56" s="45">
        <v>829.71400000000006</v>
      </c>
      <c r="F56" s="39">
        <v>1239</v>
      </c>
      <c r="G56" s="39">
        <v>100</v>
      </c>
      <c r="H56" s="47"/>
      <c r="I56" s="39">
        <v>695</v>
      </c>
      <c r="J56" s="39">
        <v>50</v>
      </c>
      <c r="K56" s="40"/>
      <c r="L56" s="49"/>
      <c r="M56" s="40"/>
      <c r="N56" s="40"/>
      <c r="O56" s="40"/>
      <c r="P56" s="40"/>
      <c r="Q56" s="40"/>
      <c r="R56" s="40"/>
      <c r="S56" s="40"/>
      <c r="T56" s="40"/>
    </row>
    <row r="57" spans="1:20" ht="15.75">
      <c r="A57" s="13">
        <v>42856</v>
      </c>
      <c r="B57" s="48">
        <v>31</v>
      </c>
      <c r="C57" s="39">
        <v>194.20500000000001</v>
      </c>
      <c r="D57" s="39">
        <v>267.46600000000001</v>
      </c>
      <c r="E57" s="45">
        <v>812.32899999999995</v>
      </c>
      <c r="F57" s="39">
        <v>1274</v>
      </c>
      <c r="G57" s="39">
        <v>75</v>
      </c>
      <c r="H57" s="47">
        <v>400</v>
      </c>
      <c r="I57" s="39">
        <v>695</v>
      </c>
      <c r="J57" s="39">
        <v>50</v>
      </c>
      <c r="K57" s="40"/>
      <c r="L57" s="49"/>
      <c r="M57" s="40"/>
      <c r="N57" s="40"/>
      <c r="O57" s="40"/>
      <c r="P57" s="40"/>
      <c r="Q57" s="40"/>
      <c r="R57" s="40"/>
      <c r="S57" s="40"/>
      <c r="T57" s="40"/>
    </row>
    <row r="58" spans="1:20" ht="15.75">
      <c r="A58" s="13">
        <v>42887</v>
      </c>
      <c r="B58" s="48">
        <v>30</v>
      </c>
      <c r="C58" s="39">
        <v>194.20500000000001</v>
      </c>
      <c r="D58" s="39">
        <v>267.46600000000001</v>
      </c>
      <c r="E58" s="45">
        <v>812.32899999999995</v>
      </c>
      <c r="F58" s="39">
        <v>1274</v>
      </c>
      <c r="G58" s="39">
        <v>50</v>
      </c>
      <c r="H58" s="47">
        <v>400</v>
      </c>
      <c r="I58" s="39">
        <v>695</v>
      </c>
      <c r="J58" s="39">
        <v>50</v>
      </c>
      <c r="K58" s="40"/>
      <c r="L58" s="49"/>
      <c r="M58" s="40"/>
      <c r="N58" s="40"/>
      <c r="O58" s="40"/>
      <c r="P58" s="40"/>
      <c r="Q58" s="40"/>
      <c r="R58" s="40"/>
      <c r="S58" s="40"/>
      <c r="T58" s="40"/>
    </row>
    <row r="59" spans="1:20" ht="15.75">
      <c r="A59" s="13">
        <v>42917</v>
      </c>
      <c r="B59" s="48">
        <v>31</v>
      </c>
      <c r="C59" s="39">
        <v>194.20500000000001</v>
      </c>
      <c r="D59" s="39">
        <v>267.46600000000001</v>
      </c>
      <c r="E59" s="45">
        <v>812.32899999999995</v>
      </c>
      <c r="F59" s="39">
        <v>1274</v>
      </c>
      <c r="G59" s="39">
        <v>50</v>
      </c>
      <c r="H59" s="47">
        <v>400</v>
      </c>
      <c r="I59" s="39">
        <v>695</v>
      </c>
      <c r="J59" s="39">
        <v>0</v>
      </c>
      <c r="K59" s="40"/>
      <c r="L59" s="49"/>
      <c r="M59" s="40"/>
      <c r="N59" s="40"/>
      <c r="O59" s="40"/>
      <c r="P59" s="40"/>
      <c r="Q59" s="40"/>
      <c r="R59" s="40"/>
      <c r="S59" s="40"/>
      <c r="T59" s="40"/>
    </row>
    <row r="60" spans="1:20" ht="15.75">
      <c r="A60" s="13">
        <v>42948</v>
      </c>
      <c r="B60" s="48">
        <v>31</v>
      </c>
      <c r="C60" s="39">
        <v>194.20500000000001</v>
      </c>
      <c r="D60" s="39">
        <v>267.46600000000001</v>
      </c>
      <c r="E60" s="45">
        <v>812.32899999999995</v>
      </c>
      <c r="F60" s="39">
        <v>1274</v>
      </c>
      <c r="G60" s="39">
        <v>50</v>
      </c>
      <c r="H60" s="47">
        <v>400</v>
      </c>
      <c r="I60" s="39">
        <v>695</v>
      </c>
      <c r="J60" s="39">
        <v>0</v>
      </c>
      <c r="K60" s="40"/>
      <c r="L60" s="49"/>
      <c r="M60" s="40"/>
      <c r="N60" s="40"/>
      <c r="O60" s="40"/>
      <c r="P60" s="40"/>
      <c r="Q60" s="40"/>
      <c r="R60" s="40"/>
      <c r="S60" s="40"/>
      <c r="T60" s="40"/>
    </row>
    <row r="61" spans="1:20" ht="15.75">
      <c r="A61" s="13">
        <v>42979</v>
      </c>
      <c r="B61" s="48">
        <v>30</v>
      </c>
      <c r="C61" s="39">
        <v>194.20500000000001</v>
      </c>
      <c r="D61" s="39">
        <v>267.46600000000001</v>
      </c>
      <c r="E61" s="45">
        <v>812.32899999999995</v>
      </c>
      <c r="F61" s="39">
        <v>1274</v>
      </c>
      <c r="G61" s="39">
        <v>50</v>
      </c>
      <c r="H61" s="47">
        <v>400</v>
      </c>
      <c r="I61" s="39">
        <v>695</v>
      </c>
      <c r="J61" s="39">
        <v>0</v>
      </c>
      <c r="K61" s="40"/>
      <c r="L61" s="49"/>
      <c r="M61" s="40"/>
      <c r="N61" s="40"/>
      <c r="O61" s="40"/>
      <c r="P61" s="40"/>
      <c r="Q61" s="40"/>
      <c r="R61" s="40"/>
      <c r="S61" s="40"/>
      <c r="T61" s="40"/>
    </row>
    <row r="62" spans="1:20" ht="15.75">
      <c r="A62" s="13">
        <v>43009</v>
      </c>
      <c r="B62" s="48">
        <v>31</v>
      </c>
      <c r="C62" s="39">
        <v>131.881</v>
      </c>
      <c r="D62" s="39">
        <v>277.16699999999997</v>
      </c>
      <c r="E62" s="45">
        <v>829.952</v>
      </c>
      <c r="F62" s="39">
        <v>1239</v>
      </c>
      <c r="G62" s="39">
        <v>75</v>
      </c>
      <c r="H62" s="47">
        <v>400</v>
      </c>
      <c r="I62" s="39">
        <v>695</v>
      </c>
      <c r="J62" s="39">
        <v>0</v>
      </c>
      <c r="K62" s="40"/>
      <c r="L62" s="49"/>
      <c r="M62" s="40"/>
      <c r="N62" s="40"/>
      <c r="O62" s="40"/>
      <c r="P62" s="40"/>
      <c r="Q62" s="40"/>
      <c r="R62" s="40"/>
      <c r="S62" s="40"/>
      <c r="T62" s="40"/>
    </row>
    <row r="63" spans="1:20" ht="15.75">
      <c r="A63" s="13">
        <v>43040</v>
      </c>
      <c r="B63" s="48">
        <v>30</v>
      </c>
      <c r="C63" s="39">
        <v>122.58</v>
      </c>
      <c r="D63" s="39">
        <v>297.94099999999997</v>
      </c>
      <c r="E63" s="45">
        <v>729.47900000000004</v>
      </c>
      <c r="F63" s="39">
        <v>1150</v>
      </c>
      <c r="G63" s="39">
        <v>100</v>
      </c>
      <c r="H63" s="47">
        <v>400</v>
      </c>
      <c r="I63" s="39">
        <v>695</v>
      </c>
      <c r="J63" s="39">
        <v>50</v>
      </c>
      <c r="K63" s="40"/>
      <c r="L63" s="49"/>
      <c r="M63" s="40"/>
      <c r="N63" s="40"/>
      <c r="O63" s="40"/>
      <c r="P63" s="40"/>
      <c r="Q63" s="40"/>
      <c r="R63" s="40"/>
      <c r="S63" s="40"/>
      <c r="T63" s="40"/>
    </row>
    <row r="64" spans="1:20" ht="15.75">
      <c r="A64" s="13">
        <v>43070</v>
      </c>
      <c r="B64" s="48">
        <v>31</v>
      </c>
      <c r="C64" s="39">
        <v>122.58</v>
      </c>
      <c r="D64" s="39">
        <v>297.94099999999997</v>
      </c>
      <c r="E64" s="45">
        <v>729.47900000000004</v>
      </c>
      <c r="F64" s="39">
        <v>1150</v>
      </c>
      <c r="G64" s="39">
        <v>100</v>
      </c>
      <c r="H64" s="47">
        <v>400</v>
      </c>
      <c r="I64" s="39">
        <v>695</v>
      </c>
      <c r="J64" s="39">
        <v>50</v>
      </c>
      <c r="K64" s="40"/>
      <c r="L64" s="49"/>
      <c r="M64" s="40"/>
      <c r="N64" s="40"/>
      <c r="O64" s="40"/>
      <c r="P64" s="40"/>
      <c r="Q64" s="40"/>
      <c r="R64" s="40"/>
      <c r="S64" s="40"/>
      <c r="T64" s="40"/>
    </row>
    <row r="65" spans="1:20" ht="15.75">
      <c r="A65" s="13">
        <v>43101</v>
      </c>
      <c r="B65" s="48">
        <v>31</v>
      </c>
      <c r="C65" s="39">
        <v>122.58</v>
      </c>
      <c r="D65" s="39">
        <v>297.94099999999997</v>
      </c>
      <c r="E65" s="45">
        <v>729.47900000000004</v>
      </c>
      <c r="F65" s="39">
        <v>1150</v>
      </c>
      <c r="G65" s="39">
        <v>100</v>
      </c>
      <c r="H65" s="47">
        <v>400</v>
      </c>
      <c r="I65" s="39">
        <v>695</v>
      </c>
      <c r="J65" s="39">
        <v>50</v>
      </c>
      <c r="K65" s="40"/>
      <c r="L65" s="49"/>
      <c r="M65" s="40"/>
      <c r="N65" s="40"/>
      <c r="O65" s="40"/>
      <c r="P65" s="40"/>
      <c r="Q65" s="40"/>
      <c r="R65" s="40"/>
      <c r="S65" s="40"/>
      <c r="T65" s="40"/>
    </row>
    <row r="66" spans="1:20" ht="15.75">
      <c r="A66" s="13">
        <v>43132</v>
      </c>
      <c r="B66" s="48">
        <v>28</v>
      </c>
      <c r="C66" s="39">
        <v>122.58</v>
      </c>
      <c r="D66" s="39">
        <v>297.94099999999997</v>
      </c>
      <c r="E66" s="45">
        <v>729.47900000000004</v>
      </c>
      <c r="F66" s="39">
        <v>1150</v>
      </c>
      <c r="G66" s="39">
        <v>100</v>
      </c>
      <c r="H66" s="47">
        <v>400</v>
      </c>
      <c r="I66" s="39">
        <v>695</v>
      </c>
      <c r="J66" s="39">
        <v>50</v>
      </c>
      <c r="K66" s="40"/>
      <c r="L66" s="49"/>
      <c r="M66" s="40"/>
      <c r="N66" s="40"/>
      <c r="O66" s="40"/>
      <c r="P66" s="40"/>
      <c r="Q66" s="40"/>
      <c r="R66" s="40"/>
      <c r="S66" s="40"/>
      <c r="T66" s="40"/>
    </row>
    <row r="67" spans="1:20" ht="15.75">
      <c r="A67" s="13">
        <v>43160</v>
      </c>
      <c r="B67" s="48">
        <v>31</v>
      </c>
      <c r="C67" s="39">
        <v>122.58</v>
      </c>
      <c r="D67" s="39">
        <v>297.94099999999997</v>
      </c>
      <c r="E67" s="45">
        <v>729.47900000000004</v>
      </c>
      <c r="F67" s="39">
        <v>1150</v>
      </c>
      <c r="G67" s="39">
        <v>100</v>
      </c>
      <c r="H67" s="47">
        <v>400</v>
      </c>
      <c r="I67" s="39">
        <v>695</v>
      </c>
      <c r="J67" s="39">
        <v>50</v>
      </c>
      <c r="K67" s="40"/>
      <c r="L67" s="49"/>
      <c r="M67" s="40"/>
      <c r="N67" s="40"/>
      <c r="O67" s="40"/>
      <c r="P67" s="40"/>
      <c r="Q67" s="40"/>
      <c r="R67" s="40"/>
      <c r="S67" s="40"/>
      <c r="T67" s="40"/>
    </row>
    <row r="68" spans="1:20" ht="15.75">
      <c r="A68" s="13">
        <v>43191</v>
      </c>
      <c r="B68" s="48">
        <v>30</v>
      </c>
      <c r="C68" s="39">
        <v>141.29300000000001</v>
      </c>
      <c r="D68" s="39">
        <v>267.99299999999999</v>
      </c>
      <c r="E68" s="45">
        <v>829.71400000000006</v>
      </c>
      <c r="F68" s="39">
        <v>1239</v>
      </c>
      <c r="G68" s="39">
        <v>100</v>
      </c>
      <c r="H68" s="47">
        <v>400</v>
      </c>
      <c r="I68" s="39">
        <v>695</v>
      </c>
      <c r="J68" s="39">
        <v>50</v>
      </c>
      <c r="K68" s="40"/>
      <c r="L68" s="49"/>
      <c r="M68" s="40"/>
      <c r="N68" s="40"/>
      <c r="O68" s="40"/>
      <c r="P68" s="40"/>
      <c r="Q68" s="40"/>
      <c r="R68" s="40"/>
      <c r="S68" s="40"/>
      <c r="T68" s="40"/>
    </row>
    <row r="69" spans="1:20" ht="15.75">
      <c r="A69" s="13">
        <v>43221</v>
      </c>
      <c r="B69" s="48">
        <v>31</v>
      </c>
      <c r="C69" s="39">
        <v>194.20500000000001</v>
      </c>
      <c r="D69" s="39">
        <v>267.46600000000001</v>
      </c>
      <c r="E69" s="45">
        <v>812.32899999999995</v>
      </c>
      <c r="F69" s="39">
        <v>1274</v>
      </c>
      <c r="G69" s="39">
        <v>75</v>
      </c>
      <c r="H69" s="47">
        <v>400</v>
      </c>
      <c r="I69" s="39">
        <v>695</v>
      </c>
      <c r="J69" s="39">
        <v>50</v>
      </c>
      <c r="K69" s="40"/>
      <c r="L69" s="49"/>
      <c r="M69" s="40"/>
      <c r="N69" s="40"/>
      <c r="O69" s="40"/>
      <c r="P69" s="40"/>
      <c r="Q69" s="40"/>
      <c r="R69" s="40"/>
      <c r="S69" s="40"/>
      <c r="T69" s="40"/>
    </row>
    <row r="70" spans="1:20" ht="15.75">
      <c r="A70" s="13">
        <v>43252</v>
      </c>
      <c r="B70" s="48">
        <v>30</v>
      </c>
      <c r="C70" s="39">
        <v>194.20500000000001</v>
      </c>
      <c r="D70" s="39">
        <v>267.46600000000001</v>
      </c>
      <c r="E70" s="45">
        <v>812.32899999999995</v>
      </c>
      <c r="F70" s="39">
        <v>1274</v>
      </c>
      <c r="G70" s="39">
        <v>50</v>
      </c>
      <c r="H70" s="47">
        <v>400</v>
      </c>
      <c r="I70" s="39">
        <v>695</v>
      </c>
      <c r="J70" s="39">
        <v>50</v>
      </c>
      <c r="K70" s="40"/>
      <c r="L70" s="49"/>
      <c r="M70" s="40"/>
      <c r="N70" s="40"/>
      <c r="O70" s="40"/>
      <c r="P70" s="40"/>
      <c r="Q70" s="40"/>
      <c r="R70" s="40"/>
      <c r="S70" s="40"/>
      <c r="T70" s="40"/>
    </row>
    <row r="71" spans="1:20" ht="15.75">
      <c r="A71" s="13">
        <v>43282</v>
      </c>
      <c r="B71" s="48">
        <v>31</v>
      </c>
      <c r="C71" s="39">
        <v>194.20500000000001</v>
      </c>
      <c r="D71" s="39">
        <v>267.46600000000001</v>
      </c>
      <c r="E71" s="45">
        <v>812.32899999999995</v>
      </c>
      <c r="F71" s="39">
        <v>1274</v>
      </c>
      <c r="G71" s="39">
        <v>50</v>
      </c>
      <c r="H71" s="47">
        <v>400</v>
      </c>
      <c r="I71" s="39">
        <v>695</v>
      </c>
      <c r="J71" s="39">
        <v>0</v>
      </c>
      <c r="K71" s="40"/>
      <c r="L71" s="49"/>
      <c r="M71" s="40"/>
      <c r="N71" s="40"/>
      <c r="O71" s="40"/>
      <c r="P71" s="40"/>
      <c r="Q71" s="40"/>
      <c r="R71" s="40"/>
      <c r="S71" s="40"/>
      <c r="T71" s="40"/>
    </row>
    <row r="72" spans="1:20" ht="15.75">
      <c r="A72" s="13">
        <v>43313</v>
      </c>
      <c r="B72" s="48">
        <v>31</v>
      </c>
      <c r="C72" s="39">
        <v>194.20500000000001</v>
      </c>
      <c r="D72" s="39">
        <v>267.46600000000001</v>
      </c>
      <c r="E72" s="45">
        <v>812.32899999999995</v>
      </c>
      <c r="F72" s="39">
        <v>1274</v>
      </c>
      <c r="G72" s="39">
        <v>50</v>
      </c>
      <c r="H72" s="47">
        <v>400</v>
      </c>
      <c r="I72" s="39">
        <v>695</v>
      </c>
      <c r="J72" s="39">
        <v>0</v>
      </c>
      <c r="K72" s="40"/>
      <c r="L72" s="49"/>
      <c r="M72" s="40"/>
      <c r="N72" s="40"/>
      <c r="O72" s="40"/>
      <c r="P72" s="40"/>
      <c r="Q72" s="40"/>
      <c r="R72" s="40"/>
      <c r="S72" s="40"/>
      <c r="T72" s="40"/>
    </row>
    <row r="73" spans="1:20" ht="15.75">
      <c r="A73" s="13">
        <v>43344</v>
      </c>
      <c r="B73" s="48">
        <v>30</v>
      </c>
      <c r="C73" s="39">
        <v>194.20500000000001</v>
      </c>
      <c r="D73" s="39">
        <v>267.46600000000001</v>
      </c>
      <c r="E73" s="45">
        <v>812.32899999999995</v>
      </c>
      <c r="F73" s="39">
        <v>1274</v>
      </c>
      <c r="G73" s="39">
        <v>50</v>
      </c>
      <c r="H73" s="47">
        <v>400</v>
      </c>
      <c r="I73" s="39">
        <v>695</v>
      </c>
      <c r="J73" s="39">
        <v>0</v>
      </c>
      <c r="K73" s="40"/>
      <c r="L73" s="49"/>
      <c r="M73" s="40"/>
      <c r="N73" s="40"/>
      <c r="O73" s="40"/>
      <c r="P73" s="40"/>
      <c r="Q73" s="40"/>
      <c r="R73" s="40"/>
      <c r="S73" s="40"/>
      <c r="T73" s="40"/>
    </row>
    <row r="74" spans="1:20" ht="15.75">
      <c r="A74" s="13">
        <v>43374</v>
      </c>
      <c r="B74" s="48">
        <v>31</v>
      </c>
      <c r="C74" s="39">
        <v>131.881</v>
      </c>
      <c r="D74" s="39">
        <v>277.16699999999997</v>
      </c>
      <c r="E74" s="45">
        <v>829.952</v>
      </c>
      <c r="F74" s="39">
        <v>1239</v>
      </c>
      <c r="G74" s="39">
        <v>75</v>
      </c>
      <c r="H74" s="47">
        <v>400</v>
      </c>
      <c r="I74" s="39">
        <v>695</v>
      </c>
      <c r="J74" s="39">
        <v>0</v>
      </c>
      <c r="K74" s="40"/>
      <c r="L74" s="49"/>
      <c r="M74" s="40"/>
      <c r="N74" s="40"/>
      <c r="O74" s="40"/>
      <c r="P74" s="40"/>
      <c r="Q74" s="40"/>
      <c r="R74" s="40"/>
      <c r="S74" s="40"/>
      <c r="T74" s="40"/>
    </row>
    <row r="75" spans="1:20" ht="15.75">
      <c r="A75" s="13">
        <v>43405</v>
      </c>
      <c r="B75" s="48">
        <v>30</v>
      </c>
      <c r="C75" s="39">
        <v>122.58</v>
      </c>
      <c r="D75" s="39">
        <v>297.94099999999997</v>
      </c>
      <c r="E75" s="45">
        <v>729.47900000000004</v>
      </c>
      <c r="F75" s="39">
        <v>1150</v>
      </c>
      <c r="G75" s="39">
        <v>100</v>
      </c>
      <c r="H75" s="47">
        <v>400</v>
      </c>
      <c r="I75" s="39">
        <v>695</v>
      </c>
      <c r="J75" s="39">
        <v>50</v>
      </c>
      <c r="K75" s="40"/>
      <c r="L75" s="49"/>
      <c r="M75" s="40"/>
      <c r="N75" s="40"/>
      <c r="O75" s="40"/>
      <c r="P75" s="40"/>
      <c r="Q75" s="40"/>
      <c r="R75" s="40"/>
      <c r="S75" s="40"/>
      <c r="T75" s="40"/>
    </row>
    <row r="76" spans="1:20" ht="15.75">
      <c r="A76" s="13">
        <v>43435</v>
      </c>
      <c r="B76" s="48">
        <v>31</v>
      </c>
      <c r="C76" s="39">
        <v>122.58</v>
      </c>
      <c r="D76" s="39">
        <v>297.94099999999997</v>
      </c>
      <c r="E76" s="45">
        <v>729.47900000000004</v>
      </c>
      <c r="F76" s="39">
        <v>1150</v>
      </c>
      <c r="G76" s="39">
        <v>100</v>
      </c>
      <c r="H76" s="47">
        <v>400</v>
      </c>
      <c r="I76" s="39">
        <v>695</v>
      </c>
      <c r="J76" s="39">
        <v>50</v>
      </c>
      <c r="K76" s="40"/>
      <c r="L76" s="49"/>
      <c r="M76" s="40"/>
      <c r="N76" s="40"/>
      <c r="O76" s="40"/>
      <c r="P76" s="40"/>
      <c r="Q76" s="40"/>
      <c r="R76" s="40"/>
      <c r="S76" s="40"/>
      <c r="T76" s="40"/>
    </row>
    <row r="77" spans="1:20" ht="15.75">
      <c r="A77" s="13">
        <v>43466</v>
      </c>
      <c r="B77" s="48">
        <v>31</v>
      </c>
      <c r="C77" s="39">
        <v>122.58</v>
      </c>
      <c r="D77" s="39">
        <v>297.94099999999997</v>
      </c>
      <c r="E77" s="45">
        <v>729.47900000000004</v>
      </c>
      <c r="F77" s="39">
        <v>1150</v>
      </c>
      <c r="G77" s="39">
        <v>100</v>
      </c>
      <c r="H77" s="47">
        <v>400</v>
      </c>
      <c r="I77" s="39">
        <v>695</v>
      </c>
      <c r="J77" s="39">
        <v>50</v>
      </c>
      <c r="K77" s="40"/>
      <c r="L77" s="40"/>
      <c r="M77" s="40"/>
      <c r="N77" s="40"/>
      <c r="O77" s="40"/>
      <c r="P77" s="40"/>
      <c r="Q77" s="40"/>
      <c r="R77" s="40"/>
      <c r="S77" s="40"/>
      <c r="T77" s="40"/>
    </row>
    <row r="78" spans="1:20" ht="15.75">
      <c r="A78" s="13">
        <v>43497</v>
      </c>
      <c r="B78" s="48">
        <v>28</v>
      </c>
      <c r="C78" s="39">
        <v>122.58</v>
      </c>
      <c r="D78" s="39">
        <v>297.94099999999997</v>
      </c>
      <c r="E78" s="45">
        <v>729.47900000000004</v>
      </c>
      <c r="F78" s="39">
        <v>1150</v>
      </c>
      <c r="G78" s="39">
        <v>100</v>
      </c>
      <c r="H78" s="47">
        <v>400</v>
      </c>
      <c r="I78" s="39">
        <v>695</v>
      </c>
      <c r="J78" s="39">
        <v>50</v>
      </c>
      <c r="K78" s="40"/>
      <c r="L78" s="40"/>
      <c r="M78" s="40"/>
      <c r="N78" s="40"/>
      <c r="O78" s="40"/>
      <c r="P78" s="40"/>
      <c r="Q78" s="40"/>
      <c r="R78" s="40"/>
      <c r="S78" s="40"/>
      <c r="T78" s="40"/>
    </row>
    <row r="79" spans="1:20" ht="15.75">
      <c r="A79" s="13">
        <v>43525</v>
      </c>
      <c r="B79" s="48">
        <v>31</v>
      </c>
      <c r="C79" s="39">
        <v>122.58</v>
      </c>
      <c r="D79" s="39">
        <v>297.94099999999997</v>
      </c>
      <c r="E79" s="45">
        <v>729.47900000000004</v>
      </c>
      <c r="F79" s="39">
        <v>1150</v>
      </c>
      <c r="G79" s="39">
        <v>100</v>
      </c>
      <c r="H79" s="47">
        <v>400</v>
      </c>
      <c r="I79" s="39">
        <v>695</v>
      </c>
      <c r="J79" s="39">
        <v>50</v>
      </c>
      <c r="K79" s="40"/>
      <c r="L79" s="40"/>
      <c r="M79" s="40"/>
      <c r="N79" s="40"/>
      <c r="O79" s="40"/>
      <c r="P79" s="40"/>
      <c r="Q79" s="40"/>
      <c r="R79" s="40"/>
      <c r="S79" s="40"/>
      <c r="T79" s="40"/>
    </row>
    <row r="80" spans="1:20" ht="15.75">
      <c r="A80" s="13">
        <v>43556</v>
      </c>
      <c r="B80" s="48">
        <v>30</v>
      </c>
      <c r="C80" s="39">
        <v>141.29300000000001</v>
      </c>
      <c r="D80" s="39">
        <v>267.99299999999999</v>
      </c>
      <c r="E80" s="45">
        <v>829.71400000000006</v>
      </c>
      <c r="F80" s="39">
        <v>1239</v>
      </c>
      <c r="G80" s="39">
        <v>100</v>
      </c>
      <c r="H80" s="47">
        <v>400</v>
      </c>
      <c r="I80" s="39">
        <v>695</v>
      </c>
      <c r="J80" s="39">
        <v>50</v>
      </c>
      <c r="K80" s="40"/>
      <c r="L80" s="40"/>
      <c r="M80" s="40"/>
      <c r="N80" s="40"/>
      <c r="O80" s="40"/>
      <c r="P80" s="40"/>
      <c r="Q80" s="40"/>
      <c r="R80" s="40"/>
      <c r="S80" s="40"/>
      <c r="T80" s="40"/>
    </row>
    <row r="81" spans="1:20" ht="15.75">
      <c r="A81" s="13">
        <v>43586</v>
      </c>
      <c r="B81" s="48">
        <v>31</v>
      </c>
      <c r="C81" s="39">
        <v>194.20500000000001</v>
      </c>
      <c r="D81" s="39">
        <v>267.46600000000001</v>
      </c>
      <c r="E81" s="45">
        <v>812.32899999999995</v>
      </c>
      <c r="F81" s="39">
        <v>1274</v>
      </c>
      <c r="G81" s="39">
        <v>75</v>
      </c>
      <c r="H81" s="47">
        <v>400</v>
      </c>
      <c r="I81" s="39">
        <v>695</v>
      </c>
      <c r="J81" s="39">
        <v>50</v>
      </c>
      <c r="K81" s="40"/>
      <c r="L81" s="40"/>
      <c r="M81" s="40"/>
      <c r="N81" s="40"/>
      <c r="O81" s="40"/>
      <c r="P81" s="40"/>
      <c r="Q81" s="40"/>
      <c r="R81" s="40"/>
      <c r="S81" s="40"/>
      <c r="T81" s="40"/>
    </row>
    <row r="82" spans="1:20" ht="15.75">
      <c r="A82" s="13">
        <v>43617</v>
      </c>
      <c r="B82" s="48">
        <v>30</v>
      </c>
      <c r="C82" s="39">
        <v>194.20500000000001</v>
      </c>
      <c r="D82" s="39">
        <v>267.46600000000001</v>
      </c>
      <c r="E82" s="45">
        <v>812.32899999999995</v>
      </c>
      <c r="F82" s="39">
        <v>1274</v>
      </c>
      <c r="G82" s="39">
        <v>50</v>
      </c>
      <c r="H82" s="47">
        <v>400</v>
      </c>
      <c r="I82" s="39">
        <v>695</v>
      </c>
      <c r="J82" s="39">
        <v>50</v>
      </c>
      <c r="K82" s="40"/>
      <c r="L82" s="40"/>
      <c r="M82" s="40"/>
      <c r="N82" s="40"/>
      <c r="O82" s="40"/>
      <c r="P82" s="40"/>
      <c r="Q82" s="40"/>
      <c r="R82" s="40"/>
      <c r="S82" s="40"/>
      <c r="T82" s="40"/>
    </row>
    <row r="83" spans="1:20" ht="15.75">
      <c r="A83" s="13">
        <v>43647</v>
      </c>
      <c r="B83" s="48">
        <v>31</v>
      </c>
      <c r="C83" s="39">
        <v>194.20500000000001</v>
      </c>
      <c r="D83" s="39">
        <v>267.46600000000001</v>
      </c>
      <c r="E83" s="45">
        <v>812.32899999999995</v>
      </c>
      <c r="F83" s="39">
        <v>1274</v>
      </c>
      <c r="G83" s="39">
        <v>50</v>
      </c>
      <c r="H83" s="47">
        <v>400</v>
      </c>
      <c r="I83" s="39">
        <v>695</v>
      </c>
      <c r="J83" s="39">
        <v>0</v>
      </c>
      <c r="K83" s="40"/>
      <c r="L83" s="40"/>
      <c r="M83" s="40"/>
      <c r="N83" s="40"/>
      <c r="O83" s="40"/>
      <c r="P83" s="40"/>
      <c r="Q83" s="40"/>
      <c r="R83" s="40"/>
      <c r="S83" s="40"/>
      <c r="T83" s="40"/>
    </row>
    <row r="84" spans="1:20" ht="15.75">
      <c r="A84" s="13">
        <v>43678</v>
      </c>
      <c r="B84" s="48">
        <v>31</v>
      </c>
      <c r="C84" s="39">
        <v>194.20500000000001</v>
      </c>
      <c r="D84" s="39">
        <v>267.46600000000001</v>
      </c>
      <c r="E84" s="45">
        <v>812.32899999999995</v>
      </c>
      <c r="F84" s="39">
        <v>1274</v>
      </c>
      <c r="G84" s="39">
        <v>50</v>
      </c>
      <c r="H84" s="47">
        <v>400</v>
      </c>
      <c r="I84" s="39">
        <v>695</v>
      </c>
      <c r="J84" s="39">
        <v>0</v>
      </c>
      <c r="K84" s="40"/>
      <c r="L84" s="40"/>
      <c r="M84" s="40"/>
      <c r="N84" s="40"/>
      <c r="O84" s="40"/>
      <c r="P84" s="40"/>
      <c r="Q84" s="40"/>
      <c r="R84" s="40"/>
      <c r="S84" s="40"/>
      <c r="T84" s="40"/>
    </row>
    <row r="85" spans="1:20" ht="15.75">
      <c r="A85" s="13">
        <v>43709</v>
      </c>
      <c r="B85" s="48">
        <v>30</v>
      </c>
      <c r="C85" s="39">
        <v>194.20500000000001</v>
      </c>
      <c r="D85" s="39">
        <v>267.46600000000001</v>
      </c>
      <c r="E85" s="45">
        <v>812.32899999999995</v>
      </c>
      <c r="F85" s="39">
        <v>1274</v>
      </c>
      <c r="G85" s="39">
        <v>50</v>
      </c>
      <c r="H85" s="47">
        <v>400</v>
      </c>
      <c r="I85" s="39">
        <v>695</v>
      </c>
      <c r="J85" s="39">
        <v>0</v>
      </c>
      <c r="K85" s="40"/>
      <c r="L85" s="40"/>
      <c r="M85" s="40"/>
      <c r="N85" s="40"/>
      <c r="O85" s="40"/>
      <c r="P85" s="40"/>
      <c r="Q85" s="40"/>
      <c r="R85" s="40"/>
      <c r="S85" s="40"/>
      <c r="T85" s="40"/>
    </row>
    <row r="86" spans="1:20" ht="15.75">
      <c r="A86" s="13">
        <v>43739</v>
      </c>
      <c r="B86" s="48">
        <v>31</v>
      </c>
      <c r="C86" s="39">
        <v>131.881</v>
      </c>
      <c r="D86" s="39">
        <v>277.16699999999997</v>
      </c>
      <c r="E86" s="45">
        <v>829.952</v>
      </c>
      <c r="F86" s="39">
        <v>1239</v>
      </c>
      <c r="G86" s="39">
        <v>75</v>
      </c>
      <c r="H86" s="47">
        <v>400</v>
      </c>
      <c r="I86" s="39">
        <v>695</v>
      </c>
      <c r="J86" s="39">
        <v>0</v>
      </c>
      <c r="K86" s="40"/>
      <c r="L86" s="40"/>
      <c r="M86" s="40"/>
      <c r="N86" s="40"/>
      <c r="O86" s="40"/>
      <c r="P86" s="40"/>
      <c r="Q86" s="40"/>
      <c r="R86" s="40"/>
      <c r="S86" s="40"/>
      <c r="T86" s="40"/>
    </row>
    <row r="87" spans="1:20" ht="15.75">
      <c r="A87" s="13">
        <v>43770</v>
      </c>
      <c r="B87" s="48">
        <v>30</v>
      </c>
      <c r="C87" s="39">
        <v>122.58</v>
      </c>
      <c r="D87" s="39">
        <v>297.94099999999997</v>
      </c>
      <c r="E87" s="45">
        <v>729.47900000000004</v>
      </c>
      <c r="F87" s="39">
        <v>1150</v>
      </c>
      <c r="G87" s="39">
        <v>100</v>
      </c>
      <c r="H87" s="47">
        <v>400</v>
      </c>
      <c r="I87" s="39">
        <v>695</v>
      </c>
      <c r="J87" s="39">
        <v>50</v>
      </c>
      <c r="K87" s="40"/>
      <c r="L87" s="40"/>
      <c r="M87" s="40"/>
      <c r="N87" s="40"/>
      <c r="O87" s="40"/>
      <c r="P87" s="40"/>
      <c r="Q87" s="40"/>
      <c r="R87" s="40"/>
      <c r="S87" s="40"/>
      <c r="T87" s="40"/>
    </row>
    <row r="88" spans="1:20" ht="15.75">
      <c r="A88" s="13">
        <v>43800</v>
      </c>
      <c r="B88" s="48">
        <v>31</v>
      </c>
      <c r="C88" s="39">
        <v>122.58</v>
      </c>
      <c r="D88" s="39">
        <v>297.94099999999997</v>
      </c>
      <c r="E88" s="45">
        <v>729.47900000000004</v>
      </c>
      <c r="F88" s="39">
        <v>1150</v>
      </c>
      <c r="G88" s="39">
        <v>100</v>
      </c>
      <c r="H88" s="47">
        <v>400</v>
      </c>
      <c r="I88" s="39">
        <v>695</v>
      </c>
      <c r="J88" s="39">
        <v>50</v>
      </c>
      <c r="K88" s="40"/>
      <c r="L88" s="40"/>
      <c r="M88" s="40"/>
      <c r="N88" s="40"/>
      <c r="O88" s="40"/>
      <c r="P88" s="40"/>
      <c r="Q88" s="40"/>
      <c r="R88" s="40"/>
      <c r="S88" s="40"/>
      <c r="T88" s="40"/>
    </row>
    <row r="89" spans="1:20" ht="15.75">
      <c r="A89" s="13">
        <v>43831</v>
      </c>
      <c r="B89" s="48">
        <v>31</v>
      </c>
      <c r="C89" s="39">
        <v>122.58</v>
      </c>
      <c r="D89" s="39">
        <v>297.94099999999997</v>
      </c>
      <c r="E89" s="45">
        <v>729.47900000000004</v>
      </c>
      <c r="F89" s="39">
        <v>1150</v>
      </c>
      <c r="G89" s="39">
        <v>100</v>
      </c>
      <c r="H89" s="47">
        <v>400</v>
      </c>
      <c r="I89" s="39">
        <v>695</v>
      </c>
      <c r="J89" s="39">
        <v>50</v>
      </c>
      <c r="K89" s="40"/>
      <c r="L89" s="40"/>
      <c r="M89" s="40"/>
      <c r="N89" s="40"/>
      <c r="O89" s="40"/>
      <c r="P89" s="40"/>
      <c r="Q89" s="40"/>
      <c r="R89" s="40"/>
      <c r="S89" s="40"/>
      <c r="T89" s="40"/>
    </row>
    <row r="90" spans="1:20" ht="15.75">
      <c r="A90" s="13">
        <v>43862</v>
      </c>
      <c r="B90" s="48">
        <v>29</v>
      </c>
      <c r="C90" s="39">
        <v>122.58</v>
      </c>
      <c r="D90" s="39">
        <v>297.94099999999997</v>
      </c>
      <c r="E90" s="45">
        <v>729.47900000000004</v>
      </c>
      <c r="F90" s="39">
        <v>1150</v>
      </c>
      <c r="G90" s="39">
        <v>100</v>
      </c>
      <c r="H90" s="47">
        <v>400</v>
      </c>
      <c r="I90" s="39">
        <v>695</v>
      </c>
      <c r="J90" s="39">
        <v>50</v>
      </c>
      <c r="K90" s="40"/>
      <c r="L90" s="40"/>
      <c r="M90" s="40"/>
      <c r="N90" s="40"/>
      <c r="O90" s="40"/>
      <c r="P90" s="40"/>
      <c r="Q90" s="40"/>
      <c r="R90" s="40"/>
      <c r="S90" s="40"/>
      <c r="T90" s="40"/>
    </row>
    <row r="91" spans="1:20" ht="15.75">
      <c r="A91" s="13">
        <v>43891</v>
      </c>
      <c r="B91" s="48">
        <v>31</v>
      </c>
      <c r="C91" s="39">
        <v>122.58</v>
      </c>
      <c r="D91" s="39">
        <v>297.94099999999997</v>
      </c>
      <c r="E91" s="45">
        <v>729.47900000000004</v>
      </c>
      <c r="F91" s="39">
        <v>1150</v>
      </c>
      <c r="G91" s="39">
        <v>100</v>
      </c>
      <c r="H91" s="47">
        <v>400</v>
      </c>
      <c r="I91" s="39">
        <v>695</v>
      </c>
      <c r="J91" s="39">
        <v>50</v>
      </c>
      <c r="K91" s="40"/>
      <c r="L91" s="40"/>
      <c r="M91" s="40"/>
      <c r="N91" s="40"/>
      <c r="O91" s="40"/>
      <c r="P91" s="40"/>
      <c r="Q91" s="40"/>
      <c r="R91" s="40"/>
      <c r="S91" s="40"/>
      <c r="T91" s="40"/>
    </row>
    <row r="92" spans="1:20" ht="15.75">
      <c r="A92" s="13">
        <v>43922</v>
      </c>
      <c r="B92" s="48">
        <v>30</v>
      </c>
      <c r="C92" s="39">
        <v>141.29300000000001</v>
      </c>
      <c r="D92" s="39">
        <v>267.99299999999999</v>
      </c>
      <c r="E92" s="45">
        <v>829.71400000000006</v>
      </c>
      <c r="F92" s="39">
        <v>1239</v>
      </c>
      <c r="G92" s="39">
        <v>100</v>
      </c>
      <c r="H92" s="47">
        <v>400</v>
      </c>
      <c r="I92" s="39">
        <v>695</v>
      </c>
      <c r="J92" s="39">
        <v>50</v>
      </c>
      <c r="K92" s="40"/>
      <c r="L92" s="40"/>
      <c r="M92" s="40"/>
      <c r="N92" s="40"/>
      <c r="O92" s="40"/>
      <c r="P92" s="40"/>
      <c r="Q92" s="40"/>
      <c r="R92" s="40"/>
      <c r="S92" s="40"/>
      <c r="T92" s="40"/>
    </row>
    <row r="93" spans="1:20" ht="15.75">
      <c r="A93" s="13">
        <v>43952</v>
      </c>
      <c r="B93" s="48">
        <v>31</v>
      </c>
      <c r="C93" s="39">
        <v>194.20500000000001</v>
      </c>
      <c r="D93" s="39">
        <v>267.46600000000001</v>
      </c>
      <c r="E93" s="45">
        <v>812.32899999999995</v>
      </c>
      <c r="F93" s="39">
        <v>1274</v>
      </c>
      <c r="G93" s="39">
        <v>75</v>
      </c>
      <c r="H93" s="47">
        <v>600</v>
      </c>
      <c r="I93" s="39">
        <v>695</v>
      </c>
      <c r="J93" s="39">
        <v>50</v>
      </c>
      <c r="K93" s="40"/>
      <c r="L93" s="40"/>
      <c r="M93" s="40"/>
      <c r="N93" s="40"/>
      <c r="O93" s="40"/>
      <c r="P93" s="40"/>
      <c r="Q93" s="40"/>
      <c r="R93" s="40"/>
      <c r="S93" s="40"/>
      <c r="T93" s="40"/>
    </row>
    <row r="94" spans="1:20" ht="15.75">
      <c r="A94" s="13">
        <v>43983</v>
      </c>
      <c r="B94" s="48">
        <v>30</v>
      </c>
      <c r="C94" s="39">
        <v>194.20500000000001</v>
      </c>
      <c r="D94" s="39">
        <v>267.46600000000001</v>
      </c>
      <c r="E94" s="45">
        <v>812.32899999999995</v>
      </c>
      <c r="F94" s="39">
        <v>1274</v>
      </c>
      <c r="G94" s="39">
        <v>50</v>
      </c>
      <c r="H94" s="47">
        <v>600</v>
      </c>
      <c r="I94" s="39">
        <v>695</v>
      </c>
      <c r="J94" s="39">
        <v>50</v>
      </c>
      <c r="K94" s="40"/>
      <c r="L94" s="40"/>
      <c r="M94" s="40"/>
      <c r="N94" s="40"/>
      <c r="O94" s="40"/>
      <c r="P94" s="40"/>
      <c r="Q94" s="40"/>
      <c r="R94" s="40"/>
      <c r="S94" s="40"/>
      <c r="T94" s="40"/>
    </row>
    <row r="95" spans="1:20" ht="15.75">
      <c r="A95" s="13">
        <v>44013</v>
      </c>
      <c r="B95" s="48">
        <v>31</v>
      </c>
      <c r="C95" s="39">
        <v>194.20500000000001</v>
      </c>
      <c r="D95" s="39">
        <v>267.46600000000001</v>
      </c>
      <c r="E95" s="45">
        <v>812.32899999999995</v>
      </c>
      <c r="F95" s="39">
        <v>1274</v>
      </c>
      <c r="G95" s="39">
        <v>50</v>
      </c>
      <c r="H95" s="47">
        <v>600</v>
      </c>
      <c r="I95" s="39">
        <v>695</v>
      </c>
      <c r="J95" s="39">
        <v>0</v>
      </c>
      <c r="K95" s="40"/>
      <c r="L95" s="40"/>
      <c r="M95" s="40"/>
      <c r="N95" s="40"/>
      <c r="O95" s="40"/>
      <c r="P95" s="40"/>
      <c r="Q95" s="40"/>
      <c r="R95" s="40"/>
      <c r="S95" s="40"/>
      <c r="T95" s="40"/>
    </row>
    <row r="96" spans="1:20" ht="15.75">
      <c r="A96" s="13">
        <v>44044</v>
      </c>
      <c r="B96" s="48">
        <v>31</v>
      </c>
      <c r="C96" s="39">
        <v>194.20500000000001</v>
      </c>
      <c r="D96" s="39">
        <v>267.46600000000001</v>
      </c>
      <c r="E96" s="45">
        <v>812.32899999999995</v>
      </c>
      <c r="F96" s="39">
        <v>1274</v>
      </c>
      <c r="G96" s="39">
        <v>50</v>
      </c>
      <c r="H96" s="47">
        <v>600</v>
      </c>
      <c r="I96" s="39">
        <v>695</v>
      </c>
      <c r="J96" s="39">
        <v>0</v>
      </c>
      <c r="K96" s="40"/>
      <c r="L96" s="40"/>
      <c r="M96" s="40"/>
      <c r="N96" s="40"/>
      <c r="O96" s="40"/>
      <c r="P96" s="40"/>
      <c r="Q96" s="40"/>
      <c r="R96" s="40"/>
      <c r="S96" s="40"/>
      <c r="T96" s="40"/>
    </row>
    <row r="97" spans="1:20" ht="15.75">
      <c r="A97" s="13">
        <v>44075</v>
      </c>
      <c r="B97" s="48">
        <v>30</v>
      </c>
      <c r="C97" s="39">
        <v>194.20500000000001</v>
      </c>
      <c r="D97" s="39">
        <v>267.46600000000001</v>
      </c>
      <c r="E97" s="45">
        <v>812.32899999999995</v>
      </c>
      <c r="F97" s="39">
        <v>1274</v>
      </c>
      <c r="G97" s="39">
        <v>50</v>
      </c>
      <c r="H97" s="47">
        <v>600</v>
      </c>
      <c r="I97" s="39">
        <v>695</v>
      </c>
      <c r="J97" s="39">
        <v>0</v>
      </c>
      <c r="K97" s="40"/>
      <c r="L97" s="40"/>
      <c r="M97" s="40"/>
      <c r="N97" s="40"/>
      <c r="O97" s="40"/>
      <c r="P97" s="40"/>
      <c r="Q97" s="40"/>
      <c r="R97" s="40"/>
      <c r="S97" s="40"/>
      <c r="T97" s="40"/>
    </row>
    <row r="98" spans="1:20" ht="15.75">
      <c r="A98" s="13">
        <v>44105</v>
      </c>
      <c r="B98" s="48">
        <v>31</v>
      </c>
      <c r="C98" s="39">
        <v>131.881</v>
      </c>
      <c r="D98" s="39">
        <v>277.16699999999997</v>
      </c>
      <c r="E98" s="45">
        <v>829.952</v>
      </c>
      <c r="F98" s="39">
        <v>1239</v>
      </c>
      <c r="G98" s="39">
        <v>75</v>
      </c>
      <c r="H98" s="47">
        <v>600</v>
      </c>
      <c r="I98" s="39">
        <v>695</v>
      </c>
      <c r="J98" s="39">
        <v>0</v>
      </c>
      <c r="K98" s="40"/>
      <c r="L98" s="40"/>
      <c r="M98" s="40"/>
      <c r="N98" s="40"/>
      <c r="O98" s="40"/>
      <c r="P98" s="40"/>
      <c r="Q98" s="40"/>
      <c r="R98" s="40"/>
      <c r="S98" s="40"/>
      <c r="T98" s="40"/>
    </row>
    <row r="99" spans="1:20" ht="15.75">
      <c r="A99" s="13">
        <v>44136</v>
      </c>
      <c r="B99" s="48">
        <v>30</v>
      </c>
      <c r="C99" s="39">
        <v>122.58</v>
      </c>
      <c r="D99" s="39">
        <v>297.94099999999997</v>
      </c>
      <c r="E99" s="45">
        <v>729.47900000000004</v>
      </c>
      <c r="F99" s="39">
        <v>1150</v>
      </c>
      <c r="G99" s="39">
        <v>100</v>
      </c>
      <c r="H99" s="47">
        <v>600</v>
      </c>
      <c r="I99" s="39">
        <v>695</v>
      </c>
      <c r="J99" s="39">
        <v>50</v>
      </c>
      <c r="K99" s="40"/>
      <c r="L99" s="40"/>
      <c r="M99" s="40"/>
      <c r="N99" s="40"/>
      <c r="O99" s="40"/>
      <c r="P99" s="40"/>
      <c r="Q99" s="40"/>
      <c r="R99" s="40"/>
      <c r="S99" s="40"/>
      <c r="T99" s="40"/>
    </row>
    <row r="100" spans="1:20" ht="15.75">
      <c r="A100" s="13">
        <v>44166</v>
      </c>
      <c r="B100" s="48">
        <v>31</v>
      </c>
      <c r="C100" s="39">
        <v>122.58</v>
      </c>
      <c r="D100" s="39">
        <v>297.94099999999997</v>
      </c>
      <c r="E100" s="45">
        <v>729.47900000000004</v>
      </c>
      <c r="F100" s="39">
        <v>1150</v>
      </c>
      <c r="G100" s="39">
        <v>100</v>
      </c>
      <c r="H100" s="47">
        <v>600</v>
      </c>
      <c r="I100" s="39">
        <v>695</v>
      </c>
      <c r="J100" s="39">
        <v>50</v>
      </c>
      <c r="K100" s="40"/>
      <c r="L100" s="40"/>
      <c r="M100" s="40"/>
      <c r="N100" s="40"/>
      <c r="O100" s="40"/>
      <c r="P100" s="40"/>
      <c r="Q100" s="40"/>
      <c r="R100" s="40"/>
      <c r="S100" s="40"/>
      <c r="T100" s="40"/>
    </row>
    <row r="101" spans="1:20" ht="15.75">
      <c r="A101" s="13">
        <v>44197</v>
      </c>
      <c r="B101" s="48">
        <v>31</v>
      </c>
      <c r="C101" s="39">
        <v>122.58</v>
      </c>
      <c r="D101" s="39">
        <v>297.94099999999997</v>
      </c>
      <c r="E101" s="45">
        <v>729.47900000000004</v>
      </c>
      <c r="F101" s="39">
        <v>1150</v>
      </c>
      <c r="G101" s="39">
        <v>100</v>
      </c>
      <c r="H101" s="47">
        <v>600</v>
      </c>
      <c r="I101" s="39">
        <v>695</v>
      </c>
      <c r="J101" s="39">
        <v>50</v>
      </c>
      <c r="K101" s="40"/>
      <c r="L101" s="40"/>
      <c r="M101" s="40"/>
      <c r="N101" s="40"/>
      <c r="O101" s="40"/>
      <c r="P101" s="40"/>
      <c r="Q101" s="40"/>
      <c r="R101" s="40"/>
      <c r="S101" s="40"/>
      <c r="T101" s="40"/>
    </row>
    <row r="102" spans="1:20" ht="15.75">
      <c r="A102" s="13">
        <v>44228</v>
      </c>
      <c r="B102" s="48">
        <v>28</v>
      </c>
      <c r="C102" s="39">
        <v>122.58</v>
      </c>
      <c r="D102" s="39">
        <v>297.94099999999997</v>
      </c>
      <c r="E102" s="45">
        <v>729.47900000000004</v>
      </c>
      <c r="F102" s="39">
        <v>1150</v>
      </c>
      <c r="G102" s="39">
        <v>100</v>
      </c>
      <c r="H102" s="47">
        <v>600</v>
      </c>
      <c r="I102" s="39">
        <v>695</v>
      </c>
      <c r="J102" s="39">
        <v>50</v>
      </c>
      <c r="K102" s="40"/>
      <c r="L102" s="40"/>
      <c r="M102" s="40"/>
      <c r="N102" s="40"/>
      <c r="O102" s="40"/>
      <c r="P102" s="40"/>
      <c r="Q102" s="40"/>
      <c r="R102" s="40"/>
      <c r="S102" s="40"/>
      <c r="T102" s="40"/>
    </row>
    <row r="103" spans="1:20" ht="15.75">
      <c r="A103" s="13">
        <v>44256</v>
      </c>
      <c r="B103" s="48">
        <v>31</v>
      </c>
      <c r="C103" s="39">
        <v>122.58</v>
      </c>
      <c r="D103" s="39">
        <v>297.94099999999997</v>
      </c>
      <c r="E103" s="45">
        <v>729.47900000000004</v>
      </c>
      <c r="F103" s="39">
        <v>1150</v>
      </c>
      <c r="G103" s="39">
        <v>100</v>
      </c>
      <c r="H103" s="47">
        <v>600</v>
      </c>
      <c r="I103" s="39">
        <v>695</v>
      </c>
      <c r="J103" s="39">
        <v>50</v>
      </c>
      <c r="K103" s="40"/>
      <c r="L103" s="40"/>
      <c r="M103" s="40"/>
      <c r="N103" s="40"/>
      <c r="O103" s="40"/>
      <c r="P103" s="40"/>
      <c r="Q103" s="40"/>
      <c r="R103" s="40"/>
      <c r="S103" s="40"/>
      <c r="T103" s="40"/>
    </row>
    <row r="104" spans="1:20" ht="15.75">
      <c r="A104" s="13">
        <v>44287</v>
      </c>
      <c r="B104" s="48">
        <v>30</v>
      </c>
      <c r="C104" s="39">
        <v>141.29300000000001</v>
      </c>
      <c r="D104" s="39">
        <v>267.99299999999999</v>
      </c>
      <c r="E104" s="45">
        <v>829.71400000000006</v>
      </c>
      <c r="F104" s="39">
        <v>1239</v>
      </c>
      <c r="G104" s="39">
        <v>100</v>
      </c>
      <c r="H104" s="47">
        <v>600</v>
      </c>
      <c r="I104" s="39">
        <v>695</v>
      </c>
      <c r="J104" s="39">
        <v>50</v>
      </c>
      <c r="K104" s="40"/>
      <c r="L104" s="40"/>
      <c r="M104" s="40"/>
      <c r="N104" s="40"/>
      <c r="O104" s="40"/>
      <c r="P104" s="40"/>
      <c r="Q104" s="40"/>
      <c r="R104" s="40"/>
      <c r="S104" s="40"/>
      <c r="T104" s="40"/>
    </row>
    <row r="105" spans="1:20" ht="15.75">
      <c r="A105" s="13">
        <v>44317</v>
      </c>
      <c r="B105" s="48">
        <v>31</v>
      </c>
      <c r="C105" s="39">
        <v>194.20500000000001</v>
      </c>
      <c r="D105" s="39">
        <v>267.46600000000001</v>
      </c>
      <c r="E105" s="45">
        <v>812.32899999999995</v>
      </c>
      <c r="F105" s="39">
        <v>1274</v>
      </c>
      <c r="G105" s="39">
        <v>75</v>
      </c>
      <c r="H105" s="47">
        <v>600</v>
      </c>
      <c r="I105" s="39">
        <v>695</v>
      </c>
      <c r="J105" s="39">
        <v>50</v>
      </c>
      <c r="K105" s="40"/>
      <c r="L105" s="40"/>
      <c r="M105" s="40"/>
      <c r="N105" s="40"/>
      <c r="O105" s="40"/>
      <c r="P105" s="40"/>
      <c r="Q105" s="40"/>
      <c r="R105" s="40"/>
      <c r="S105" s="40"/>
      <c r="T105" s="40"/>
    </row>
    <row r="106" spans="1:20" ht="15.75">
      <c r="A106" s="13">
        <v>44348</v>
      </c>
      <c r="B106" s="48">
        <v>30</v>
      </c>
      <c r="C106" s="39">
        <v>194.20500000000001</v>
      </c>
      <c r="D106" s="39">
        <v>267.46600000000001</v>
      </c>
      <c r="E106" s="45">
        <v>812.32899999999995</v>
      </c>
      <c r="F106" s="39">
        <v>1274</v>
      </c>
      <c r="G106" s="39">
        <v>50</v>
      </c>
      <c r="H106" s="47">
        <v>600</v>
      </c>
      <c r="I106" s="39">
        <v>695</v>
      </c>
      <c r="J106" s="39">
        <v>50</v>
      </c>
      <c r="K106" s="40"/>
      <c r="L106" s="40"/>
      <c r="M106" s="40"/>
      <c r="N106" s="40"/>
      <c r="O106" s="40"/>
      <c r="P106" s="40"/>
      <c r="Q106" s="40"/>
      <c r="R106" s="40"/>
      <c r="S106" s="40"/>
      <c r="T106" s="40"/>
    </row>
    <row r="107" spans="1:20" ht="15.75">
      <c r="A107" s="13">
        <v>44378</v>
      </c>
      <c r="B107" s="48">
        <v>31</v>
      </c>
      <c r="C107" s="39">
        <v>194.20500000000001</v>
      </c>
      <c r="D107" s="39">
        <v>267.46600000000001</v>
      </c>
      <c r="E107" s="45">
        <v>812.32899999999995</v>
      </c>
      <c r="F107" s="39">
        <v>1274</v>
      </c>
      <c r="G107" s="39">
        <v>50</v>
      </c>
      <c r="H107" s="47">
        <v>600</v>
      </c>
      <c r="I107" s="39">
        <v>695</v>
      </c>
      <c r="J107" s="39">
        <v>0</v>
      </c>
      <c r="K107" s="40"/>
      <c r="L107" s="40"/>
      <c r="M107" s="40"/>
      <c r="N107" s="40"/>
      <c r="O107" s="40"/>
      <c r="P107" s="40"/>
      <c r="Q107" s="40"/>
      <c r="R107" s="40"/>
      <c r="S107" s="40"/>
      <c r="T107" s="40"/>
    </row>
    <row r="108" spans="1:20" ht="15.75">
      <c r="A108" s="13">
        <v>44409</v>
      </c>
      <c r="B108" s="48">
        <v>31</v>
      </c>
      <c r="C108" s="39">
        <v>194.20500000000001</v>
      </c>
      <c r="D108" s="39">
        <v>267.46600000000001</v>
      </c>
      <c r="E108" s="45">
        <v>812.32899999999995</v>
      </c>
      <c r="F108" s="39">
        <v>1274</v>
      </c>
      <c r="G108" s="39">
        <v>50</v>
      </c>
      <c r="H108" s="47">
        <v>600</v>
      </c>
      <c r="I108" s="39">
        <v>695</v>
      </c>
      <c r="J108" s="39">
        <v>0</v>
      </c>
      <c r="K108" s="40"/>
      <c r="L108" s="40"/>
      <c r="M108" s="40"/>
      <c r="N108" s="40"/>
      <c r="O108" s="40"/>
      <c r="P108" s="40"/>
      <c r="Q108" s="40"/>
      <c r="R108" s="40"/>
      <c r="S108" s="40"/>
      <c r="T108" s="40"/>
    </row>
    <row r="109" spans="1:20" ht="15.75">
      <c r="A109" s="13">
        <v>44440</v>
      </c>
      <c r="B109" s="48">
        <v>30</v>
      </c>
      <c r="C109" s="39">
        <v>194.20500000000001</v>
      </c>
      <c r="D109" s="39">
        <v>267.46600000000001</v>
      </c>
      <c r="E109" s="45">
        <v>812.32899999999995</v>
      </c>
      <c r="F109" s="39">
        <v>1274</v>
      </c>
      <c r="G109" s="39">
        <v>50</v>
      </c>
      <c r="H109" s="47">
        <v>600</v>
      </c>
      <c r="I109" s="39">
        <v>695</v>
      </c>
      <c r="J109" s="39">
        <v>0</v>
      </c>
      <c r="K109" s="40"/>
      <c r="L109" s="40"/>
      <c r="M109" s="40"/>
      <c r="N109" s="40"/>
      <c r="O109" s="40"/>
      <c r="P109" s="40"/>
      <c r="Q109" s="40"/>
      <c r="R109" s="40"/>
      <c r="S109" s="40"/>
      <c r="T109" s="40"/>
    </row>
    <row r="110" spans="1:20" ht="15.75">
      <c r="A110" s="13">
        <v>44470</v>
      </c>
      <c r="B110" s="48">
        <v>31</v>
      </c>
      <c r="C110" s="39">
        <v>131.881</v>
      </c>
      <c r="D110" s="39">
        <v>277.16699999999997</v>
      </c>
      <c r="E110" s="45">
        <v>829.952</v>
      </c>
      <c r="F110" s="39">
        <v>1239</v>
      </c>
      <c r="G110" s="39">
        <v>75</v>
      </c>
      <c r="H110" s="47">
        <v>600</v>
      </c>
      <c r="I110" s="39">
        <v>695</v>
      </c>
      <c r="J110" s="39">
        <v>0</v>
      </c>
      <c r="K110" s="40"/>
      <c r="L110" s="40"/>
      <c r="M110" s="40"/>
      <c r="N110" s="40"/>
      <c r="O110" s="40"/>
      <c r="P110" s="40"/>
      <c r="Q110" s="40"/>
      <c r="R110" s="40"/>
      <c r="S110" s="40"/>
      <c r="T110" s="40"/>
    </row>
    <row r="111" spans="1:20" ht="15.75">
      <c r="A111" s="13">
        <v>44501</v>
      </c>
      <c r="B111" s="48">
        <v>30</v>
      </c>
      <c r="C111" s="39">
        <v>122.58</v>
      </c>
      <c r="D111" s="39">
        <v>297.94099999999997</v>
      </c>
      <c r="E111" s="45">
        <v>729.47900000000004</v>
      </c>
      <c r="F111" s="39">
        <v>1150</v>
      </c>
      <c r="G111" s="39">
        <v>100</v>
      </c>
      <c r="H111" s="47">
        <v>600</v>
      </c>
      <c r="I111" s="39">
        <v>695</v>
      </c>
      <c r="J111" s="39">
        <v>50</v>
      </c>
      <c r="K111" s="40"/>
      <c r="L111" s="40"/>
      <c r="M111" s="40"/>
      <c r="N111" s="40"/>
      <c r="O111" s="40"/>
      <c r="P111" s="40"/>
      <c r="Q111" s="40"/>
      <c r="R111" s="40"/>
      <c r="S111" s="40"/>
      <c r="T111" s="40"/>
    </row>
    <row r="112" spans="1:20" ht="15.75">
      <c r="A112" s="13">
        <v>44531</v>
      </c>
      <c r="B112" s="48">
        <v>31</v>
      </c>
      <c r="C112" s="39">
        <v>122.58</v>
      </c>
      <c r="D112" s="39">
        <v>297.94099999999997</v>
      </c>
      <c r="E112" s="45">
        <v>729.47900000000004</v>
      </c>
      <c r="F112" s="39">
        <v>1150</v>
      </c>
      <c r="G112" s="39">
        <v>100</v>
      </c>
      <c r="H112" s="47">
        <v>600</v>
      </c>
      <c r="I112" s="39">
        <v>695</v>
      </c>
      <c r="J112" s="39">
        <v>50</v>
      </c>
      <c r="K112" s="40"/>
      <c r="L112" s="40"/>
      <c r="M112" s="40"/>
      <c r="N112" s="40"/>
      <c r="O112" s="40"/>
      <c r="P112" s="40"/>
      <c r="Q112" s="40"/>
      <c r="R112" s="40"/>
      <c r="S112" s="40"/>
      <c r="T112" s="40"/>
    </row>
    <row r="113" spans="1:20" ht="15.75">
      <c r="A113" s="13">
        <v>44562</v>
      </c>
      <c r="B113" s="48">
        <v>31</v>
      </c>
      <c r="C113" s="39">
        <v>122.58</v>
      </c>
      <c r="D113" s="39">
        <v>297.94099999999997</v>
      </c>
      <c r="E113" s="45">
        <v>729.47900000000004</v>
      </c>
      <c r="F113" s="39">
        <v>1150</v>
      </c>
      <c r="G113" s="39">
        <v>100</v>
      </c>
      <c r="H113" s="47">
        <v>600</v>
      </c>
      <c r="I113" s="39">
        <v>695</v>
      </c>
      <c r="J113" s="39">
        <v>50</v>
      </c>
      <c r="K113" s="40"/>
      <c r="L113" s="40"/>
      <c r="M113" s="40"/>
      <c r="N113" s="40"/>
      <c r="O113" s="40"/>
      <c r="P113" s="40"/>
      <c r="Q113" s="40"/>
      <c r="R113" s="40"/>
      <c r="S113" s="40"/>
      <c r="T113" s="40"/>
    </row>
    <row r="114" spans="1:20" ht="15.75">
      <c r="A114" s="13">
        <v>44593</v>
      </c>
      <c r="B114" s="48">
        <v>28</v>
      </c>
      <c r="C114" s="39">
        <v>122.58</v>
      </c>
      <c r="D114" s="39">
        <v>297.94099999999997</v>
      </c>
      <c r="E114" s="45">
        <v>729.47900000000004</v>
      </c>
      <c r="F114" s="39">
        <v>1150</v>
      </c>
      <c r="G114" s="39">
        <v>100</v>
      </c>
      <c r="H114" s="47">
        <v>600</v>
      </c>
      <c r="I114" s="39">
        <v>695</v>
      </c>
      <c r="J114" s="39">
        <v>50</v>
      </c>
      <c r="K114" s="40"/>
      <c r="L114" s="40"/>
      <c r="M114" s="40"/>
      <c r="N114" s="40"/>
      <c r="O114" s="40"/>
      <c r="P114" s="40"/>
      <c r="Q114" s="40"/>
      <c r="R114" s="40"/>
      <c r="S114" s="40"/>
      <c r="T114" s="40"/>
    </row>
    <row r="115" spans="1:20" ht="15.75">
      <c r="A115" s="13">
        <v>44621</v>
      </c>
      <c r="B115" s="48">
        <v>31</v>
      </c>
      <c r="C115" s="39">
        <v>122.58</v>
      </c>
      <c r="D115" s="39">
        <v>297.94099999999997</v>
      </c>
      <c r="E115" s="45">
        <v>729.47900000000004</v>
      </c>
      <c r="F115" s="39">
        <v>1150</v>
      </c>
      <c r="G115" s="39">
        <v>100</v>
      </c>
      <c r="H115" s="47">
        <v>600</v>
      </c>
      <c r="I115" s="39">
        <v>695</v>
      </c>
      <c r="J115" s="39">
        <v>50</v>
      </c>
      <c r="K115" s="40"/>
      <c r="L115" s="40"/>
      <c r="M115" s="40"/>
      <c r="N115" s="40"/>
      <c r="O115" s="40"/>
      <c r="P115" s="40"/>
      <c r="Q115" s="40"/>
      <c r="R115" s="40"/>
      <c r="S115" s="40"/>
      <c r="T115" s="40"/>
    </row>
    <row r="116" spans="1:20" ht="15.75">
      <c r="A116" s="13">
        <v>44652</v>
      </c>
      <c r="B116" s="48">
        <v>30</v>
      </c>
      <c r="C116" s="39">
        <v>141.29300000000001</v>
      </c>
      <c r="D116" s="39">
        <v>267.99299999999999</v>
      </c>
      <c r="E116" s="45">
        <v>829.71400000000006</v>
      </c>
      <c r="F116" s="39">
        <v>1239</v>
      </c>
      <c r="G116" s="39">
        <v>100</v>
      </c>
      <c r="H116" s="47">
        <v>600</v>
      </c>
      <c r="I116" s="39">
        <v>695</v>
      </c>
      <c r="J116" s="39">
        <v>50</v>
      </c>
      <c r="K116" s="40"/>
      <c r="L116" s="40"/>
      <c r="M116" s="40"/>
      <c r="N116" s="40"/>
      <c r="O116" s="40"/>
      <c r="P116" s="40"/>
      <c r="Q116" s="40"/>
      <c r="R116" s="40"/>
      <c r="S116" s="40"/>
      <c r="T116" s="40"/>
    </row>
    <row r="117" spans="1:20" ht="15.75">
      <c r="A117" s="13">
        <v>44682</v>
      </c>
      <c r="B117" s="48">
        <v>31</v>
      </c>
      <c r="C117" s="39">
        <v>194.20500000000001</v>
      </c>
      <c r="D117" s="39">
        <v>267.46600000000001</v>
      </c>
      <c r="E117" s="45">
        <v>812.32899999999995</v>
      </c>
      <c r="F117" s="39">
        <v>1274</v>
      </c>
      <c r="G117" s="39">
        <v>75</v>
      </c>
      <c r="H117" s="47">
        <v>600</v>
      </c>
      <c r="I117" s="39">
        <v>695</v>
      </c>
      <c r="J117" s="39">
        <v>50</v>
      </c>
      <c r="K117" s="40"/>
      <c r="L117" s="40"/>
      <c r="M117" s="40"/>
      <c r="N117" s="40"/>
      <c r="O117" s="40"/>
      <c r="P117" s="40"/>
      <c r="Q117" s="40"/>
      <c r="R117" s="40"/>
      <c r="S117" s="40"/>
      <c r="T117" s="40"/>
    </row>
    <row r="118" spans="1:20" ht="15.75">
      <c r="A118" s="13">
        <v>44713</v>
      </c>
      <c r="B118" s="48">
        <v>30</v>
      </c>
      <c r="C118" s="39">
        <v>194.20500000000001</v>
      </c>
      <c r="D118" s="39">
        <v>267.46600000000001</v>
      </c>
      <c r="E118" s="45">
        <v>812.32899999999995</v>
      </c>
      <c r="F118" s="39">
        <v>1274</v>
      </c>
      <c r="G118" s="39">
        <v>50</v>
      </c>
      <c r="H118" s="47">
        <v>600</v>
      </c>
      <c r="I118" s="39">
        <v>695</v>
      </c>
      <c r="J118" s="39">
        <v>50</v>
      </c>
      <c r="K118" s="40"/>
      <c r="L118" s="40"/>
      <c r="M118" s="40"/>
      <c r="N118" s="40"/>
      <c r="O118" s="40"/>
      <c r="P118" s="40"/>
      <c r="Q118" s="40"/>
      <c r="R118" s="40"/>
      <c r="S118" s="40"/>
      <c r="T118" s="40"/>
    </row>
    <row r="119" spans="1:20" ht="15.75">
      <c r="A119" s="13">
        <v>44743</v>
      </c>
      <c r="B119" s="48">
        <v>31</v>
      </c>
      <c r="C119" s="39">
        <v>194.20500000000001</v>
      </c>
      <c r="D119" s="39">
        <v>267.46600000000001</v>
      </c>
      <c r="E119" s="45">
        <v>812.32899999999995</v>
      </c>
      <c r="F119" s="39">
        <v>1274</v>
      </c>
      <c r="G119" s="39">
        <v>50</v>
      </c>
      <c r="H119" s="47">
        <v>600</v>
      </c>
      <c r="I119" s="39">
        <v>695</v>
      </c>
      <c r="J119" s="39">
        <v>0</v>
      </c>
      <c r="K119" s="40"/>
      <c r="L119" s="40"/>
      <c r="M119" s="40"/>
      <c r="N119" s="40"/>
      <c r="O119" s="40"/>
      <c r="P119" s="40"/>
      <c r="Q119" s="40"/>
      <c r="R119" s="40"/>
      <c r="S119" s="40"/>
      <c r="T119" s="40"/>
    </row>
    <row r="120" spans="1:20" ht="15.75">
      <c r="A120" s="13">
        <v>44774</v>
      </c>
      <c r="B120" s="48">
        <v>31</v>
      </c>
      <c r="C120" s="39">
        <v>194.20500000000001</v>
      </c>
      <c r="D120" s="39">
        <v>267.46600000000001</v>
      </c>
      <c r="E120" s="45">
        <v>812.32899999999995</v>
      </c>
      <c r="F120" s="39">
        <v>1274</v>
      </c>
      <c r="G120" s="39">
        <v>50</v>
      </c>
      <c r="H120" s="47">
        <v>600</v>
      </c>
      <c r="I120" s="39">
        <v>695</v>
      </c>
      <c r="J120" s="39">
        <v>0</v>
      </c>
      <c r="K120" s="40"/>
      <c r="L120" s="40"/>
      <c r="M120" s="40"/>
      <c r="N120" s="40"/>
      <c r="O120" s="40"/>
      <c r="P120" s="40"/>
      <c r="Q120" s="40"/>
      <c r="R120" s="40"/>
      <c r="S120" s="40"/>
      <c r="T120" s="40"/>
    </row>
    <row r="121" spans="1:20" ht="15.75">
      <c r="A121" s="13">
        <v>44805</v>
      </c>
      <c r="B121" s="48">
        <v>30</v>
      </c>
      <c r="C121" s="39">
        <v>194.20500000000001</v>
      </c>
      <c r="D121" s="39">
        <v>267.46600000000001</v>
      </c>
      <c r="E121" s="45">
        <v>812.32899999999995</v>
      </c>
      <c r="F121" s="39">
        <v>1274</v>
      </c>
      <c r="G121" s="39">
        <v>50</v>
      </c>
      <c r="H121" s="47">
        <v>600</v>
      </c>
      <c r="I121" s="39">
        <v>695</v>
      </c>
      <c r="J121" s="39">
        <v>0</v>
      </c>
      <c r="K121" s="40"/>
      <c r="L121" s="40"/>
      <c r="M121" s="40"/>
      <c r="N121" s="40"/>
      <c r="O121" s="40"/>
      <c r="P121" s="40"/>
      <c r="Q121" s="40"/>
      <c r="R121" s="40"/>
      <c r="S121" s="40"/>
      <c r="T121" s="40"/>
    </row>
    <row r="122" spans="1:20" ht="15.75">
      <c r="A122" s="13">
        <v>44835</v>
      </c>
      <c r="B122" s="48">
        <v>31</v>
      </c>
      <c r="C122" s="39">
        <v>131.881</v>
      </c>
      <c r="D122" s="39">
        <v>277.16699999999997</v>
      </c>
      <c r="E122" s="45">
        <v>829.952</v>
      </c>
      <c r="F122" s="39">
        <v>1239</v>
      </c>
      <c r="G122" s="39">
        <v>75</v>
      </c>
      <c r="H122" s="47">
        <v>600</v>
      </c>
      <c r="I122" s="39">
        <v>695</v>
      </c>
      <c r="J122" s="39">
        <v>0</v>
      </c>
      <c r="K122" s="40"/>
      <c r="L122" s="40"/>
      <c r="M122" s="40"/>
      <c r="N122" s="40"/>
      <c r="O122" s="40"/>
      <c r="P122" s="40"/>
      <c r="Q122" s="40"/>
      <c r="R122" s="40"/>
      <c r="S122" s="40"/>
      <c r="T122" s="40"/>
    </row>
    <row r="123" spans="1:20" ht="15.75">
      <c r="A123" s="13">
        <v>44866</v>
      </c>
      <c r="B123" s="48">
        <v>30</v>
      </c>
      <c r="C123" s="39">
        <v>122.58</v>
      </c>
      <c r="D123" s="39">
        <v>297.94099999999997</v>
      </c>
      <c r="E123" s="45">
        <v>729.47900000000004</v>
      </c>
      <c r="F123" s="39">
        <v>1150</v>
      </c>
      <c r="G123" s="39">
        <v>100</v>
      </c>
      <c r="H123" s="47">
        <v>600</v>
      </c>
      <c r="I123" s="39">
        <v>695</v>
      </c>
      <c r="J123" s="39">
        <v>50</v>
      </c>
      <c r="K123" s="40"/>
      <c r="L123" s="40"/>
      <c r="M123" s="40"/>
      <c r="N123" s="40"/>
      <c r="O123" s="40"/>
      <c r="P123" s="40"/>
      <c r="Q123" s="40"/>
      <c r="R123" s="40"/>
      <c r="S123" s="40"/>
      <c r="T123" s="40"/>
    </row>
    <row r="124" spans="1:20" ht="15.75">
      <c r="A124" s="13">
        <v>44896</v>
      </c>
      <c r="B124" s="48">
        <v>31</v>
      </c>
      <c r="C124" s="39">
        <v>122.58</v>
      </c>
      <c r="D124" s="39">
        <v>297.94099999999997</v>
      </c>
      <c r="E124" s="45">
        <v>729.47900000000004</v>
      </c>
      <c r="F124" s="39">
        <v>1150</v>
      </c>
      <c r="G124" s="39">
        <v>100</v>
      </c>
      <c r="H124" s="47">
        <v>600</v>
      </c>
      <c r="I124" s="39">
        <v>695</v>
      </c>
      <c r="J124" s="39">
        <v>50</v>
      </c>
      <c r="K124" s="40"/>
      <c r="L124" s="40"/>
      <c r="M124" s="40"/>
      <c r="N124" s="40"/>
      <c r="O124" s="40"/>
      <c r="P124" s="40"/>
      <c r="Q124" s="40"/>
      <c r="R124" s="40"/>
      <c r="S124" s="40"/>
      <c r="T124" s="40"/>
    </row>
    <row r="125" spans="1:20" ht="15.75">
      <c r="A125" s="13">
        <v>44927</v>
      </c>
      <c r="B125" s="48">
        <v>31</v>
      </c>
      <c r="C125" s="39">
        <v>122.58</v>
      </c>
      <c r="D125" s="39">
        <v>297.94099999999997</v>
      </c>
      <c r="E125" s="45">
        <v>729.47900000000004</v>
      </c>
      <c r="F125" s="39">
        <v>1150</v>
      </c>
      <c r="G125" s="39">
        <v>100</v>
      </c>
      <c r="H125" s="47">
        <v>600</v>
      </c>
      <c r="I125" s="39">
        <v>695</v>
      </c>
      <c r="J125" s="39">
        <v>50</v>
      </c>
      <c r="K125" s="40"/>
      <c r="L125" s="40"/>
      <c r="M125" s="40"/>
      <c r="N125" s="40"/>
      <c r="O125" s="40"/>
      <c r="P125" s="40"/>
      <c r="Q125" s="40"/>
      <c r="R125" s="40"/>
      <c r="S125" s="40"/>
      <c r="T125" s="40"/>
    </row>
    <row r="126" spans="1:20" ht="15.75">
      <c r="A126" s="13">
        <v>44958</v>
      </c>
      <c r="B126" s="48">
        <v>28</v>
      </c>
      <c r="C126" s="39">
        <v>122.58</v>
      </c>
      <c r="D126" s="39">
        <v>297.94099999999997</v>
      </c>
      <c r="E126" s="45">
        <v>729.47900000000004</v>
      </c>
      <c r="F126" s="39">
        <v>1150</v>
      </c>
      <c r="G126" s="39">
        <v>100</v>
      </c>
      <c r="H126" s="47">
        <v>600</v>
      </c>
      <c r="I126" s="39">
        <v>695</v>
      </c>
      <c r="J126" s="39">
        <v>50</v>
      </c>
      <c r="K126" s="40"/>
      <c r="L126" s="40"/>
      <c r="M126" s="40"/>
      <c r="N126" s="40"/>
      <c r="O126" s="40"/>
      <c r="P126" s="40"/>
      <c r="Q126" s="40"/>
      <c r="R126" s="40"/>
      <c r="S126" s="40"/>
      <c r="T126" s="40"/>
    </row>
    <row r="127" spans="1:20" ht="15.75">
      <c r="A127" s="13">
        <v>44986</v>
      </c>
      <c r="B127" s="48">
        <v>31</v>
      </c>
      <c r="C127" s="39">
        <v>122.58</v>
      </c>
      <c r="D127" s="39">
        <v>297.94099999999997</v>
      </c>
      <c r="E127" s="45">
        <v>729.47900000000004</v>
      </c>
      <c r="F127" s="39">
        <v>1150</v>
      </c>
      <c r="G127" s="39">
        <v>100</v>
      </c>
      <c r="H127" s="47">
        <v>600</v>
      </c>
      <c r="I127" s="39">
        <v>695</v>
      </c>
      <c r="J127" s="39">
        <v>50</v>
      </c>
      <c r="K127" s="40"/>
      <c r="L127" s="40"/>
      <c r="M127" s="40"/>
      <c r="N127" s="40"/>
      <c r="O127" s="40"/>
      <c r="P127" s="40"/>
      <c r="Q127" s="40"/>
      <c r="R127" s="40"/>
      <c r="S127" s="40"/>
      <c r="T127" s="40"/>
    </row>
    <row r="128" spans="1:20" ht="15.75">
      <c r="A128" s="13">
        <v>45017</v>
      </c>
      <c r="B128" s="48">
        <v>30</v>
      </c>
      <c r="C128" s="39">
        <v>141.29300000000001</v>
      </c>
      <c r="D128" s="39">
        <v>267.99299999999999</v>
      </c>
      <c r="E128" s="45">
        <v>829.71400000000006</v>
      </c>
      <c r="F128" s="39">
        <v>1239</v>
      </c>
      <c r="G128" s="39">
        <v>100</v>
      </c>
      <c r="H128" s="47">
        <v>600</v>
      </c>
      <c r="I128" s="39">
        <v>695</v>
      </c>
      <c r="J128" s="39">
        <v>50</v>
      </c>
      <c r="K128" s="40"/>
      <c r="L128" s="40"/>
      <c r="M128" s="40"/>
      <c r="N128" s="40"/>
      <c r="O128" s="40"/>
      <c r="P128" s="40"/>
      <c r="Q128" s="40"/>
      <c r="R128" s="40"/>
      <c r="S128" s="40"/>
      <c r="T128" s="40"/>
    </row>
    <row r="129" spans="1:20" ht="15.75">
      <c r="A129" s="13">
        <v>45047</v>
      </c>
      <c r="B129" s="48">
        <v>31</v>
      </c>
      <c r="C129" s="39">
        <v>194.20500000000001</v>
      </c>
      <c r="D129" s="39">
        <v>267.46600000000001</v>
      </c>
      <c r="E129" s="45">
        <v>812.32899999999995</v>
      </c>
      <c r="F129" s="39">
        <v>1274</v>
      </c>
      <c r="G129" s="39">
        <v>75</v>
      </c>
      <c r="H129" s="47">
        <v>600</v>
      </c>
      <c r="I129" s="39">
        <v>695</v>
      </c>
      <c r="J129" s="39">
        <v>50</v>
      </c>
      <c r="K129" s="40"/>
      <c r="L129" s="40"/>
      <c r="M129" s="40"/>
      <c r="N129" s="40"/>
      <c r="O129" s="40"/>
      <c r="P129" s="40"/>
      <c r="Q129" s="40"/>
      <c r="R129" s="40"/>
      <c r="S129" s="40"/>
      <c r="T129" s="40"/>
    </row>
    <row r="130" spans="1:20" ht="15.75">
      <c r="A130" s="13">
        <v>45078</v>
      </c>
      <c r="B130" s="48">
        <v>30</v>
      </c>
      <c r="C130" s="39">
        <v>194.20500000000001</v>
      </c>
      <c r="D130" s="39">
        <v>267.46600000000001</v>
      </c>
      <c r="E130" s="45">
        <v>812.32899999999995</v>
      </c>
      <c r="F130" s="39">
        <v>1274</v>
      </c>
      <c r="G130" s="39">
        <v>50</v>
      </c>
      <c r="H130" s="47">
        <v>600</v>
      </c>
      <c r="I130" s="39">
        <v>695</v>
      </c>
      <c r="J130" s="39">
        <v>50</v>
      </c>
      <c r="K130" s="40"/>
      <c r="L130" s="40"/>
      <c r="M130" s="40"/>
      <c r="N130" s="40"/>
      <c r="O130" s="40"/>
      <c r="P130" s="40"/>
      <c r="Q130" s="40"/>
      <c r="R130" s="40"/>
      <c r="S130" s="40"/>
      <c r="T130" s="40"/>
    </row>
    <row r="131" spans="1:20" ht="15.75">
      <c r="A131" s="13">
        <v>45108</v>
      </c>
      <c r="B131" s="48">
        <v>31</v>
      </c>
      <c r="C131" s="39">
        <v>194.20500000000001</v>
      </c>
      <c r="D131" s="39">
        <v>267.46600000000001</v>
      </c>
      <c r="E131" s="45">
        <v>812.32899999999995</v>
      </c>
      <c r="F131" s="39">
        <v>1274</v>
      </c>
      <c r="G131" s="39">
        <v>50</v>
      </c>
      <c r="H131" s="47">
        <v>600</v>
      </c>
      <c r="I131" s="39">
        <v>695</v>
      </c>
      <c r="J131" s="39">
        <v>0</v>
      </c>
      <c r="K131" s="40"/>
      <c r="L131" s="40"/>
      <c r="M131" s="40"/>
      <c r="N131" s="40"/>
      <c r="O131" s="40"/>
      <c r="P131" s="40"/>
      <c r="Q131" s="40"/>
      <c r="R131" s="40"/>
      <c r="S131" s="40"/>
      <c r="T131" s="40"/>
    </row>
    <row r="132" spans="1:20" ht="15.75">
      <c r="A132" s="13">
        <v>45139</v>
      </c>
      <c r="B132" s="48">
        <v>31</v>
      </c>
      <c r="C132" s="39">
        <v>194.20500000000001</v>
      </c>
      <c r="D132" s="39">
        <v>267.46600000000001</v>
      </c>
      <c r="E132" s="45">
        <v>812.32899999999995</v>
      </c>
      <c r="F132" s="39">
        <v>1274</v>
      </c>
      <c r="G132" s="39">
        <v>50</v>
      </c>
      <c r="H132" s="47">
        <v>600</v>
      </c>
      <c r="I132" s="39">
        <v>695</v>
      </c>
      <c r="J132" s="39">
        <v>0</v>
      </c>
      <c r="K132" s="40"/>
      <c r="L132" s="40"/>
      <c r="M132" s="40"/>
      <c r="N132" s="40"/>
      <c r="O132" s="40"/>
      <c r="P132" s="40"/>
      <c r="Q132" s="40"/>
      <c r="R132" s="40"/>
      <c r="S132" s="40"/>
      <c r="T132" s="40"/>
    </row>
    <row r="133" spans="1:20" ht="15.75">
      <c r="A133" s="13">
        <v>45170</v>
      </c>
      <c r="B133" s="48">
        <v>30</v>
      </c>
      <c r="C133" s="39">
        <v>194.20500000000001</v>
      </c>
      <c r="D133" s="39">
        <v>267.46600000000001</v>
      </c>
      <c r="E133" s="45">
        <v>812.32899999999995</v>
      </c>
      <c r="F133" s="39">
        <v>1274</v>
      </c>
      <c r="G133" s="39">
        <v>50</v>
      </c>
      <c r="H133" s="47">
        <v>600</v>
      </c>
      <c r="I133" s="39">
        <v>695</v>
      </c>
      <c r="J133" s="39">
        <v>0</v>
      </c>
      <c r="K133" s="40"/>
      <c r="L133" s="40"/>
      <c r="M133" s="40"/>
      <c r="N133" s="40"/>
      <c r="O133" s="40"/>
      <c r="P133" s="40"/>
      <c r="Q133" s="40"/>
      <c r="R133" s="40"/>
      <c r="S133" s="40"/>
      <c r="T133" s="40"/>
    </row>
    <row r="134" spans="1:20" ht="15.75">
      <c r="A134" s="13">
        <v>45200</v>
      </c>
      <c r="B134" s="48">
        <v>31</v>
      </c>
      <c r="C134" s="39">
        <v>131.881</v>
      </c>
      <c r="D134" s="39">
        <v>277.16699999999997</v>
      </c>
      <c r="E134" s="45">
        <v>829.952</v>
      </c>
      <c r="F134" s="39">
        <v>1239</v>
      </c>
      <c r="G134" s="39">
        <v>75</v>
      </c>
      <c r="H134" s="47">
        <v>600</v>
      </c>
      <c r="I134" s="39">
        <v>695</v>
      </c>
      <c r="J134" s="39">
        <v>0</v>
      </c>
      <c r="K134" s="40"/>
      <c r="L134" s="40"/>
      <c r="M134" s="40"/>
      <c r="N134" s="40"/>
      <c r="O134" s="40"/>
      <c r="P134" s="40"/>
      <c r="Q134" s="40"/>
      <c r="R134" s="40"/>
      <c r="S134" s="40"/>
      <c r="T134" s="40"/>
    </row>
    <row r="135" spans="1:20" ht="15.75">
      <c r="A135" s="13">
        <v>45231</v>
      </c>
      <c r="B135" s="48">
        <v>30</v>
      </c>
      <c r="C135" s="39">
        <v>122.58</v>
      </c>
      <c r="D135" s="39">
        <v>297.94099999999997</v>
      </c>
      <c r="E135" s="45">
        <v>729.47900000000004</v>
      </c>
      <c r="F135" s="39">
        <v>1150</v>
      </c>
      <c r="G135" s="39">
        <v>100</v>
      </c>
      <c r="H135" s="47">
        <v>600</v>
      </c>
      <c r="I135" s="39">
        <v>695</v>
      </c>
      <c r="J135" s="39">
        <v>50</v>
      </c>
      <c r="K135" s="40"/>
      <c r="L135" s="40"/>
      <c r="M135" s="40"/>
      <c r="N135" s="40"/>
      <c r="O135" s="40"/>
      <c r="P135" s="40"/>
      <c r="Q135" s="40"/>
      <c r="R135" s="40"/>
      <c r="S135" s="40"/>
      <c r="T135" s="40"/>
    </row>
    <row r="136" spans="1:20" ht="15.75">
      <c r="A136" s="13">
        <v>45261</v>
      </c>
      <c r="B136" s="48">
        <v>31</v>
      </c>
      <c r="C136" s="39">
        <v>122.58</v>
      </c>
      <c r="D136" s="39">
        <v>297.94099999999997</v>
      </c>
      <c r="E136" s="45">
        <v>729.47900000000004</v>
      </c>
      <c r="F136" s="39">
        <v>1150</v>
      </c>
      <c r="G136" s="39">
        <v>100</v>
      </c>
      <c r="H136" s="47">
        <v>600</v>
      </c>
      <c r="I136" s="39">
        <v>695</v>
      </c>
      <c r="J136" s="39">
        <v>50</v>
      </c>
      <c r="K136" s="40"/>
      <c r="L136" s="40"/>
      <c r="M136" s="40"/>
      <c r="N136" s="40"/>
      <c r="O136" s="40"/>
      <c r="P136" s="40"/>
      <c r="Q136" s="40"/>
      <c r="R136" s="40"/>
      <c r="S136" s="40"/>
      <c r="T136" s="40"/>
    </row>
    <row r="137" spans="1:20" ht="15.75">
      <c r="A137" s="13">
        <v>45292</v>
      </c>
      <c r="B137" s="48">
        <v>31</v>
      </c>
      <c r="C137" s="39">
        <v>122.58</v>
      </c>
      <c r="D137" s="39">
        <v>297.94099999999997</v>
      </c>
      <c r="E137" s="45">
        <v>729.47900000000004</v>
      </c>
      <c r="F137" s="39">
        <v>1150</v>
      </c>
      <c r="G137" s="39">
        <v>100</v>
      </c>
      <c r="H137" s="47">
        <v>600</v>
      </c>
      <c r="I137" s="39">
        <v>695</v>
      </c>
      <c r="J137" s="39">
        <v>50</v>
      </c>
      <c r="K137" s="40"/>
      <c r="L137" s="40"/>
      <c r="M137" s="40"/>
      <c r="N137" s="40"/>
      <c r="O137" s="40"/>
      <c r="P137" s="40"/>
      <c r="Q137" s="40"/>
      <c r="R137" s="40"/>
      <c r="S137" s="40"/>
      <c r="T137" s="40"/>
    </row>
    <row r="138" spans="1:20" ht="15.75">
      <c r="A138" s="13">
        <v>45323</v>
      </c>
      <c r="B138" s="48">
        <v>29</v>
      </c>
      <c r="C138" s="39">
        <v>122.58</v>
      </c>
      <c r="D138" s="39">
        <v>297.94099999999997</v>
      </c>
      <c r="E138" s="45">
        <v>729.47900000000004</v>
      </c>
      <c r="F138" s="39">
        <v>1150</v>
      </c>
      <c r="G138" s="39">
        <v>100</v>
      </c>
      <c r="H138" s="47">
        <v>600</v>
      </c>
      <c r="I138" s="39">
        <v>695</v>
      </c>
      <c r="J138" s="39">
        <v>50</v>
      </c>
      <c r="K138" s="40"/>
      <c r="L138" s="40"/>
      <c r="M138" s="40"/>
      <c r="N138" s="40"/>
      <c r="O138" s="40"/>
      <c r="P138" s="40"/>
      <c r="Q138" s="40"/>
      <c r="R138" s="40"/>
      <c r="S138" s="40"/>
      <c r="T138" s="40"/>
    </row>
    <row r="139" spans="1:20" ht="15.75">
      <c r="A139" s="13">
        <v>45352</v>
      </c>
      <c r="B139" s="48">
        <v>31</v>
      </c>
      <c r="C139" s="39">
        <v>122.58</v>
      </c>
      <c r="D139" s="39">
        <v>297.94099999999997</v>
      </c>
      <c r="E139" s="45">
        <v>729.47900000000004</v>
      </c>
      <c r="F139" s="39">
        <v>1150</v>
      </c>
      <c r="G139" s="39">
        <v>100</v>
      </c>
      <c r="H139" s="47">
        <v>600</v>
      </c>
      <c r="I139" s="39">
        <v>695</v>
      </c>
      <c r="J139" s="39">
        <v>50</v>
      </c>
      <c r="K139" s="40"/>
      <c r="L139" s="40"/>
      <c r="M139" s="40"/>
      <c r="N139" s="40"/>
      <c r="O139" s="40"/>
      <c r="P139" s="40"/>
      <c r="Q139" s="40"/>
      <c r="R139" s="40"/>
      <c r="S139" s="40"/>
      <c r="T139" s="40"/>
    </row>
    <row r="140" spans="1:20" ht="15.75">
      <c r="A140" s="13">
        <v>45383</v>
      </c>
      <c r="B140" s="48">
        <v>30</v>
      </c>
      <c r="C140" s="39">
        <v>141.29300000000001</v>
      </c>
      <c r="D140" s="39">
        <v>267.99299999999999</v>
      </c>
      <c r="E140" s="45">
        <v>829.71400000000006</v>
      </c>
      <c r="F140" s="39">
        <v>1239</v>
      </c>
      <c r="G140" s="39">
        <v>100</v>
      </c>
      <c r="H140" s="47">
        <v>600</v>
      </c>
      <c r="I140" s="39">
        <v>695</v>
      </c>
      <c r="J140" s="39">
        <v>50</v>
      </c>
      <c r="K140" s="40"/>
      <c r="L140" s="40"/>
      <c r="M140" s="40"/>
      <c r="N140" s="40"/>
      <c r="O140" s="40"/>
      <c r="P140" s="40"/>
      <c r="Q140" s="40"/>
      <c r="R140" s="40"/>
      <c r="S140" s="40"/>
      <c r="T140" s="40"/>
    </row>
    <row r="141" spans="1:20" ht="15.75">
      <c r="A141" s="13">
        <v>45413</v>
      </c>
      <c r="B141" s="48">
        <v>31</v>
      </c>
      <c r="C141" s="39">
        <v>194.20500000000001</v>
      </c>
      <c r="D141" s="39">
        <v>267.46600000000001</v>
      </c>
      <c r="E141" s="45">
        <v>812.32899999999995</v>
      </c>
      <c r="F141" s="39">
        <v>1274</v>
      </c>
      <c r="G141" s="39">
        <v>75</v>
      </c>
      <c r="H141" s="47">
        <v>600</v>
      </c>
      <c r="I141" s="39">
        <v>695</v>
      </c>
      <c r="J141" s="39">
        <v>50</v>
      </c>
      <c r="K141" s="40"/>
      <c r="L141" s="40"/>
      <c r="M141" s="40"/>
      <c r="N141" s="40"/>
      <c r="O141" s="40"/>
      <c r="P141" s="40"/>
      <c r="Q141" s="40"/>
      <c r="R141" s="40"/>
      <c r="S141" s="40"/>
      <c r="T141" s="40"/>
    </row>
    <row r="142" spans="1:20" ht="15.75">
      <c r="A142" s="13">
        <v>45444</v>
      </c>
      <c r="B142" s="48">
        <v>30</v>
      </c>
      <c r="C142" s="39">
        <v>194.20500000000001</v>
      </c>
      <c r="D142" s="39">
        <v>267.46600000000001</v>
      </c>
      <c r="E142" s="45">
        <v>812.32899999999995</v>
      </c>
      <c r="F142" s="39">
        <v>1274</v>
      </c>
      <c r="G142" s="39">
        <v>50</v>
      </c>
      <c r="H142" s="47">
        <v>600</v>
      </c>
      <c r="I142" s="39">
        <v>695</v>
      </c>
      <c r="J142" s="39">
        <v>50</v>
      </c>
      <c r="K142" s="40"/>
      <c r="L142" s="40"/>
      <c r="M142" s="40"/>
      <c r="N142" s="40"/>
      <c r="O142" s="40"/>
      <c r="P142" s="40"/>
      <c r="Q142" s="40"/>
      <c r="R142" s="40"/>
      <c r="S142" s="40"/>
      <c r="T142" s="40"/>
    </row>
    <row r="143" spans="1:20" ht="15.75">
      <c r="A143" s="13">
        <v>45474</v>
      </c>
      <c r="B143" s="48">
        <v>31</v>
      </c>
      <c r="C143" s="39">
        <v>194.20500000000001</v>
      </c>
      <c r="D143" s="39">
        <v>267.46600000000001</v>
      </c>
      <c r="E143" s="45">
        <v>812.32899999999995</v>
      </c>
      <c r="F143" s="39">
        <v>1274</v>
      </c>
      <c r="G143" s="39">
        <v>50</v>
      </c>
      <c r="H143" s="47">
        <v>600</v>
      </c>
      <c r="I143" s="39">
        <v>695</v>
      </c>
      <c r="J143" s="39">
        <v>0</v>
      </c>
      <c r="K143" s="40"/>
      <c r="L143" s="40"/>
      <c r="M143" s="40"/>
      <c r="N143" s="40"/>
      <c r="O143" s="40"/>
      <c r="P143" s="40"/>
      <c r="Q143" s="40"/>
      <c r="R143" s="40"/>
      <c r="S143" s="40"/>
      <c r="T143" s="40"/>
    </row>
    <row r="144" spans="1:20" ht="15.75">
      <c r="A144" s="13">
        <v>45505</v>
      </c>
      <c r="B144" s="48">
        <v>31</v>
      </c>
      <c r="C144" s="39">
        <v>194.20500000000001</v>
      </c>
      <c r="D144" s="39">
        <v>267.46600000000001</v>
      </c>
      <c r="E144" s="45">
        <v>812.32899999999995</v>
      </c>
      <c r="F144" s="39">
        <v>1274</v>
      </c>
      <c r="G144" s="39">
        <v>50</v>
      </c>
      <c r="H144" s="47">
        <v>600</v>
      </c>
      <c r="I144" s="39">
        <v>695</v>
      </c>
      <c r="J144" s="39">
        <v>0</v>
      </c>
      <c r="K144" s="40"/>
      <c r="L144" s="40"/>
      <c r="M144" s="40"/>
      <c r="N144" s="40"/>
      <c r="O144" s="40"/>
      <c r="P144" s="40"/>
      <c r="Q144" s="40"/>
      <c r="R144" s="40"/>
      <c r="S144" s="40"/>
      <c r="T144" s="40"/>
    </row>
    <row r="145" spans="1:20" ht="15.75">
      <c r="A145" s="13">
        <v>45536</v>
      </c>
      <c r="B145" s="48">
        <v>30</v>
      </c>
      <c r="C145" s="39">
        <v>194.20500000000001</v>
      </c>
      <c r="D145" s="39">
        <v>267.46600000000001</v>
      </c>
      <c r="E145" s="45">
        <v>812.32899999999995</v>
      </c>
      <c r="F145" s="39">
        <v>1274</v>
      </c>
      <c r="G145" s="39">
        <v>50</v>
      </c>
      <c r="H145" s="47">
        <v>600</v>
      </c>
      <c r="I145" s="39">
        <v>695</v>
      </c>
      <c r="J145" s="39">
        <v>0</v>
      </c>
      <c r="K145" s="40"/>
      <c r="L145" s="40"/>
      <c r="M145" s="40"/>
      <c r="N145" s="40"/>
      <c r="O145" s="40"/>
      <c r="P145" s="40"/>
      <c r="Q145" s="40"/>
      <c r="R145" s="40"/>
      <c r="S145" s="40"/>
      <c r="T145" s="40"/>
    </row>
    <row r="146" spans="1:20" ht="15.75">
      <c r="A146" s="13">
        <v>45566</v>
      </c>
      <c r="B146" s="48">
        <v>31</v>
      </c>
      <c r="C146" s="39">
        <v>131.881</v>
      </c>
      <c r="D146" s="39">
        <v>277.16699999999997</v>
      </c>
      <c r="E146" s="45">
        <v>829.952</v>
      </c>
      <c r="F146" s="39">
        <v>1239</v>
      </c>
      <c r="G146" s="39">
        <v>75</v>
      </c>
      <c r="H146" s="47">
        <v>600</v>
      </c>
      <c r="I146" s="39">
        <v>695</v>
      </c>
      <c r="J146" s="39">
        <v>0</v>
      </c>
      <c r="K146" s="40"/>
      <c r="L146" s="40"/>
      <c r="M146" s="40"/>
      <c r="N146" s="40"/>
      <c r="O146" s="40"/>
      <c r="P146" s="40"/>
      <c r="Q146" s="40"/>
      <c r="R146" s="40"/>
      <c r="S146" s="40"/>
      <c r="T146" s="40"/>
    </row>
    <row r="147" spans="1:20" ht="15.75">
      <c r="A147" s="13">
        <v>45597</v>
      </c>
      <c r="B147" s="48">
        <v>30</v>
      </c>
      <c r="C147" s="39">
        <v>122.58</v>
      </c>
      <c r="D147" s="39">
        <v>297.94099999999997</v>
      </c>
      <c r="E147" s="45">
        <v>729.47900000000004</v>
      </c>
      <c r="F147" s="39">
        <v>1150</v>
      </c>
      <c r="G147" s="39">
        <v>100</v>
      </c>
      <c r="H147" s="47">
        <v>600</v>
      </c>
      <c r="I147" s="39">
        <v>695</v>
      </c>
      <c r="J147" s="39">
        <v>50</v>
      </c>
      <c r="K147" s="40"/>
      <c r="L147" s="40"/>
      <c r="M147" s="40"/>
      <c r="N147" s="40"/>
      <c r="O147" s="40"/>
      <c r="P147" s="40"/>
      <c r="Q147" s="40"/>
      <c r="R147" s="40"/>
      <c r="S147" s="40"/>
      <c r="T147" s="40"/>
    </row>
    <row r="148" spans="1:20" ht="15.75">
      <c r="A148" s="13">
        <v>45627</v>
      </c>
      <c r="B148" s="48">
        <v>31</v>
      </c>
      <c r="C148" s="39">
        <v>122.58</v>
      </c>
      <c r="D148" s="39">
        <v>297.94099999999997</v>
      </c>
      <c r="E148" s="45">
        <v>729.47900000000004</v>
      </c>
      <c r="F148" s="39">
        <v>1150</v>
      </c>
      <c r="G148" s="39">
        <v>100</v>
      </c>
      <c r="H148" s="47">
        <v>600</v>
      </c>
      <c r="I148" s="39">
        <v>695</v>
      </c>
      <c r="J148" s="39">
        <v>50</v>
      </c>
      <c r="K148" s="40"/>
      <c r="L148" s="40"/>
      <c r="M148" s="40"/>
      <c r="N148" s="40"/>
      <c r="O148" s="40"/>
      <c r="P148" s="40"/>
      <c r="Q148" s="40"/>
      <c r="R148" s="40"/>
      <c r="S148" s="40"/>
      <c r="T148" s="40"/>
    </row>
    <row r="149" spans="1:20" ht="15.75">
      <c r="A149" s="13">
        <v>45658</v>
      </c>
      <c r="B149" s="48">
        <v>31</v>
      </c>
      <c r="C149" s="39">
        <v>122.58</v>
      </c>
      <c r="D149" s="39">
        <v>297.94099999999997</v>
      </c>
      <c r="E149" s="45">
        <v>729.47900000000004</v>
      </c>
      <c r="F149" s="39">
        <v>1150</v>
      </c>
      <c r="G149" s="39">
        <v>100</v>
      </c>
      <c r="H149" s="47">
        <v>600</v>
      </c>
      <c r="I149" s="39">
        <v>695</v>
      </c>
      <c r="J149" s="39">
        <v>50</v>
      </c>
      <c r="K149" s="40"/>
      <c r="L149" s="40"/>
      <c r="M149" s="40"/>
      <c r="N149" s="40"/>
      <c r="O149" s="40"/>
      <c r="P149" s="40"/>
      <c r="Q149" s="40"/>
      <c r="R149" s="40"/>
      <c r="S149" s="40"/>
      <c r="T149" s="40"/>
    </row>
    <row r="150" spans="1:20" ht="15.75">
      <c r="A150" s="13">
        <v>45689</v>
      </c>
      <c r="B150" s="48">
        <v>28</v>
      </c>
      <c r="C150" s="39">
        <v>122.58</v>
      </c>
      <c r="D150" s="39">
        <v>297.94099999999997</v>
      </c>
      <c r="E150" s="45">
        <v>729.47900000000004</v>
      </c>
      <c r="F150" s="39">
        <v>1150</v>
      </c>
      <c r="G150" s="39">
        <v>100</v>
      </c>
      <c r="H150" s="47">
        <v>600</v>
      </c>
      <c r="I150" s="39">
        <v>695</v>
      </c>
      <c r="J150" s="39">
        <v>50</v>
      </c>
      <c r="K150" s="40"/>
      <c r="L150" s="40"/>
      <c r="M150" s="40"/>
      <c r="N150" s="40"/>
      <c r="O150" s="40"/>
      <c r="P150" s="40"/>
      <c r="Q150" s="40"/>
      <c r="R150" s="40"/>
      <c r="S150" s="40"/>
      <c r="T150" s="40"/>
    </row>
    <row r="151" spans="1:20" ht="15.75">
      <c r="A151" s="13">
        <v>45717</v>
      </c>
      <c r="B151" s="48">
        <v>31</v>
      </c>
      <c r="C151" s="39">
        <v>122.58</v>
      </c>
      <c r="D151" s="39">
        <v>297.94099999999997</v>
      </c>
      <c r="E151" s="45">
        <v>729.47900000000004</v>
      </c>
      <c r="F151" s="39">
        <v>1150</v>
      </c>
      <c r="G151" s="39">
        <v>100</v>
      </c>
      <c r="H151" s="47">
        <v>600</v>
      </c>
      <c r="I151" s="39">
        <v>695</v>
      </c>
      <c r="J151" s="39">
        <v>50</v>
      </c>
      <c r="K151" s="40"/>
      <c r="L151" s="40"/>
      <c r="M151" s="40"/>
      <c r="N151" s="40"/>
      <c r="O151" s="40"/>
      <c r="P151" s="40"/>
      <c r="Q151" s="40"/>
      <c r="R151" s="40"/>
      <c r="S151" s="40"/>
      <c r="T151" s="40"/>
    </row>
    <row r="152" spans="1:20" ht="15.75">
      <c r="A152" s="13">
        <v>45748</v>
      </c>
      <c r="B152" s="48">
        <v>30</v>
      </c>
      <c r="C152" s="39">
        <v>141.29300000000001</v>
      </c>
      <c r="D152" s="39">
        <v>267.99299999999999</v>
      </c>
      <c r="E152" s="45">
        <v>829.71400000000006</v>
      </c>
      <c r="F152" s="39">
        <v>1239</v>
      </c>
      <c r="G152" s="39">
        <v>100</v>
      </c>
      <c r="H152" s="47">
        <v>600</v>
      </c>
      <c r="I152" s="39">
        <v>695</v>
      </c>
      <c r="J152" s="39">
        <v>50</v>
      </c>
      <c r="K152" s="40"/>
      <c r="L152" s="40"/>
      <c r="M152" s="40"/>
      <c r="N152" s="40"/>
      <c r="O152" s="40"/>
      <c r="P152" s="40"/>
      <c r="Q152" s="40"/>
      <c r="R152" s="40"/>
      <c r="S152" s="40"/>
      <c r="T152" s="40"/>
    </row>
    <row r="153" spans="1:20" ht="15.75">
      <c r="A153" s="13">
        <v>45778</v>
      </c>
      <c r="B153" s="48">
        <v>31</v>
      </c>
      <c r="C153" s="39">
        <v>194.20500000000001</v>
      </c>
      <c r="D153" s="39">
        <v>267.46600000000001</v>
      </c>
      <c r="E153" s="45">
        <v>812.32899999999995</v>
      </c>
      <c r="F153" s="39">
        <v>1274</v>
      </c>
      <c r="G153" s="39">
        <v>75</v>
      </c>
      <c r="H153" s="47">
        <v>600</v>
      </c>
      <c r="I153" s="39">
        <v>695</v>
      </c>
      <c r="J153" s="39">
        <v>50</v>
      </c>
      <c r="K153" s="40"/>
      <c r="L153" s="40"/>
      <c r="M153" s="40"/>
      <c r="N153" s="40"/>
      <c r="O153" s="40"/>
      <c r="P153" s="40"/>
      <c r="Q153" s="40"/>
      <c r="R153" s="40"/>
      <c r="S153" s="40"/>
      <c r="T153" s="40"/>
    </row>
    <row r="154" spans="1:20" ht="15.75">
      <c r="A154" s="13">
        <v>45809</v>
      </c>
      <c r="B154" s="48">
        <v>30</v>
      </c>
      <c r="C154" s="39">
        <v>194.20500000000001</v>
      </c>
      <c r="D154" s="39">
        <v>267.46600000000001</v>
      </c>
      <c r="E154" s="45">
        <v>812.32899999999995</v>
      </c>
      <c r="F154" s="39">
        <v>1274</v>
      </c>
      <c r="G154" s="39">
        <v>50</v>
      </c>
      <c r="H154" s="47">
        <v>600</v>
      </c>
      <c r="I154" s="39">
        <v>695</v>
      </c>
      <c r="J154" s="39">
        <v>50</v>
      </c>
      <c r="K154" s="40"/>
      <c r="L154" s="40"/>
      <c r="M154" s="40"/>
      <c r="N154" s="40"/>
      <c r="O154" s="40"/>
      <c r="P154" s="40"/>
      <c r="Q154" s="40"/>
      <c r="R154" s="40"/>
      <c r="S154" s="40"/>
      <c r="T154" s="40"/>
    </row>
    <row r="155" spans="1:20" ht="15.75">
      <c r="A155" s="13">
        <v>45839</v>
      </c>
      <c r="B155" s="48">
        <v>31</v>
      </c>
      <c r="C155" s="39">
        <v>194.20500000000001</v>
      </c>
      <c r="D155" s="39">
        <v>267.46600000000001</v>
      </c>
      <c r="E155" s="45">
        <v>812.32899999999995</v>
      </c>
      <c r="F155" s="39">
        <v>1274</v>
      </c>
      <c r="G155" s="39">
        <v>50</v>
      </c>
      <c r="H155" s="47">
        <v>600</v>
      </c>
      <c r="I155" s="39">
        <v>695</v>
      </c>
      <c r="J155" s="39">
        <v>0</v>
      </c>
      <c r="K155" s="40"/>
      <c r="L155" s="40"/>
      <c r="M155" s="40"/>
      <c r="N155" s="40"/>
      <c r="O155" s="40"/>
      <c r="P155" s="40"/>
      <c r="Q155" s="40"/>
      <c r="R155" s="40"/>
      <c r="S155" s="40"/>
      <c r="T155" s="40"/>
    </row>
    <row r="156" spans="1:20" ht="15.75">
      <c r="A156" s="13">
        <v>45870</v>
      </c>
      <c r="B156" s="48">
        <v>31</v>
      </c>
      <c r="C156" s="39">
        <v>194.20500000000001</v>
      </c>
      <c r="D156" s="39">
        <v>267.46600000000001</v>
      </c>
      <c r="E156" s="45">
        <v>812.32899999999995</v>
      </c>
      <c r="F156" s="39">
        <v>1274</v>
      </c>
      <c r="G156" s="39">
        <v>50</v>
      </c>
      <c r="H156" s="47">
        <v>600</v>
      </c>
      <c r="I156" s="39">
        <v>695</v>
      </c>
      <c r="J156" s="39">
        <v>0</v>
      </c>
      <c r="K156" s="40"/>
      <c r="L156" s="40"/>
      <c r="M156" s="40"/>
      <c r="N156" s="40"/>
      <c r="O156" s="40"/>
      <c r="P156" s="40"/>
      <c r="Q156" s="40"/>
      <c r="R156" s="40"/>
      <c r="S156" s="40"/>
      <c r="T156" s="40"/>
    </row>
    <row r="157" spans="1:20" ht="15.75">
      <c r="A157" s="13">
        <v>45901</v>
      </c>
      <c r="B157" s="48">
        <v>30</v>
      </c>
      <c r="C157" s="39">
        <v>194.20500000000001</v>
      </c>
      <c r="D157" s="39">
        <v>267.46600000000001</v>
      </c>
      <c r="E157" s="45">
        <v>812.32899999999995</v>
      </c>
      <c r="F157" s="39">
        <v>1274</v>
      </c>
      <c r="G157" s="39">
        <v>50</v>
      </c>
      <c r="H157" s="47">
        <v>600</v>
      </c>
      <c r="I157" s="39">
        <v>695</v>
      </c>
      <c r="J157" s="39">
        <v>0</v>
      </c>
      <c r="K157" s="40"/>
      <c r="L157" s="40"/>
      <c r="M157" s="40"/>
      <c r="N157" s="40"/>
      <c r="O157" s="40"/>
      <c r="P157" s="40"/>
      <c r="Q157" s="40"/>
      <c r="R157" s="40"/>
      <c r="S157" s="40"/>
      <c r="T157" s="40"/>
    </row>
    <row r="158" spans="1:20" ht="15.75">
      <c r="A158" s="13">
        <v>45931</v>
      </c>
      <c r="B158" s="48">
        <v>31</v>
      </c>
      <c r="C158" s="39">
        <v>131.881</v>
      </c>
      <c r="D158" s="39">
        <v>277.16699999999997</v>
      </c>
      <c r="E158" s="45">
        <v>829.952</v>
      </c>
      <c r="F158" s="39">
        <v>1239</v>
      </c>
      <c r="G158" s="39">
        <v>75</v>
      </c>
      <c r="H158" s="47">
        <v>600</v>
      </c>
      <c r="I158" s="39">
        <v>695</v>
      </c>
      <c r="J158" s="39">
        <v>0</v>
      </c>
      <c r="K158" s="40"/>
      <c r="L158" s="40"/>
      <c r="M158" s="40"/>
      <c r="N158" s="40"/>
      <c r="O158" s="40"/>
      <c r="P158" s="40"/>
      <c r="Q158" s="40"/>
      <c r="R158" s="40"/>
      <c r="S158" s="40"/>
      <c r="T158" s="40"/>
    </row>
    <row r="159" spans="1:20" ht="15.75">
      <c r="A159" s="13">
        <v>45962</v>
      </c>
      <c r="B159" s="48">
        <v>30</v>
      </c>
      <c r="C159" s="39">
        <v>122.58</v>
      </c>
      <c r="D159" s="39">
        <v>297.94099999999997</v>
      </c>
      <c r="E159" s="45">
        <v>729.47900000000004</v>
      </c>
      <c r="F159" s="39">
        <v>1150</v>
      </c>
      <c r="G159" s="39">
        <v>100</v>
      </c>
      <c r="H159" s="47">
        <v>600</v>
      </c>
      <c r="I159" s="39">
        <v>695</v>
      </c>
      <c r="J159" s="39">
        <v>50</v>
      </c>
      <c r="K159" s="40"/>
      <c r="L159" s="40"/>
      <c r="M159" s="40"/>
      <c r="N159" s="40"/>
      <c r="O159" s="40"/>
      <c r="P159" s="40"/>
      <c r="Q159" s="40"/>
      <c r="R159" s="40"/>
      <c r="S159" s="40"/>
      <c r="T159" s="40"/>
    </row>
    <row r="160" spans="1:20" ht="15.75">
      <c r="A160" s="13">
        <v>45992</v>
      </c>
      <c r="B160" s="48">
        <v>31</v>
      </c>
      <c r="C160" s="39">
        <v>122.58</v>
      </c>
      <c r="D160" s="39">
        <v>297.94099999999997</v>
      </c>
      <c r="E160" s="45">
        <v>729.47900000000004</v>
      </c>
      <c r="F160" s="39">
        <v>1150</v>
      </c>
      <c r="G160" s="39">
        <v>100</v>
      </c>
      <c r="H160" s="47">
        <v>600</v>
      </c>
      <c r="I160" s="39">
        <v>695</v>
      </c>
      <c r="J160" s="39">
        <v>50</v>
      </c>
      <c r="K160" s="40"/>
      <c r="L160" s="40"/>
      <c r="M160" s="40"/>
      <c r="N160" s="40"/>
      <c r="O160" s="40"/>
      <c r="P160" s="40"/>
      <c r="Q160" s="40"/>
      <c r="R160" s="40"/>
      <c r="S160" s="40"/>
      <c r="T160" s="40"/>
    </row>
    <row r="161" spans="1:20" ht="15.75">
      <c r="A161" s="13">
        <v>46023</v>
      </c>
      <c r="B161" s="48">
        <v>31</v>
      </c>
      <c r="C161" s="39">
        <v>122.58</v>
      </c>
      <c r="D161" s="39">
        <v>297.94099999999997</v>
      </c>
      <c r="E161" s="45">
        <v>729.47900000000004</v>
      </c>
      <c r="F161" s="39">
        <v>1150</v>
      </c>
      <c r="G161" s="39">
        <v>100</v>
      </c>
      <c r="H161" s="47">
        <v>600</v>
      </c>
      <c r="I161" s="39">
        <v>695</v>
      </c>
      <c r="J161" s="39">
        <v>50</v>
      </c>
      <c r="K161" s="40"/>
      <c r="L161" s="40"/>
      <c r="M161" s="40"/>
      <c r="N161" s="40"/>
      <c r="O161" s="40"/>
      <c r="P161" s="40"/>
      <c r="Q161" s="40"/>
      <c r="R161" s="40"/>
      <c r="S161" s="40"/>
      <c r="T161" s="40"/>
    </row>
    <row r="162" spans="1:20" ht="15.75">
      <c r="A162" s="13">
        <v>46054</v>
      </c>
      <c r="B162" s="48">
        <v>28</v>
      </c>
      <c r="C162" s="39">
        <v>122.58</v>
      </c>
      <c r="D162" s="39">
        <v>297.94099999999997</v>
      </c>
      <c r="E162" s="45">
        <v>729.47900000000004</v>
      </c>
      <c r="F162" s="39">
        <v>1150</v>
      </c>
      <c r="G162" s="39">
        <v>100</v>
      </c>
      <c r="H162" s="47">
        <v>600</v>
      </c>
      <c r="I162" s="39">
        <v>695</v>
      </c>
      <c r="J162" s="39">
        <v>50</v>
      </c>
      <c r="K162" s="40"/>
      <c r="L162" s="40"/>
      <c r="M162" s="40"/>
      <c r="N162" s="40"/>
      <c r="O162" s="40"/>
      <c r="P162" s="40"/>
      <c r="Q162" s="40"/>
      <c r="R162" s="40"/>
      <c r="S162" s="40"/>
      <c r="T162" s="40"/>
    </row>
    <row r="163" spans="1:20" ht="15.75">
      <c r="A163" s="13">
        <v>46082</v>
      </c>
      <c r="B163" s="48">
        <v>31</v>
      </c>
      <c r="C163" s="39">
        <v>122.58</v>
      </c>
      <c r="D163" s="39">
        <v>297.94099999999997</v>
      </c>
      <c r="E163" s="45">
        <v>729.47900000000004</v>
      </c>
      <c r="F163" s="39">
        <v>1150</v>
      </c>
      <c r="G163" s="39">
        <v>100</v>
      </c>
      <c r="H163" s="47">
        <v>600</v>
      </c>
      <c r="I163" s="39">
        <v>695</v>
      </c>
      <c r="J163" s="39">
        <v>50</v>
      </c>
      <c r="K163" s="40"/>
      <c r="L163" s="40"/>
      <c r="M163" s="40"/>
      <c r="N163" s="40"/>
      <c r="O163" s="40"/>
      <c r="P163" s="40"/>
      <c r="Q163" s="40"/>
      <c r="R163" s="40"/>
      <c r="S163" s="40"/>
      <c r="T163" s="40"/>
    </row>
    <row r="164" spans="1:20" ht="15.75">
      <c r="A164" s="13">
        <v>46113</v>
      </c>
      <c r="B164" s="48">
        <v>30</v>
      </c>
      <c r="C164" s="39">
        <v>141.29300000000001</v>
      </c>
      <c r="D164" s="39">
        <v>267.99299999999999</v>
      </c>
      <c r="E164" s="45">
        <v>829.71400000000006</v>
      </c>
      <c r="F164" s="39">
        <v>1239</v>
      </c>
      <c r="G164" s="39">
        <v>100</v>
      </c>
      <c r="H164" s="47">
        <v>600</v>
      </c>
      <c r="I164" s="39">
        <v>695</v>
      </c>
      <c r="J164" s="39">
        <v>50</v>
      </c>
      <c r="K164" s="40"/>
      <c r="L164" s="40"/>
      <c r="M164" s="40"/>
      <c r="N164" s="40"/>
      <c r="O164" s="40"/>
      <c r="P164" s="40"/>
      <c r="Q164" s="40"/>
      <c r="R164" s="40"/>
      <c r="S164" s="40"/>
      <c r="T164" s="40"/>
    </row>
    <row r="165" spans="1:20" ht="15.75">
      <c r="A165" s="13">
        <v>46143</v>
      </c>
      <c r="B165" s="48">
        <v>31</v>
      </c>
      <c r="C165" s="39">
        <v>194.20500000000001</v>
      </c>
      <c r="D165" s="39">
        <v>267.46600000000001</v>
      </c>
      <c r="E165" s="45">
        <v>812.32899999999995</v>
      </c>
      <c r="F165" s="39">
        <v>1274</v>
      </c>
      <c r="G165" s="39">
        <v>75</v>
      </c>
      <c r="H165" s="47">
        <v>600</v>
      </c>
      <c r="I165" s="39">
        <v>695</v>
      </c>
      <c r="J165" s="39">
        <v>50</v>
      </c>
      <c r="K165" s="40"/>
      <c r="L165" s="40"/>
      <c r="M165" s="40"/>
      <c r="N165" s="40"/>
      <c r="O165" s="40"/>
      <c r="P165" s="40"/>
      <c r="Q165" s="40"/>
      <c r="R165" s="40"/>
      <c r="S165" s="40"/>
      <c r="T165" s="40"/>
    </row>
    <row r="166" spans="1:20" ht="15.75">
      <c r="A166" s="13">
        <v>46174</v>
      </c>
      <c r="B166" s="48">
        <v>30</v>
      </c>
      <c r="C166" s="39">
        <v>194.20500000000001</v>
      </c>
      <c r="D166" s="39">
        <v>267.46600000000001</v>
      </c>
      <c r="E166" s="45">
        <v>812.32899999999995</v>
      </c>
      <c r="F166" s="39">
        <v>1274</v>
      </c>
      <c r="G166" s="39">
        <v>50</v>
      </c>
      <c r="H166" s="47">
        <v>600</v>
      </c>
      <c r="I166" s="39">
        <v>695</v>
      </c>
      <c r="J166" s="39">
        <v>50</v>
      </c>
      <c r="K166" s="40"/>
      <c r="L166" s="40"/>
      <c r="M166" s="40"/>
      <c r="N166" s="40"/>
      <c r="O166" s="40"/>
      <c r="P166" s="40"/>
      <c r="Q166" s="40"/>
      <c r="R166" s="40"/>
      <c r="S166" s="40"/>
      <c r="T166" s="40"/>
    </row>
    <row r="167" spans="1:20" ht="15.75">
      <c r="A167" s="13">
        <v>46204</v>
      </c>
      <c r="B167" s="48">
        <v>31</v>
      </c>
      <c r="C167" s="39">
        <v>194.20500000000001</v>
      </c>
      <c r="D167" s="39">
        <v>267.46600000000001</v>
      </c>
      <c r="E167" s="45">
        <v>812.32899999999995</v>
      </c>
      <c r="F167" s="39">
        <v>1274</v>
      </c>
      <c r="G167" s="39">
        <v>50</v>
      </c>
      <c r="H167" s="47">
        <v>600</v>
      </c>
      <c r="I167" s="39">
        <v>695</v>
      </c>
      <c r="J167" s="39">
        <v>0</v>
      </c>
      <c r="K167" s="40"/>
      <c r="L167" s="40"/>
      <c r="M167" s="40"/>
      <c r="N167" s="40"/>
      <c r="O167" s="40"/>
      <c r="P167" s="40"/>
      <c r="Q167" s="40"/>
      <c r="R167" s="40"/>
      <c r="S167" s="40"/>
      <c r="T167" s="40"/>
    </row>
    <row r="168" spans="1:20" ht="15.75">
      <c r="A168" s="13">
        <v>46235</v>
      </c>
      <c r="B168" s="48">
        <v>31</v>
      </c>
      <c r="C168" s="39">
        <v>194.20500000000001</v>
      </c>
      <c r="D168" s="39">
        <v>267.46600000000001</v>
      </c>
      <c r="E168" s="45">
        <v>812.32899999999995</v>
      </c>
      <c r="F168" s="39">
        <v>1274</v>
      </c>
      <c r="G168" s="39">
        <v>50</v>
      </c>
      <c r="H168" s="47">
        <v>600</v>
      </c>
      <c r="I168" s="39">
        <v>695</v>
      </c>
      <c r="J168" s="39">
        <v>0</v>
      </c>
      <c r="K168" s="40"/>
      <c r="L168" s="40"/>
      <c r="M168" s="40"/>
      <c r="N168" s="40"/>
      <c r="O168" s="40"/>
      <c r="P168" s="40"/>
      <c r="Q168" s="40"/>
      <c r="R168" s="40"/>
      <c r="S168" s="40"/>
      <c r="T168" s="40"/>
    </row>
    <row r="169" spans="1:20" ht="15.75">
      <c r="A169" s="13">
        <v>46266</v>
      </c>
      <c r="B169" s="48">
        <v>30</v>
      </c>
      <c r="C169" s="39">
        <v>194.20500000000001</v>
      </c>
      <c r="D169" s="39">
        <v>267.46600000000001</v>
      </c>
      <c r="E169" s="45">
        <v>812.32899999999995</v>
      </c>
      <c r="F169" s="39">
        <v>1274</v>
      </c>
      <c r="G169" s="39">
        <v>50</v>
      </c>
      <c r="H169" s="47">
        <v>600</v>
      </c>
      <c r="I169" s="39">
        <v>695</v>
      </c>
      <c r="J169" s="39">
        <v>0</v>
      </c>
      <c r="K169" s="40"/>
      <c r="L169" s="40"/>
      <c r="M169" s="40"/>
      <c r="N169" s="40"/>
      <c r="O169" s="40"/>
      <c r="P169" s="40"/>
      <c r="Q169" s="40"/>
      <c r="R169" s="40"/>
      <c r="S169" s="40"/>
      <c r="T169" s="40"/>
    </row>
    <row r="170" spans="1:20" ht="15.75">
      <c r="A170" s="13">
        <v>46296</v>
      </c>
      <c r="B170" s="48">
        <v>31</v>
      </c>
      <c r="C170" s="39">
        <v>131.881</v>
      </c>
      <c r="D170" s="39">
        <v>277.16699999999997</v>
      </c>
      <c r="E170" s="45">
        <v>829.952</v>
      </c>
      <c r="F170" s="39">
        <v>1239</v>
      </c>
      <c r="G170" s="39">
        <v>75</v>
      </c>
      <c r="H170" s="47">
        <v>600</v>
      </c>
      <c r="I170" s="39">
        <v>695</v>
      </c>
      <c r="J170" s="39">
        <v>0</v>
      </c>
      <c r="K170" s="40"/>
      <c r="L170" s="40"/>
      <c r="M170" s="40"/>
      <c r="N170" s="40"/>
      <c r="O170" s="40"/>
      <c r="P170" s="40"/>
      <c r="Q170" s="40"/>
      <c r="R170" s="40"/>
      <c r="S170" s="40"/>
      <c r="T170" s="40"/>
    </row>
    <row r="171" spans="1:20" ht="15.75">
      <c r="A171" s="13">
        <v>46327</v>
      </c>
      <c r="B171" s="48">
        <v>30</v>
      </c>
      <c r="C171" s="39">
        <v>122.58</v>
      </c>
      <c r="D171" s="39">
        <v>297.94099999999997</v>
      </c>
      <c r="E171" s="45">
        <v>729.47900000000004</v>
      </c>
      <c r="F171" s="39">
        <v>1150</v>
      </c>
      <c r="G171" s="39">
        <v>100</v>
      </c>
      <c r="H171" s="47">
        <v>600</v>
      </c>
      <c r="I171" s="39">
        <v>695</v>
      </c>
      <c r="J171" s="39">
        <v>50</v>
      </c>
      <c r="K171" s="40"/>
      <c r="L171" s="40"/>
      <c r="M171" s="40"/>
      <c r="N171" s="40"/>
      <c r="O171" s="40"/>
      <c r="P171" s="40"/>
      <c r="Q171" s="40"/>
      <c r="R171" s="40"/>
      <c r="S171" s="40"/>
      <c r="T171" s="40"/>
    </row>
    <row r="172" spans="1:20" ht="15.75">
      <c r="A172" s="13">
        <v>46357</v>
      </c>
      <c r="B172" s="48">
        <v>31</v>
      </c>
      <c r="C172" s="39">
        <v>122.58</v>
      </c>
      <c r="D172" s="39">
        <v>297.94099999999997</v>
      </c>
      <c r="E172" s="45">
        <v>729.47900000000004</v>
      </c>
      <c r="F172" s="39">
        <v>1150</v>
      </c>
      <c r="G172" s="39">
        <v>100</v>
      </c>
      <c r="H172" s="47">
        <v>600</v>
      </c>
      <c r="I172" s="39">
        <v>695</v>
      </c>
      <c r="J172" s="39">
        <v>50</v>
      </c>
      <c r="K172" s="40"/>
      <c r="L172" s="40"/>
      <c r="M172" s="40"/>
      <c r="N172" s="40"/>
      <c r="O172" s="40"/>
      <c r="P172" s="40"/>
      <c r="Q172" s="40"/>
      <c r="R172" s="40"/>
      <c r="S172" s="40"/>
      <c r="T172" s="40"/>
    </row>
    <row r="173" spans="1:20" ht="15.75">
      <c r="A173" s="13">
        <v>46388</v>
      </c>
      <c r="B173" s="48">
        <v>31</v>
      </c>
      <c r="C173" s="39">
        <v>122.58</v>
      </c>
      <c r="D173" s="39">
        <v>297.94099999999997</v>
      </c>
      <c r="E173" s="45">
        <v>729.47900000000004</v>
      </c>
      <c r="F173" s="39">
        <v>1150</v>
      </c>
      <c r="G173" s="39">
        <v>100</v>
      </c>
      <c r="H173" s="47">
        <v>600</v>
      </c>
      <c r="I173" s="39">
        <v>695</v>
      </c>
      <c r="J173" s="39">
        <v>50</v>
      </c>
      <c r="K173" s="40"/>
      <c r="L173" s="40"/>
      <c r="M173" s="40"/>
      <c r="N173" s="40"/>
      <c r="O173" s="40"/>
      <c r="P173" s="40"/>
      <c r="Q173" s="40"/>
      <c r="R173" s="40"/>
      <c r="S173" s="40"/>
      <c r="T173" s="40"/>
    </row>
    <row r="174" spans="1:20" ht="15.75">
      <c r="A174" s="13">
        <v>46419</v>
      </c>
      <c r="B174" s="48">
        <v>28</v>
      </c>
      <c r="C174" s="39">
        <v>122.58</v>
      </c>
      <c r="D174" s="39">
        <v>297.94099999999997</v>
      </c>
      <c r="E174" s="45">
        <v>729.47900000000004</v>
      </c>
      <c r="F174" s="39">
        <v>1150</v>
      </c>
      <c r="G174" s="39">
        <v>100</v>
      </c>
      <c r="H174" s="47">
        <v>600</v>
      </c>
      <c r="I174" s="39">
        <v>695</v>
      </c>
      <c r="J174" s="39">
        <v>50</v>
      </c>
      <c r="K174" s="40"/>
      <c r="L174" s="40"/>
      <c r="M174" s="40"/>
      <c r="N174" s="40"/>
      <c r="O174" s="40"/>
      <c r="P174" s="40"/>
      <c r="Q174" s="40"/>
      <c r="R174" s="40"/>
      <c r="S174" s="40"/>
      <c r="T174" s="40"/>
    </row>
    <row r="175" spans="1:20" ht="15.75">
      <c r="A175" s="13">
        <v>46447</v>
      </c>
      <c r="B175" s="48">
        <v>31</v>
      </c>
      <c r="C175" s="39">
        <v>122.58</v>
      </c>
      <c r="D175" s="39">
        <v>297.94099999999997</v>
      </c>
      <c r="E175" s="45">
        <v>729.47900000000004</v>
      </c>
      <c r="F175" s="39">
        <v>1150</v>
      </c>
      <c r="G175" s="39">
        <v>100</v>
      </c>
      <c r="H175" s="47">
        <v>600</v>
      </c>
      <c r="I175" s="39">
        <v>695</v>
      </c>
      <c r="J175" s="39">
        <v>50</v>
      </c>
      <c r="K175" s="40"/>
      <c r="L175" s="40"/>
      <c r="M175" s="40"/>
      <c r="N175" s="40"/>
      <c r="O175" s="40"/>
      <c r="P175" s="40"/>
      <c r="Q175" s="40"/>
      <c r="R175" s="40"/>
      <c r="S175" s="40"/>
      <c r="T175" s="40"/>
    </row>
    <row r="176" spans="1:20" ht="15.75">
      <c r="A176" s="13">
        <v>46478</v>
      </c>
      <c r="B176" s="48">
        <v>30</v>
      </c>
      <c r="C176" s="39">
        <v>141.29300000000001</v>
      </c>
      <c r="D176" s="39">
        <v>267.99299999999999</v>
      </c>
      <c r="E176" s="45">
        <v>829.71400000000006</v>
      </c>
      <c r="F176" s="39">
        <v>1239</v>
      </c>
      <c r="G176" s="39">
        <v>100</v>
      </c>
      <c r="H176" s="47">
        <v>600</v>
      </c>
      <c r="I176" s="39">
        <v>695</v>
      </c>
      <c r="J176" s="39">
        <v>50</v>
      </c>
      <c r="K176" s="40"/>
      <c r="L176" s="40"/>
      <c r="M176" s="40"/>
      <c r="N176" s="40"/>
      <c r="O176" s="40"/>
      <c r="P176" s="40"/>
      <c r="Q176" s="40"/>
      <c r="R176" s="40"/>
      <c r="S176" s="40"/>
      <c r="T176" s="40"/>
    </row>
    <row r="177" spans="1:20" ht="15.75">
      <c r="A177" s="13">
        <v>46508</v>
      </c>
      <c r="B177" s="48">
        <v>31</v>
      </c>
      <c r="C177" s="39">
        <v>194.20500000000001</v>
      </c>
      <c r="D177" s="39">
        <v>267.46600000000001</v>
      </c>
      <c r="E177" s="45">
        <v>812.32899999999995</v>
      </c>
      <c r="F177" s="39">
        <v>1274</v>
      </c>
      <c r="G177" s="39">
        <v>75</v>
      </c>
      <c r="H177" s="47">
        <v>600</v>
      </c>
      <c r="I177" s="39">
        <v>695</v>
      </c>
      <c r="J177" s="39">
        <v>50</v>
      </c>
      <c r="K177" s="40"/>
      <c r="L177" s="40"/>
      <c r="M177" s="40"/>
      <c r="N177" s="40"/>
      <c r="O177" s="40"/>
      <c r="P177" s="40"/>
      <c r="Q177" s="40"/>
      <c r="R177" s="40"/>
      <c r="S177" s="40"/>
      <c r="T177" s="40"/>
    </row>
    <row r="178" spans="1:20" ht="15.75">
      <c r="A178" s="13">
        <v>46539</v>
      </c>
      <c r="B178" s="48">
        <v>30</v>
      </c>
      <c r="C178" s="39">
        <v>194.20500000000001</v>
      </c>
      <c r="D178" s="39">
        <v>267.46600000000001</v>
      </c>
      <c r="E178" s="45">
        <v>812.32899999999995</v>
      </c>
      <c r="F178" s="39">
        <v>1274</v>
      </c>
      <c r="G178" s="39">
        <v>50</v>
      </c>
      <c r="H178" s="47">
        <v>600</v>
      </c>
      <c r="I178" s="39">
        <v>695</v>
      </c>
      <c r="J178" s="39">
        <v>50</v>
      </c>
      <c r="K178" s="40"/>
      <c r="L178" s="40"/>
      <c r="M178" s="40"/>
      <c r="N178" s="40"/>
      <c r="O178" s="40"/>
      <c r="P178" s="40"/>
      <c r="Q178" s="40"/>
      <c r="R178" s="40"/>
      <c r="S178" s="40"/>
      <c r="T178" s="40"/>
    </row>
    <row r="179" spans="1:20" ht="15.75">
      <c r="A179" s="13">
        <v>46569</v>
      </c>
      <c r="B179" s="48">
        <v>31</v>
      </c>
      <c r="C179" s="39">
        <v>194.20500000000001</v>
      </c>
      <c r="D179" s="39">
        <v>267.46600000000001</v>
      </c>
      <c r="E179" s="45">
        <v>812.32899999999995</v>
      </c>
      <c r="F179" s="39">
        <v>1274</v>
      </c>
      <c r="G179" s="39">
        <v>50</v>
      </c>
      <c r="H179" s="47">
        <v>600</v>
      </c>
      <c r="I179" s="39">
        <v>695</v>
      </c>
      <c r="J179" s="39">
        <v>0</v>
      </c>
      <c r="K179" s="40"/>
      <c r="L179" s="40"/>
      <c r="M179" s="40"/>
      <c r="N179" s="40"/>
      <c r="O179" s="40"/>
      <c r="P179" s="40"/>
      <c r="Q179" s="40"/>
      <c r="R179" s="40"/>
      <c r="S179" s="40"/>
      <c r="T179" s="40"/>
    </row>
    <row r="180" spans="1:20" ht="15.75">
      <c r="A180" s="13">
        <v>46600</v>
      </c>
      <c r="B180" s="48">
        <v>31</v>
      </c>
      <c r="C180" s="39">
        <v>194.20500000000001</v>
      </c>
      <c r="D180" s="39">
        <v>267.46600000000001</v>
      </c>
      <c r="E180" s="45">
        <v>812.32899999999995</v>
      </c>
      <c r="F180" s="39">
        <v>1274</v>
      </c>
      <c r="G180" s="39">
        <v>50</v>
      </c>
      <c r="H180" s="47">
        <v>600</v>
      </c>
      <c r="I180" s="39">
        <v>695</v>
      </c>
      <c r="J180" s="39">
        <v>0</v>
      </c>
      <c r="K180" s="40"/>
      <c r="L180" s="40"/>
      <c r="M180" s="40"/>
      <c r="N180" s="40"/>
      <c r="O180" s="40"/>
      <c r="P180" s="40"/>
      <c r="Q180" s="40"/>
      <c r="R180" s="40"/>
      <c r="S180" s="40"/>
      <c r="T180" s="40"/>
    </row>
    <row r="181" spans="1:20" ht="15.75">
      <c r="A181" s="13">
        <v>46631</v>
      </c>
      <c r="B181" s="48">
        <v>30</v>
      </c>
      <c r="C181" s="39">
        <v>194.20500000000001</v>
      </c>
      <c r="D181" s="39">
        <v>267.46600000000001</v>
      </c>
      <c r="E181" s="45">
        <v>812.32899999999995</v>
      </c>
      <c r="F181" s="39">
        <v>1274</v>
      </c>
      <c r="G181" s="39">
        <v>50</v>
      </c>
      <c r="H181" s="47">
        <v>600</v>
      </c>
      <c r="I181" s="39">
        <v>695</v>
      </c>
      <c r="J181" s="39">
        <v>0</v>
      </c>
      <c r="K181" s="40"/>
      <c r="L181" s="40"/>
      <c r="M181" s="40"/>
      <c r="N181" s="40"/>
      <c r="O181" s="40"/>
      <c r="P181" s="40"/>
      <c r="Q181" s="40"/>
      <c r="R181" s="40"/>
      <c r="S181" s="40"/>
      <c r="T181" s="40"/>
    </row>
    <row r="182" spans="1:20" ht="15.75">
      <c r="A182" s="13">
        <v>46661</v>
      </c>
      <c r="B182" s="48">
        <v>31</v>
      </c>
      <c r="C182" s="39">
        <v>131.881</v>
      </c>
      <c r="D182" s="39">
        <v>277.16699999999997</v>
      </c>
      <c r="E182" s="45">
        <v>829.952</v>
      </c>
      <c r="F182" s="39">
        <v>1239</v>
      </c>
      <c r="G182" s="39">
        <v>75</v>
      </c>
      <c r="H182" s="47">
        <v>600</v>
      </c>
      <c r="I182" s="39">
        <v>695</v>
      </c>
      <c r="J182" s="39">
        <v>0</v>
      </c>
      <c r="K182" s="40"/>
      <c r="L182" s="40"/>
      <c r="M182" s="40"/>
      <c r="N182" s="40"/>
      <c r="O182" s="40"/>
      <c r="P182" s="40"/>
      <c r="Q182" s="40"/>
      <c r="R182" s="40"/>
      <c r="S182" s="40"/>
      <c r="T182" s="40"/>
    </row>
    <row r="183" spans="1:20" ht="15.75">
      <c r="A183" s="13">
        <v>46692</v>
      </c>
      <c r="B183" s="48">
        <v>30</v>
      </c>
      <c r="C183" s="39">
        <v>122.58</v>
      </c>
      <c r="D183" s="39">
        <v>297.94099999999997</v>
      </c>
      <c r="E183" s="45">
        <v>729.47900000000004</v>
      </c>
      <c r="F183" s="39">
        <v>1150</v>
      </c>
      <c r="G183" s="39">
        <v>100</v>
      </c>
      <c r="H183" s="47">
        <v>600</v>
      </c>
      <c r="I183" s="39">
        <v>695</v>
      </c>
      <c r="J183" s="39">
        <v>50</v>
      </c>
      <c r="K183" s="40"/>
      <c r="L183" s="40"/>
      <c r="M183" s="40"/>
      <c r="N183" s="40"/>
      <c r="O183" s="40"/>
      <c r="P183" s="40"/>
      <c r="Q183" s="40"/>
      <c r="R183" s="40"/>
      <c r="S183" s="40"/>
      <c r="T183" s="40"/>
    </row>
    <row r="184" spans="1:20" ht="15.75">
      <c r="A184" s="13">
        <v>46722</v>
      </c>
      <c r="B184" s="48">
        <v>31</v>
      </c>
      <c r="C184" s="39">
        <v>122.58</v>
      </c>
      <c r="D184" s="39">
        <v>297.94099999999997</v>
      </c>
      <c r="E184" s="45">
        <v>729.47900000000004</v>
      </c>
      <c r="F184" s="39">
        <v>1150</v>
      </c>
      <c r="G184" s="39">
        <v>100</v>
      </c>
      <c r="H184" s="47">
        <v>600</v>
      </c>
      <c r="I184" s="39">
        <v>695</v>
      </c>
      <c r="J184" s="39">
        <v>50</v>
      </c>
      <c r="K184" s="40"/>
      <c r="L184" s="40"/>
      <c r="M184" s="40"/>
      <c r="N184" s="40"/>
      <c r="O184" s="40"/>
      <c r="P184" s="40"/>
      <c r="Q184" s="40"/>
      <c r="R184" s="40"/>
      <c r="S184" s="40"/>
      <c r="T184" s="40"/>
    </row>
    <row r="185" spans="1:20" ht="15.75">
      <c r="A185" s="13">
        <v>46753</v>
      </c>
      <c r="B185" s="48">
        <v>31</v>
      </c>
      <c r="C185" s="39">
        <v>122.58</v>
      </c>
      <c r="D185" s="39">
        <v>297.94099999999997</v>
      </c>
      <c r="E185" s="45">
        <v>729.47900000000004</v>
      </c>
      <c r="F185" s="39">
        <v>1150</v>
      </c>
      <c r="G185" s="39">
        <v>100</v>
      </c>
      <c r="H185" s="47">
        <v>600</v>
      </c>
      <c r="I185" s="39">
        <v>695</v>
      </c>
      <c r="J185" s="39">
        <v>50</v>
      </c>
      <c r="K185" s="40"/>
      <c r="L185" s="40"/>
      <c r="M185" s="40"/>
      <c r="N185" s="40"/>
      <c r="O185" s="40"/>
      <c r="P185" s="40"/>
      <c r="Q185" s="40"/>
      <c r="R185" s="40"/>
      <c r="S185" s="40"/>
      <c r="T185" s="40"/>
    </row>
    <row r="186" spans="1:20" ht="15.75">
      <c r="A186" s="13">
        <v>46784</v>
      </c>
      <c r="B186" s="48">
        <v>29</v>
      </c>
      <c r="C186" s="39">
        <v>122.58</v>
      </c>
      <c r="D186" s="39">
        <v>297.94099999999997</v>
      </c>
      <c r="E186" s="45">
        <v>729.47900000000004</v>
      </c>
      <c r="F186" s="39">
        <v>1150</v>
      </c>
      <c r="G186" s="39">
        <v>100</v>
      </c>
      <c r="H186" s="47">
        <v>600</v>
      </c>
      <c r="I186" s="39">
        <v>695</v>
      </c>
      <c r="J186" s="39">
        <v>50</v>
      </c>
      <c r="K186" s="40"/>
      <c r="L186" s="40"/>
      <c r="M186" s="40"/>
      <c r="N186" s="40"/>
      <c r="O186" s="40"/>
      <c r="P186" s="40"/>
      <c r="Q186" s="40"/>
      <c r="R186" s="40"/>
      <c r="S186" s="40"/>
      <c r="T186" s="40"/>
    </row>
    <row r="187" spans="1:20" ht="15.75">
      <c r="A187" s="13">
        <v>46813</v>
      </c>
      <c r="B187" s="48">
        <v>31</v>
      </c>
      <c r="C187" s="39">
        <v>122.58</v>
      </c>
      <c r="D187" s="39">
        <v>297.94099999999997</v>
      </c>
      <c r="E187" s="45">
        <v>729.47900000000004</v>
      </c>
      <c r="F187" s="39">
        <v>1150</v>
      </c>
      <c r="G187" s="39">
        <v>100</v>
      </c>
      <c r="H187" s="47">
        <v>600</v>
      </c>
      <c r="I187" s="39">
        <v>695</v>
      </c>
      <c r="J187" s="39">
        <v>50</v>
      </c>
      <c r="K187" s="40"/>
      <c r="L187" s="40"/>
      <c r="M187" s="40"/>
      <c r="N187" s="40"/>
      <c r="O187" s="40"/>
      <c r="P187" s="40"/>
      <c r="Q187" s="40"/>
      <c r="R187" s="40"/>
      <c r="S187" s="40"/>
      <c r="T187" s="40"/>
    </row>
    <row r="188" spans="1:20" ht="15.75">
      <c r="A188" s="13">
        <v>46844</v>
      </c>
      <c r="B188" s="48">
        <v>30</v>
      </c>
      <c r="C188" s="39">
        <v>141.29300000000001</v>
      </c>
      <c r="D188" s="39">
        <v>267.99299999999999</v>
      </c>
      <c r="E188" s="45">
        <v>829.71400000000006</v>
      </c>
      <c r="F188" s="39">
        <v>1239</v>
      </c>
      <c r="G188" s="39">
        <v>100</v>
      </c>
      <c r="H188" s="47">
        <v>600</v>
      </c>
      <c r="I188" s="39">
        <v>695</v>
      </c>
      <c r="J188" s="39">
        <v>50</v>
      </c>
      <c r="K188" s="40"/>
      <c r="L188" s="40"/>
      <c r="M188" s="40"/>
      <c r="N188" s="40"/>
      <c r="O188" s="40"/>
      <c r="P188" s="40"/>
      <c r="Q188" s="40"/>
      <c r="R188" s="40"/>
      <c r="S188" s="40"/>
      <c r="T188" s="40"/>
    </row>
    <row r="189" spans="1:20" ht="15.75">
      <c r="A189" s="13">
        <v>46874</v>
      </c>
      <c r="B189" s="48">
        <v>31</v>
      </c>
      <c r="C189" s="39">
        <v>194.20500000000001</v>
      </c>
      <c r="D189" s="39">
        <v>267.46600000000001</v>
      </c>
      <c r="E189" s="45">
        <v>812.32899999999995</v>
      </c>
      <c r="F189" s="39">
        <v>1274</v>
      </c>
      <c r="G189" s="39">
        <v>75</v>
      </c>
      <c r="H189" s="47">
        <v>600</v>
      </c>
      <c r="I189" s="39">
        <v>695</v>
      </c>
      <c r="J189" s="39">
        <v>50</v>
      </c>
      <c r="K189" s="40"/>
      <c r="L189" s="40"/>
      <c r="M189" s="40"/>
      <c r="N189" s="40"/>
      <c r="O189" s="40"/>
      <c r="P189" s="40"/>
      <c r="Q189" s="40"/>
      <c r="R189" s="40"/>
      <c r="S189" s="40"/>
      <c r="T189" s="40"/>
    </row>
    <row r="190" spans="1:20" ht="15.75">
      <c r="A190" s="13">
        <v>46905</v>
      </c>
      <c r="B190" s="48">
        <v>30</v>
      </c>
      <c r="C190" s="39">
        <v>194.20500000000001</v>
      </c>
      <c r="D190" s="39">
        <v>267.46600000000001</v>
      </c>
      <c r="E190" s="45">
        <v>812.32899999999995</v>
      </c>
      <c r="F190" s="39">
        <v>1274</v>
      </c>
      <c r="G190" s="39">
        <v>50</v>
      </c>
      <c r="H190" s="47">
        <v>600</v>
      </c>
      <c r="I190" s="39">
        <v>695</v>
      </c>
      <c r="J190" s="39">
        <v>50</v>
      </c>
      <c r="K190" s="40"/>
      <c r="L190" s="40"/>
      <c r="M190" s="40"/>
      <c r="N190" s="40"/>
      <c r="O190" s="40"/>
      <c r="P190" s="40"/>
      <c r="Q190" s="40"/>
      <c r="R190" s="40"/>
      <c r="S190" s="40"/>
      <c r="T190" s="40"/>
    </row>
    <row r="191" spans="1:20" ht="15.75">
      <c r="A191" s="13">
        <v>46935</v>
      </c>
      <c r="B191" s="48">
        <v>31</v>
      </c>
      <c r="C191" s="39">
        <v>194.20500000000001</v>
      </c>
      <c r="D191" s="39">
        <v>267.46600000000001</v>
      </c>
      <c r="E191" s="45">
        <v>812.32899999999995</v>
      </c>
      <c r="F191" s="39">
        <v>1274</v>
      </c>
      <c r="G191" s="39">
        <v>50</v>
      </c>
      <c r="H191" s="47">
        <v>600</v>
      </c>
      <c r="I191" s="39">
        <v>695</v>
      </c>
      <c r="J191" s="39">
        <v>0</v>
      </c>
      <c r="K191" s="40"/>
      <c r="L191" s="40"/>
      <c r="M191" s="40"/>
      <c r="N191" s="40"/>
      <c r="O191" s="40"/>
      <c r="P191" s="40"/>
      <c r="Q191" s="40"/>
      <c r="R191" s="40"/>
      <c r="S191" s="40"/>
      <c r="T191" s="40"/>
    </row>
    <row r="192" spans="1:20" ht="15.75">
      <c r="A192" s="13">
        <v>46966</v>
      </c>
      <c r="B192" s="48">
        <v>31</v>
      </c>
      <c r="C192" s="39">
        <v>194.20500000000001</v>
      </c>
      <c r="D192" s="39">
        <v>267.46600000000001</v>
      </c>
      <c r="E192" s="45">
        <v>812.32899999999995</v>
      </c>
      <c r="F192" s="39">
        <v>1274</v>
      </c>
      <c r="G192" s="39">
        <v>50</v>
      </c>
      <c r="H192" s="47">
        <v>600</v>
      </c>
      <c r="I192" s="39">
        <v>695</v>
      </c>
      <c r="J192" s="39">
        <v>0</v>
      </c>
      <c r="K192" s="40"/>
      <c r="L192" s="40"/>
      <c r="M192" s="40"/>
      <c r="N192" s="40"/>
      <c r="O192" s="40"/>
      <c r="P192" s="40"/>
      <c r="Q192" s="40"/>
      <c r="R192" s="40"/>
      <c r="S192" s="40"/>
      <c r="T192" s="40"/>
    </row>
    <row r="193" spans="1:20" ht="15.75">
      <c r="A193" s="13">
        <v>46997</v>
      </c>
      <c r="B193" s="48">
        <v>30</v>
      </c>
      <c r="C193" s="39">
        <v>194.20500000000001</v>
      </c>
      <c r="D193" s="39">
        <v>267.46600000000001</v>
      </c>
      <c r="E193" s="45">
        <v>812.32899999999995</v>
      </c>
      <c r="F193" s="39">
        <v>1274</v>
      </c>
      <c r="G193" s="39">
        <v>50</v>
      </c>
      <c r="H193" s="47">
        <v>600</v>
      </c>
      <c r="I193" s="39">
        <v>695</v>
      </c>
      <c r="J193" s="39">
        <v>0</v>
      </c>
      <c r="K193" s="40"/>
      <c r="L193" s="40"/>
      <c r="M193" s="40"/>
      <c r="N193" s="40"/>
      <c r="O193" s="40"/>
      <c r="P193" s="40"/>
      <c r="Q193" s="40"/>
      <c r="R193" s="40"/>
      <c r="S193" s="40"/>
      <c r="T193" s="40"/>
    </row>
    <row r="194" spans="1:20" ht="15.75">
      <c r="A194" s="13">
        <v>47027</v>
      </c>
      <c r="B194" s="48">
        <v>31</v>
      </c>
      <c r="C194" s="39">
        <v>131.881</v>
      </c>
      <c r="D194" s="39">
        <v>277.16699999999997</v>
      </c>
      <c r="E194" s="45">
        <v>829.952</v>
      </c>
      <c r="F194" s="39">
        <v>1239</v>
      </c>
      <c r="G194" s="39">
        <v>75</v>
      </c>
      <c r="H194" s="47">
        <v>600</v>
      </c>
      <c r="I194" s="39">
        <v>695</v>
      </c>
      <c r="J194" s="39">
        <v>0</v>
      </c>
      <c r="K194" s="40"/>
      <c r="L194" s="40"/>
      <c r="M194" s="40"/>
      <c r="N194" s="40"/>
      <c r="O194" s="40"/>
      <c r="P194" s="40"/>
      <c r="Q194" s="40"/>
      <c r="R194" s="40"/>
      <c r="S194" s="40"/>
      <c r="T194" s="40"/>
    </row>
    <row r="195" spans="1:20" ht="15.75">
      <c r="A195" s="13">
        <v>47058</v>
      </c>
      <c r="B195" s="48">
        <v>30</v>
      </c>
      <c r="C195" s="39">
        <v>122.58</v>
      </c>
      <c r="D195" s="39">
        <v>297.94099999999997</v>
      </c>
      <c r="E195" s="45">
        <v>729.47900000000004</v>
      </c>
      <c r="F195" s="39">
        <v>1150</v>
      </c>
      <c r="G195" s="39">
        <v>100</v>
      </c>
      <c r="H195" s="47">
        <v>600</v>
      </c>
      <c r="I195" s="39">
        <v>695</v>
      </c>
      <c r="J195" s="39">
        <v>50</v>
      </c>
      <c r="K195" s="40"/>
      <c r="L195" s="40"/>
      <c r="M195" s="40"/>
      <c r="N195" s="40"/>
      <c r="O195" s="40"/>
      <c r="P195" s="40"/>
      <c r="Q195" s="40"/>
      <c r="R195" s="40"/>
      <c r="S195" s="40"/>
      <c r="T195" s="40"/>
    </row>
    <row r="196" spans="1:20" ht="15.75">
      <c r="A196" s="13">
        <v>47088</v>
      </c>
      <c r="B196" s="48">
        <v>31</v>
      </c>
      <c r="C196" s="39">
        <v>122.58</v>
      </c>
      <c r="D196" s="39">
        <v>297.94099999999997</v>
      </c>
      <c r="E196" s="45">
        <v>729.47900000000004</v>
      </c>
      <c r="F196" s="39">
        <v>1150</v>
      </c>
      <c r="G196" s="39">
        <v>100</v>
      </c>
      <c r="H196" s="47">
        <v>600</v>
      </c>
      <c r="I196" s="39">
        <v>695</v>
      </c>
      <c r="J196" s="39">
        <v>50</v>
      </c>
      <c r="K196" s="40"/>
      <c r="L196" s="40"/>
      <c r="M196" s="40"/>
      <c r="N196" s="40"/>
      <c r="O196" s="40"/>
      <c r="P196" s="40"/>
      <c r="Q196" s="40"/>
      <c r="R196" s="40"/>
      <c r="S196" s="40"/>
      <c r="T196" s="40"/>
    </row>
    <row r="197" spans="1:20" ht="15.75">
      <c r="A197" s="13">
        <v>47119</v>
      </c>
      <c r="B197" s="48">
        <v>31</v>
      </c>
      <c r="C197" s="39">
        <v>122.58</v>
      </c>
      <c r="D197" s="39">
        <v>297.94099999999997</v>
      </c>
      <c r="E197" s="45">
        <v>729.47900000000004</v>
      </c>
      <c r="F197" s="39">
        <v>1150</v>
      </c>
      <c r="G197" s="39">
        <v>100</v>
      </c>
      <c r="H197" s="47">
        <v>600</v>
      </c>
      <c r="I197" s="39">
        <v>695</v>
      </c>
      <c r="J197" s="39">
        <v>50</v>
      </c>
      <c r="K197" s="40"/>
      <c r="L197" s="40"/>
      <c r="M197" s="40"/>
      <c r="N197" s="40"/>
      <c r="O197" s="40"/>
      <c r="P197" s="40"/>
      <c r="Q197" s="40"/>
      <c r="R197" s="40"/>
      <c r="S197" s="40"/>
      <c r="T197" s="40"/>
    </row>
    <row r="198" spans="1:20" ht="15.75">
      <c r="A198" s="13">
        <v>47150</v>
      </c>
      <c r="B198" s="48">
        <v>28</v>
      </c>
      <c r="C198" s="39">
        <v>122.58</v>
      </c>
      <c r="D198" s="39">
        <v>297.94099999999997</v>
      </c>
      <c r="E198" s="45">
        <v>729.47900000000004</v>
      </c>
      <c r="F198" s="39">
        <v>1150</v>
      </c>
      <c r="G198" s="39">
        <v>100</v>
      </c>
      <c r="H198" s="47">
        <v>600</v>
      </c>
      <c r="I198" s="39">
        <v>695</v>
      </c>
      <c r="J198" s="39">
        <v>50</v>
      </c>
      <c r="K198" s="40"/>
      <c r="L198" s="40"/>
      <c r="M198" s="40"/>
      <c r="N198" s="40"/>
      <c r="O198" s="40"/>
      <c r="P198" s="40"/>
      <c r="Q198" s="40"/>
      <c r="R198" s="40"/>
      <c r="S198" s="40"/>
      <c r="T198" s="40"/>
    </row>
    <row r="199" spans="1:20" ht="15.75">
      <c r="A199" s="13">
        <v>47178</v>
      </c>
      <c r="B199" s="48">
        <v>31</v>
      </c>
      <c r="C199" s="39">
        <v>122.58</v>
      </c>
      <c r="D199" s="39">
        <v>297.94099999999997</v>
      </c>
      <c r="E199" s="45">
        <v>729.47900000000004</v>
      </c>
      <c r="F199" s="39">
        <v>1150</v>
      </c>
      <c r="G199" s="39">
        <v>100</v>
      </c>
      <c r="H199" s="47">
        <v>600</v>
      </c>
      <c r="I199" s="39">
        <v>695</v>
      </c>
      <c r="J199" s="39">
        <v>50</v>
      </c>
      <c r="K199" s="40"/>
      <c r="L199" s="40"/>
      <c r="M199" s="40"/>
      <c r="N199" s="40"/>
      <c r="O199" s="40"/>
      <c r="P199" s="40"/>
      <c r="Q199" s="40"/>
      <c r="R199" s="40"/>
      <c r="S199" s="40"/>
      <c r="T199" s="40"/>
    </row>
    <row r="200" spans="1:20" ht="15.75">
      <c r="A200" s="13">
        <v>47209</v>
      </c>
      <c r="B200" s="48">
        <v>30</v>
      </c>
      <c r="C200" s="39">
        <v>141.29300000000001</v>
      </c>
      <c r="D200" s="39">
        <v>267.99299999999999</v>
      </c>
      <c r="E200" s="45">
        <v>829.71400000000006</v>
      </c>
      <c r="F200" s="39">
        <v>1239</v>
      </c>
      <c r="G200" s="39">
        <v>100</v>
      </c>
      <c r="H200" s="47">
        <v>600</v>
      </c>
      <c r="I200" s="39">
        <v>695</v>
      </c>
      <c r="J200" s="39">
        <v>50</v>
      </c>
      <c r="K200" s="40"/>
      <c r="L200" s="40"/>
      <c r="M200" s="40"/>
      <c r="N200" s="40"/>
      <c r="O200" s="40"/>
      <c r="P200" s="40"/>
      <c r="Q200" s="40"/>
      <c r="R200" s="40"/>
      <c r="S200" s="40"/>
      <c r="T200" s="40"/>
    </row>
    <row r="201" spans="1:20" ht="15.75">
      <c r="A201" s="13">
        <v>47239</v>
      </c>
      <c r="B201" s="48">
        <v>31</v>
      </c>
      <c r="C201" s="39">
        <v>194.20500000000001</v>
      </c>
      <c r="D201" s="39">
        <v>267.46600000000001</v>
      </c>
      <c r="E201" s="45">
        <v>812.32899999999995</v>
      </c>
      <c r="F201" s="39">
        <v>1274</v>
      </c>
      <c r="G201" s="39">
        <v>75</v>
      </c>
      <c r="H201" s="47">
        <v>600</v>
      </c>
      <c r="I201" s="39">
        <v>695</v>
      </c>
      <c r="J201" s="39">
        <v>50</v>
      </c>
      <c r="K201" s="40"/>
      <c r="L201" s="40"/>
      <c r="M201" s="40"/>
      <c r="N201" s="40"/>
      <c r="O201" s="40"/>
      <c r="P201" s="40"/>
      <c r="Q201" s="40"/>
      <c r="R201" s="40"/>
      <c r="S201" s="40"/>
      <c r="T201" s="40"/>
    </row>
    <row r="202" spans="1:20" ht="15.75">
      <c r="A202" s="13">
        <v>47270</v>
      </c>
      <c r="B202" s="48">
        <v>30</v>
      </c>
      <c r="C202" s="39">
        <v>194.20500000000001</v>
      </c>
      <c r="D202" s="39">
        <v>267.46600000000001</v>
      </c>
      <c r="E202" s="45">
        <v>812.32899999999995</v>
      </c>
      <c r="F202" s="39">
        <v>1274</v>
      </c>
      <c r="G202" s="39">
        <v>50</v>
      </c>
      <c r="H202" s="47">
        <v>600</v>
      </c>
      <c r="I202" s="39">
        <v>695</v>
      </c>
      <c r="J202" s="39">
        <v>50</v>
      </c>
      <c r="K202" s="40"/>
      <c r="L202" s="40"/>
      <c r="M202" s="40"/>
      <c r="N202" s="40"/>
      <c r="O202" s="40"/>
      <c r="P202" s="40"/>
      <c r="Q202" s="40"/>
      <c r="R202" s="40"/>
      <c r="S202" s="40"/>
      <c r="T202" s="40"/>
    </row>
    <row r="203" spans="1:20" ht="15.75">
      <c r="A203" s="13">
        <v>47300</v>
      </c>
      <c r="B203" s="48">
        <v>31</v>
      </c>
      <c r="C203" s="39">
        <v>194.20500000000001</v>
      </c>
      <c r="D203" s="39">
        <v>267.46600000000001</v>
      </c>
      <c r="E203" s="45">
        <v>812.32899999999995</v>
      </c>
      <c r="F203" s="39">
        <v>1274</v>
      </c>
      <c r="G203" s="39">
        <v>50</v>
      </c>
      <c r="H203" s="47">
        <v>600</v>
      </c>
      <c r="I203" s="39">
        <v>695</v>
      </c>
      <c r="J203" s="39">
        <v>0</v>
      </c>
      <c r="K203" s="40"/>
      <c r="L203" s="40"/>
      <c r="M203" s="40"/>
      <c r="N203" s="40"/>
      <c r="O203" s="40"/>
      <c r="P203" s="40"/>
      <c r="Q203" s="40"/>
      <c r="R203" s="40"/>
      <c r="S203" s="40"/>
      <c r="T203" s="40"/>
    </row>
    <row r="204" spans="1:20" ht="15.75">
      <c r="A204" s="13">
        <v>47331</v>
      </c>
      <c r="B204" s="48">
        <v>31</v>
      </c>
      <c r="C204" s="39">
        <v>194.20500000000001</v>
      </c>
      <c r="D204" s="39">
        <v>267.46600000000001</v>
      </c>
      <c r="E204" s="45">
        <v>812.32899999999995</v>
      </c>
      <c r="F204" s="39">
        <v>1274</v>
      </c>
      <c r="G204" s="39">
        <v>50</v>
      </c>
      <c r="H204" s="47">
        <v>600</v>
      </c>
      <c r="I204" s="39">
        <v>695</v>
      </c>
      <c r="J204" s="39">
        <v>0</v>
      </c>
      <c r="K204" s="40"/>
      <c r="L204" s="40"/>
      <c r="M204" s="40"/>
      <c r="N204" s="40"/>
      <c r="O204" s="40"/>
      <c r="P204" s="40"/>
      <c r="Q204" s="40"/>
      <c r="R204" s="40"/>
      <c r="S204" s="40"/>
      <c r="T204" s="40"/>
    </row>
    <row r="205" spans="1:20" ht="15.75">
      <c r="A205" s="13">
        <v>47362</v>
      </c>
      <c r="B205" s="48">
        <v>30</v>
      </c>
      <c r="C205" s="39">
        <v>194.20500000000001</v>
      </c>
      <c r="D205" s="39">
        <v>267.46600000000001</v>
      </c>
      <c r="E205" s="45">
        <v>812.32899999999995</v>
      </c>
      <c r="F205" s="39">
        <v>1274</v>
      </c>
      <c r="G205" s="39">
        <v>50</v>
      </c>
      <c r="H205" s="47">
        <v>600</v>
      </c>
      <c r="I205" s="39">
        <v>695</v>
      </c>
      <c r="J205" s="39">
        <v>0</v>
      </c>
      <c r="K205" s="40"/>
      <c r="L205" s="40"/>
      <c r="M205" s="40"/>
      <c r="N205" s="40"/>
      <c r="O205" s="40"/>
      <c r="P205" s="40"/>
      <c r="Q205" s="40"/>
      <c r="R205" s="40"/>
      <c r="S205" s="40"/>
      <c r="T205" s="40"/>
    </row>
    <row r="206" spans="1:20" ht="15.75">
      <c r="A206" s="13">
        <v>47392</v>
      </c>
      <c r="B206" s="48">
        <v>31</v>
      </c>
      <c r="C206" s="39">
        <v>131.881</v>
      </c>
      <c r="D206" s="39">
        <v>277.16699999999997</v>
      </c>
      <c r="E206" s="45">
        <v>829.952</v>
      </c>
      <c r="F206" s="39">
        <v>1239</v>
      </c>
      <c r="G206" s="39">
        <v>75</v>
      </c>
      <c r="H206" s="47">
        <v>600</v>
      </c>
      <c r="I206" s="39">
        <v>695</v>
      </c>
      <c r="J206" s="39">
        <v>0</v>
      </c>
      <c r="K206" s="40"/>
      <c r="L206" s="40"/>
      <c r="M206" s="40"/>
      <c r="N206" s="40"/>
      <c r="O206" s="40"/>
      <c r="P206" s="40"/>
      <c r="Q206" s="40"/>
      <c r="R206" s="40"/>
      <c r="S206" s="40"/>
      <c r="T206" s="40"/>
    </row>
    <row r="207" spans="1:20" ht="15.75">
      <c r="A207" s="13">
        <v>47423</v>
      </c>
      <c r="B207" s="48">
        <v>30</v>
      </c>
      <c r="C207" s="39">
        <v>122.58</v>
      </c>
      <c r="D207" s="39">
        <v>297.94099999999997</v>
      </c>
      <c r="E207" s="45">
        <v>729.47900000000004</v>
      </c>
      <c r="F207" s="39">
        <v>1150</v>
      </c>
      <c r="G207" s="39">
        <v>100</v>
      </c>
      <c r="H207" s="47">
        <v>600</v>
      </c>
      <c r="I207" s="39">
        <v>695</v>
      </c>
      <c r="J207" s="39">
        <v>50</v>
      </c>
      <c r="K207" s="40"/>
      <c r="L207" s="40"/>
      <c r="M207" s="40"/>
      <c r="N207" s="40"/>
      <c r="O207" s="40"/>
      <c r="P207" s="40"/>
      <c r="Q207" s="40"/>
      <c r="R207" s="40"/>
      <c r="S207" s="40"/>
      <c r="T207" s="40"/>
    </row>
    <row r="208" spans="1:20" ht="15.75">
      <c r="A208" s="13">
        <v>47453</v>
      </c>
      <c r="B208" s="48">
        <v>31</v>
      </c>
      <c r="C208" s="39">
        <v>122.58</v>
      </c>
      <c r="D208" s="39">
        <v>297.94099999999997</v>
      </c>
      <c r="E208" s="45">
        <v>729.47900000000004</v>
      </c>
      <c r="F208" s="39">
        <v>1150</v>
      </c>
      <c r="G208" s="39">
        <v>100</v>
      </c>
      <c r="H208" s="47">
        <v>600</v>
      </c>
      <c r="I208" s="39">
        <v>695</v>
      </c>
      <c r="J208" s="39">
        <v>50</v>
      </c>
      <c r="K208" s="40"/>
      <c r="L208" s="40"/>
      <c r="M208" s="40"/>
      <c r="N208" s="40"/>
      <c r="O208" s="40"/>
      <c r="P208" s="40"/>
      <c r="Q208" s="40"/>
      <c r="R208" s="40"/>
      <c r="S208" s="40"/>
      <c r="T208" s="40"/>
    </row>
    <row r="209" spans="1:20" ht="15.75">
      <c r="A209" s="13">
        <v>47484</v>
      </c>
      <c r="B209" s="48">
        <v>31</v>
      </c>
      <c r="C209" s="39">
        <v>122.58</v>
      </c>
      <c r="D209" s="39">
        <v>297.94099999999997</v>
      </c>
      <c r="E209" s="45">
        <v>729.47900000000004</v>
      </c>
      <c r="F209" s="39">
        <v>1150</v>
      </c>
      <c r="G209" s="39">
        <v>100</v>
      </c>
      <c r="H209" s="47">
        <v>600</v>
      </c>
      <c r="I209" s="39">
        <v>695</v>
      </c>
      <c r="J209" s="39">
        <v>50</v>
      </c>
      <c r="K209" s="40"/>
      <c r="L209" s="40"/>
      <c r="M209" s="40"/>
      <c r="N209" s="40"/>
      <c r="O209" s="40"/>
      <c r="P209" s="40"/>
      <c r="Q209" s="40"/>
      <c r="R209" s="40"/>
      <c r="S209" s="40"/>
      <c r="T209" s="40"/>
    </row>
    <row r="210" spans="1:20" ht="15.75">
      <c r="A210" s="13">
        <v>47515</v>
      </c>
      <c r="B210" s="48">
        <v>28</v>
      </c>
      <c r="C210" s="39">
        <v>122.58</v>
      </c>
      <c r="D210" s="39">
        <v>297.94099999999997</v>
      </c>
      <c r="E210" s="45">
        <v>729.47900000000004</v>
      </c>
      <c r="F210" s="39">
        <v>1150</v>
      </c>
      <c r="G210" s="39">
        <v>100</v>
      </c>
      <c r="H210" s="47">
        <v>600</v>
      </c>
      <c r="I210" s="39">
        <v>695</v>
      </c>
      <c r="J210" s="39">
        <v>50</v>
      </c>
      <c r="K210" s="40"/>
      <c r="L210" s="40"/>
      <c r="M210" s="40"/>
      <c r="N210" s="40"/>
      <c r="O210" s="40"/>
      <c r="P210" s="40"/>
      <c r="Q210" s="40"/>
      <c r="R210" s="40"/>
      <c r="S210" s="40"/>
      <c r="T210" s="40"/>
    </row>
    <row r="211" spans="1:20" ht="15.75">
      <c r="A211" s="13">
        <v>47543</v>
      </c>
      <c r="B211" s="48">
        <v>31</v>
      </c>
      <c r="C211" s="39">
        <v>122.58</v>
      </c>
      <c r="D211" s="39">
        <v>297.94099999999997</v>
      </c>
      <c r="E211" s="45">
        <v>729.47900000000004</v>
      </c>
      <c r="F211" s="39">
        <v>1150</v>
      </c>
      <c r="G211" s="39">
        <v>100</v>
      </c>
      <c r="H211" s="47">
        <v>600</v>
      </c>
      <c r="I211" s="39">
        <v>695</v>
      </c>
      <c r="J211" s="39">
        <v>50</v>
      </c>
      <c r="K211" s="40"/>
      <c r="L211" s="40"/>
      <c r="M211" s="40"/>
      <c r="N211" s="40"/>
      <c r="O211" s="40"/>
      <c r="P211" s="40"/>
      <c r="Q211" s="40"/>
      <c r="R211" s="40"/>
      <c r="S211" s="40"/>
      <c r="T211" s="40"/>
    </row>
    <row r="212" spans="1:20" ht="15.75">
      <c r="A212" s="13">
        <v>47574</v>
      </c>
      <c r="B212" s="48">
        <v>30</v>
      </c>
      <c r="C212" s="39">
        <v>141.29300000000001</v>
      </c>
      <c r="D212" s="39">
        <v>267.99299999999999</v>
      </c>
      <c r="E212" s="45">
        <v>829.71400000000006</v>
      </c>
      <c r="F212" s="39">
        <v>1239</v>
      </c>
      <c r="G212" s="39">
        <v>100</v>
      </c>
      <c r="H212" s="47">
        <v>600</v>
      </c>
      <c r="I212" s="39">
        <v>695</v>
      </c>
      <c r="J212" s="39">
        <v>50</v>
      </c>
      <c r="K212" s="40"/>
      <c r="L212" s="40"/>
      <c r="M212" s="40"/>
      <c r="N212" s="40"/>
      <c r="O212" s="40"/>
      <c r="P212" s="40"/>
      <c r="Q212" s="40"/>
      <c r="R212" s="40"/>
      <c r="S212" s="40"/>
      <c r="T212" s="40"/>
    </row>
    <row r="213" spans="1:20" ht="15.75">
      <c r="A213" s="13">
        <v>47604</v>
      </c>
      <c r="B213" s="48">
        <v>31</v>
      </c>
      <c r="C213" s="39">
        <v>194.20500000000001</v>
      </c>
      <c r="D213" s="39">
        <v>267.46600000000001</v>
      </c>
      <c r="E213" s="45">
        <v>812.32899999999995</v>
      </c>
      <c r="F213" s="39">
        <v>1274</v>
      </c>
      <c r="G213" s="39">
        <v>75</v>
      </c>
      <c r="H213" s="47">
        <v>600</v>
      </c>
      <c r="I213" s="39">
        <v>695</v>
      </c>
      <c r="J213" s="39">
        <v>50</v>
      </c>
      <c r="K213" s="40"/>
      <c r="L213" s="40"/>
      <c r="M213" s="40"/>
      <c r="N213" s="40"/>
      <c r="O213" s="40"/>
      <c r="P213" s="40"/>
      <c r="Q213" s="40"/>
      <c r="R213" s="40"/>
      <c r="S213" s="40"/>
      <c r="T213" s="40"/>
    </row>
    <row r="214" spans="1:20" ht="15.75">
      <c r="A214" s="13">
        <v>47635</v>
      </c>
      <c r="B214" s="48">
        <v>30</v>
      </c>
      <c r="C214" s="39">
        <v>194.20500000000001</v>
      </c>
      <c r="D214" s="39">
        <v>267.46600000000001</v>
      </c>
      <c r="E214" s="45">
        <v>812.32899999999995</v>
      </c>
      <c r="F214" s="39">
        <v>1274</v>
      </c>
      <c r="G214" s="39">
        <v>50</v>
      </c>
      <c r="H214" s="47">
        <v>600</v>
      </c>
      <c r="I214" s="39">
        <v>695</v>
      </c>
      <c r="J214" s="39">
        <v>50</v>
      </c>
      <c r="K214" s="40"/>
      <c r="L214" s="40"/>
      <c r="M214" s="40"/>
      <c r="N214" s="40"/>
      <c r="O214" s="40"/>
      <c r="P214" s="40"/>
      <c r="Q214" s="40"/>
      <c r="R214" s="40"/>
      <c r="S214" s="40"/>
      <c r="T214" s="40"/>
    </row>
    <row r="215" spans="1:20" ht="15.75">
      <c r="A215" s="13">
        <v>47665</v>
      </c>
      <c r="B215" s="48">
        <v>31</v>
      </c>
      <c r="C215" s="39">
        <v>194.20500000000001</v>
      </c>
      <c r="D215" s="39">
        <v>267.46600000000001</v>
      </c>
      <c r="E215" s="45">
        <v>812.32899999999995</v>
      </c>
      <c r="F215" s="39">
        <v>1274</v>
      </c>
      <c r="G215" s="39">
        <v>50</v>
      </c>
      <c r="H215" s="47">
        <v>600</v>
      </c>
      <c r="I215" s="39">
        <v>695</v>
      </c>
      <c r="J215" s="39">
        <v>0</v>
      </c>
      <c r="K215" s="40"/>
      <c r="L215" s="40"/>
      <c r="M215" s="40"/>
      <c r="N215" s="40"/>
      <c r="O215" s="40"/>
      <c r="P215" s="40"/>
      <c r="Q215" s="40"/>
      <c r="R215" s="40"/>
      <c r="S215" s="40"/>
      <c r="T215" s="40"/>
    </row>
    <row r="216" spans="1:20" ht="15.75">
      <c r="A216" s="13">
        <v>47696</v>
      </c>
      <c r="B216" s="48">
        <v>31</v>
      </c>
      <c r="C216" s="39">
        <v>194.20500000000001</v>
      </c>
      <c r="D216" s="39">
        <v>267.46600000000001</v>
      </c>
      <c r="E216" s="45">
        <v>812.32899999999995</v>
      </c>
      <c r="F216" s="39">
        <v>1274</v>
      </c>
      <c r="G216" s="39">
        <v>50</v>
      </c>
      <c r="H216" s="47">
        <v>600</v>
      </c>
      <c r="I216" s="39">
        <v>695</v>
      </c>
      <c r="J216" s="39">
        <v>0</v>
      </c>
      <c r="K216" s="40"/>
      <c r="L216" s="40"/>
      <c r="M216" s="40"/>
      <c r="N216" s="40"/>
      <c r="O216" s="40"/>
      <c r="P216" s="40"/>
      <c r="Q216" s="40"/>
      <c r="R216" s="40"/>
      <c r="S216" s="40"/>
      <c r="T216" s="40"/>
    </row>
    <row r="217" spans="1:20" ht="15.75">
      <c r="A217" s="13">
        <v>47727</v>
      </c>
      <c r="B217" s="48">
        <v>30</v>
      </c>
      <c r="C217" s="39">
        <v>194.20500000000001</v>
      </c>
      <c r="D217" s="39">
        <v>267.46600000000001</v>
      </c>
      <c r="E217" s="45">
        <v>812.32899999999995</v>
      </c>
      <c r="F217" s="39">
        <v>1274</v>
      </c>
      <c r="G217" s="39">
        <v>50</v>
      </c>
      <c r="H217" s="47">
        <v>600</v>
      </c>
      <c r="I217" s="39">
        <v>695</v>
      </c>
      <c r="J217" s="39">
        <v>0</v>
      </c>
      <c r="K217" s="40"/>
      <c r="L217" s="40"/>
      <c r="M217" s="40"/>
      <c r="N217" s="40"/>
      <c r="O217" s="40"/>
      <c r="P217" s="40"/>
      <c r="Q217" s="40"/>
      <c r="R217" s="40"/>
      <c r="S217" s="40"/>
      <c r="T217" s="40"/>
    </row>
    <row r="218" spans="1:20" ht="15.75">
      <c r="A218" s="13">
        <v>47757</v>
      </c>
      <c r="B218" s="48">
        <v>31</v>
      </c>
      <c r="C218" s="39">
        <v>131.881</v>
      </c>
      <c r="D218" s="39">
        <v>277.16699999999997</v>
      </c>
      <c r="E218" s="45">
        <v>829.952</v>
      </c>
      <c r="F218" s="39">
        <v>1239</v>
      </c>
      <c r="G218" s="39">
        <v>75</v>
      </c>
      <c r="H218" s="47">
        <v>600</v>
      </c>
      <c r="I218" s="39">
        <v>695</v>
      </c>
      <c r="J218" s="39">
        <v>0</v>
      </c>
      <c r="K218" s="40"/>
      <c r="L218" s="40"/>
      <c r="M218" s="40"/>
      <c r="N218" s="40"/>
      <c r="O218" s="40"/>
      <c r="P218" s="40"/>
      <c r="Q218" s="40"/>
      <c r="R218" s="40"/>
      <c r="S218" s="40"/>
      <c r="T218" s="40"/>
    </row>
    <row r="219" spans="1:20" ht="15.75">
      <c r="A219" s="13">
        <v>47788</v>
      </c>
      <c r="B219" s="48">
        <v>30</v>
      </c>
      <c r="C219" s="39">
        <v>122.58</v>
      </c>
      <c r="D219" s="39">
        <v>297.94099999999997</v>
      </c>
      <c r="E219" s="45">
        <v>729.47900000000004</v>
      </c>
      <c r="F219" s="39">
        <v>1150</v>
      </c>
      <c r="G219" s="39">
        <v>100</v>
      </c>
      <c r="H219" s="47">
        <v>600</v>
      </c>
      <c r="I219" s="39">
        <v>695</v>
      </c>
      <c r="J219" s="39">
        <v>50</v>
      </c>
      <c r="K219" s="40"/>
      <c r="L219" s="40"/>
      <c r="M219" s="40"/>
      <c r="N219" s="40"/>
      <c r="O219" s="40"/>
      <c r="P219" s="40"/>
      <c r="Q219" s="40"/>
      <c r="R219" s="40"/>
      <c r="S219" s="40"/>
      <c r="T219" s="40"/>
    </row>
    <row r="220" spans="1:20" ht="15.75">
      <c r="A220" s="13">
        <v>47818</v>
      </c>
      <c r="B220" s="48">
        <v>31</v>
      </c>
      <c r="C220" s="39">
        <v>122.58</v>
      </c>
      <c r="D220" s="39">
        <v>297.94099999999997</v>
      </c>
      <c r="E220" s="45">
        <v>729.47900000000004</v>
      </c>
      <c r="F220" s="39">
        <v>1150</v>
      </c>
      <c r="G220" s="39">
        <v>100</v>
      </c>
      <c r="H220" s="47">
        <v>600</v>
      </c>
      <c r="I220" s="39">
        <v>695</v>
      </c>
      <c r="J220" s="39">
        <v>50</v>
      </c>
      <c r="K220" s="40"/>
      <c r="L220" s="40"/>
      <c r="M220" s="40"/>
      <c r="N220" s="40"/>
      <c r="O220" s="40"/>
      <c r="P220" s="40"/>
      <c r="Q220" s="40"/>
      <c r="R220" s="40"/>
      <c r="S220" s="40"/>
      <c r="T220" s="40"/>
    </row>
    <row r="221" spans="1:20" ht="15.75">
      <c r="A221" s="13">
        <v>47849</v>
      </c>
      <c r="B221" s="48">
        <v>31</v>
      </c>
      <c r="C221" s="39">
        <v>122.58</v>
      </c>
      <c r="D221" s="39">
        <v>297.94099999999997</v>
      </c>
      <c r="E221" s="45">
        <v>729.47900000000004</v>
      </c>
      <c r="F221" s="39">
        <v>1150</v>
      </c>
      <c r="G221" s="39">
        <v>100</v>
      </c>
      <c r="H221" s="47">
        <v>600</v>
      </c>
      <c r="I221" s="39">
        <v>695</v>
      </c>
      <c r="J221" s="39">
        <v>50</v>
      </c>
      <c r="K221" s="40"/>
      <c r="L221" s="40"/>
      <c r="M221" s="40"/>
      <c r="N221" s="40"/>
      <c r="O221" s="40"/>
      <c r="P221" s="40"/>
      <c r="Q221" s="40"/>
      <c r="R221" s="40"/>
      <c r="S221" s="40"/>
      <c r="T221" s="40"/>
    </row>
    <row r="222" spans="1:20" ht="15.75">
      <c r="A222" s="13">
        <v>47880</v>
      </c>
      <c r="B222" s="48">
        <v>28</v>
      </c>
      <c r="C222" s="39">
        <v>122.58</v>
      </c>
      <c r="D222" s="39">
        <v>297.94099999999997</v>
      </c>
      <c r="E222" s="45">
        <v>729.47900000000004</v>
      </c>
      <c r="F222" s="39">
        <v>1150</v>
      </c>
      <c r="G222" s="39">
        <v>100</v>
      </c>
      <c r="H222" s="47">
        <v>600</v>
      </c>
      <c r="I222" s="39">
        <v>695</v>
      </c>
      <c r="J222" s="39">
        <v>50</v>
      </c>
      <c r="K222" s="40"/>
      <c r="L222" s="40"/>
      <c r="M222" s="40"/>
      <c r="N222" s="40"/>
      <c r="O222" s="40"/>
      <c r="P222" s="40"/>
      <c r="Q222" s="40"/>
      <c r="R222" s="40"/>
      <c r="S222" s="40"/>
      <c r="T222" s="40"/>
    </row>
    <row r="223" spans="1:20" ht="15.75">
      <c r="A223" s="13">
        <v>47908</v>
      </c>
      <c r="B223" s="48">
        <v>31</v>
      </c>
      <c r="C223" s="39">
        <v>122.58</v>
      </c>
      <c r="D223" s="39">
        <v>297.94099999999997</v>
      </c>
      <c r="E223" s="45">
        <v>729.47900000000004</v>
      </c>
      <c r="F223" s="39">
        <v>1150</v>
      </c>
      <c r="G223" s="39">
        <v>100</v>
      </c>
      <c r="H223" s="47">
        <v>600</v>
      </c>
      <c r="I223" s="39">
        <v>695</v>
      </c>
      <c r="J223" s="39">
        <v>50</v>
      </c>
      <c r="K223" s="40"/>
      <c r="L223" s="40"/>
      <c r="M223" s="40"/>
      <c r="N223" s="40"/>
      <c r="O223" s="40"/>
      <c r="P223" s="40"/>
      <c r="Q223" s="40"/>
      <c r="R223" s="40"/>
      <c r="S223" s="40"/>
      <c r="T223" s="40"/>
    </row>
    <row r="224" spans="1:20" ht="15.75">
      <c r="A224" s="13">
        <v>47939</v>
      </c>
      <c r="B224" s="48">
        <v>30</v>
      </c>
      <c r="C224" s="39">
        <v>141.29300000000001</v>
      </c>
      <c r="D224" s="39">
        <v>267.99299999999999</v>
      </c>
      <c r="E224" s="45">
        <v>829.71400000000006</v>
      </c>
      <c r="F224" s="39">
        <v>1239</v>
      </c>
      <c r="G224" s="39">
        <v>100</v>
      </c>
      <c r="H224" s="47">
        <v>600</v>
      </c>
      <c r="I224" s="39">
        <v>695</v>
      </c>
      <c r="J224" s="39">
        <v>50</v>
      </c>
      <c r="K224" s="40"/>
      <c r="L224" s="40"/>
      <c r="M224" s="40"/>
      <c r="N224" s="40"/>
      <c r="O224" s="40"/>
      <c r="P224" s="40"/>
      <c r="Q224" s="40"/>
      <c r="R224" s="40"/>
      <c r="S224" s="40"/>
      <c r="T224" s="40"/>
    </row>
    <row r="225" spans="1:20" ht="15.75">
      <c r="A225" s="13">
        <v>47969</v>
      </c>
      <c r="B225" s="48">
        <v>31</v>
      </c>
      <c r="C225" s="39">
        <v>194.20500000000001</v>
      </c>
      <c r="D225" s="39">
        <v>267.46600000000001</v>
      </c>
      <c r="E225" s="45">
        <v>812.32899999999995</v>
      </c>
      <c r="F225" s="39">
        <v>1274</v>
      </c>
      <c r="G225" s="39">
        <v>75</v>
      </c>
      <c r="H225" s="47">
        <v>600</v>
      </c>
      <c r="I225" s="39">
        <v>695</v>
      </c>
      <c r="J225" s="39">
        <v>50</v>
      </c>
      <c r="K225" s="40"/>
      <c r="L225" s="40"/>
      <c r="M225" s="40"/>
      <c r="N225" s="40"/>
      <c r="O225" s="40"/>
      <c r="P225" s="40"/>
      <c r="Q225" s="40"/>
      <c r="R225" s="40"/>
      <c r="S225" s="40"/>
      <c r="T225" s="40"/>
    </row>
    <row r="226" spans="1:20" ht="15.75">
      <c r="A226" s="13">
        <v>48000</v>
      </c>
      <c r="B226" s="48">
        <v>30</v>
      </c>
      <c r="C226" s="39">
        <v>194.20500000000001</v>
      </c>
      <c r="D226" s="39">
        <v>267.46600000000001</v>
      </c>
      <c r="E226" s="45">
        <v>812.32899999999995</v>
      </c>
      <c r="F226" s="39">
        <v>1274</v>
      </c>
      <c r="G226" s="39">
        <v>50</v>
      </c>
      <c r="H226" s="47">
        <v>600</v>
      </c>
      <c r="I226" s="39">
        <v>695</v>
      </c>
      <c r="J226" s="39">
        <v>50</v>
      </c>
      <c r="K226" s="40"/>
      <c r="L226" s="40"/>
      <c r="M226" s="40"/>
      <c r="N226" s="40"/>
      <c r="O226" s="40"/>
      <c r="P226" s="40"/>
      <c r="Q226" s="40"/>
      <c r="R226" s="40"/>
      <c r="S226" s="40"/>
      <c r="T226" s="40"/>
    </row>
    <row r="227" spans="1:20" ht="15.75">
      <c r="A227" s="13">
        <v>48030</v>
      </c>
      <c r="B227" s="48">
        <v>31</v>
      </c>
      <c r="C227" s="39">
        <v>194.20500000000001</v>
      </c>
      <c r="D227" s="39">
        <v>267.46600000000001</v>
      </c>
      <c r="E227" s="45">
        <v>812.32899999999995</v>
      </c>
      <c r="F227" s="39">
        <v>1274</v>
      </c>
      <c r="G227" s="39">
        <v>50</v>
      </c>
      <c r="H227" s="47">
        <v>600</v>
      </c>
      <c r="I227" s="39">
        <v>695</v>
      </c>
      <c r="J227" s="39">
        <v>0</v>
      </c>
      <c r="K227" s="40"/>
      <c r="L227" s="40"/>
      <c r="M227" s="40"/>
      <c r="N227" s="40"/>
      <c r="O227" s="40"/>
      <c r="P227" s="40"/>
      <c r="Q227" s="40"/>
      <c r="R227" s="40"/>
      <c r="S227" s="40"/>
      <c r="T227" s="40"/>
    </row>
    <row r="228" spans="1:20" ht="15.75">
      <c r="A228" s="13">
        <v>48061</v>
      </c>
      <c r="B228" s="48">
        <v>31</v>
      </c>
      <c r="C228" s="39">
        <v>194.20500000000001</v>
      </c>
      <c r="D228" s="39">
        <v>267.46600000000001</v>
      </c>
      <c r="E228" s="45">
        <v>812.32899999999995</v>
      </c>
      <c r="F228" s="39">
        <v>1274</v>
      </c>
      <c r="G228" s="39">
        <v>50</v>
      </c>
      <c r="H228" s="47">
        <v>600</v>
      </c>
      <c r="I228" s="39">
        <v>695</v>
      </c>
      <c r="J228" s="39">
        <v>0</v>
      </c>
      <c r="K228" s="40"/>
      <c r="L228" s="40"/>
      <c r="M228" s="40"/>
      <c r="N228" s="40"/>
      <c r="O228" s="40"/>
      <c r="P228" s="40"/>
      <c r="Q228" s="40"/>
      <c r="R228" s="40"/>
      <c r="S228" s="40"/>
      <c r="T228" s="40"/>
    </row>
    <row r="229" spans="1:20" ht="15.75">
      <c r="A229" s="13">
        <v>48092</v>
      </c>
      <c r="B229" s="48">
        <v>30</v>
      </c>
      <c r="C229" s="39">
        <v>194.20500000000001</v>
      </c>
      <c r="D229" s="39">
        <v>267.46600000000001</v>
      </c>
      <c r="E229" s="45">
        <v>812.32899999999995</v>
      </c>
      <c r="F229" s="39">
        <v>1274</v>
      </c>
      <c r="G229" s="39">
        <v>50</v>
      </c>
      <c r="H229" s="47">
        <v>600</v>
      </c>
      <c r="I229" s="39">
        <v>695</v>
      </c>
      <c r="J229" s="39">
        <v>0</v>
      </c>
      <c r="K229" s="40"/>
      <c r="L229" s="40"/>
      <c r="M229" s="40"/>
      <c r="N229" s="40"/>
      <c r="O229" s="40"/>
      <c r="P229" s="40"/>
      <c r="Q229" s="40"/>
      <c r="R229" s="40"/>
      <c r="S229" s="40"/>
      <c r="T229" s="40"/>
    </row>
    <row r="230" spans="1:20" ht="15.75">
      <c r="A230" s="13">
        <v>48122</v>
      </c>
      <c r="B230" s="48">
        <v>31</v>
      </c>
      <c r="C230" s="39">
        <v>131.881</v>
      </c>
      <c r="D230" s="39">
        <v>277.16699999999997</v>
      </c>
      <c r="E230" s="45">
        <v>829.952</v>
      </c>
      <c r="F230" s="39">
        <v>1239</v>
      </c>
      <c r="G230" s="39">
        <v>75</v>
      </c>
      <c r="H230" s="47">
        <v>600</v>
      </c>
      <c r="I230" s="39">
        <v>695</v>
      </c>
      <c r="J230" s="39">
        <v>0</v>
      </c>
      <c r="K230" s="40"/>
      <c r="L230" s="40"/>
      <c r="M230" s="40"/>
      <c r="N230" s="40"/>
      <c r="O230" s="40"/>
      <c r="P230" s="40"/>
      <c r="Q230" s="40"/>
      <c r="R230" s="40"/>
      <c r="S230" s="40"/>
      <c r="T230" s="40"/>
    </row>
    <row r="231" spans="1:20" ht="15.75">
      <c r="A231" s="13">
        <v>48153</v>
      </c>
      <c r="B231" s="48">
        <v>30</v>
      </c>
      <c r="C231" s="39">
        <v>122.58</v>
      </c>
      <c r="D231" s="39">
        <v>297.94099999999997</v>
      </c>
      <c r="E231" s="45">
        <v>729.47900000000004</v>
      </c>
      <c r="F231" s="39">
        <v>1150</v>
      </c>
      <c r="G231" s="39">
        <v>100</v>
      </c>
      <c r="H231" s="47">
        <v>600</v>
      </c>
      <c r="I231" s="39">
        <v>695</v>
      </c>
      <c r="J231" s="39">
        <v>50</v>
      </c>
      <c r="K231" s="40"/>
      <c r="L231" s="40"/>
      <c r="M231" s="40"/>
      <c r="N231" s="40"/>
      <c r="O231" s="40"/>
      <c r="P231" s="40"/>
      <c r="Q231" s="40"/>
      <c r="R231" s="40"/>
      <c r="S231" s="40"/>
      <c r="T231" s="40"/>
    </row>
    <row r="232" spans="1:20" ht="15.75">
      <c r="A232" s="13">
        <v>48183</v>
      </c>
      <c r="B232" s="48">
        <v>31</v>
      </c>
      <c r="C232" s="39">
        <v>122.58</v>
      </c>
      <c r="D232" s="39">
        <v>297.94099999999997</v>
      </c>
      <c r="E232" s="45">
        <v>729.47900000000004</v>
      </c>
      <c r="F232" s="39">
        <v>1150</v>
      </c>
      <c r="G232" s="39">
        <v>100</v>
      </c>
      <c r="H232" s="47">
        <v>600</v>
      </c>
      <c r="I232" s="39">
        <v>695</v>
      </c>
      <c r="J232" s="39">
        <v>50</v>
      </c>
      <c r="K232" s="40"/>
      <c r="L232" s="40"/>
      <c r="M232" s="40"/>
      <c r="N232" s="40"/>
      <c r="O232" s="40"/>
      <c r="P232" s="40"/>
      <c r="Q232" s="40"/>
      <c r="R232" s="40"/>
      <c r="S232" s="40"/>
      <c r="T232" s="40"/>
    </row>
    <row r="233" spans="1:20" ht="15.75">
      <c r="A233" s="13">
        <v>48214</v>
      </c>
      <c r="B233" s="48">
        <v>31</v>
      </c>
      <c r="C233" s="39">
        <v>122.58</v>
      </c>
      <c r="D233" s="39">
        <v>297.94099999999997</v>
      </c>
      <c r="E233" s="45">
        <v>729.47900000000004</v>
      </c>
      <c r="F233" s="39">
        <v>1150</v>
      </c>
      <c r="G233" s="39">
        <v>100</v>
      </c>
      <c r="H233" s="47">
        <v>600</v>
      </c>
      <c r="I233" s="39">
        <v>695</v>
      </c>
      <c r="J233" s="39">
        <v>50</v>
      </c>
      <c r="K233" s="40"/>
      <c r="L233" s="40"/>
      <c r="M233" s="40"/>
      <c r="N233" s="40"/>
      <c r="O233" s="40"/>
      <c r="P233" s="40"/>
      <c r="Q233" s="40"/>
      <c r="R233" s="40"/>
      <c r="S233" s="40"/>
      <c r="T233" s="40"/>
    </row>
    <row r="234" spans="1:20" ht="15.75">
      <c r="A234" s="13">
        <v>48245</v>
      </c>
      <c r="B234" s="48">
        <v>29</v>
      </c>
      <c r="C234" s="39">
        <v>122.58</v>
      </c>
      <c r="D234" s="39">
        <v>297.94099999999997</v>
      </c>
      <c r="E234" s="45">
        <v>729.47900000000004</v>
      </c>
      <c r="F234" s="39">
        <v>1150</v>
      </c>
      <c r="G234" s="39">
        <v>100</v>
      </c>
      <c r="H234" s="47">
        <v>600</v>
      </c>
      <c r="I234" s="39">
        <v>695</v>
      </c>
      <c r="J234" s="39">
        <v>50</v>
      </c>
      <c r="K234" s="40"/>
      <c r="L234" s="40"/>
      <c r="M234" s="40"/>
      <c r="N234" s="40"/>
      <c r="O234" s="40"/>
      <c r="P234" s="40"/>
      <c r="Q234" s="40"/>
      <c r="R234" s="40"/>
      <c r="S234" s="40"/>
      <c r="T234" s="40"/>
    </row>
    <row r="235" spans="1:20" ht="15.75">
      <c r="A235" s="13">
        <v>48274</v>
      </c>
      <c r="B235" s="48">
        <v>31</v>
      </c>
      <c r="C235" s="39">
        <v>122.58</v>
      </c>
      <c r="D235" s="39">
        <v>297.94099999999997</v>
      </c>
      <c r="E235" s="45">
        <v>729.47900000000004</v>
      </c>
      <c r="F235" s="39">
        <v>1150</v>
      </c>
      <c r="G235" s="39">
        <v>100</v>
      </c>
      <c r="H235" s="47">
        <v>600</v>
      </c>
      <c r="I235" s="39">
        <v>695</v>
      </c>
      <c r="J235" s="39">
        <v>50</v>
      </c>
      <c r="K235" s="40"/>
      <c r="L235" s="40"/>
      <c r="M235" s="40"/>
      <c r="N235" s="40"/>
      <c r="O235" s="40"/>
      <c r="P235" s="40"/>
      <c r="Q235" s="40"/>
      <c r="R235" s="40"/>
      <c r="S235" s="40"/>
      <c r="T235" s="40"/>
    </row>
    <row r="236" spans="1:20" ht="15.75">
      <c r="A236" s="13">
        <v>48305</v>
      </c>
      <c r="B236" s="48">
        <v>30</v>
      </c>
      <c r="C236" s="39">
        <v>141.29300000000001</v>
      </c>
      <c r="D236" s="39">
        <v>267.99299999999999</v>
      </c>
      <c r="E236" s="45">
        <v>829.71400000000006</v>
      </c>
      <c r="F236" s="39">
        <v>1239</v>
      </c>
      <c r="G236" s="39">
        <v>100</v>
      </c>
      <c r="H236" s="47">
        <v>600</v>
      </c>
      <c r="I236" s="39">
        <v>695</v>
      </c>
      <c r="J236" s="39">
        <v>50</v>
      </c>
      <c r="K236" s="40"/>
      <c r="L236" s="40"/>
      <c r="M236" s="40"/>
      <c r="N236" s="40"/>
      <c r="O236" s="40"/>
      <c r="P236" s="40"/>
      <c r="Q236" s="40"/>
      <c r="R236" s="40"/>
      <c r="S236" s="40"/>
      <c r="T236" s="40"/>
    </row>
    <row r="237" spans="1:20" ht="15.75">
      <c r="A237" s="13">
        <v>48335</v>
      </c>
      <c r="B237" s="48">
        <v>31</v>
      </c>
      <c r="C237" s="39">
        <v>194.20500000000001</v>
      </c>
      <c r="D237" s="39">
        <v>267.46600000000001</v>
      </c>
      <c r="E237" s="45">
        <v>812.32899999999995</v>
      </c>
      <c r="F237" s="39">
        <v>1274</v>
      </c>
      <c r="G237" s="39">
        <v>75</v>
      </c>
      <c r="H237" s="47">
        <v>600</v>
      </c>
      <c r="I237" s="39">
        <v>695</v>
      </c>
      <c r="J237" s="39">
        <v>50</v>
      </c>
      <c r="K237" s="40"/>
      <c r="L237" s="40"/>
      <c r="M237" s="40"/>
      <c r="N237" s="40"/>
      <c r="O237" s="40"/>
      <c r="P237" s="40"/>
      <c r="Q237" s="40"/>
      <c r="R237" s="40"/>
      <c r="S237" s="40"/>
      <c r="T237" s="40"/>
    </row>
    <row r="238" spans="1:20" ht="15.75">
      <c r="A238" s="13">
        <v>48366</v>
      </c>
      <c r="B238" s="48">
        <v>30</v>
      </c>
      <c r="C238" s="39">
        <v>194.20500000000001</v>
      </c>
      <c r="D238" s="39">
        <v>267.46600000000001</v>
      </c>
      <c r="E238" s="45">
        <v>812.32899999999995</v>
      </c>
      <c r="F238" s="39">
        <v>1274</v>
      </c>
      <c r="G238" s="39">
        <v>50</v>
      </c>
      <c r="H238" s="47">
        <v>600</v>
      </c>
      <c r="I238" s="39">
        <v>695</v>
      </c>
      <c r="J238" s="39">
        <v>50</v>
      </c>
      <c r="K238" s="40"/>
      <c r="L238" s="40"/>
      <c r="M238" s="40"/>
      <c r="N238" s="40"/>
      <c r="O238" s="40"/>
      <c r="P238" s="40"/>
      <c r="Q238" s="40"/>
      <c r="R238" s="40"/>
      <c r="S238" s="40"/>
      <c r="T238" s="40"/>
    </row>
    <row r="239" spans="1:20" ht="15.75">
      <c r="A239" s="13">
        <v>48396</v>
      </c>
      <c r="B239" s="48">
        <v>31</v>
      </c>
      <c r="C239" s="39">
        <v>194.20500000000001</v>
      </c>
      <c r="D239" s="39">
        <v>267.46600000000001</v>
      </c>
      <c r="E239" s="45">
        <v>812.32899999999995</v>
      </c>
      <c r="F239" s="39">
        <v>1274</v>
      </c>
      <c r="G239" s="39">
        <v>50</v>
      </c>
      <c r="H239" s="47">
        <v>600</v>
      </c>
      <c r="I239" s="39">
        <v>695</v>
      </c>
      <c r="J239" s="39">
        <v>0</v>
      </c>
      <c r="K239" s="40"/>
      <c r="L239" s="40"/>
      <c r="M239" s="40"/>
      <c r="N239" s="40"/>
      <c r="O239" s="40"/>
      <c r="P239" s="40"/>
      <c r="Q239" s="40"/>
      <c r="R239" s="40"/>
      <c r="S239" s="40"/>
      <c r="T239" s="40"/>
    </row>
    <row r="240" spans="1:20" ht="15.75">
      <c r="A240" s="13">
        <v>48427</v>
      </c>
      <c r="B240" s="48">
        <v>31</v>
      </c>
      <c r="C240" s="39">
        <v>194.20500000000001</v>
      </c>
      <c r="D240" s="39">
        <v>267.46600000000001</v>
      </c>
      <c r="E240" s="45">
        <v>812.32899999999995</v>
      </c>
      <c r="F240" s="39">
        <v>1274</v>
      </c>
      <c r="G240" s="39">
        <v>50</v>
      </c>
      <c r="H240" s="47">
        <v>600</v>
      </c>
      <c r="I240" s="39">
        <v>695</v>
      </c>
      <c r="J240" s="39">
        <v>0</v>
      </c>
      <c r="K240" s="40"/>
      <c r="L240" s="40"/>
      <c r="M240" s="40"/>
      <c r="N240" s="40"/>
      <c r="O240" s="40"/>
      <c r="P240" s="40"/>
      <c r="Q240" s="40"/>
      <c r="R240" s="40"/>
      <c r="S240" s="40"/>
      <c r="T240" s="40"/>
    </row>
    <row r="241" spans="1:20" ht="15.75">
      <c r="A241" s="13">
        <v>48458</v>
      </c>
      <c r="B241" s="48">
        <v>30</v>
      </c>
      <c r="C241" s="39">
        <v>194.20500000000001</v>
      </c>
      <c r="D241" s="39">
        <v>267.46600000000001</v>
      </c>
      <c r="E241" s="45">
        <v>812.32899999999995</v>
      </c>
      <c r="F241" s="39">
        <v>1274</v>
      </c>
      <c r="G241" s="39">
        <v>50</v>
      </c>
      <c r="H241" s="47">
        <v>600</v>
      </c>
      <c r="I241" s="39">
        <v>695</v>
      </c>
      <c r="J241" s="39">
        <v>0</v>
      </c>
      <c r="K241" s="40"/>
      <c r="L241" s="40"/>
      <c r="M241" s="40"/>
      <c r="N241" s="40"/>
      <c r="O241" s="40"/>
      <c r="P241" s="40"/>
      <c r="Q241" s="40"/>
      <c r="R241" s="40"/>
      <c r="S241" s="40"/>
      <c r="T241" s="40"/>
    </row>
    <row r="242" spans="1:20" ht="15.75">
      <c r="A242" s="13">
        <v>48488</v>
      </c>
      <c r="B242" s="48">
        <v>31</v>
      </c>
      <c r="C242" s="39">
        <v>131.881</v>
      </c>
      <c r="D242" s="39">
        <v>277.16699999999997</v>
      </c>
      <c r="E242" s="45">
        <v>829.952</v>
      </c>
      <c r="F242" s="39">
        <v>1239</v>
      </c>
      <c r="G242" s="39">
        <v>75</v>
      </c>
      <c r="H242" s="47">
        <v>600</v>
      </c>
      <c r="I242" s="39">
        <v>695</v>
      </c>
      <c r="J242" s="39">
        <v>0</v>
      </c>
      <c r="K242" s="40"/>
      <c r="L242" s="40"/>
      <c r="M242" s="40"/>
      <c r="N242" s="40"/>
      <c r="O242" s="40"/>
      <c r="P242" s="40"/>
      <c r="Q242" s="40"/>
      <c r="R242" s="40"/>
      <c r="S242" s="40"/>
      <c r="T242" s="40"/>
    </row>
    <row r="243" spans="1:20" ht="15.75">
      <c r="A243" s="13">
        <v>48519</v>
      </c>
      <c r="B243" s="48">
        <v>30</v>
      </c>
      <c r="C243" s="39">
        <v>122.58</v>
      </c>
      <c r="D243" s="39">
        <v>297.94099999999997</v>
      </c>
      <c r="E243" s="45">
        <v>729.47900000000004</v>
      </c>
      <c r="F243" s="39">
        <v>1150</v>
      </c>
      <c r="G243" s="39">
        <v>100</v>
      </c>
      <c r="H243" s="47">
        <v>600</v>
      </c>
      <c r="I243" s="39">
        <v>695</v>
      </c>
      <c r="J243" s="39">
        <v>50</v>
      </c>
      <c r="K243" s="40"/>
      <c r="L243" s="40"/>
      <c r="M243" s="40"/>
      <c r="N243" s="40"/>
      <c r="O243" s="40"/>
      <c r="P243" s="40"/>
      <c r="Q243" s="40"/>
      <c r="R243" s="40"/>
      <c r="S243" s="40"/>
      <c r="T243" s="40"/>
    </row>
    <row r="244" spans="1:20" ht="15.75">
      <c r="A244" s="13">
        <v>48549</v>
      </c>
      <c r="B244" s="48">
        <v>31</v>
      </c>
      <c r="C244" s="39">
        <v>122.58</v>
      </c>
      <c r="D244" s="39">
        <v>297.94099999999997</v>
      </c>
      <c r="E244" s="45">
        <v>729.47900000000004</v>
      </c>
      <c r="F244" s="39">
        <v>1150</v>
      </c>
      <c r="G244" s="39">
        <v>100</v>
      </c>
      <c r="H244" s="47">
        <v>600</v>
      </c>
      <c r="I244" s="39">
        <v>695</v>
      </c>
      <c r="J244" s="39">
        <v>50</v>
      </c>
      <c r="K244" s="40"/>
      <c r="L244" s="40"/>
      <c r="M244" s="40"/>
      <c r="N244" s="40"/>
      <c r="O244" s="40"/>
      <c r="P244" s="40"/>
      <c r="Q244" s="40"/>
      <c r="R244" s="40"/>
      <c r="S244" s="40"/>
      <c r="T244" s="40"/>
    </row>
    <row r="245" spans="1:20" ht="15.75">
      <c r="A245" s="13">
        <v>48580</v>
      </c>
      <c r="B245" s="48">
        <v>31</v>
      </c>
      <c r="C245" s="39">
        <v>122.58</v>
      </c>
      <c r="D245" s="39">
        <v>297.94099999999997</v>
      </c>
      <c r="E245" s="45">
        <v>729.47900000000004</v>
      </c>
      <c r="F245" s="39">
        <v>1150</v>
      </c>
      <c r="G245" s="39">
        <v>100</v>
      </c>
      <c r="H245" s="47">
        <v>600</v>
      </c>
      <c r="I245" s="39">
        <v>695</v>
      </c>
      <c r="J245" s="39">
        <v>50</v>
      </c>
      <c r="K245" s="40"/>
      <c r="L245" s="40"/>
      <c r="M245" s="40"/>
      <c r="N245" s="40"/>
      <c r="O245" s="40"/>
      <c r="P245" s="40"/>
      <c r="Q245" s="40"/>
      <c r="R245" s="40"/>
      <c r="S245" s="40"/>
      <c r="T245" s="40"/>
    </row>
    <row r="246" spans="1:20" ht="15.75">
      <c r="A246" s="13">
        <v>48611</v>
      </c>
      <c r="B246" s="48">
        <v>28</v>
      </c>
      <c r="C246" s="39">
        <v>122.58</v>
      </c>
      <c r="D246" s="39">
        <v>297.94099999999997</v>
      </c>
      <c r="E246" s="45">
        <v>729.47900000000004</v>
      </c>
      <c r="F246" s="39">
        <v>1150</v>
      </c>
      <c r="G246" s="39">
        <v>100</v>
      </c>
      <c r="H246" s="47">
        <v>600</v>
      </c>
      <c r="I246" s="39">
        <v>695</v>
      </c>
      <c r="J246" s="39">
        <v>50</v>
      </c>
      <c r="K246" s="40"/>
      <c r="L246" s="40"/>
      <c r="M246" s="40"/>
      <c r="N246" s="40"/>
      <c r="O246" s="40"/>
      <c r="P246" s="40"/>
      <c r="Q246" s="40"/>
      <c r="R246" s="40"/>
      <c r="S246" s="40"/>
      <c r="T246" s="40"/>
    </row>
    <row r="247" spans="1:20" ht="15.75">
      <c r="A247" s="13">
        <v>48639</v>
      </c>
      <c r="B247" s="48">
        <v>31</v>
      </c>
      <c r="C247" s="39">
        <v>122.58</v>
      </c>
      <c r="D247" s="39">
        <v>297.94099999999997</v>
      </c>
      <c r="E247" s="45">
        <v>729.47900000000004</v>
      </c>
      <c r="F247" s="39">
        <v>1150</v>
      </c>
      <c r="G247" s="39">
        <v>100</v>
      </c>
      <c r="H247" s="47">
        <v>600</v>
      </c>
      <c r="I247" s="39">
        <v>695</v>
      </c>
      <c r="J247" s="39">
        <v>50</v>
      </c>
      <c r="K247" s="40"/>
      <c r="L247" s="40"/>
      <c r="M247" s="40"/>
      <c r="N247" s="40"/>
      <c r="O247" s="40"/>
      <c r="P247" s="40"/>
      <c r="Q247" s="40"/>
      <c r="R247" s="40"/>
      <c r="S247" s="40"/>
      <c r="T247" s="40"/>
    </row>
    <row r="248" spans="1:20" ht="15.75">
      <c r="A248" s="13">
        <v>48670</v>
      </c>
      <c r="B248" s="48">
        <v>30</v>
      </c>
      <c r="C248" s="39">
        <v>141.29300000000001</v>
      </c>
      <c r="D248" s="39">
        <v>267.99299999999999</v>
      </c>
      <c r="E248" s="45">
        <v>829.71400000000006</v>
      </c>
      <c r="F248" s="39">
        <v>1239</v>
      </c>
      <c r="G248" s="39">
        <v>100</v>
      </c>
      <c r="H248" s="47">
        <v>600</v>
      </c>
      <c r="I248" s="39">
        <v>695</v>
      </c>
      <c r="J248" s="39">
        <v>50</v>
      </c>
      <c r="K248" s="40"/>
      <c r="L248" s="40"/>
      <c r="M248" s="40"/>
      <c r="N248" s="40"/>
      <c r="O248" s="40"/>
      <c r="P248" s="40"/>
      <c r="Q248" s="40"/>
      <c r="R248" s="40"/>
      <c r="S248" s="40"/>
      <c r="T248" s="40"/>
    </row>
    <row r="249" spans="1:20" ht="15.75">
      <c r="A249" s="13">
        <v>48700</v>
      </c>
      <c r="B249" s="48">
        <v>31</v>
      </c>
      <c r="C249" s="39">
        <v>194.20500000000001</v>
      </c>
      <c r="D249" s="39">
        <v>267.46600000000001</v>
      </c>
      <c r="E249" s="45">
        <v>812.32899999999995</v>
      </c>
      <c r="F249" s="39">
        <v>1274</v>
      </c>
      <c r="G249" s="39">
        <v>75</v>
      </c>
      <c r="H249" s="47">
        <v>600</v>
      </c>
      <c r="I249" s="39">
        <v>695</v>
      </c>
      <c r="J249" s="39">
        <v>50</v>
      </c>
      <c r="K249" s="40"/>
      <c r="L249" s="40"/>
      <c r="M249" s="40"/>
      <c r="N249" s="40"/>
      <c r="O249" s="40"/>
      <c r="P249" s="40"/>
      <c r="Q249" s="40"/>
      <c r="R249" s="40"/>
      <c r="S249" s="40"/>
      <c r="T249" s="40"/>
    </row>
    <row r="250" spans="1:20" ht="15.75">
      <c r="A250" s="13">
        <v>48731</v>
      </c>
      <c r="B250" s="48">
        <v>30</v>
      </c>
      <c r="C250" s="39">
        <v>194.20500000000001</v>
      </c>
      <c r="D250" s="39">
        <v>267.46600000000001</v>
      </c>
      <c r="E250" s="45">
        <v>812.32899999999995</v>
      </c>
      <c r="F250" s="39">
        <v>1274</v>
      </c>
      <c r="G250" s="39">
        <v>50</v>
      </c>
      <c r="H250" s="47">
        <v>600</v>
      </c>
      <c r="I250" s="39">
        <v>695</v>
      </c>
      <c r="J250" s="39">
        <v>50</v>
      </c>
      <c r="K250" s="40"/>
      <c r="L250" s="40"/>
      <c r="M250" s="40"/>
      <c r="N250" s="40"/>
      <c r="O250" s="40"/>
      <c r="P250" s="40"/>
      <c r="Q250" s="40"/>
      <c r="R250" s="40"/>
      <c r="S250" s="40"/>
      <c r="T250" s="40"/>
    </row>
    <row r="251" spans="1:20" ht="15.75">
      <c r="A251" s="13">
        <v>48761</v>
      </c>
      <c r="B251" s="48">
        <v>31</v>
      </c>
      <c r="C251" s="39">
        <v>194.20500000000001</v>
      </c>
      <c r="D251" s="39">
        <v>267.46600000000001</v>
      </c>
      <c r="E251" s="45">
        <v>812.32899999999995</v>
      </c>
      <c r="F251" s="39">
        <v>1274</v>
      </c>
      <c r="G251" s="39">
        <v>50</v>
      </c>
      <c r="H251" s="47">
        <v>600</v>
      </c>
      <c r="I251" s="39">
        <v>695</v>
      </c>
      <c r="J251" s="39">
        <v>0</v>
      </c>
      <c r="K251" s="40"/>
      <c r="L251" s="40"/>
      <c r="M251" s="40"/>
      <c r="N251" s="40"/>
      <c r="O251" s="40"/>
      <c r="P251" s="40"/>
      <c r="Q251" s="40"/>
      <c r="R251" s="40"/>
      <c r="S251" s="40"/>
      <c r="T251" s="40"/>
    </row>
    <row r="252" spans="1:20" ht="15.75">
      <c r="A252" s="13">
        <v>48792</v>
      </c>
      <c r="B252" s="48">
        <v>31</v>
      </c>
      <c r="C252" s="39">
        <v>194.20500000000001</v>
      </c>
      <c r="D252" s="39">
        <v>267.46600000000001</v>
      </c>
      <c r="E252" s="45">
        <v>812.32899999999995</v>
      </c>
      <c r="F252" s="39">
        <v>1274</v>
      </c>
      <c r="G252" s="39">
        <v>50</v>
      </c>
      <c r="H252" s="47">
        <v>600</v>
      </c>
      <c r="I252" s="39">
        <v>695</v>
      </c>
      <c r="J252" s="39">
        <v>0</v>
      </c>
      <c r="K252" s="40"/>
      <c r="L252" s="40"/>
      <c r="M252" s="40"/>
      <c r="N252" s="40"/>
      <c r="O252" s="40"/>
      <c r="P252" s="40"/>
      <c r="Q252" s="40"/>
      <c r="R252" s="40"/>
      <c r="S252" s="40"/>
      <c r="T252" s="40"/>
    </row>
    <row r="253" spans="1:20" ht="15.75">
      <c r="A253" s="13">
        <v>48823</v>
      </c>
      <c r="B253" s="48">
        <v>30</v>
      </c>
      <c r="C253" s="39">
        <v>194.20500000000001</v>
      </c>
      <c r="D253" s="39">
        <v>267.46600000000001</v>
      </c>
      <c r="E253" s="45">
        <v>812.32899999999995</v>
      </c>
      <c r="F253" s="39">
        <v>1274</v>
      </c>
      <c r="G253" s="39">
        <v>50</v>
      </c>
      <c r="H253" s="47">
        <v>600</v>
      </c>
      <c r="I253" s="39">
        <v>695</v>
      </c>
      <c r="J253" s="39">
        <v>0</v>
      </c>
      <c r="K253" s="40"/>
      <c r="L253" s="40"/>
      <c r="M253" s="40"/>
      <c r="N253" s="40"/>
      <c r="O253" s="40"/>
      <c r="P253" s="40"/>
      <c r="Q253" s="40"/>
      <c r="R253" s="40"/>
      <c r="S253" s="40"/>
      <c r="T253" s="40"/>
    </row>
    <row r="254" spans="1:20" ht="15.75">
      <c r="A254" s="13">
        <v>48853</v>
      </c>
      <c r="B254" s="48">
        <v>31</v>
      </c>
      <c r="C254" s="39">
        <v>131.881</v>
      </c>
      <c r="D254" s="39">
        <v>277.16699999999997</v>
      </c>
      <c r="E254" s="45">
        <v>829.952</v>
      </c>
      <c r="F254" s="39">
        <v>1239</v>
      </c>
      <c r="G254" s="39">
        <v>75</v>
      </c>
      <c r="H254" s="47">
        <v>600</v>
      </c>
      <c r="I254" s="39">
        <v>695</v>
      </c>
      <c r="J254" s="39">
        <v>0</v>
      </c>
      <c r="K254" s="40"/>
      <c r="L254" s="40"/>
      <c r="M254" s="40"/>
      <c r="N254" s="40"/>
      <c r="O254" s="40"/>
      <c r="P254" s="40"/>
      <c r="Q254" s="40"/>
      <c r="R254" s="40"/>
      <c r="S254" s="40"/>
      <c r="T254" s="40"/>
    </row>
    <row r="255" spans="1:20" ht="15.75">
      <c r="A255" s="13">
        <v>48884</v>
      </c>
      <c r="B255" s="48">
        <v>30</v>
      </c>
      <c r="C255" s="39">
        <v>122.58</v>
      </c>
      <c r="D255" s="39">
        <v>297.94099999999997</v>
      </c>
      <c r="E255" s="45">
        <v>729.47900000000004</v>
      </c>
      <c r="F255" s="39">
        <v>1150</v>
      </c>
      <c r="G255" s="39">
        <v>100</v>
      </c>
      <c r="H255" s="47">
        <v>600</v>
      </c>
      <c r="I255" s="39">
        <v>695</v>
      </c>
      <c r="J255" s="39">
        <v>50</v>
      </c>
      <c r="K255" s="40"/>
      <c r="L255" s="40"/>
      <c r="M255" s="40"/>
      <c r="N255" s="40"/>
      <c r="O255" s="40"/>
      <c r="P255" s="40"/>
      <c r="Q255" s="40"/>
      <c r="R255" s="40"/>
      <c r="S255" s="40"/>
      <c r="T255" s="40"/>
    </row>
    <row r="256" spans="1:20" ht="15.75">
      <c r="A256" s="13">
        <v>48914</v>
      </c>
      <c r="B256" s="48">
        <v>31</v>
      </c>
      <c r="C256" s="39">
        <v>122.58</v>
      </c>
      <c r="D256" s="39">
        <v>297.94099999999997</v>
      </c>
      <c r="E256" s="45">
        <v>729.47900000000004</v>
      </c>
      <c r="F256" s="39">
        <v>1150</v>
      </c>
      <c r="G256" s="39">
        <v>100</v>
      </c>
      <c r="H256" s="47">
        <v>600</v>
      </c>
      <c r="I256" s="39">
        <v>695</v>
      </c>
      <c r="J256" s="39">
        <v>50</v>
      </c>
      <c r="K256" s="40"/>
      <c r="L256" s="40"/>
      <c r="M256" s="40"/>
      <c r="N256" s="40"/>
      <c r="O256" s="40"/>
      <c r="P256" s="40"/>
      <c r="Q256" s="40"/>
      <c r="R256" s="40"/>
      <c r="S256" s="40"/>
      <c r="T256" s="40"/>
    </row>
    <row r="257" spans="1:20" ht="15.75">
      <c r="A257" s="13">
        <v>48945</v>
      </c>
      <c r="B257" s="48">
        <v>31</v>
      </c>
      <c r="C257" s="39">
        <v>122.58</v>
      </c>
      <c r="D257" s="39">
        <v>297.94099999999997</v>
      </c>
      <c r="E257" s="45">
        <v>729.47900000000004</v>
      </c>
      <c r="F257" s="39">
        <v>1150</v>
      </c>
      <c r="G257" s="39">
        <v>100</v>
      </c>
      <c r="H257" s="47">
        <v>600</v>
      </c>
      <c r="I257" s="39">
        <v>695</v>
      </c>
      <c r="J257" s="39">
        <v>50</v>
      </c>
      <c r="K257" s="40"/>
      <c r="L257" s="40"/>
      <c r="M257" s="40"/>
      <c r="N257" s="40"/>
      <c r="O257" s="40"/>
      <c r="P257" s="40"/>
      <c r="Q257" s="40"/>
      <c r="R257" s="40"/>
      <c r="S257" s="40"/>
      <c r="T257" s="40"/>
    </row>
    <row r="258" spans="1:20" ht="15.75">
      <c r="A258" s="13">
        <v>48976</v>
      </c>
      <c r="B258" s="48">
        <v>28</v>
      </c>
      <c r="C258" s="39">
        <v>122.58</v>
      </c>
      <c r="D258" s="39">
        <v>297.94099999999997</v>
      </c>
      <c r="E258" s="45">
        <v>729.47900000000004</v>
      </c>
      <c r="F258" s="39">
        <v>1150</v>
      </c>
      <c r="G258" s="39">
        <v>100</v>
      </c>
      <c r="H258" s="47">
        <v>600</v>
      </c>
      <c r="I258" s="39">
        <v>695</v>
      </c>
      <c r="J258" s="39">
        <v>50</v>
      </c>
      <c r="K258" s="40"/>
      <c r="L258" s="40"/>
      <c r="M258" s="40"/>
      <c r="N258" s="40"/>
      <c r="O258" s="40"/>
      <c r="P258" s="40"/>
      <c r="Q258" s="40"/>
      <c r="R258" s="40"/>
      <c r="S258" s="40"/>
      <c r="T258" s="40"/>
    </row>
    <row r="259" spans="1:20" ht="15.75">
      <c r="A259" s="13">
        <v>49004</v>
      </c>
      <c r="B259" s="48">
        <v>31</v>
      </c>
      <c r="C259" s="39">
        <v>122.58</v>
      </c>
      <c r="D259" s="39">
        <v>297.94099999999997</v>
      </c>
      <c r="E259" s="45">
        <v>729.47900000000004</v>
      </c>
      <c r="F259" s="39">
        <v>1150</v>
      </c>
      <c r="G259" s="39">
        <v>100</v>
      </c>
      <c r="H259" s="47">
        <v>600</v>
      </c>
      <c r="I259" s="39">
        <v>695</v>
      </c>
      <c r="J259" s="39">
        <v>50</v>
      </c>
      <c r="K259" s="40"/>
      <c r="L259" s="40"/>
      <c r="M259" s="40"/>
      <c r="N259" s="40"/>
      <c r="O259" s="40"/>
      <c r="P259" s="40"/>
      <c r="Q259" s="40"/>
      <c r="R259" s="40"/>
      <c r="S259" s="40"/>
      <c r="T259" s="40"/>
    </row>
    <row r="260" spans="1:20" ht="15.75">
      <c r="A260" s="13">
        <v>49035</v>
      </c>
      <c r="B260" s="48">
        <v>30</v>
      </c>
      <c r="C260" s="39">
        <v>141.29300000000001</v>
      </c>
      <c r="D260" s="39">
        <v>267.99299999999999</v>
      </c>
      <c r="E260" s="45">
        <v>829.71400000000006</v>
      </c>
      <c r="F260" s="39">
        <v>1239</v>
      </c>
      <c r="G260" s="39">
        <v>100</v>
      </c>
      <c r="H260" s="47">
        <v>600</v>
      </c>
      <c r="I260" s="39">
        <v>695</v>
      </c>
      <c r="J260" s="39">
        <v>50</v>
      </c>
      <c r="K260" s="40"/>
      <c r="L260" s="40"/>
      <c r="M260" s="40"/>
      <c r="N260" s="40"/>
      <c r="O260" s="40"/>
      <c r="P260" s="40"/>
      <c r="Q260" s="40"/>
      <c r="R260" s="40"/>
      <c r="S260" s="40"/>
      <c r="T260" s="40"/>
    </row>
    <row r="261" spans="1:20" ht="15.75">
      <c r="A261" s="13">
        <v>49065</v>
      </c>
      <c r="B261" s="48">
        <v>31</v>
      </c>
      <c r="C261" s="39">
        <v>194.20500000000001</v>
      </c>
      <c r="D261" s="39">
        <v>267.46600000000001</v>
      </c>
      <c r="E261" s="45">
        <v>812.32899999999995</v>
      </c>
      <c r="F261" s="39">
        <v>1274</v>
      </c>
      <c r="G261" s="39">
        <v>75</v>
      </c>
      <c r="H261" s="47">
        <v>600</v>
      </c>
      <c r="I261" s="39">
        <v>695</v>
      </c>
      <c r="J261" s="39">
        <v>50</v>
      </c>
      <c r="K261" s="40"/>
      <c r="L261" s="40"/>
      <c r="M261" s="40"/>
      <c r="N261" s="40"/>
      <c r="O261" s="40"/>
      <c r="P261" s="40"/>
      <c r="Q261" s="40"/>
      <c r="R261" s="40"/>
      <c r="S261" s="40"/>
      <c r="T261" s="40"/>
    </row>
    <row r="262" spans="1:20" ht="15.75">
      <c r="A262" s="13">
        <v>49096</v>
      </c>
      <c r="B262" s="48">
        <v>30</v>
      </c>
      <c r="C262" s="39">
        <v>194.20500000000001</v>
      </c>
      <c r="D262" s="39">
        <v>267.46600000000001</v>
      </c>
      <c r="E262" s="45">
        <v>812.32899999999995</v>
      </c>
      <c r="F262" s="39">
        <v>1274</v>
      </c>
      <c r="G262" s="39">
        <v>50</v>
      </c>
      <c r="H262" s="47">
        <v>600</v>
      </c>
      <c r="I262" s="39">
        <v>695</v>
      </c>
      <c r="J262" s="39">
        <v>50</v>
      </c>
      <c r="K262" s="40"/>
      <c r="L262" s="40"/>
      <c r="M262" s="40"/>
      <c r="N262" s="40"/>
      <c r="O262" s="40"/>
      <c r="P262" s="40"/>
      <c r="Q262" s="40"/>
      <c r="R262" s="40"/>
      <c r="S262" s="40"/>
      <c r="T262" s="40"/>
    </row>
    <row r="263" spans="1:20" ht="15.75">
      <c r="A263" s="13">
        <v>49126</v>
      </c>
      <c r="B263" s="48">
        <v>31</v>
      </c>
      <c r="C263" s="39">
        <v>194.20500000000001</v>
      </c>
      <c r="D263" s="39">
        <v>267.46600000000001</v>
      </c>
      <c r="E263" s="45">
        <v>812.32899999999995</v>
      </c>
      <c r="F263" s="39">
        <v>1274</v>
      </c>
      <c r="G263" s="39">
        <v>50</v>
      </c>
      <c r="H263" s="47">
        <v>600</v>
      </c>
      <c r="I263" s="39">
        <v>695</v>
      </c>
      <c r="J263" s="39">
        <v>0</v>
      </c>
      <c r="K263" s="40"/>
      <c r="L263" s="40"/>
      <c r="M263" s="40"/>
      <c r="N263" s="40"/>
      <c r="O263" s="40"/>
      <c r="P263" s="40"/>
      <c r="Q263" s="40"/>
      <c r="R263" s="40"/>
      <c r="S263" s="40"/>
      <c r="T263" s="40"/>
    </row>
    <row r="264" spans="1:20" ht="15.75">
      <c r="A264" s="13">
        <v>49157</v>
      </c>
      <c r="B264" s="48">
        <v>31</v>
      </c>
      <c r="C264" s="39">
        <v>194.20500000000001</v>
      </c>
      <c r="D264" s="39">
        <v>267.46600000000001</v>
      </c>
      <c r="E264" s="45">
        <v>812.32899999999995</v>
      </c>
      <c r="F264" s="39">
        <v>1274</v>
      </c>
      <c r="G264" s="39">
        <v>50</v>
      </c>
      <c r="H264" s="47">
        <v>600</v>
      </c>
      <c r="I264" s="39">
        <v>695</v>
      </c>
      <c r="J264" s="39">
        <v>0</v>
      </c>
      <c r="K264" s="40"/>
      <c r="L264" s="40"/>
      <c r="M264" s="40"/>
      <c r="N264" s="40"/>
      <c r="O264" s="40"/>
      <c r="P264" s="40"/>
      <c r="Q264" s="40"/>
      <c r="R264" s="40"/>
      <c r="S264" s="40"/>
      <c r="T264" s="40"/>
    </row>
    <row r="265" spans="1:20" ht="15.75">
      <c r="A265" s="13">
        <v>49188</v>
      </c>
      <c r="B265" s="48">
        <v>30</v>
      </c>
      <c r="C265" s="39">
        <v>194.20500000000001</v>
      </c>
      <c r="D265" s="39">
        <v>267.46600000000001</v>
      </c>
      <c r="E265" s="45">
        <v>812.32899999999995</v>
      </c>
      <c r="F265" s="39">
        <v>1274</v>
      </c>
      <c r="G265" s="39">
        <v>50</v>
      </c>
      <c r="H265" s="47">
        <v>600</v>
      </c>
      <c r="I265" s="39">
        <v>695</v>
      </c>
      <c r="J265" s="39">
        <v>0</v>
      </c>
      <c r="K265" s="40"/>
      <c r="L265" s="40"/>
      <c r="M265" s="40"/>
      <c r="N265" s="40"/>
      <c r="O265" s="40"/>
      <c r="P265" s="40"/>
      <c r="Q265" s="40"/>
      <c r="R265" s="40"/>
      <c r="S265" s="40"/>
      <c r="T265" s="40"/>
    </row>
    <row r="266" spans="1:20" ht="15.75">
      <c r="A266" s="13">
        <v>49218</v>
      </c>
      <c r="B266" s="48">
        <v>31</v>
      </c>
      <c r="C266" s="39">
        <v>131.881</v>
      </c>
      <c r="D266" s="39">
        <v>277.16699999999997</v>
      </c>
      <c r="E266" s="45">
        <v>829.952</v>
      </c>
      <c r="F266" s="39">
        <v>1239</v>
      </c>
      <c r="G266" s="39">
        <v>75</v>
      </c>
      <c r="H266" s="47">
        <v>600</v>
      </c>
      <c r="I266" s="39">
        <v>695</v>
      </c>
      <c r="J266" s="39">
        <v>0</v>
      </c>
      <c r="K266" s="40"/>
      <c r="L266" s="40"/>
      <c r="M266" s="40"/>
      <c r="N266" s="40"/>
      <c r="O266" s="40"/>
      <c r="P266" s="40"/>
      <c r="Q266" s="40"/>
      <c r="R266" s="40"/>
      <c r="S266" s="40"/>
      <c r="T266" s="40"/>
    </row>
    <row r="267" spans="1:20" ht="15.75">
      <c r="A267" s="13">
        <v>49249</v>
      </c>
      <c r="B267" s="48">
        <v>30</v>
      </c>
      <c r="C267" s="39">
        <v>122.58</v>
      </c>
      <c r="D267" s="39">
        <v>297.94099999999997</v>
      </c>
      <c r="E267" s="45">
        <v>729.47900000000004</v>
      </c>
      <c r="F267" s="39">
        <v>1150</v>
      </c>
      <c r="G267" s="39">
        <v>100</v>
      </c>
      <c r="H267" s="47">
        <v>600</v>
      </c>
      <c r="I267" s="39">
        <v>695</v>
      </c>
      <c r="J267" s="39">
        <v>50</v>
      </c>
      <c r="K267" s="40"/>
      <c r="L267" s="40"/>
      <c r="M267" s="40"/>
      <c r="N267" s="40"/>
      <c r="O267" s="40"/>
      <c r="P267" s="40"/>
      <c r="Q267" s="40"/>
      <c r="R267" s="40"/>
      <c r="S267" s="40"/>
      <c r="T267" s="40"/>
    </row>
    <row r="268" spans="1:20" ht="15.75">
      <c r="A268" s="13">
        <v>49279</v>
      </c>
      <c r="B268" s="48">
        <v>31</v>
      </c>
      <c r="C268" s="39">
        <v>122.58</v>
      </c>
      <c r="D268" s="39">
        <v>297.94099999999997</v>
      </c>
      <c r="E268" s="45">
        <v>729.47900000000004</v>
      </c>
      <c r="F268" s="39">
        <v>1150</v>
      </c>
      <c r="G268" s="39">
        <v>100</v>
      </c>
      <c r="H268" s="47">
        <v>600</v>
      </c>
      <c r="I268" s="39">
        <v>695</v>
      </c>
      <c r="J268" s="39">
        <v>50</v>
      </c>
      <c r="K268" s="40"/>
      <c r="L268" s="40"/>
      <c r="M268" s="40"/>
      <c r="N268" s="40"/>
      <c r="O268" s="40"/>
      <c r="P268" s="40"/>
      <c r="Q268" s="40"/>
      <c r="R268" s="40"/>
      <c r="S268" s="40"/>
      <c r="T268" s="40"/>
    </row>
    <row r="269" spans="1:20" ht="15.75">
      <c r="A269" s="13">
        <v>49310</v>
      </c>
      <c r="B269" s="48">
        <v>31</v>
      </c>
      <c r="C269" s="39">
        <v>122.58</v>
      </c>
      <c r="D269" s="39">
        <v>297.94099999999997</v>
      </c>
      <c r="E269" s="45">
        <v>729.47900000000004</v>
      </c>
      <c r="F269" s="39">
        <v>1150</v>
      </c>
      <c r="G269" s="39">
        <v>100</v>
      </c>
      <c r="H269" s="47">
        <v>600</v>
      </c>
      <c r="I269" s="39">
        <v>695</v>
      </c>
      <c r="J269" s="39">
        <v>50</v>
      </c>
      <c r="K269" s="40"/>
      <c r="L269" s="40"/>
      <c r="M269" s="40"/>
      <c r="N269" s="40"/>
      <c r="O269" s="40"/>
      <c r="P269" s="40"/>
      <c r="Q269" s="40"/>
      <c r="R269" s="40"/>
      <c r="S269" s="40"/>
      <c r="T269" s="40"/>
    </row>
    <row r="270" spans="1:20" ht="15.75">
      <c r="A270" s="13">
        <v>49341</v>
      </c>
      <c r="B270" s="48">
        <v>28</v>
      </c>
      <c r="C270" s="39">
        <v>122.58</v>
      </c>
      <c r="D270" s="39">
        <v>297.94099999999997</v>
      </c>
      <c r="E270" s="45">
        <v>729.47900000000004</v>
      </c>
      <c r="F270" s="39">
        <v>1150</v>
      </c>
      <c r="G270" s="39">
        <v>100</v>
      </c>
      <c r="H270" s="47">
        <v>600</v>
      </c>
      <c r="I270" s="39">
        <v>695</v>
      </c>
      <c r="J270" s="39">
        <v>50</v>
      </c>
      <c r="K270" s="40"/>
      <c r="L270" s="40"/>
      <c r="M270" s="40"/>
      <c r="N270" s="40"/>
      <c r="O270" s="40"/>
      <c r="P270" s="40"/>
      <c r="Q270" s="40"/>
      <c r="R270" s="40"/>
      <c r="S270" s="40"/>
      <c r="T270" s="40"/>
    </row>
    <row r="271" spans="1:20" ht="15.75">
      <c r="A271" s="13">
        <v>49369</v>
      </c>
      <c r="B271" s="48">
        <v>31</v>
      </c>
      <c r="C271" s="39">
        <v>122.58</v>
      </c>
      <c r="D271" s="39">
        <v>297.94099999999997</v>
      </c>
      <c r="E271" s="45">
        <v>729.47900000000004</v>
      </c>
      <c r="F271" s="39">
        <v>1150</v>
      </c>
      <c r="G271" s="39">
        <v>100</v>
      </c>
      <c r="H271" s="47">
        <v>600</v>
      </c>
      <c r="I271" s="39">
        <v>695</v>
      </c>
      <c r="J271" s="39">
        <v>50</v>
      </c>
      <c r="K271" s="40"/>
      <c r="L271" s="40"/>
      <c r="M271" s="40"/>
      <c r="N271" s="40"/>
      <c r="O271" s="40"/>
      <c r="P271" s="40"/>
      <c r="Q271" s="40"/>
      <c r="R271" s="40"/>
      <c r="S271" s="40"/>
      <c r="T271" s="40"/>
    </row>
    <row r="272" spans="1:20" ht="15.75">
      <c r="A272" s="13">
        <v>49400</v>
      </c>
      <c r="B272" s="48">
        <v>30</v>
      </c>
      <c r="C272" s="39">
        <v>141.29300000000001</v>
      </c>
      <c r="D272" s="39">
        <v>267.99299999999999</v>
      </c>
      <c r="E272" s="45">
        <v>829.71400000000006</v>
      </c>
      <c r="F272" s="39">
        <v>1239</v>
      </c>
      <c r="G272" s="39">
        <v>100</v>
      </c>
      <c r="H272" s="47">
        <v>600</v>
      </c>
      <c r="I272" s="39">
        <v>695</v>
      </c>
      <c r="J272" s="39">
        <v>50</v>
      </c>
      <c r="K272" s="40"/>
      <c r="L272" s="40"/>
      <c r="M272" s="40"/>
      <c r="N272" s="40"/>
      <c r="O272" s="40"/>
      <c r="P272" s="40"/>
      <c r="Q272" s="40"/>
      <c r="R272" s="40"/>
      <c r="S272" s="40"/>
      <c r="T272" s="40"/>
    </row>
    <row r="273" spans="1:20" ht="15.75">
      <c r="A273" s="13">
        <v>49430</v>
      </c>
      <c r="B273" s="48">
        <v>31</v>
      </c>
      <c r="C273" s="39">
        <v>194.20500000000001</v>
      </c>
      <c r="D273" s="39">
        <v>267.46600000000001</v>
      </c>
      <c r="E273" s="45">
        <v>812.32899999999995</v>
      </c>
      <c r="F273" s="39">
        <v>1274</v>
      </c>
      <c r="G273" s="39">
        <v>75</v>
      </c>
      <c r="H273" s="47">
        <v>600</v>
      </c>
      <c r="I273" s="39">
        <v>695</v>
      </c>
      <c r="J273" s="39">
        <v>50</v>
      </c>
      <c r="K273" s="40"/>
      <c r="L273" s="40"/>
      <c r="M273" s="40"/>
      <c r="N273" s="40"/>
      <c r="O273" s="40"/>
      <c r="P273" s="40"/>
      <c r="Q273" s="40"/>
      <c r="R273" s="40"/>
      <c r="S273" s="40"/>
      <c r="T273" s="40"/>
    </row>
    <row r="274" spans="1:20" ht="15.75">
      <c r="A274" s="14">
        <v>49461</v>
      </c>
      <c r="B274" s="48">
        <v>30</v>
      </c>
      <c r="C274" s="39">
        <v>194.20500000000001</v>
      </c>
      <c r="D274" s="39">
        <v>267.46600000000001</v>
      </c>
      <c r="E274" s="45">
        <v>812.32899999999995</v>
      </c>
      <c r="F274" s="39">
        <v>1274</v>
      </c>
      <c r="G274" s="39">
        <v>50</v>
      </c>
      <c r="H274" s="47">
        <v>600</v>
      </c>
      <c r="I274" s="39">
        <v>695</v>
      </c>
      <c r="J274" s="39">
        <v>50</v>
      </c>
      <c r="K274" s="40"/>
      <c r="L274" s="40"/>
      <c r="M274" s="40"/>
      <c r="N274" s="40"/>
      <c r="O274" s="40"/>
      <c r="P274" s="40"/>
      <c r="Q274" s="40"/>
      <c r="R274" s="40"/>
      <c r="S274" s="40"/>
      <c r="T274" s="40"/>
    </row>
    <row r="275" spans="1:20" ht="15.75">
      <c r="A275" s="14">
        <v>49491</v>
      </c>
      <c r="B275" s="48">
        <v>31</v>
      </c>
      <c r="C275" s="39">
        <v>194.20500000000001</v>
      </c>
      <c r="D275" s="39">
        <v>267.46600000000001</v>
      </c>
      <c r="E275" s="45">
        <v>812.32899999999995</v>
      </c>
      <c r="F275" s="39">
        <v>1274</v>
      </c>
      <c r="G275" s="39">
        <v>50</v>
      </c>
      <c r="H275" s="47">
        <v>600</v>
      </c>
      <c r="I275" s="39">
        <v>695</v>
      </c>
      <c r="J275" s="39">
        <v>0</v>
      </c>
      <c r="K275" s="40"/>
      <c r="L275" s="40"/>
      <c r="M275" s="40"/>
      <c r="N275" s="40"/>
      <c r="O275" s="40"/>
      <c r="P275" s="40"/>
      <c r="Q275" s="40"/>
      <c r="R275" s="40"/>
      <c r="S275" s="40"/>
      <c r="T275" s="40"/>
    </row>
    <row r="276" spans="1:20" ht="15.75">
      <c r="A276" s="14">
        <v>49522</v>
      </c>
      <c r="B276" s="48">
        <v>31</v>
      </c>
      <c r="C276" s="39">
        <v>194.20500000000001</v>
      </c>
      <c r="D276" s="39">
        <v>267.46600000000001</v>
      </c>
      <c r="E276" s="45">
        <v>812.32899999999995</v>
      </c>
      <c r="F276" s="39">
        <v>1274</v>
      </c>
      <c r="G276" s="39">
        <v>50</v>
      </c>
      <c r="H276" s="47">
        <v>600</v>
      </c>
      <c r="I276" s="39">
        <v>695</v>
      </c>
      <c r="J276" s="39">
        <v>0</v>
      </c>
      <c r="K276" s="40"/>
      <c r="L276" s="40"/>
      <c r="M276" s="40"/>
      <c r="N276" s="40"/>
      <c r="O276" s="40"/>
      <c r="P276" s="40"/>
      <c r="Q276" s="40"/>
      <c r="R276" s="40"/>
      <c r="S276" s="40"/>
      <c r="T276" s="40"/>
    </row>
    <row r="277" spans="1:20" ht="15.75">
      <c r="A277" s="14">
        <v>49553</v>
      </c>
      <c r="B277" s="48">
        <v>30</v>
      </c>
      <c r="C277" s="39">
        <v>194.20500000000001</v>
      </c>
      <c r="D277" s="39">
        <v>267.46600000000001</v>
      </c>
      <c r="E277" s="45">
        <v>812.32899999999995</v>
      </c>
      <c r="F277" s="39">
        <v>1274</v>
      </c>
      <c r="G277" s="39">
        <v>50</v>
      </c>
      <c r="H277" s="47">
        <v>600</v>
      </c>
      <c r="I277" s="39">
        <v>695</v>
      </c>
      <c r="J277" s="39">
        <v>0</v>
      </c>
      <c r="K277" s="40"/>
      <c r="L277" s="40"/>
      <c r="M277" s="40"/>
      <c r="N277" s="40"/>
      <c r="O277" s="40"/>
      <c r="P277" s="40"/>
      <c r="Q277" s="40"/>
      <c r="R277" s="40"/>
      <c r="S277" s="40"/>
      <c r="T277" s="40"/>
    </row>
    <row r="278" spans="1:20" ht="15.75">
      <c r="A278" s="14">
        <v>49583</v>
      </c>
      <c r="B278" s="48">
        <v>31</v>
      </c>
      <c r="C278" s="39">
        <v>131.881</v>
      </c>
      <c r="D278" s="39">
        <v>277.16699999999997</v>
      </c>
      <c r="E278" s="45">
        <v>829.952</v>
      </c>
      <c r="F278" s="39">
        <v>1239</v>
      </c>
      <c r="G278" s="39">
        <v>75</v>
      </c>
      <c r="H278" s="47">
        <v>600</v>
      </c>
      <c r="I278" s="39">
        <v>695</v>
      </c>
      <c r="J278" s="39">
        <v>0</v>
      </c>
      <c r="K278" s="40"/>
      <c r="L278" s="40"/>
      <c r="M278" s="40"/>
      <c r="N278" s="40"/>
      <c r="O278" s="40"/>
      <c r="P278" s="40"/>
      <c r="Q278" s="40"/>
      <c r="R278" s="40"/>
      <c r="S278" s="40"/>
      <c r="T278" s="40"/>
    </row>
    <row r="279" spans="1:20" ht="15.75">
      <c r="A279" s="14">
        <v>49614</v>
      </c>
      <c r="B279" s="48">
        <v>30</v>
      </c>
      <c r="C279" s="39">
        <v>122.58</v>
      </c>
      <c r="D279" s="39">
        <v>297.94099999999997</v>
      </c>
      <c r="E279" s="45">
        <v>729.47900000000004</v>
      </c>
      <c r="F279" s="39">
        <v>1150</v>
      </c>
      <c r="G279" s="39">
        <v>100</v>
      </c>
      <c r="H279" s="47">
        <v>600</v>
      </c>
      <c r="I279" s="39">
        <v>695</v>
      </c>
      <c r="J279" s="39">
        <v>50</v>
      </c>
      <c r="K279" s="40"/>
      <c r="L279" s="40"/>
      <c r="M279" s="40"/>
      <c r="N279" s="40"/>
      <c r="O279" s="40"/>
      <c r="P279" s="40"/>
      <c r="Q279" s="40"/>
      <c r="R279" s="40"/>
      <c r="S279" s="40"/>
      <c r="T279" s="40"/>
    </row>
    <row r="280" spans="1:20" ht="15.75">
      <c r="A280" s="14">
        <v>49644</v>
      </c>
      <c r="B280" s="48">
        <v>31</v>
      </c>
      <c r="C280" s="39">
        <v>122.58</v>
      </c>
      <c r="D280" s="39">
        <v>297.94099999999997</v>
      </c>
      <c r="E280" s="45">
        <v>729.47900000000004</v>
      </c>
      <c r="F280" s="39">
        <v>1150</v>
      </c>
      <c r="G280" s="39">
        <v>100</v>
      </c>
      <c r="H280" s="47">
        <v>600</v>
      </c>
      <c r="I280" s="39">
        <v>695</v>
      </c>
      <c r="J280" s="39">
        <v>50</v>
      </c>
      <c r="K280" s="40"/>
      <c r="L280" s="40"/>
      <c r="M280" s="40"/>
      <c r="N280" s="40"/>
      <c r="O280" s="40"/>
      <c r="P280" s="40"/>
      <c r="Q280" s="40"/>
      <c r="R280" s="40"/>
      <c r="S280" s="40"/>
      <c r="T280" s="40"/>
    </row>
    <row r="281" spans="1:20" ht="15.75">
      <c r="A281" s="14">
        <v>49675</v>
      </c>
      <c r="B281" s="48">
        <v>31</v>
      </c>
      <c r="C281" s="39">
        <v>122.58</v>
      </c>
      <c r="D281" s="39">
        <v>297.94099999999997</v>
      </c>
      <c r="E281" s="45">
        <v>729.47900000000004</v>
      </c>
      <c r="F281" s="39">
        <v>1150</v>
      </c>
      <c r="G281" s="39">
        <v>100</v>
      </c>
      <c r="H281" s="47">
        <v>600</v>
      </c>
      <c r="I281" s="39">
        <v>695</v>
      </c>
      <c r="J281" s="39">
        <v>50</v>
      </c>
      <c r="K281" s="40"/>
      <c r="L281" s="40"/>
      <c r="M281" s="40"/>
      <c r="N281" s="40"/>
      <c r="O281" s="40"/>
      <c r="P281" s="40"/>
      <c r="Q281" s="40"/>
      <c r="R281" s="40"/>
      <c r="S281" s="40"/>
      <c r="T281" s="40"/>
    </row>
    <row r="282" spans="1:20" ht="15.75">
      <c r="A282" s="14">
        <v>49706</v>
      </c>
      <c r="B282" s="48">
        <v>29</v>
      </c>
      <c r="C282" s="39">
        <v>122.58</v>
      </c>
      <c r="D282" s="39">
        <v>297.94099999999997</v>
      </c>
      <c r="E282" s="45">
        <v>729.47900000000004</v>
      </c>
      <c r="F282" s="39">
        <v>1150</v>
      </c>
      <c r="G282" s="39">
        <v>100</v>
      </c>
      <c r="H282" s="47">
        <v>600</v>
      </c>
      <c r="I282" s="39">
        <v>695</v>
      </c>
      <c r="J282" s="39">
        <v>50</v>
      </c>
      <c r="K282" s="40"/>
      <c r="L282" s="40"/>
      <c r="M282" s="40"/>
      <c r="N282" s="40"/>
      <c r="O282" s="40"/>
      <c r="P282" s="40"/>
      <c r="Q282" s="40"/>
      <c r="R282" s="40"/>
      <c r="S282" s="40"/>
      <c r="T282" s="40"/>
    </row>
    <row r="283" spans="1:20" ht="15.75">
      <c r="A283" s="14">
        <v>49735</v>
      </c>
      <c r="B283" s="48">
        <v>31</v>
      </c>
      <c r="C283" s="39">
        <v>122.58</v>
      </c>
      <c r="D283" s="39">
        <v>297.94099999999997</v>
      </c>
      <c r="E283" s="45">
        <v>729.47900000000004</v>
      </c>
      <c r="F283" s="39">
        <v>1150</v>
      </c>
      <c r="G283" s="39">
        <v>100</v>
      </c>
      <c r="H283" s="47">
        <v>600</v>
      </c>
      <c r="I283" s="39">
        <v>695</v>
      </c>
      <c r="J283" s="39">
        <v>50</v>
      </c>
      <c r="K283" s="40"/>
      <c r="L283" s="40"/>
      <c r="M283" s="40"/>
      <c r="N283" s="40"/>
      <c r="O283" s="40"/>
      <c r="P283" s="40"/>
      <c r="Q283" s="40"/>
      <c r="R283" s="40"/>
      <c r="S283" s="40"/>
      <c r="T283" s="40"/>
    </row>
    <row r="284" spans="1:20" ht="15.75">
      <c r="A284" s="14">
        <v>49766</v>
      </c>
      <c r="B284" s="48">
        <v>30</v>
      </c>
      <c r="C284" s="39">
        <v>141.29300000000001</v>
      </c>
      <c r="D284" s="39">
        <v>267.99299999999999</v>
      </c>
      <c r="E284" s="45">
        <v>829.71400000000006</v>
      </c>
      <c r="F284" s="39">
        <v>1239</v>
      </c>
      <c r="G284" s="39">
        <v>100</v>
      </c>
      <c r="H284" s="47">
        <v>600</v>
      </c>
      <c r="I284" s="39">
        <v>695</v>
      </c>
      <c r="J284" s="39">
        <v>50</v>
      </c>
      <c r="K284" s="40"/>
      <c r="L284" s="40"/>
      <c r="M284" s="40"/>
      <c r="N284" s="40"/>
      <c r="O284" s="40"/>
      <c r="P284" s="40"/>
      <c r="Q284" s="40"/>
      <c r="R284" s="40"/>
      <c r="S284" s="40"/>
      <c r="T284" s="40"/>
    </row>
    <row r="285" spans="1:20" ht="15.75">
      <c r="A285" s="14">
        <v>49796</v>
      </c>
      <c r="B285" s="48">
        <v>31</v>
      </c>
      <c r="C285" s="39">
        <v>194.20500000000001</v>
      </c>
      <c r="D285" s="39">
        <v>267.46600000000001</v>
      </c>
      <c r="E285" s="45">
        <v>812.32899999999995</v>
      </c>
      <c r="F285" s="39">
        <v>1274</v>
      </c>
      <c r="G285" s="39">
        <v>75</v>
      </c>
      <c r="H285" s="47">
        <v>600</v>
      </c>
      <c r="I285" s="39">
        <v>695</v>
      </c>
      <c r="J285" s="39">
        <v>50</v>
      </c>
      <c r="K285" s="40"/>
      <c r="L285" s="40"/>
      <c r="M285" s="40"/>
      <c r="N285" s="40"/>
      <c r="O285" s="40"/>
      <c r="P285" s="40"/>
      <c r="Q285" s="40"/>
      <c r="R285" s="40"/>
      <c r="S285" s="40"/>
      <c r="T285" s="40"/>
    </row>
    <row r="286" spans="1:20" ht="15.75">
      <c r="A286" s="14">
        <v>49827</v>
      </c>
      <c r="B286" s="48">
        <v>30</v>
      </c>
      <c r="C286" s="39">
        <v>194.20500000000001</v>
      </c>
      <c r="D286" s="39">
        <v>267.46600000000001</v>
      </c>
      <c r="E286" s="45">
        <v>812.32899999999995</v>
      </c>
      <c r="F286" s="39">
        <v>1274</v>
      </c>
      <c r="G286" s="39">
        <v>50</v>
      </c>
      <c r="H286" s="47">
        <v>600</v>
      </c>
      <c r="I286" s="39">
        <v>695</v>
      </c>
      <c r="J286" s="39">
        <v>50</v>
      </c>
      <c r="K286" s="40"/>
      <c r="L286" s="40"/>
      <c r="M286" s="40"/>
      <c r="N286" s="40"/>
      <c r="O286" s="40"/>
      <c r="P286" s="40"/>
      <c r="Q286" s="40"/>
      <c r="R286" s="40"/>
      <c r="S286" s="40"/>
      <c r="T286" s="40"/>
    </row>
    <row r="287" spans="1:20" ht="15.75">
      <c r="A287" s="14">
        <v>49857</v>
      </c>
      <c r="B287" s="48">
        <v>31</v>
      </c>
      <c r="C287" s="39">
        <v>194.20500000000001</v>
      </c>
      <c r="D287" s="39">
        <v>267.46600000000001</v>
      </c>
      <c r="E287" s="45">
        <v>812.32899999999995</v>
      </c>
      <c r="F287" s="39">
        <v>1274</v>
      </c>
      <c r="G287" s="39">
        <v>50</v>
      </c>
      <c r="H287" s="47">
        <v>600</v>
      </c>
      <c r="I287" s="39">
        <v>695</v>
      </c>
      <c r="J287" s="39">
        <v>0</v>
      </c>
      <c r="K287" s="40"/>
      <c r="L287" s="40"/>
      <c r="M287" s="40"/>
      <c r="N287" s="40"/>
      <c r="O287" s="40"/>
      <c r="P287" s="40"/>
      <c r="Q287" s="40"/>
      <c r="R287" s="40"/>
      <c r="S287" s="40"/>
      <c r="T287" s="40"/>
    </row>
    <row r="288" spans="1:20" ht="15.75">
      <c r="A288" s="14">
        <v>49888</v>
      </c>
      <c r="B288" s="48">
        <v>31</v>
      </c>
      <c r="C288" s="39">
        <v>194.20500000000001</v>
      </c>
      <c r="D288" s="39">
        <v>267.46600000000001</v>
      </c>
      <c r="E288" s="45">
        <v>812.32899999999995</v>
      </c>
      <c r="F288" s="39">
        <v>1274</v>
      </c>
      <c r="G288" s="39">
        <v>50</v>
      </c>
      <c r="H288" s="47">
        <v>600</v>
      </c>
      <c r="I288" s="39">
        <v>695</v>
      </c>
      <c r="J288" s="39">
        <v>0</v>
      </c>
      <c r="K288" s="40"/>
      <c r="L288" s="40"/>
      <c r="M288" s="40"/>
      <c r="N288" s="40"/>
      <c r="O288" s="40"/>
      <c r="P288" s="40"/>
      <c r="Q288" s="40"/>
      <c r="R288" s="40"/>
      <c r="S288" s="40"/>
      <c r="T288" s="40"/>
    </row>
    <row r="289" spans="1:20" ht="15.75">
      <c r="A289" s="14">
        <v>49919</v>
      </c>
      <c r="B289" s="48">
        <v>30</v>
      </c>
      <c r="C289" s="39">
        <v>194.20500000000001</v>
      </c>
      <c r="D289" s="39">
        <v>267.46600000000001</v>
      </c>
      <c r="E289" s="45">
        <v>812.32899999999995</v>
      </c>
      <c r="F289" s="39">
        <v>1274</v>
      </c>
      <c r="G289" s="39">
        <v>50</v>
      </c>
      <c r="H289" s="47">
        <v>600</v>
      </c>
      <c r="I289" s="39">
        <v>695</v>
      </c>
      <c r="J289" s="39">
        <v>0</v>
      </c>
      <c r="K289" s="40"/>
      <c r="L289" s="40"/>
      <c r="M289" s="40"/>
      <c r="N289" s="40"/>
      <c r="O289" s="40"/>
      <c r="P289" s="40"/>
      <c r="Q289" s="40"/>
      <c r="R289" s="40"/>
      <c r="S289" s="40"/>
      <c r="T289" s="40"/>
    </row>
    <row r="290" spans="1:20" ht="15.75">
      <c r="A290" s="14">
        <v>49949</v>
      </c>
      <c r="B290" s="48">
        <v>31</v>
      </c>
      <c r="C290" s="39">
        <v>131.881</v>
      </c>
      <c r="D290" s="39">
        <v>277.16699999999997</v>
      </c>
      <c r="E290" s="45">
        <v>829.952</v>
      </c>
      <c r="F290" s="39">
        <v>1239</v>
      </c>
      <c r="G290" s="39">
        <v>75</v>
      </c>
      <c r="H290" s="47">
        <v>600</v>
      </c>
      <c r="I290" s="39">
        <v>695</v>
      </c>
      <c r="J290" s="39">
        <v>0</v>
      </c>
      <c r="K290" s="40"/>
      <c r="L290" s="40"/>
      <c r="M290" s="40"/>
      <c r="N290" s="40"/>
      <c r="O290" s="40"/>
      <c r="P290" s="40"/>
      <c r="Q290" s="40"/>
      <c r="R290" s="40"/>
      <c r="S290" s="40"/>
      <c r="T290" s="40"/>
    </row>
    <row r="291" spans="1:20" ht="15.75">
      <c r="A291" s="14">
        <v>49980</v>
      </c>
      <c r="B291" s="48">
        <v>30</v>
      </c>
      <c r="C291" s="39">
        <v>122.58</v>
      </c>
      <c r="D291" s="39">
        <v>297.94099999999997</v>
      </c>
      <c r="E291" s="45">
        <v>729.47900000000004</v>
      </c>
      <c r="F291" s="39">
        <v>1150</v>
      </c>
      <c r="G291" s="39">
        <v>100</v>
      </c>
      <c r="H291" s="47">
        <v>600</v>
      </c>
      <c r="I291" s="39">
        <v>695</v>
      </c>
      <c r="J291" s="39">
        <v>50</v>
      </c>
      <c r="K291" s="40"/>
      <c r="L291" s="40"/>
      <c r="M291" s="40"/>
      <c r="N291" s="40"/>
      <c r="O291" s="40"/>
      <c r="P291" s="40"/>
      <c r="Q291" s="40"/>
      <c r="R291" s="40"/>
      <c r="S291" s="40"/>
      <c r="T291" s="40"/>
    </row>
    <row r="292" spans="1:20" ht="15.75">
      <c r="A292" s="14">
        <v>50010</v>
      </c>
      <c r="B292" s="48">
        <v>31</v>
      </c>
      <c r="C292" s="39">
        <v>122.58</v>
      </c>
      <c r="D292" s="39">
        <v>297.94099999999997</v>
      </c>
      <c r="E292" s="45">
        <v>729.47900000000004</v>
      </c>
      <c r="F292" s="39">
        <v>1150</v>
      </c>
      <c r="G292" s="39">
        <v>100</v>
      </c>
      <c r="H292" s="47">
        <v>600</v>
      </c>
      <c r="I292" s="39">
        <v>695</v>
      </c>
      <c r="J292" s="39">
        <v>50</v>
      </c>
      <c r="K292" s="40"/>
      <c r="L292" s="40"/>
      <c r="M292" s="40"/>
      <c r="N292" s="40"/>
      <c r="O292" s="40"/>
      <c r="P292" s="40"/>
      <c r="Q292" s="40"/>
      <c r="R292" s="40"/>
      <c r="S292" s="40"/>
      <c r="T292" s="40"/>
    </row>
    <row r="293" spans="1:20" ht="15.75">
      <c r="A293" s="14">
        <v>50041</v>
      </c>
      <c r="B293" s="48">
        <v>31</v>
      </c>
      <c r="C293" s="39">
        <v>122.58</v>
      </c>
      <c r="D293" s="39">
        <v>297.94099999999997</v>
      </c>
      <c r="E293" s="45">
        <v>729.47900000000004</v>
      </c>
      <c r="F293" s="39">
        <v>1150</v>
      </c>
      <c r="G293" s="39">
        <v>100</v>
      </c>
      <c r="H293" s="47">
        <v>600</v>
      </c>
      <c r="I293" s="39">
        <v>695</v>
      </c>
      <c r="J293" s="39">
        <v>50</v>
      </c>
      <c r="K293" s="40"/>
      <c r="L293" s="40"/>
      <c r="M293" s="40"/>
      <c r="N293" s="40"/>
      <c r="O293" s="40"/>
      <c r="P293" s="40"/>
      <c r="Q293" s="40"/>
      <c r="R293" s="40"/>
      <c r="S293" s="40"/>
      <c r="T293" s="40"/>
    </row>
    <row r="294" spans="1:20" ht="15.75">
      <c r="A294" s="14">
        <v>50072</v>
      </c>
      <c r="B294" s="48">
        <v>28</v>
      </c>
      <c r="C294" s="39">
        <v>122.58</v>
      </c>
      <c r="D294" s="39">
        <v>297.94099999999997</v>
      </c>
      <c r="E294" s="45">
        <v>729.47900000000004</v>
      </c>
      <c r="F294" s="39">
        <v>1150</v>
      </c>
      <c r="G294" s="39">
        <v>100</v>
      </c>
      <c r="H294" s="47">
        <v>600</v>
      </c>
      <c r="I294" s="39">
        <v>695</v>
      </c>
      <c r="J294" s="39">
        <v>50</v>
      </c>
      <c r="K294" s="40"/>
      <c r="L294" s="40"/>
      <c r="M294" s="40"/>
      <c r="N294" s="40"/>
      <c r="O294" s="40"/>
      <c r="P294" s="40"/>
      <c r="Q294" s="40"/>
      <c r="R294" s="40"/>
      <c r="S294" s="40"/>
      <c r="T294" s="40"/>
    </row>
    <row r="295" spans="1:20" ht="15.75">
      <c r="A295" s="14">
        <v>50100</v>
      </c>
      <c r="B295" s="48">
        <v>31</v>
      </c>
      <c r="C295" s="39">
        <v>122.58</v>
      </c>
      <c r="D295" s="39">
        <v>297.94099999999997</v>
      </c>
      <c r="E295" s="45">
        <v>729.47900000000004</v>
      </c>
      <c r="F295" s="39">
        <v>1150</v>
      </c>
      <c r="G295" s="39">
        <v>100</v>
      </c>
      <c r="H295" s="47">
        <v>600</v>
      </c>
      <c r="I295" s="39">
        <v>695</v>
      </c>
      <c r="J295" s="39">
        <v>50</v>
      </c>
      <c r="K295" s="40"/>
      <c r="L295" s="40"/>
      <c r="M295" s="40"/>
      <c r="N295" s="40"/>
      <c r="O295" s="40"/>
      <c r="P295" s="40"/>
      <c r="Q295" s="40"/>
      <c r="R295" s="40"/>
      <c r="S295" s="40"/>
      <c r="T295" s="40"/>
    </row>
    <row r="296" spans="1:20" ht="15.75">
      <c r="A296" s="14">
        <v>50131</v>
      </c>
      <c r="B296" s="48">
        <v>30</v>
      </c>
      <c r="C296" s="39">
        <v>141.29300000000001</v>
      </c>
      <c r="D296" s="39">
        <v>267.99299999999999</v>
      </c>
      <c r="E296" s="45">
        <v>829.71400000000006</v>
      </c>
      <c r="F296" s="39">
        <v>1239</v>
      </c>
      <c r="G296" s="39">
        <v>100</v>
      </c>
      <c r="H296" s="47">
        <v>600</v>
      </c>
      <c r="I296" s="39">
        <v>695</v>
      </c>
      <c r="J296" s="39">
        <v>50</v>
      </c>
      <c r="K296" s="40"/>
      <c r="L296" s="40"/>
      <c r="M296" s="40"/>
      <c r="N296" s="40"/>
      <c r="O296" s="40"/>
      <c r="P296" s="40"/>
      <c r="Q296" s="40"/>
      <c r="R296" s="40"/>
      <c r="S296" s="40"/>
      <c r="T296" s="40"/>
    </row>
    <row r="297" spans="1:20" ht="15.75">
      <c r="A297" s="14">
        <v>50161</v>
      </c>
      <c r="B297" s="48">
        <v>31</v>
      </c>
      <c r="C297" s="39">
        <v>194.20500000000001</v>
      </c>
      <c r="D297" s="39">
        <v>267.46600000000001</v>
      </c>
      <c r="E297" s="45">
        <v>812.32899999999995</v>
      </c>
      <c r="F297" s="39">
        <v>1274</v>
      </c>
      <c r="G297" s="39">
        <v>75</v>
      </c>
      <c r="H297" s="47">
        <v>600</v>
      </c>
      <c r="I297" s="39">
        <v>695</v>
      </c>
      <c r="J297" s="39">
        <v>50</v>
      </c>
      <c r="K297" s="40"/>
      <c r="L297" s="40"/>
      <c r="M297" s="40"/>
      <c r="N297" s="40"/>
      <c r="O297" s="40"/>
      <c r="P297" s="40"/>
      <c r="Q297" s="40"/>
      <c r="R297" s="40"/>
      <c r="S297" s="40"/>
      <c r="T297" s="40"/>
    </row>
    <row r="298" spans="1:20" ht="15.75">
      <c r="A298" s="14">
        <v>50192</v>
      </c>
      <c r="B298" s="48">
        <v>30</v>
      </c>
      <c r="C298" s="39">
        <v>194.20500000000001</v>
      </c>
      <c r="D298" s="39">
        <v>267.46600000000001</v>
      </c>
      <c r="E298" s="45">
        <v>812.32899999999995</v>
      </c>
      <c r="F298" s="39">
        <v>1274</v>
      </c>
      <c r="G298" s="39">
        <v>50</v>
      </c>
      <c r="H298" s="47">
        <v>600</v>
      </c>
      <c r="I298" s="39">
        <v>695</v>
      </c>
      <c r="J298" s="39">
        <v>50</v>
      </c>
      <c r="K298" s="40"/>
      <c r="L298" s="40"/>
      <c r="M298" s="40"/>
      <c r="N298" s="40"/>
      <c r="O298" s="40"/>
      <c r="P298" s="40"/>
      <c r="Q298" s="40"/>
      <c r="R298" s="40"/>
      <c r="S298" s="40"/>
      <c r="T298" s="40"/>
    </row>
    <row r="299" spans="1:20" ht="15.75">
      <c r="A299" s="14">
        <v>50222</v>
      </c>
      <c r="B299" s="48">
        <v>31</v>
      </c>
      <c r="C299" s="39">
        <v>194.20500000000001</v>
      </c>
      <c r="D299" s="39">
        <v>267.46600000000001</v>
      </c>
      <c r="E299" s="45">
        <v>812.32899999999995</v>
      </c>
      <c r="F299" s="39">
        <v>1274</v>
      </c>
      <c r="G299" s="39">
        <v>50</v>
      </c>
      <c r="H299" s="47">
        <v>600</v>
      </c>
      <c r="I299" s="39">
        <v>695</v>
      </c>
      <c r="J299" s="39">
        <v>0</v>
      </c>
      <c r="K299" s="40"/>
      <c r="L299" s="40"/>
      <c r="M299" s="40"/>
      <c r="N299" s="40"/>
      <c r="O299" s="40"/>
      <c r="P299" s="40"/>
      <c r="Q299" s="40"/>
      <c r="R299" s="40"/>
      <c r="S299" s="40"/>
      <c r="T299" s="40"/>
    </row>
    <row r="300" spans="1:20" ht="15.75">
      <c r="A300" s="14">
        <v>50253</v>
      </c>
      <c r="B300" s="48">
        <v>31</v>
      </c>
      <c r="C300" s="39">
        <v>194.20500000000001</v>
      </c>
      <c r="D300" s="39">
        <v>267.46600000000001</v>
      </c>
      <c r="E300" s="45">
        <v>812.32899999999995</v>
      </c>
      <c r="F300" s="39">
        <v>1274</v>
      </c>
      <c r="G300" s="39">
        <v>50</v>
      </c>
      <c r="H300" s="47">
        <v>600</v>
      </c>
      <c r="I300" s="39">
        <v>695</v>
      </c>
      <c r="J300" s="39">
        <v>0</v>
      </c>
      <c r="K300" s="40"/>
      <c r="L300" s="40"/>
      <c r="M300" s="40"/>
      <c r="N300" s="40"/>
      <c r="O300" s="40"/>
      <c r="P300" s="40"/>
      <c r="Q300" s="40"/>
      <c r="R300" s="40"/>
      <c r="S300" s="40"/>
      <c r="T300" s="40"/>
    </row>
    <row r="301" spans="1:20" ht="15.75">
      <c r="A301" s="14">
        <v>50284</v>
      </c>
      <c r="B301" s="48">
        <v>30</v>
      </c>
      <c r="C301" s="39">
        <v>194.20500000000001</v>
      </c>
      <c r="D301" s="39">
        <v>267.46600000000001</v>
      </c>
      <c r="E301" s="45">
        <v>812.32899999999995</v>
      </c>
      <c r="F301" s="39">
        <v>1274</v>
      </c>
      <c r="G301" s="39">
        <v>50</v>
      </c>
      <c r="H301" s="47">
        <v>600</v>
      </c>
      <c r="I301" s="39">
        <v>695</v>
      </c>
      <c r="J301" s="39">
        <v>0</v>
      </c>
      <c r="K301" s="40"/>
      <c r="L301" s="40"/>
      <c r="M301" s="40"/>
      <c r="N301" s="40"/>
      <c r="O301" s="40"/>
      <c r="P301" s="40"/>
      <c r="Q301" s="40"/>
      <c r="R301" s="40"/>
      <c r="S301" s="40"/>
      <c r="T301" s="40"/>
    </row>
    <row r="302" spans="1:20" ht="15.75">
      <c r="A302" s="14">
        <v>50314</v>
      </c>
      <c r="B302" s="48">
        <v>31</v>
      </c>
      <c r="C302" s="39">
        <v>131.881</v>
      </c>
      <c r="D302" s="39">
        <v>277.16699999999997</v>
      </c>
      <c r="E302" s="45">
        <v>829.952</v>
      </c>
      <c r="F302" s="39">
        <v>1239</v>
      </c>
      <c r="G302" s="39">
        <v>75</v>
      </c>
      <c r="H302" s="47">
        <v>600</v>
      </c>
      <c r="I302" s="39">
        <v>695</v>
      </c>
      <c r="J302" s="39">
        <v>0</v>
      </c>
      <c r="K302" s="40"/>
      <c r="L302" s="40"/>
      <c r="M302" s="40"/>
      <c r="N302" s="40"/>
      <c r="O302" s="40"/>
      <c r="P302" s="40"/>
      <c r="Q302" s="40"/>
      <c r="R302" s="40"/>
      <c r="S302" s="40"/>
      <c r="T302" s="40"/>
    </row>
    <row r="303" spans="1:20" ht="15.75">
      <c r="A303" s="14">
        <v>50345</v>
      </c>
      <c r="B303" s="48">
        <v>30</v>
      </c>
      <c r="C303" s="39">
        <v>122.58</v>
      </c>
      <c r="D303" s="39">
        <v>297.94099999999997</v>
      </c>
      <c r="E303" s="45">
        <v>729.47900000000004</v>
      </c>
      <c r="F303" s="39">
        <v>1150</v>
      </c>
      <c r="G303" s="39">
        <v>100</v>
      </c>
      <c r="H303" s="47">
        <v>600</v>
      </c>
      <c r="I303" s="39">
        <v>695</v>
      </c>
      <c r="J303" s="39">
        <v>50</v>
      </c>
      <c r="K303" s="40"/>
      <c r="L303" s="40"/>
      <c r="M303" s="40"/>
      <c r="N303" s="40"/>
      <c r="O303" s="40"/>
      <c r="P303" s="40"/>
      <c r="Q303" s="40"/>
      <c r="R303" s="40"/>
      <c r="S303" s="40"/>
      <c r="T303" s="40"/>
    </row>
    <row r="304" spans="1:20" ht="15.75">
      <c r="A304" s="14">
        <v>50375</v>
      </c>
      <c r="B304" s="48">
        <v>31</v>
      </c>
      <c r="C304" s="39">
        <v>122.58</v>
      </c>
      <c r="D304" s="39">
        <v>297.94099999999997</v>
      </c>
      <c r="E304" s="45">
        <v>729.47900000000004</v>
      </c>
      <c r="F304" s="39">
        <v>1150</v>
      </c>
      <c r="G304" s="39">
        <v>100</v>
      </c>
      <c r="H304" s="47">
        <v>600</v>
      </c>
      <c r="I304" s="39">
        <v>695</v>
      </c>
      <c r="J304" s="39">
        <v>50</v>
      </c>
      <c r="K304" s="40"/>
      <c r="L304" s="40"/>
      <c r="M304" s="40"/>
      <c r="N304" s="40"/>
      <c r="O304" s="40"/>
      <c r="P304" s="40"/>
      <c r="Q304" s="40"/>
      <c r="R304" s="40"/>
      <c r="S304" s="40"/>
      <c r="T304" s="40"/>
    </row>
    <row r="305" spans="1:20" ht="15.75">
      <c r="A305" s="13">
        <v>50436</v>
      </c>
      <c r="B305" s="48">
        <v>31</v>
      </c>
      <c r="C305" s="39">
        <v>122.58</v>
      </c>
      <c r="D305" s="39">
        <v>297.94099999999997</v>
      </c>
      <c r="E305" s="45">
        <v>729.47900000000004</v>
      </c>
      <c r="F305" s="39">
        <v>1150</v>
      </c>
      <c r="G305" s="39">
        <v>100</v>
      </c>
      <c r="H305" s="47">
        <v>600</v>
      </c>
      <c r="I305" s="39">
        <v>695</v>
      </c>
      <c r="J305" s="39">
        <v>50</v>
      </c>
      <c r="K305" s="40"/>
      <c r="L305" s="40"/>
      <c r="M305" s="40"/>
      <c r="N305" s="40"/>
      <c r="O305" s="40"/>
      <c r="P305" s="40"/>
      <c r="Q305" s="40"/>
      <c r="R305" s="40"/>
      <c r="S305" s="40"/>
      <c r="T305" s="40"/>
    </row>
    <row r="306" spans="1:20" ht="15.75">
      <c r="A306" s="13">
        <v>50464</v>
      </c>
      <c r="B306" s="48">
        <v>28</v>
      </c>
      <c r="C306" s="39">
        <v>122.58</v>
      </c>
      <c r="D306" s="39">
        <v>297.94099999999997</v>
      </c>
      <c r="E306" s="45">
        <v>729.47900000000004</v>
      </c>
      <c r="F306" s="39">
        <v>1150</v>
      </c>
      <c r="G306" s="39">
        <v>100</v>
      </c>
      <c r="H306" s="47">
        <v>600</v>
      </c>
      <c r="I306" s="39">
        <v>695</v>
      </c>
      <c r="J306" s="39">
        <v>50</v>
      </c>
      <c r="K306" s="40"/>
      <c r="L306" s="40"/>
      <c r="M306" s="40"/>
      <c r="N306" s="40"/>
      <c r="O306" s="40"/>
      <c r="P306" s="40"/>
      <c r="Q306" s="40"/>
      <c r="R306" s="40"/>
      <c r="S306" s="40"/>
      <c r="T306" s="40"/>
    </row>
    <row r="307" spans="1:20" ht="15.75">
      <c r="A307" s="13">
        <v>50495</v>
      </c>
      <c r="B307" s="48">
        <v>31</v>
      </c>
      <c r="C307" s="39">
        <v>122.58</v>
      </c>
      <c r="D307" s="39">
        <v>297.94099999999997</v>
      </c>
      <c r="E307" s="45">
        <v>729.47900000000004</v>
      </c>
      <c r="F307" s="39">
        <v>1150</v>
      </c>
      <c r="G307" s="39">
        <v>100</v>
      </c>
      <c r="H307" s="47">
        <v>600</v>
      </c>
      <c r="I307" s="39">
        <v>695</v>
      </c>
      <c r="J307" s="39">
        <v>50</v>
      </c>
      <c r="K307" s="40"/>
      <c r="L307" s="40"/>
      <c r="M307" s="40"/>
      <c r="N307" s="40"/>
      <c r="O307" s="40"/>
      <c r="P307" s="40"/>
      <c r="Q307" s="40"/>
      <c r="R307" s="40"/>
      <c r="S307" s="40"/>
      <c r="T307" s="40"/>
    </row>
    <row r="308" spans="1:20" ht="15.75">
      <c r="A308" s="13">
        <v>50525</v>
      </c>
      <c r="B308" s="48">
        <v>30</v>
      </c>
      <c r="C308" s="39">
        <v>141.29300000000001</v>
      </c>
      <c r="D308" s="39">
        <v>267.99299999999999</v>
      </c>
      <c r="E308" s="45">
        <v>829.71400000000006</v>
      </c>
      <c r="F308" s="39">
        <v>1239</v>
      </c>
      <c r="G308" s="39">
        <v>100</v>
      </c>
      <c r="H308" s="47">
        <v>600</v>
      </c>
      <c r="I308" s="39">
        <v>695</v>
      </c>
      <c r="J308" s="39">
        <v>50</v>
      </c>
      <c r="K308" s="40"/>
      <c r="L308" s="40"/>
      <c r="M308" s="40"/>
      <c r="N308" s="40"/>
      <c r="O308" s="40"/>
      <c r="P308" s="40"/>
      <c r="Q308" s="40"/>
      <c r="R308" s="40"/>
      <c r="S308" s="40"/>
      <c r="T308" s="40"/>
    </row>
    <row r="309" spans="1:20" ht="15.75">
      <c r="A309" s="13">
        <v>50556</v>
      </c>
      <c r="B309" s="48">
        <v>31</v>
      </c>
      <c r="C309" s="39">
        <v>194.20500000000001</v>
      </c>
      <c r="D309" s="39">
        <v>267.46600000000001</v>
      </c>
      <c r="E309" s="45">
        <v>812.32899999999995</v>
      </c>
      <c r="F309" s="39">
        <v>1274</v>
      </c>
      <c r="G309" s="39">
        <v>75</v>
      </c>
      <c r="H309" s="47">
        <v>600</v>
      </c>
      <c r="I309" s="39">
        <v>695</v>
      </c>
      <c r="J309" s="39">
        <v>50</v>
      </c>
      <c r="K309" s="40"/>
      <c r="L309" s="40"/>
      <c r="M309" s="40"/>
      <c r="N309" s="40"/>
      <c r="O309" s="40"/>
      <c r="P309" s="40"/>
      <c r="Q309" s="40"/>
      <c r="R309" s="40"/>
      <c r="S309" s="40"/>
      <c r="T309" s="40"/>
    </row>
    <row r="310" spans="1:20" ht="15.75">
      <c r="A310" s="13">
        <v>50586</v>
      </c>
      <c r="B310" s="48">
        <v>30</v>
      </c>
      <c r="C310" s="39">
        <v>194.20500000000001</v>
      </c>
      <c r="D310" s="39">
        <v>267.46600000000001</v>
      </c>
      <c r="E310" s="45">
        <v>812.32899999999995</v>
      </c>
      <c r="F310" s="39">
        <v>1274</v>
      </c>
      <c r="G310" s="39">
        <v>50</v>
      </c>
      <c r="H310" s="47">
        <v>600</v>
      </c>
      <c r="I310" s="39">
        <v>695</v>
      </c>
      <c r="J310" s="39">
        <v>50</v>
      </c>
      <c r="K310" s="40"/>
      <c r="L310" s="40"/>
      <c r="M310" s="40"/>
      <c r="N310" s="40"/>
      <c r="O310" s="40"/>
      <c r="P310" s="40"/>
      <c r="Q310" s="40"/>
      <c r="R310" s="40"/>
      <c r="S310" s="40"/>
      <c r="T310" s="40"/>
    </row>
    <row r="311" spans="1:20" ht="15.75">
      <c r="A311" s="13">
        <v>50617</v>
      </c>
      <c r="B311" s="48">
        <v>31</v>
      </c>
      <c r="C311" s="39">
        <v>194.20500000000001</v>
      </c>
      <c r="D311" s="39">
        <v>267.46600000000001</v>
      </c>
      <c r="E311" s="45">
        <v>812.32899999999995</v>
      </c>
      <c r="F311" s="39">
        <v>1274</v>
      </c>
      <c r="G311" s="39">
        <v>50</v>
      </c>
      <c r="H311" s="47">
        <v>600</v>
      </c>
      <c r="I311" s="39">
        <v>695</v>
      </c>
      <c r="J311" s="39">
        <v>0</v>
      </c>
      <c r="K311" s="40"/>
      <c r="L311" s="40"/>
      <c r="M311" s="40"/>
      <c r="N311" s="40"/>
      <c r="O311" s="40"/>
      <c r="P311" s="40"/>
      <c r="Q311" s="40"/>
      <c r="R311" s="40"/>
      <c r="S311" s="40"/>
      <c r="T311" s="40"/>
    </row>
    <row r="312" spans="1:20" ht="15.75">
      <c r="A312" s="13">
        <v>50648</v>
      </c>
      <c r="B312" s="48">
        <v>31</v>
      </c>
      <c r="C312" s="39">
        <v>194.20500000000001</v>
      </c>
      <c r="D312" s="39">
        <v>267.46600000000001</v>
      </c>
      <c r="E312" s="45">
        <v>812.32899999999995</v>
      </c>
      <c r="F312" s="39">
        <v>1274</v>
      </c>
      <c r="G312" s="39">
        <v>50</v>
      </c>
      <c r="H312" s="47">
        <v>600</v>
      </c>
      <c r="I312" s="39">
        <v>695</v>
      </c>
      <c r="J312" s="39">
        <v>0</v>
      </c>
      <c r="K312" s="40"/>
      <c r="L312" s="40"/>
      <c r="M312" s="40"/>
      <c r="N312" s="40"/>
      <c r="O312" s="40"/>
      <c r="P312" s="40"/>
      <c r="Q312" s="40"/>
      <c r="R312" s="40"/>
      <c r="S312" s="40"/>
      <c r="T312" s="40"/>
    </row>
    <row r="313" spans="1:20" ht="15.75">
      <c r="A313" s="13">
        <v>50678</v>
      </c>
      <c r="B313" s="48">
        <v>30</v>
      </c>
      <c r="C313" s="39">
        <v>194.20500000000001</v>
      </c>
      <c r="D313" s="39">
        <v>267.46600000000001</v>
      </c>
      <c r="E313" s="45">
        <v>812.32899999999995</v>
      </c>
      <c r="F313" s="39">
        <v>1274</v>
      </c>
      <c r="G313" s="39">
        <v>50</v>
      </c>
      <c r="H313" s="47">
        <v>600</v>
      </c>
      <c r="I313" s="39">
        <v>695</v>
      </c>
      <c r="J313" s="39">
        <v>0</v>
      </c>
      <c r="K313" s="40"/>
      <c r="L313" s="40"/>
      <c r="M313" s="40"/>
      <c r="N313" s="40"/>
      <c r="O313" s="40"/>
      <c r="P313" s="40"/>
      <c r="Q313" s="40"/>
      <c r="R313" s="40"/>
      <c r="S313" s="40"/>
      <c r="T313" s="40"/>
    </row>
    <row r="314" spans="1:20" ht="15.75">
      <c r="A314" s="13">
        <v>50709</v>
      </c>
      <c r="B314" s="48">
        <v>31</v>
      </c>
      <c r="C314" s="39">
        <v>131.881</v>
      </c>
      <c r="D314" s="39">
        <v>277.16699999999997</v>
      </c>
      <c r="E314" s="45">
        <v>829.952</v>
      </c>
      <c r="F314" s="39">
        <v>1239</v>
      </c>
      <c r="G314" s="39">
        <v>75</v>
      </c>
      <c r="H314" s="47">
        <v>600</v>
      </c>
      <c r="I314" s="39">
        <v>695</v>
      </c>
      <c r="J314" s="39">
        <v>0</v>
      </c>
      <c r="K314" s="40"/>
      <c r="L314" s="40"/>
      <c r="M314" s="40"/>
      <c r="N314" s="40"/>
      <c r="O314" s="40"/>
      <c r="P314" s="40"/>
      <c r="Q314" s="40"/>
      <c r="R314" s="40"/>
      <c r="S314" s="40"/>
      <c r="T314" s="40"/>
    </row>
    <row r="315" spans="1:20" ht="15.75">
      <c r="A315" s="13">
        <v>50739</v>
      </c>
      <c r="B315" s="48">
        <v>30</v>
      </c>
      <c r="C315" s="39">
        <v>122.58</v>
      </c>
      <c r="D315" s="39">
        <v>297.94099999999997</v>
      </c>
      <c r="E315" s="45">
        <v>729.47900000000004</v>
      </c>
      <c r="F315" s="39">
        <v>1150</v>
      </c>
      <c r="G315" s="39">
        <v>100</v>
      </c>
      <c r="H315" s="47">
        <v>600</v>
      </c>
      <c r="I315" s="39">
        <v>695</v>
      </c>
      <c r="J315" s="39">
        <v>50</v>
      </c>
      <c r="K315" s="40"/>
      <c r="L315" s="40"/>
      <c r="M315" s="40"/>
      <c r="N315" s="40"/>
      <c r="O315" s="40"/>
      <c r="P315" s="40"/>
      <c r="Q315" s="40"/>
      <c r="R315" s="40"/>
      <c r="S315" s="40"/>
      <c r="T315" s="40"/>
    </row>
    <row r="316" spans="1:20" ht="15.75">
      <c r="A316" s="13">
        <v>50770</v>
      </c>
      <c r="B316" s="48">
        <v>31</v>
      </c>
      <c r="C316" s="39">
        <v>122.58</v>
      </c>
      <c r="D316" s="39">
        <v>297.94099999999997</v>
      </c>
      <c r="E316" s="45">
        <v>729.47900000000004</v>
      </c>
      <c r="F316" s="39">
        <v>1150</v>
      </c>
      <c r="G316" s="39">
        <v>100</v>
      </c>
      <c r="H316" s="47">
        <v>600</v>
      </c>
      <c r="I316" s="39">
        <v>695</v>
      </c>
      <c r="J316" s="39">
        <v>50</v>
      </c>
      <c r="K316" s="40"/>
      <c r="L316" s="40"/>
      <c r="M316" s="40"/>
      <c r="N316" s="40"/>
      <c r="O316" s="40"/>
      <c r="P316" s="40"/>
      <c r="Q316" s="40"/>
      <c r="R316" s="40"/>
      <c r="S316" s="40"/>
      <c r="T316" s="40"/>
    </row>
    <row r="317" spans="1:20" ht="15.75">
      <c r="A317" s="13">
        <v>50801</v>
      </c>
      <c r="B317" s="48">
        <v>31</v>
      </c>
      <c r="C317" s="39">
        <v>122.58</v>
      </c>
      <c r="D317" s="39">
        <v>297.94099999999997</v>
      </c>
      <c r="E317" s="45">
        <v>729.47900000000004</v>
      </c>
      <c r="F317" s="39">
        <v>1150</v>
      </c>
      <c r="G317" s="39">
        <v>100</v>
      </c>
      <c r="H317" s="47">
        <v>600</v>
      </c>
      <c r="I317" s="39">
        <v>695</v>
      </c>
      <c r="J317" s="39">
        <v>50</v>
      </c>
      <c r="K317" s="40"/>
      <c r="L317" s="40"/>
      <c r="M317" s="40"/>
      <c r="N317" s="40"/>
      <c r="O317" s="40"/>
      <c r="P317" s="40"/>
      <c r="Q317" s="40"/>
      <c r="R317" s="40"/>
      <c r="S317" s="40"/>
      <c r="T317" s="40"/>
    </row>
    <row r="318" spans="1:20" ht="15.75">
      <c r="A318" s="13">
        <v>50829</v>
      </c>
      <c r="B318" s="48">
        <v>28</v>
      </c>
      <c r="C318" s="39">
        <v>122.58</v>
      </c>
      <c r="D318" s="39">
        <v>297.94099999999997</v>
      </c>
      <c r="E318" s="45">
        <v>729.47900000000004</v>
      </c>
      <c r="F318" s="39">
        <v>1150</v>
      </c>
      <c r="G318" s="39">
        <v>100</v>
      </c>
      <c r="H318" s="47">
        <v>600</v>
      </c>
      <c r="I318" s="39">
        <v>695</v>
      </c>
      <c r="J318" s="39">
        <v>50</v>
      </c>
      <c r="K318" s="40"/>
      <c r="L318" s="40"/>
      <c r="M318" s="40"/>
      <c r="N318" s="40"/>
      <c r="O318" s="40"/>
      <c r="P318" s="40"/>
      <c r="Q318" s="40"/>
      <c r="R318" s="40"/>
      <c r="S318" s="40"/>
      <c r="T318" s="40"/>
    </row>
    <row r="319" spans="1:20" ht="15.75">
      <c r="A319" s="13">
        <v>50860</v>
      </c>
      <c r="B319" s="48">
        <v>31</v>
      </c>
      <c r="C319" s="39">
        <v>122.58</v>
      </c>
      <c r="D319" s="39">
        <v>297.94099999999997</v>
      </c>
      <c r="E319" s="45">
        <v>729.47900000000004</v>
      </c>
      <c r="F319" s="39">
        <v>1150</v>
      </c>
      <c r="G319" s="39">
        <v>100</v>
      </c>
      <c r="H319" s="47">
        <v>600</v>
      </c>
      <c r="I319" s="39">
        <v>695</v>
      </c>
      <c r="J319" s="39">
        <v>50</v>
      </c>
      <c r="K319" s="40"/>
      <c r="L319" s="40"/>
      <c r="M319" s="40"/>
      <c r="N319" s="40"/>
      <c r="O319" s="40"/>
      <c r="P319" s="40"/>
      <c r="Q319" s="40"/>
      <c r="R319" s="40"/>
      <c r="S319" s="40"/>
      <c r="T319" s="40"/>
    </row>
    <row r="320" spans="1:20" ht="15.75">
      <c r="A320" s="13">
        <v>50890</v>
      </c>
      <c r="B320" s="48">
        <v>30</v>
      </c>
      <c r="C320" s="39">
        <v>141.29300000000001</v>
      </c>
      <c r="D320" s="39">
        <v>267.99299999999999</v>
      </c>
      <c r="E320" s="45">
        <v>829.71400000000006</v>
      </c>
      <c r="F320" s="39">
        <v>1239</v>
      </c>
      <c r="G320" s="39">
        <v>100</v>
      </c>
      <c r="H320" s="47">
        <v>600</v>
      </c>
      <c r="I320" s="39">
        <v>695</v>
      </c>
      <c r="J320" s="39">
        <v>50</v>
      </c>
      <c r="K320" s="40"/>
      <c r="L320" s="40"/>
      <c r="M320" s="40"/>
      <c r="N320" s="40"/>
      <c r="O320" s="40"/>
      <c r="P320" s="40"/>
      <c r="Q320" s="40"/>
      <c r="R320" s="40"/>
      <c r="S320" s="40"/>
      <c r="T320" s="40"/>
    </row>
    <row r="321" spans="1:20" ht="15.75">
      <c r="A321" s="13">
        <v>50921</v>
      </c>
      <c r="B321" s="48">
        <v>31</v>
      </c>
      <c r="C321" s="39">
        <v>194.20500000000001</v>
      </c>
      <c r="D321" s="39">
        <v>267.46600000000001</v>
      </c>
      <c r="E321" s="45">
        <v>812.32899999999995</v>
      </c>
      <c r="F321" s="39">
        <v>1274</v>
      </c>
      <c r="G321" s="39">
        <v>75</v>
      </c>
      <c r="H321" s="47">
        <v>600</v>
      </c>
      <c r="I321" s="39">
        <v>695</v>
      </c>
      <c r="J321" s="39">
        <v>50</v>
      </c>
      <c r="K321" s="40"/>
      <c r="L321" s="40"/>
      <c r="M321" s="40"/>
      <c r="N321" s="40"/>
      <c r="O321" s="40"/>
      <c r="P321" s="40"/>
      <c r="Q321" s="40"/>
      <c r="R321" s="40"/>
      <c r="S321" s="40"/>
      <c r="T321" s="40"/>
    </row>
    <row r="322" spans="1:20" ht="15.75">
      <c r="A322" s="13">
        <v>50951</v>
      </c>
      <c r="B322" s="48">
        <v>30</v>
      </c>
      <c r="C322" s="39">
        <v>194.20500000000001</v>
      </c>
      <c r="D322" s="39">
        <v>267.46600000000001</v>
      </c>
      <c r="E322" s="45">
        <v>812.32899999999995</v>
      </c>
      <c r="F322" s="39">
        <v>1274</v>
      </c>
      <c r="G322" s="39">
        <v>50</v>
      </c>
      <c r="H322" s="47">
        <v>600</v>
      </c>
      <c r="I322" s="39">
        <v>695</v>
      </c>
      <c r="J322" s="39">
        <v>50</v>
      </c>
      <c r="K322" s="40"/>
      <c r="L322" s="40"/>
      <c r="M322" s="40"/>
      <c r="N322" s="40"/>
      <c r="O322" s="40"/>
      <c r="P322" s="40"/>
      <c r="Q322" s="40"/>
      <c r="R322" s="40"/>
      <c r="S322" s="40"/>
      <c r="T322" s="40"/>
    </row>
    <row r="323" spans="1:20" ht="15.75">
      <c r="A323" s="13">
        <v>50982</v>
      </c>
      <c r="B323" s="48">
        <v>31</v>
      </c>
      <c r="C323" s="39">
        <v>194.20500000000001</v>
      </c>
      <c r="D323" s="39">
        <v>267.46600000000001</v>
      </c>
      <c r="E323" s="45">
        <v>812.32899999999995</v>
      </c>
      <c r="F323" s="39">
        <v>1274</v>
      </c>
      <c r="G323" s="39">
        <v>50</v>
      </c>
      <c r="H323" s="47">
        <v>600</v>
      </c>
      <c r="I323" s="39">
        <v>695</v>
      </c>
      <c r="J323" s="39">
        <v>0</v>
      </c>
      <c r="K323" s="40"/>
      <c r="L323" s="40"/>
      <c r="M323" s="40"/>
      <c r="N323" s="40"/>
      <c r="O323" s="40"/>
      <c r="P323" s="40"/>
      <c r="Q323" s="40"/>
      <c r="R323" s="40"/>
      <c r="S323" s="40"/>
      <c r="T323" s="40"/>
    </row>
    <row r="324" spans="1:20" ht="15.75">
      <c r="A324" s="13">
        <v>51013</v>
      </c>
      <c r="B324" s="48">
        <v>31</v>
      </c>
      <c r="C324" s="39">
        <v>194.20500000000001</v>
      </c>
      <c r="D324" s="39">
        <v>267.46600000000001</v>
      </c>
      <c r="E324" s="45">
        <v>812.32899999999995</v>
      </c>
      <c r="F324" s="39">
        <v>1274</v>
      </c>
      <c r="G324" s="39">
        <v>50</v>
      </c>
      <c r="H324" s="47">
        <v>600</v>
      </c>
      <c r="I324" s="39">
        <v>695</v>
      </c>
      <c r="J324" s="39">
        <v>0</v>
      </c>
      <c r="K324" s="40"/>
      <c r="L324" s="40"/>
      <c r="M324" s="40"/>
      <c r="N324" s="40"/>
      <c r="O324" s="40"/>
      <c r="P324" s="40"/>
      <c r="Q324" s="40"/>
      <c r="R324" s="40"/>
      <c r="S324" s="40"/>
      <c r="T324" s="40"/>
    </row>
    <row r="325" spans="1:20" ht="15.75">
      <c r="A325" s="13">
        <v>51043</v>
      </c>
      <c r="B325" s="48">
        <v>30</v>
      </c>
      <c r="C325" s="39">
        <v>194.20500000000001</v>
      </c>
      <c r="D325" s="39">
        <v>267.46600000000001</v>
      </c>
      <c r="E325" s="45">
        <v>812.32899999999995</v>
      </c>
      <c r="F325" s="39">
        <v>1274</v>
      </c>
      <c r="G325" s="39">
        <v>50</v>
      </c>
      <c r="H325" s="47">
        <v>600</v>
      </c>
      <c r="I325" s="39">
        <v>695</v>
      </c>
      <c r="J325" s="39">
        <v>0</v>
      </c>
      <c r="K325" s="40"/>
      <c r="L325" s="40"/>
      <c r="M325" s="40"/>
      <c r="N325" s="40"/>
      <c r="O325" s="40"/>
      <c r="P325" s="40"/>
      <c r="Q325" s="40"/>
      <c r="R325" s="40"/>
      <c r="S325" s="40"/>
      <c r="T325" s="40"/>
    </row>
    <row r="326" spans="1:20" ht="15.75">
      <c r="A326" s="13">
        <v>51074</v>
      </c>
      <c r="B326" s="48">
        <v>31</v>
      </c>
      <c r="C326" s="39">
        <v>131.881</v>
      </c>
      <c r="D326" s="39">
        <v>277.16699999999997</v>
      </c>
      <c r="E326" s="45">
        <v>829.952</v>
      </c>
      <c r="F326" s="39">
        <v>1239</v>
      </c>
      <c r="G326" s="39">
        <v>75</v>
      </c>
      <c r="H326" s="47">
        <v>600</v>
      </c>
      <c r="I326" s="39">
        <v>695</v>
      </c>
      <c r="J326" s="39">
        <v>0</v>
      </c>
      <c r="K326" s="40"/>
      <c r="L326" s="40"/>
      <c r="M326" s="40"/>
      <c r="N326" s="40"/>
      <c r="O326" s="40"/>
      <c r="P326" s="40"/>
      <c r="Q326" s="40"/>
      <c r="R326" s="40"/>
      <c r="S326" s="40"/>
      <c r="T326" s="40"/>
    </row>
    <row r="327" spans="1:20" ht="15.75">
      <c r="A327" s="13">
        <v>51104</v>
      </c>
      <c r="B327" s="48">
        <v>30</v>
      </c>
      <c r="C327" s="39">
        <v>122.58</v>
      </c>
      <c r="D327" s="39">
        <v>297.94099999999997</v>
      </c>
      <c r="E327" s="45">
        <v>729.47900000000004</v>
      </c>
      <c r="F327" s="39">
        <v>1150</v>
      </c>
      <c r="G327" s="39">
        <v>100</v>
      </c>
      <c r="H327" s="47">
        <v>600</v>
      </c>
      <c r="I327" s="39">
        <v>695</v>
      </c>
      <c r="J327" s="39">
        <v>50</v>
      </c>
      <c r="K327" s="40"/>
      <c r="L327" s="40"/>
      <c r="M327" s="40"/>
      <c r="N327" s="40"/>
      <c r="O327" s="40"/>
      <c r="P327" s="40"/>
      <c r="Q327" s="40"/>
      <c r="R327" s="40"/>
      <c r="S327" s="40"/>
      <c r="T327" s="40"/>
    </row>
    <row r="328" spans="1:20" ht="15.75">
      <c r="A328" s="13">
        <v>51135</v>
      </c>
      <c r="B328" s="48">
        <v>31</v>
      </c>
      <c r="C328" s="39">
        <v>122.58</v>
      </c>
      <c r="D328" s="39">
        <v>297.94099999999997</v>
      </c>
      <c r="E328" s="45">
        <v>729.47900000000004</v>
      </c>
      <c r="F328" s="39">
        <v>1150</v>
      </c>
      <c r="G328" s="39">
        <v>100</v>
      </c>
      <c r="H328" s="47">
        <v>600</v>
      </c>
      <c r="I328" s="39">
        <v>695</v>
      </c>
      <c r="J328" s="39">
        <v>50</v>
      </c>
      <c r="K328" s="40"/>
      <c r="L328" s="40"/>
      <c r="M328" s="40"/>
      <c r="N328" s="40"/>
      <c r="O328" s="40"/>
      <c r="P328" s="40"/>
      <c r="Q328" s="40"/>
      <c r="R328" s="40"/>
      <c r="S328" s="40"/>
      <c r="T328" s="40"/>
    </row>
    <row r="329" spans="1:20" ht="15.75">
      <c r="A329" s="13">
        <v>51166</v>
      </c>
      <c r="B329" s="48">
        <v>31</v>
      </c>
      <c r="C329" s="39">
        <v>122.58</v>
      </c>
      <c r="D329" s="39">
        <v>297.94099999999997</v>
      </c>
      <c r="E329" s="45">
        <v>729.47900000000004</v>
      </c>
      <c r="F329" s="39">
        <v>1150</v>
      </c>
      <c r="G329" s="39">
        <v>100</v>
      </c>
      <c r="H329" s="47">
        <v>600</v>
      </c>
      <c r="I329" s="39">
        <v>695</v>
      </c>
      <c r="J329" s="39">
        <v>50</v>
      </c>
      <c r="K329" s="40"/>
      <c r="L329" s="40"/>
      <c r="M329" s="40"/>
      <c r="N329" s="40"/>
      <c r="O329" s="40"/>
      <c r="P329" s="40"/>
      <c r="Q329" s="40"/>
      <c r="R329" s="40"/>
      <c r="S329" s="40"/>
      <c r="T329" s="40"/>
    </row>
    <row r="330" spans="1:20" ht="15.75">
      <c r="A330" s="13">
        <v>51194</v>
      </c>
      <c r="B330" s="48">
        <v>29</v>
      </c>
      <c r="C330" s="39">
        <v>122.58</v>
      </c>
      <c r="D330" s="39">
        <v>297.94099999999997</v>
      </c>
      <c r="E330" s="45">
        <v>729.47900000000004</v>
      </c>
      <c r="F330" s="39">
        <v>1150</v>
      </c>
      <c r="G330" s="39">
        <v>100</v>
      </c>
      <c r="H330" s="47">
        <v>600</v>
      </c>
      <c r="I330" s="39">
        <v>695</v>
      </c>
      <c r="J330" s="39">
        <v>50</v>
      </c>
      <c r="K330" s="40"/>
      <c r="L330" s="40"/>
      <c r="M330" s="40"/>
      <c r="N330" s="40"/>
      <c r="O330" s="40"/>
      <c r="P330" s="40"/>
      <c r="Q330" s="40"/>
      <c r="R330" s="40"/>
      <c r="S330" s="40"/>
      <c r="T330" s="40"/>
    </row>
    <row r="331" spans="1:20" ht="15.75">
      <c r="A331" s="13">
        <v>51226</v>
      </c>
      <c r="B331" s="48">
        <v>31</v>
      </c>
      <c r="C331" s="39">
        <v>122.58</v>
      </c>
      <c r="D331" s="39">
        <v>297.94099999999997</v>
      </c>
      <c r="E331" s="45">
        <v>729.47900000000004</v>
      </c>
      <c r="F331" s="39">
        <v>1150</v>
      </c>
      <c r="G331" s="39">
        <v>100</v>
      </c>
      <c r="H331" s="47">
        <v>600</v>
      </c>
      <c r="I331" s="39">
        <v>695</v>
      </c>
      <c r="J331" s="39">
        <v>50</v>
      </c>
      <c r="K331" s="40"/>
      <c r="L331" s="40"/>
      <c r="M331" s="40"/>
      <c r="N331" s="40"/>
      <c r="O331" s="40"/>
      <c r="P331" s="40"/>
      <c r="Q331" s="40"/>
      <c r="R331" s="40"/>
      <c r="S331" s="40"/>
      <c r="T331" s="40"/>
    </row>
    <row r="332" spans="1:20" ht="15.75">
      <c r="A332" s="13">
        <v>51256</v>
      </c>
      <c r="B332" s="48">
        <v>30</v>
      </c>
      <c r="C332" s="39">
        <v>141.29300000000001</v>
      </c>
      <c r="D332" s="39">
        <v>267.99299999999999</v>
      </c>
      <c r="E332" s="45">
        <v>829.71400000000006</v>
      </c>
      <c r="F332" s="39">
        <v>1239</v>
      </c>
      <c r="G332" s="39">
        <v>100</v>
      </c>
      <c r="H332" s="47">
        <v>600</v>
      </c>
      <c r="I332" s="39">
        <v>695</v>
      </c>
      <c r="J332" s="39">
        <v>50</v>
      </c>
      <c r="K332" s="40"/>
      <c r="L332" s="40"/>
      <c r="M332" s="40"/>
      <c r="N332" s="40"/>
      <c r="O332" s="40"/>
      <c r="P332" s="40"/>
      <c r="Q332" s="40"/>
      <c r="R332" s="40"/>
      <c r="S332" s="40"/>
      <c r="T332" s="40"/>
    </row>
    <row r="333" spans="1:20" ht="15.75">
      <c r="A333" s="13">
        <v>51287</v>
      </c>
      <c r="B333" s="48">
        <v>31</v>
      </c>
      <c r="C333" s="39">
        <v>194.20500000000001</v>
      </c>
      <c r="D333" s="39">
        <v>267.46600000000001</v>
      </c>
      <c r="E333" s="45">
        <v>812.32899999999995</v>
      </c>
      <c r="F333" s="39">
        <v>1274</v>
      </c>
      <c r="G333" s="39">
        <v>75</v>
      </c>
      <c r="H333" s="47">
        <v>600</v>
      </c>
      <c r="I333" s="39">
        <v>695</v>
      </c>
      <c r="J333" s="39">
        <v>50</v>
      </c>
      <c r="K333" s="40"/>
      <c r="L333" s="40"/>
      <c r="M333" s="40"/>
      <c r="N333" s="40"/>
      <c r="O333" s="40"/>
      <c r="P333" s="40"/>
      <c r="Q333" s="40"/>
      <c r="R333" s="40"/>
      <c r="S333" s="40"/>
      <c r="T333" s="40"/>
    </row>
    <row r="334" spans="1:20" ht="15.75">
      <c r="A334" s="13">
        <v>51317</v>
      </c>
      <c r="B334" s="48">
        <v>30</v>
      </c>
      <c r="C334" s="39">
        <v>194.20500000000001</v>
      </c>
      <c r="D334" s="39">
        <v>267.46600000000001</v>
      </c>
      <c r="E334" s="45">
        <v>812.32899999999995</v>
      </c>
      <c r="F334" s="39">
        <v>1274</v>
      </c>
      <c r="G334" s="39">
        <v>50</v>
      </c>
      <c r="H334" s="47">
        <v>600</v>
      </c>
      <c r="I334" s="39">
        <v>695</v>
      </c>
      <c r="J334" s="39">
        <v>50</v>
      </c>
      <c r="K334" s="40"/>
      <c r="L334" s="40"/>
      <c r="M334" s="40"/>
      <c r="N334" s="40"/>
      <c r="O334" s="40"/>
      <c r="P334" s="40"/>
      <c r="Q334" s="40"/>
      <c r="R334" s="40"/>
      <c r="S334" s="40"/>
      <c r="T334" s="40"/>
    </row>
    <row r="335" spans="1:20" ht="15.75">
      <c r="A335" s="13">
        <v>51348</v>
      </c>
      <c r="B335" s="48">
        <v>31</v>
      </c>
      <c r="C335" s="39">
        <v>194.20500000000001</v>
      </c>
      <c r="D335" s="39">
        <v>267.46600000000001</v>
      </c>
      <c r="E335" s="45">
        <v>812.32899999999995</v>
      </c>
      <c r="F335" s="39">
        <v>1274</v>
      </c>
      <c r="G335" s="39">
        <v>50</v>
      </c>
      <c r="H335" s="47">
        <v>600</v>
      </c>
      <c r="I335" s="39">
        <v>695</v>
      </c>
      <c r="J335" s="39">
        <v>0</v>
      </c>
      <c r="K335" s="40"/>
      <c r="L335" s="40"/>
      <c r="M335" s="40"/>
      <c r="N335" s="40"/>
      <c r="O335" s="40"/>
      <c r="P335" s="40"/>
      <c r="Q335" s="40"/>
      <c r="R335" s="40"/>
      <c r="S335" s="40"/>
      <c r="T335" s="40"/>
    </row>
    <row r="336" spans="1:20" ht="15.75">
      <c r="A336" s="13">
        <v>51379</v>
      </c>
      <c r="B336" s="48">
        <v>31</v>
      </c>
      <c r="C336" s="39">
        <v>194.20500000000001</v>
      </c>
      <c r="D336" s="39">
        <v>267.46600000000001</v>
      </c>
      <c r="E336" s="45">
        <v>812.32899999999995</v>
      </c>
      <c r="F336" s="39">
        <v>1274</v>
      </c>
      <c r="G336" s="39">
        <v>50</v>
      </c>
      <c r="H336" s="47">
        <v>600</v>
      </c>
      <c r="I336" s="39">
        <v>695</v>
      </c>
      <c r="J336" s="39">
        <v>0</v>
      </c>
      <c r="K336" s="40"/>
      <c r="L336" s="40"/>
      <c r="M336" s="40"/>
      <c r="N336" s="40"/>
      <c r="O336" s="40"/>
      <c r="P336" s="40"/>
      <c r="Q336" s="40"/>
      <c r="R336" s="40"/>
      <c r="S336" s="40"/>
      <c r="T336" s="40"/>
    </row>
    <row r="337" spans="1:20" ht="15.75">
      <c r="A337" s="13">
        <v>51409</v>
      </c>
      <c r="B337" s="48">
        <v>30</v>
      </c>
      <c r="C337" s="39">
        <v>194.20500000000001</v>
      </c>
      <c r="D337" s="39">
        <v>267.46600000000001</v>
      </c>
      <c r="E337" s="45">
        <v>812.32899999999995</v>
      </c>
      <c r="F337" s="39">
        <v>1274</v>
      </c>
      <c r="G337" s="39">
        <v>50</v>
      </c>
      <c r="H337" s="47">
        <v>600</v>
      </c>
      <c r="I337" s="39">
        <v>695</v>
      </c>
      <c r="J337" s="39">
        <v>0</v>
      </c>
      <c r="K337" s="40"/>
      <c r="L337" s="40"/>
      <c r="M337" s="40"/>
      <c r="N337" s="40"/>
      <c r="O337" s="40"/>
      <c r="P337" s="40"/>
      <c r="Q337" s="40"/>
      <c r="R337" s="40"/>
      <c r="S337" s="40"/>
      <c r="T337" s="40"/>
    </row>
    <row r="338" spans="1:20" ht="15.75">
      <c r="A338" s="13">
        <v>51440</v>
      </c>
      <c r="B338" s="48">
        <v>31</v>
      </c>
      <c r="C338" s="39">
        <v>131.881</v>
      </c>
      <c r="D338" s="39">
        <v>277.16699999999997</v>
      </c>
      <c r="E338" s="45">
        <v>829.952</v>
      </c>
      <c r="F338" s="39">
        <v>1239</v>
      </c>
      <c r="G338" s="39">
        <v>75</v>
      </c>
      <c r="H338" s="47">
        <v>600</v>
      </c>
      <c r="I338" s="39">
        <v>695</v>
      </c>
      <c r="J338" s="39">
        <v>0</v>
      </c>
      <c r="K338" s="40"/>
      <c r="L338" s="40"/>
      <c r="M338" s="40"/>
      <c r="N338" s="40"/>
      <c r="O338" s="40"/>
      <c r="P338" s="40"/>
      <c r="Q338" s="40"/>
      <c r="R338" s="40"/>
      <c r="S338" s="40"/>
      <c r="T338" s="40"/>
    </row>
    <row r="339" spans="1:20" ht="15.75">
      <c r="A339" s="13">
        <v>51470</v>
      </c>
      <c r="B339" s="48">
        <v>30</v>
      </c>
      <c r="C339" s="39">
        <v>122.58</v>
      </c>
      <c r="D339" s="39">
        <v>297.94099999999997</v>
      </c>
      <c r="E339" s="45">
        <v>729.47900000000004</v>
      </c>
      <c r="F339" s="39">
        <v>1150</v>
      </c>
      <c r="G339" s="39">
        <v>100</v>
      </c>
      <c r="H339" s="47">
        <v>600</v>
      </c>
      <c r="I339" s="39">
        <v>695</v>
      </c>
      <c r="J339" s="39">
        <v>50</v>
      </c>
      <c r="K339" s="40"/>
      <c r="L339" s="40"/>
      <c r="M339" s="40"/>
      <c r="N339" s="40"/>
      <c r="O339" s="40"/>
      <c r="P339" s="40"/>
      <c r="Q339" s="40"/>
      <c r="R339" s="40"/>
      <c r="S339" s="40"/>
      <c r="T339" s="40"/>
    </row>
    <row r="340" spans="1:20" ht="15.75">
      <c r="A340" s="13">
        <v>51501</v>
      </c>
      <c r="B340" s="48">
        <v>31</v>
      </c>
      <c r="C340" s="39">
        <v>122.58</v>
      </c>
      <c r="D340" s="39">
        <v>297.94099999999997</v>
      </c>
      <c r="E340" s="45">
        <v>729.47900000000004</v>
      </c>
      <c r="F340" s="39">
        <v>1150</v>
      </c>
      <c r="G340" s="39">
        <v>100</v>
      </c>
      <c r="H340" s="47">
        <v>600</v>
      </c>
      <c r="I340" s="39">
        <v>695</v>
      </c>
      <c r="J340" s="39">
        <v>50</v>
      </c>
      <c r="K340" s="40"/>
      <c r="L340" s="40"/>
      <c r="M340" s="40"/>
      <c r="N340" s="40"/>
      <c r="O340" s="40"/>
      <c r="P340" s="40"/>
      <c r="Q340" s="40"/>
      <c r="R340" s="40"/>
      <c r="S340" s="40"/>
      <c r="T340" s="40"/>
    </row>
    <row r="341" spans="1:20" ht="15.75">
      <c r="A341" s="13">
        <v>51532</v>
      </c>
      <c r="B341" s="48">
        <v>31</v>
      </c>
      <c r="C341" s="39">
        <v>122.58</v>
      </c>
      <c r="D341" s="39">
        <v>297.94099999999997</v>
      </c>
      <c r="E341" s="45">
        <v>729.47900000000004</v>
      </c>
      <c r="F341" s="39">
        <v>1150</v>
      </c>
      <c r="G341" s="39">
        <v>100</v>
      </c>
      <c r="H341" s="47">
        <v>600</v>
      </c>
      <c r="I341" s="39">
        <v>695</v>
      </c>
      <c r="J341" s="39">
        <v>50</v>
      </c>
      <c r="K341" s="40"/>
      <c r="L341" s="40"/>
      <c r="M341" s="40"/>
      <c r="N341" s="40"/>
      <c r="O341" s="40"/>
      <c r="P341" s="40"/>
      <c r="Q341" s="40"/>
      <c r="R341" s="40"/>
      <c r="S341" s="40"/>
      <c r="T341" s="40"/>
    </row>
    <row r="342" spans="1:20" ht="15.75">
      <c r="A342" s="13">
        <v>51560</v>
      </c>
      <c r="B342" s="48">
        <v>28</v>
      </c>
      <c r="C342" s="39">
        <v>122.58</v>
      </c>
      <c r="D342" s="39">
        <v>297.94099999999997</v>
      </c>
      <c r="E342" s="45">
        <v>729.47900000000004</v>
      </c>
      <c r="F342" s="39">
        <v>1150</v>
      </c>
      <c r="G342" s="39">
        <v>100</v>
      </c>
      <c r="H342" s="47">
        <v>600</v>
      </c>
      <c r="I342" s="39">
        <v>695</v>
      </c>
      <c r="J342" s="39">
        <v>50</v>
      </c>
      <c r="K342" s="40"/>
      <c r="L342" s="40"/>
      <c r="M342" s="40"/>
      <c r="N342" s="40"/>
      <c r="O342" s="40"/>
      <c r="P342" s="40"/>
      <c r="Q342" s="40"/>
      <c r="R342" s="40"/>
      <c r="S342" s="40"/>
      <c r="T342" s="40"/>
    </row>
    <row r="343" spans="1:20" ht="15.75">
      <c r="A343" s="13">
        <v>51591</v>
      </c>
      <c r="B343" s="48">
        <v>31</v>
      </c>
      <c r="C343" s="39">
        <v>122.58</v>
      </c>
      <c r="D343" s="39">
        <v>297.94099999999997</v>
      </c>
      <c r="E343" s="45">
        <v>729.47900000000004</v>
      </c>
      <c r="F343" s="39">
        <v>1150</v>
      </c>
      <c r="G343" s="39">
        <v>100</v>
      </c>
      <c r="H343" s="47">
        <v>600</v>
      </c>
      <c r="I343" s="39">
        <v>695</v>
      </c>
      <c r="J343" s="39">
        <v>50</v>
      </c>
      <c r="K343" s="40"/>
      <c r="L343" s="40"/>
      <c r="M343" s="40"/>
      <c r="N343" s="40"/>
      <c r="O343" s="40"/>
      <c r="P343" s="40"/>
      <c r="Q343" s="40"/>
      <c r="R343" s="40"/>
      <c r="S343" s="40"/>
      <c r="T343" s="40"/>
    </row>
    <row r="344" spans="1:20" ht="15.75">
      <c r="A344" s="13">
        <v>51621</v>
      </c>
      <c r="B344" s="48">
        <v>30</v>
      </c>
      <c r="C344" s="39">
        <v>141.29300000000001</v>
      </c>
      <c r="D344" s="39">
        <v>267.99299999999999</v>
      </c>
      <c r="E344" s="45">
        <v>829.71400000000006</v>
      </c>
      <c r="F344" s="39">
        <v>1239</v>
      </c>
      <c r="G344" s="39">
        <v>100</v>
      </c>
      <c r="H344" s="47">
        <v>600</v>
      </c>
      <c r="I344" s="39">
        <v>695</v>
      </c>
      <c r="J344" s="39">
        <v>50</v>
      </c>
      <c r="K344" s="40"/>
      <c r="L344" s="40"/>
      <c r="M344" s="40"/>
      <c r="N344" s="40"/>
      <c r="O344" s="40"/>
      <c r="P344" s="40"/>
      <c r="Q344" s="40"/>
      <c r="R344" s="40"/>
      <c r="S344" s="40"/>
      <c r="T344" s="40"/>
    </row>
    <row r="345" spans="1:20" ht="15.75">
      <c r="A345" s="13">
        <v>51652</v>
      </c>
      <c r="B345" s="48">
        <v>31</v>
      </c>
      <c r="C345" s="39">
        <v>194.20500000000001</v>
      </c>
      <c r="D345" s="39">
        <v>267.46600000000001</v>
      </c>
      <c r="E345" s="45">
        <v>812.32899999999995</v>
      </c>
      <c r="F345" s="39">
        <v>1274</v>
      </c>
      <c r="G345" s="39">
        <v>75</v>
      </c>
      <c r="H345" s="47">
        <v>600</v>
      </c>
      <c r="I345" s="39">
        <v>695</v>
      </c>
      <c r="J345" s="39">
        <v>50</v>
      </c>
      <c r="K345" s="40"/>
      <c r="L345" s="40"/>
      <c r="M345" s="40"/>
      <c r="N345" s="40"/>
      <c r="O345" s="40"/>
      <c r="P345" s="40"/>
      <c r="Q345" s="40"/>
      <c r="R345" s="40"/>
      <c r="S345" s="40"/>
      <c r="T345" s="40"/>
    </row>
    <row r="346" spans="1:20" ht="15.75">
      <c r="A346" s="13">
        <v>51682</v>
      </c>
      <c r="B346" s="48">
        <v>30</v>
      </c>
      <c r="C346" s="39">
        <v>194.20500000000001</v>
      </c>
      <c r="D346" s="39">
        <v>267.46600000000001</v>
      </c>
      <c r="E346" s="45">
        <v>812.32899999999995</v>
      </c>
      <c r="F346" s="39">
        <v>1274</v>
      </c>
      <c r="G346" s="39">
        <v>50</v>
      </c>
      <c r="H346" s="47">
        <v>600</v>
      </c>
      <c r="I346" s="39">
        <v>695</v>
      </c>
      <c r="J346" s="39">
        <v>50</v>
      </c>
      <c r="K346" s="40"/>
      <c r="L346" s="40"/>
      <c r="M346" s="40"/>
      <c r="N346" s="40"/>
      <c r="O346" s="40"/>
      <c r="P346" s="40"/>
      <c r="Q346" s="40"/>
      <c r="R346" s="40"/>
      <c r="S346" s="40"/>
      <c r="T346" s="40"/>
    </row>
    <row r="347" spans="1:20" ht="15.75">
      <c r="A347" s="13">
        <v>51713</v>
      </c>
      <c r="B347" s="48">
        <v>31</v>
      </c>
      <c r="C347" s="39">
        <v>194.20500000000001</v>
      </c>
      <c r="D347" s="39">
        <v>267.46600000000001</v>
      </c>
      <c r="E347" s="45">
        <v>812.32899999999995</v>
      </c>
      <c r="F347" s="39">
        <v>1274</v>
      </c>
      <c r="G347" s="39">
        <v>50</v>
      </c>
      <c r="H347" s="47">
        <v>600</v>
      </c>
      <c r="I347" s="39">
        <v>695</v>
      </c>
      <c r="J347" s="39">
        <v>0</v>
      </c>
      <c r="K347" s="40"/>
      <c r="L347" s="40"/>
      <c r="M347" s="40"/>
      <c r="N347" s="40"/>
      <c r="O347" s="40"/>
      <c r="P347" s="40"/>
      <c r="Q347" s="40"/>
      <c r="R347" s="40"/>
      <c r="S347" s="40"/>
      <c r="T347" s="40"/>
    </row>
    <row r="348" spans="1:20" ht="15.75">
      <c r="A348" s="13">
        <v>51744</v>
      </c>
      <c r="B348" s="48">
        <v>31</v>
      </c>
      <c r="C348" s="39">
        <v>194.20500000000001</v>
      </c>
      <c r="D348" s="39">
        <v>267.46600000000001</v>
      </c>
      <c r="E348" s="45">
        <v>812.32899999999995</v>
      </c>
      <c r="F348" s="39">
        <v>1274</v>
      </c>
      <c r="G348" s="39">
        <v>50</v>
      </c>
      <c r="H348" s="47">
        <v>600</v>
      </c>
      <c r="I348" s="39">
        <v>695</v>
      </c>
      <c r="J348" s="39">
        <v>0</v>
      </c>
      <c r="K348" s="40"/>
      <c r="L348" s="40"/>
      <c r="M348" s="40"/>
      <c r="N348" s="40"/>
      <c r="O348" s="40"/>
      <c r="P348" s="40"/>
      <c r="Q348" s="40"/>
      <c r="R348" s="40"/>
      <c r="S348" s="40"/>
      <c r="T348" s="40"/>
    </row>
    <row r="349" spans="1:20" ht="15.75">
      <c r="A349" s="13">
        <v>51774</v>
      </c>
      <c r="B349" s="48">
        <v>30</v>
      </c>
      <c r="C349" s="39">
        <v>194.20500000000001</v>
      </c>
      <c r="D349" s="39">
        <v>267.46600000000001</v>
      </c>
      <c r="E349" s="45">
        <v>812.32899999999995</v>
      </c>
      <c r="F349" s="39">
        <v>1274</v>
      </c>
      <c r="G349" s="39">
        <v>50</v>
      </c>
      <c r="H349" s="47">
        <v>600</v>
      </c>
      <c r="I349" s="39">
        <v>695</v>
      </c>
      <c r="J349" s="39">
        <v>0</v>
      </c>
      <c r="K349" s="40"/>
      <c r="L349" s="40"/>
      <c r="M349" s="40"/>
      <c r="N349" s="40"/>
      <c r="O349" s="40"/>
      <c r="P349" s="40"/>
      <c r="Q349" s="40"/>
      <c r="R349" s="40"/>
      <c r="S349" s="40"/>
      <c r="T349" s="40"/>
    </row>
    <row r="350" spans="1:20" ht="15.75">
      <c r="A350" s="13">
        <v>51805</v>
      </c>
      <c r="B350" s="48">
        <v>31</v>
      </c>
      <c r="C350" s="39">
        <v>131.881</v>
      </c>
      <c r="D350" s="39">
        <v>277.16699999999997</v>
      </c>
      <c r="E350" s="45">
        <v>829.952</v>
      </c>
      <c r="F350" s="39">
        <v>1239</v>
      </c>
      <c r="G350" s="39">
        <v>75</v>
      </c>
      <c r="H350" s="47">
        <v>600</v>
      </c>
      <c r="I350" s="39">
        <v>695</v>
      </c>
      <c r="J350" s="39">
        <v>0</v>
      </c>
      <c r="K350" s="40"/>
      <c r="L350" s="40"/>
      <c r="M350" s="40"/>
      <c r="N350" s="40"/>
      <c r="O350" s="40"/>
      <c r="P350" s="40"/>
      <c r="Q350" s="40"/>
      <c r="R350" s="40"/>
      <c r="S350" s="40"/>
      <c r="T350" s="40"/>
    </row>
    <row r="351" spans="1:20" ht="15.75">
      <c r="A351" s="13">
        <v>51835</v>
      </c>
      <c r="B351" s="48">
        <v>30</v>
      </c>
      <c r="C351" s="39">
        <v>122.58</v>
      </c>
      <c r="D351" s="39">
        <v>297.94099999999997</v>
      </c>
      <c r="E351" s="45">
        <v>729.47900000000004</v>
      </c>
      <c r="F351" s="39">
        <v>1150</v>
      </c>
      <c r="G351" s="39">
        <v>100</v>
      </c>
      <c r="H351" s="47">
        <v>600</v>
      </c>
      <c r="I351" s="39">
        <v>695</v>
      </c>
      <c r="J351" s="39">
        <v>50</v>
      </c>
      <c r="K351" s="40"/>
      <c r="L351" s="40"/>
      <c r="M351" s="40"/>
      <c r="N351" s="40"/>
      <c r="O351" s="40"/>
      <c r="P351" s="40"/>
      <c r="Q351" s="40"/>
      <c r="R351" s="40"/>
      <c r="S351" s="40"/>
      <c r="T351" s="40"/>
    </row>
    <row r="352" spans="1:20" ht="15.75">
      <c r="A352" s="13">
        <v>51866</v>
      </c>
      <c r="B352" s="48">
        <v>31</v>
      </c>
      <c r="C352" s="39">
        <v>122.58</v>
      </c>
      <c r="D352" s="39">
        <v>297.94099999999997</v>
      </c>
      <c r="E352" s="45">
        <v>729.47900000000004</v>
      </c>
      <c r="F352" s="39">
        <v>1150</v>
      </c>
      <c r="G352" s="39">
        <v>100</v>
      </c>
      <c r="H352" s="47">
        <v>600</v>
      </c>
      <c r="I352" s="39">
        <v>695</v>
      </c>
      <c r="J352" s="39">
        <v>50</v>
      </c>
      <c r="K352" s="40"/>
      <c r="L352" s="40"/>
      <c r="M352" s="40"/>
      <c r="N352" s="40"/>
      <c r="O352" s="40"/>
      <c r="P352" s="40"/>
      <c r="Q352" s="40"/>
      <c r="R352" s="40"/>
      <c r="S352" s="40"/>
      <c r="T352" s="40"/>
    </row>
    <row r="353" spans="1:20" ht="15.75">
      <c r="A353" s="13">
        <v>51897</v>
      </c>
      <c r="B353" s="48">
        <v>31</v>
      </c>
      <c r="C353" s="39">
        <v>122.58</v>
      </c>
      <c r="D353" s="39">
        <v>297.94099999999997</v>
      </c>
      <c r="E353" s="45">
        <v>729.47900000000004</v>
      </c>
      <c r="F353" s="39">
        <v>1150</v>
      </c>
      <c r="G353" s="39">
        <v>100</v>
      </c>
      <c r="H353" s="47">
        <v>600</v>
      </c>
      <c r="I353" s="39">
        <v>695</v>
      </c>
      <c r="J353" s="39">
        <v>50</v>
      </c>
      <c r="K353" s="40"/>
      <c r="L353" s="40"/>
      <c r="M353" s="40"/>
      <c r="N353" s="40"/>
      <c r="O353" s="40"/>
      <c r="P353" s="40"/>
      <c r="Q353" s="40"/>
      <c r="R353" s="40"/>
      <c r="S353" s="40"/>
      <c r="T353" s="40"/>
    </row>
    <row r="354" spans="1:20" ht="15.75">
      <c r="A354" s="13">
        <v>51925</v>
      </c>
      <c r="B354" s="48">
        <v>28</v>
      </c>
      <c r="C354" s="39">
        <v>122.58</v>
      </c>
      <c r="D354" s="39">
        <v>297.94099999999997</v>
      </c>
      <c r="E354" s="45">
        <v>729.47900000000004</v>
      </c>
      <c r="F354" s="39">
        <v>1150</v>
      </c>
      <c r="G354" s="39">
        <v>100</v>
      </c>
      <c r="H354" s="47">
        <v>600</v>
      </c>
      <c r="I354" s="39">
        <v>695</v>
      </c>
      <c r="J354" s="39">
        <v>50</v>
      </c>
      <c r="K354" s="40"/>
      <c r="L354" s="40"/>
      <c r="M354" s="40"/>
      <c r="N354" s="40"/>
      <c r="O354" s="40"/>
      <c r="P354" s="40"/>
      <c r="Q354" s="40"/>
      <c r="R354" s="40"/>
      <c r="S354" s="40"/>
      <c r="T354" s="40"/>
    </row>
    <row r="355" spans="1:20" ht="15.75">
      <c r="A355" s="13">
        <v>51956</v>
      </c>
      <c r="B355" s="48">
        <v>31</v>
      </c>
      <c r="C355" s="39">
        <v>122.58</v>
      </c>
      <c r="D355" s="39">
        <v>297.94099999999997</v>
      </c>
      <c r="E355" s="45">
        <v>729.47900000000004</v>
      </c>
      <c r="F355" s="39">
        <v>1150</v>
      </c>
      <c r="G355" s="39">
        <v>100</v>
      </c>
      <c r="H355" s="47">
        <v>600</v>
      </c>
      <c r="I355" s="39">
        <v>695</v>
      </c>
      <c r="J355" s="39">
        <v>50</v>
      </c>
      <c r="K355" s="40"/>
      <c r="L355" s="40"/>
      <c r="M355" s="40"/>
      <c r="N355" s="40"/>
      <c r="O355" s="40"/>
      <c r="P355" s="40"/>
      <c r="Q355" s="40"/>
      <c r="R355" s="40"/>
      <c r="S355" s="40"/>
      <c r="T355" s="40"/>
    </row>
    <row r="356" spans="1:20" ht="15.75">
      <c r="A356" s="13">
        <v>51986</v>
      </c>
      <c r="B356" s="48">
        <v>30</v>
      </c>
      <c r="C356" s="39">
        <v>141.29300000000001</v>
      </c>
      <c r="D356" s="39">
        <v>267.99299999999999</v>
      </c>
      <c r="E356" s="45">
        <v>829.71400000000006</v>
      </c>
      <c r="F356" s="39">
        <v>1239</v>
      </c>
      <c r="G356" s="39">
        <v>100</v>
      </c>
      <c r="H356" s="47">
        <v>600</v>
      </c>
      <c r="I356" s="39">
        <v>695</v>
      </c>
      <c r="J356" s="39">
        <v>50</v>
      </c>
      <c r="K356" s="40"/>
      <c r="L356" s="40"/>
      <c r="M356" s="40"/>
      <c r="N356" s="40"/>
      <c r="O356" s="40"/>
      <c r="P356" s="40"/>
      <c r="Q356" s="40"/>
      <c r="R356" s="40"/>
      <c r="S356" s="40"/>
      <c r="T356" s="40"/>
    </row>
    <row r="357" spans="1:20" ht="15.75">
      <c r="A357" s="13">
        <v>52017</v>
      </c>
      <c r="B357" s="48">
        <v>31</v>
      </c>
      <c r="C357" s="39">
        <v>194.20500000000001</v>
      </c>
      <c r="D357" s="39">
        <v>267.46600000000001</v>
      </c>
      <c r="E357" s="45">
        <v>812.32899999999995</v>
      </c>
      <c r="F357" s="39">
        <v>1274</v>
      </c>
      <c r="G357" s="39">
        <v>75</v>
      </c>
      <c r="H357" s="47">
        <v>600</v>
      </c>
      <c r="I357" s="39">
        <v>695</v>
      </c>
      <c r="J357" s="39">
        <v>50</v>
      </c>
      <c r="K357" s="40"/>
      <c r="L357" s="40"/>
      <c r="M357" s="40"/>
      <c r="N357" s="40"/>
      <c r="O357" s="40"/>
      <c r="P357" s="40"/>
      <c r="Q357" s="40"/>
      <c r="R357" s="40"/>
      <c r="S357" s="40"/>
      <c r="T357" s="40"/>
    </row>
    <row r="358" spans="1:20" ht="15.75">
      <c r="A358" s="13">
        <v>52047</v>
      </c>
      <c r="B358" s="48">
        <v>30</v>
      </c>
      <c r="C358" s="39">
        <v>194.20500000000001</v>
      </c>
      <c r="D358" s="39">
        <v>267.46600000000001</v>
      </c>
      <c r="E358" s="45">
        <v>812.32899999999995</v>
      </c>
      <c r="F358" s="39">
        <v>1274</v>
      </c>
      <c r="G358" s="39">
        <v>50</v>
      </c>
      <c r="H358" s="47">
        <v>600</v>
      </c>
      <c r="I358" s="39">
        <v>695</v>
      </c>
      <c r="J358" s="39">
        <v>50</v>
      </c>
      <c r="K358" s="40"/>
      <c r="L358" s="40"/>
      <c r="M358" s="40"/>
      <c r="N358" s="40"/>
      <c r="O358" s="40"/>
      <c r="P358" s="40"/>
      <c r="Q358" s="40"/>
      <c r="R358" s="40"/>
      <c r="S358" s="40"/>
      <c r="T358" s="40"/>
    </row>
    <row r="359" spans="1:20" ht="15.75">
      <c r="A359" s="13">
        <v>52078</v>
      </c>
      <c r="B359" s="48">
        <v>31</v>
      </c>
      <c r="C359" s="39">
        <v>194.20500000000001</v>
      </c>
      <c r="D359" s="39">
        <v>267.46600000000001</v>
      </c>
      <c r="E359" s="45">
        <v>812.32899999999995</v>
      </c>
      <c r="F359" s="39">
        <v>1274</v>
      </c>
      <c r="G359" s="39">
        <v>50</v>
      </c>
      <c r="H359" s="47">
        <v>600</v>
      </c>
      <c r="I359" s="39">
        <v>695</v>
      </c>
      <c r="J359" s="39">
        <v>0</v>
      </c>
      <c r="K359" s="40"/>
      <c r="L359" s="40"/>
      <c r="M359" s="40"/>
      <c r="N359" s="40"/>
      <c r="O359" s="40"/>
      <c r="P359" s="40"/>
      <c r="Q359" s="40"/>
      <c r="R359" s="40"/>
      <c r="S359" s="40"/>
      <c r="T359" s="40"/>
    </row>
    <row r="360" spans="1:20" ht="15.75">
      <c r="A360" s="13">
        <v>52109</v>
      </c>
      <c r="B360" s="48">
        <v>31</v>
      </c>
      <c r="C360" s="39">
        <v>194.20500000000001</v>
      </c>
      <c r="D360" s="39">
        <v>267.46600000000001</v>
      </c>
      <c r="E360" s="45">
        <v>812.32899999999995</v>
      </c>
      <c r="F360" s="39">
        <v>1274</v>
      </c>
      <c r="G360" s="39">
        <v>50</v>
      </c>
      <c r="H360" s="47">
        <v>600</v>
      </c>
      <c r="I360" s="39">
        <v>695</v>
      </c>
      <c r="J360" s="39">
        <v>0</v>
      </c>
      <c r="K360" s="40"/>
      <c r="L360" s="40"/>
      <c r="M360" s="40"/>
      <c r="N360" s="40"/>
      <c r="O360" s="40"/>
      <c r="P360" s="40"/>
      <c r="Q360" s="40"/>
      <c r="R360" s="40"/>
      <c r="S360" s="40"/>
      <c r="T360" s="40"/>
    </row>
    <row r="361" spans="1:20" ht="15.75">
      <c r="A361" s="13">
        <v>52139</v>
      </c>
      <c r="B361" s="48">
        <v>30</v>
      </c>
      <c r="C361" s="39">
        <v>194.20500000000001</v>
      </c>
      <c r="D361" s="39">
        <v>267.46600000000001</v>
      </c>
      <c r="E361" s="45">
        <v>812.32899999999995</v>
      </c>
      <c r="F361" s="39">
        <v>1274</v>
      </c>
      <c r="G361" s="39">
        <v>50</v>
      </c>
      <c r="H361" s="47">
        <v>600</v>
      </c>
      <c r="I361" s="39">
        <v>695</v>
      </c>
      <c r="J361" s="39">
        <v>0</v>
      </c>
      <c r="K361" s="40"/>
      <c r="L361" s="40"/>
      <c r="M361" s="40"/>
      <c r="N361" s="40"/>
      <c r="O361" s="40"/>
      <c r="P361" s="40"/>
      <c r="Q361" s="40"/>
      <c r="R361" s="40"/>
      <c r="S361" s="40"/>
      <c r="T361" s="40"/>
    </row>
    <row r="362" spans="1:20" ht="15.75">
      <c r="A362" s="13">
        <v>52170</v>
      </c>
      <c r="B362" s="48">
        <v>31</v>
      </c>
      <c r="C362" s="39">
        <v>131.881</v>
      </c>
      <c r="D362" s="39">
        <v>277.16699999999997</v>
      </c>
      <c r="E362" s="45">
        <v>829.952</v>
      </c>
      <c r="F362" s="39">
        <v>1239</v>
      </c>
      <c r="G362" s="39">
        <v>75</v>
      </c>
      <c r="H362" s="47">
        <v>600</v>
      </c>
      <c r="I362" s="39">
        <v>695</v>
      </c>
      <c r="J362" s="39">
        <v>0</v>
      </c>
      <c r="K362" s="40"/>
      <c r="L362" s="40"/>
      <c r="M362" s="40"/>
      <c r="N362" s="40"/>
      <c r="O362" s="40"/>
      <c r="P362" s="40"/>
      <c r="Q362" s="40"/>
      <c r="R362" s="40"/>
      <c r="S362" s="40"/>
      <c r="T362" s="40"/>
    </row>
    <row r="363" spans="1:20" ht="15.75">
      <c r="A363" s="13">
        <v>52200</v>
      </c>
      <c r="B363" s="48">
        <v>30</v>
      </c>
      <c r="C363" s="39">
        <v>122.58</v>
      </c>
      <c r="D363" s="39">
        <v>297.94099999999997</v>
      </c>
      <c r="E363" s="45">
        <v>729.47900000000004</v>
      </c>
      <c r="F363" s="39">
        <v>1150</v>
      </c>
      <c r="G363" s="39">
        <v>100</v>
      </c>
      <c r="H363" s="47">
        <v>600</v>
      </c>
      <c r="I363" s="39">
        <v>695</v>
      </c>
      <c r="J363" s="39">
        <v>50</v>
      </c>
      <c r="K363" s="40"/>
      <c r="L363" s="40"/>
      <c r="M363" s="40"/>
      <c r="N363" s="40"/>
      <c r="O363" s="40"/>
      <c r="P363" s="40"/>
      <c r="Q363" s="40"/>
      <c r="R363" s="40"/>
      <c r="S363" s="40"/>
      <c r="T363" s="40"/>
    </row>
    <row r="364" spans="1:20" ht="15.75">
      <c r="A364" s="13">
        <v>52231</v>
      </c>
      <c r="B364" s="48">
        <v>31</v>
      </c>
      <c r="C364" s="39">
        <v>122.58</v>
      </c>
      <c r="D364" s="39">
        <v>297.94099999999997</v>
      </c>
      <c r="E364" s="45">
        <v>729.47900000000004</v>
      </c>
      <c r="F364" s="39">
        <v>1150</v>
      </c>
      <c r="G364" s="39">
        <v>100</v>
      </c>
      <c r="H364" s="47">
        <v>600</v>
      </c>
      <c r="I364" s="39">
        <v>695</v>
      </c>
      <c r="J364" s="39">
        <v>50</v>
      </c>
      <c r="K364" s="40"/>
      <c r="L364" s="40"/>
      <c r="M364" s="40"/>
      <c r="N364" s="40"/>
      <c r="O364" s="40"/>
      <c r="P364" s="40"/>
      <c r="Q364" s="40"/>
      <c r="R364" s="40"/>
      <c r="S364" s="40"/>
      <c r="T364" s="40"/>
    </row>
    <row r="365" spans="1:20" ht="15.75">
      <c r="A365" s="13">
        <v>52262</v>
      </c>
      <c r="B365" s="48">
        <v>31</v>
      </c>
      <c r="C365" s="39">
        <v>122.58</v>
      </c>
      <c r="D365" s="39">
        <v>297.94099999999997</v>
      </c>
      <c r="E365" s="45">
        <v>729.47900000000004</v>
      </c>
      <c r="F365" s="39">
        <v>1150</v>
      </c>
      <c r="G365" s="39">
        <v>100</v>
      </c>
      <c r="H365" s="47">
        <v>600</v>
      </c>
      <c r="I365" s="39">
        <v>695</v>
      </c>
      <c r="J365" s="39">
        <v>50</v>
      </c>
      <c r="K365" s="40"/>
      <c r="L365" s="40"/>
      <c r="M365" s="40"/>
      <c r="N365" s="40"/>
      <c r="O365" s="40"/>
      <c r="P365" s="40"/>
      <c r="Q365" s="40"/>
      <c r="R365" s="40"/>
      <c r="S365" s="40"/>
      <c r="T365" s="40"/>
    </row>
    <row r="366" spans="1:20" ht="15.75">
      <c r="A366" s="13">
        <v>52290</v>
      </c>
      <c r="B366" s="48">
        <v>28</v>
      </c>
      <c r="C366" s="39">
        <v>122.58</v>
      </c>
      <c r="D366" s="39">
        <v>297.94099999999997</v>
      </c>
      <c r="E366" s="45">
        <v>729.47900000000004</v>
      </c>
      <c r="F366" s="39">
        <v>1150</v>
      </c>
      <c r="G366" s="39">
        <v>100</v>
      </c>
      <c r="H366" s="47">
        <v>600</v>
      </c>
      <c r="I366" s="39">
        <v>695</v>
      </c>
      <c r="J366" s="39">
        <v>50</v>
      </c>
      <c r="K366" s="40"/>
      <c r="L366" s="40"/>
      <c r="M366" s="40"/>
      <c r="N366" s="40"/>
      <c r="O366" s="40"/>
      <c r="P366" s="40"/>
      <c r="Q366" s="40"/>
      <c r="R366" s="40"/>
      <c r="S366" s="40"/>
      <c r="T366" s="40"/>
    </row>
    <row r="367" spans="1:20" ht="15.75">
      <c r="A367" s="13">
        <v>52321</v>
      </c>
      <c r="B367" s="48">
        <v>31</v>
      </c>
      <c r="C367" s="39">
        <v>122.58</v>
      </c>
      <c r="D367" s="39">
        <v>297.94099999999997</v>
      </c>
      <c r="E367" s="45">
        <v>729.47900000000004</v>
      </c>
      <c r="F367" s="39">
        <v>1150</v>
      </c>
      <c r="G367" s="39">
        <v>100</v>
      </c>
      <c r="H367" s="47">
        <v>600</v>
      </c>
      <c r="I367" s="39">
        <v>695</v>
      </c>
      <c r="J367" s="39">
        <v>50</v>
      </c>
      <c r="K367" s="40"/>
      <c r="L367" s="40"/>
      <c r="M367" s="40"/>
      <c r="N367" s="40"/>
      <c r="O367" s="40"/>
      <c r="P367" s="40"/>
      <c r="Q367" s="40"/>
      <c r="R367" s="40"/>
      <c r="S367" s="40"/>
      <c r="T367" s="40"/>
    </row>
    <row r="368" spans="1:20" ht="15.75">
      <c r="A368" s="13">
        <v>52351</v>
      </c>
      <c r="B368" s="48">
        <v>30</v>
      </c>
      <c r="C368" s="39">
        <v>141.29300000000001</v>
      </c>
      <c r="D368" s="39">
        <v>267.99299999999999</v>
      </c>
      <c r="E368" s="45">
        <v>829.71400000000006</v>
      </c>
      <c r="F368" s="39">
        <v>1239</v>
      </c>
      <c r="G368" s="39">
        <v>100</v>
      </c>
      <c r="H368" s="47">
        <v>600</v>
      </c>
      <c r="I368" s="39">
        <v>695</v>
      </c>
      <c r="J368" s="39">
        <v>50</v>
      </c>
      <c r="K368" s="40"/>
      <c r="L368" s="40"/>
      <c r="M368" s="40"/>
      <c r="N368" s="40"/>
      <c r="O368" s="40"/>
      <c r="P368" s="40"/>
      <c r="Q368" s="40"/>
      <c r="R368" s="40"/>
      <c r="S368" s="40"/>
      <c r="T368" s="40"/>
    </row>
    <row r="369" spans="1:20" ht="15.75">
      <c r="A369" s="13">
        <v>52382</v>
      </c>
      <c r="B369" s="48">
        <v>31</v>
      </c>
      <c r="C369" s="39">
        <v>194.20500000000001</v>
      </c>
      <c r="D369" s="39">
        <v>267.46600000000001</v>
      </c>
      <c r="E369" s="45">
        <v>812.32899999999995</v>
      </c>
      <c r="F369" s="39">
        <v>1274</v>
      </c>
      <c r="G369" s="39">
        <v>75</v>
      </c>
      <c r="H369" s="47">
        <v>600</v>
      </c>
      <c r="I369" s="39">
        <v>695</v>
      </c>
      <c r="J369" s="39">
        <v>50</v>
      </c>
      <c r="K369" s="40"/>
      <c r="L369" s="40"/>
      <c r="M369" s="40"/>
      <c r="N369" s="40"/>
      <c r="O369" s="40"/>
      <c r="P369" s="40"/>
      <c r="Q369" s="40"/>
      <c r="R369" s="40"/>
      <c r="S369" s="40"/>
      <c r="T369" s="40"/>
    </row>
    <row r="370" spans="1:20" ht="15.75">
      <c r="A370" s="13">
        <v>52412</v>
      </c>
      <c r="B370" s="48">
        <v>30</v>
      </c>
      <c r="C370" s="39">
        <v>194.20500000000001</v>
      </c>
      <c r="D370" s="39">
        <v>267.46600000000001</v>
      </c>
      <c r="E370" s="45">
        <v>812.32899999999995</v>
      </c>
      <c r="F370" s="39">
        <v>1274</v>
      </c>
      <c r="G370" s="39">
        <v>50</v>
      </c>
      <c r="H370" s="47">
        <v>600</v>
      </c>
      <c r="I370" s="39">
        <v>695</v>
      </c>
      <c r="J370" s="39">
        <v>50</v>
      </c>
      <c r="K370" s="40"/>
      <c r="L370" s="40"/>
      <c r="M370" s="40"/>
      <c r="N370" s="40"/>
      <c r="O370" s="40"/>
      <c r="P370" s="40"/>
      <c r="Q370" s="40"/>
      <c r="R370" s="40"/>
      <c r="S370" s="40"/>
      <c r="T370" s="40"/>
    </row>
    <row r="371" spans="1:20" ht="15.75">
      <c r="A371" s="13">
        <v>52443</v>
      </c>
      <c r="B371" s="48">
        <v>31</v>
      </c>
      <c r="C371" s="39">
        <v>194.20500000000001</v>
      </c>
      <c r="D371" s="39">
        <v>267.46600000000001</v>
      </c>
      <c r="E371" s="45">
        <v>812.32899999999995</v>
      </c>
      <c r="F371" s="39">
        <v>1274</v>
      </c>
      <c r="G371" s="39">
        <v>50</v>
      </c>
      <c r="H371" s="47">
        <v>600</v>
      </c>
      <c r="I371" s="39">
        <v>695</v>
      </c>
      <c r="J371" s="39">
        <v>0</v>
      </c>
      <c r="K371" s="40"/>
      <c r="L371" s="40"/>
      <c r="M371" s="40"/>
      <c r="N371" s="40"/>
      <c r="O371" s="40"/>
      <c r="P371" s="40"/>
      <c r="Q371" s="40"/>
      <c r="R371" s="40"/>
      <c r="S371" s="40"/>
      <c r="T371" s="40"/>
    </row>
    <row r="372" spans="1:20" ht="15.75">
      <c r="A372" s="13">
        <v>52474</v>
      </c>
      <c r="B372" s="48">
        <v>31</v>
      </c>
      <c r="C372" s="39">
        <v>194.20500000000001</v>
      </c>
      <c r="D372" s="39">
        <v>267.46600000000001</v>
      </c>
      <c r="E372" s="45">
        <v>812.32899999999995</v>
      </c>
      <c r="F372" s="39">
        <v>1274</v>
      </c>
      <c r="G372" s="39">
        <v>50</v>
      </c>
      <c r="H372" s="47">
        <v>600</v>
      </c>
      <c r="I372" s="39">
        <v>695</v>
      </c>
      <c r="J372" s="39">
        <v>0</v>
      </c>
      <c r="K372" s="40"/>
      <c r="L372" s="40"/>
      <c r="M372" s="40"/>
      <c r="N372" s="40"/>
      <c r="O372" s="40"/>
      <c r="P372" s="40"/>
      <c r="Q372" s="40"/>
      <c r="R372" s="40"/>
      <c r="S372" s="40"/>
      <c r="T372" s="40"/>
    </row>
    <row r="373" spans="1:20" ht="15.75">
      <c r="A373" s="13">
        <v>52504</v>
      </c>
      <c r="B373" s="48">
        <v>30</v>
      </c>
      <c r="C373" s="39">
        <v>194.20500000000001</v>
      </c>
      <c r="D373" s="39">
        <v>267.46600000000001</v>
      </c>
      <c r="E373" s="45">
        <v>812.32899999999995</v>
      </c>
      <c r="F373" s="39">
        <v>1274</v>
      </c>
      <c r="G373" s="39">
        <v>50</v>
      </c>
      <c r="H373" s="47">
        <v>600</v>
      </c>
      <c r="I373" s="39">
        <v>695</v>
      </c>
      <c r="J373" s="39">
        <v>0</v>
      </c>
      <c r="K373" s="40"/>
      <c r="L373" s="40"/>
      <c r="M373" s="40"/>
      <c r="N373" s="40"/>
      <c r="O373" s="40"/>
      <c r="P373" s="40"/>
      <c r="Q373" s="40"/>
      <c r="R373" s="40"/>
      <c r="S373" s="40"/>
      <c r="T373" s="40"/>
    </row>
    <row r="374" spans="1:20" ht="15.75">
      <c r="A374" s="13">
        <v>52535</v>
      </c>
      <c r="B374" s="48">
        <v>31</v>
      </c>
      <c r="C374" s="39">
        <v>131.881</v>
      </c>
      <c r="D374" s="39">
        <v>277.16699999999997</v>
      </c>
      <c r="E374" s="45">
        <v>829.952</v>
      </c>
      <c r="F374" s="39">
        <v>1239</v>
      </c>
      <c r="G374" s="39">
        <v>75</v>
      </c>
      <c r="H374" s="47">
        <v>600</v>
      </c>
      <c r="I374" s="39">
        <v>695</v>
      </c>
      <c r="J374" s="39">
        <v>0</v>
      </c>
      <c r="K374" s="40"/>
      <c r="L374" s="40"/>
      <c r="M374" s="40"/>
      <c r="N374" s="40"/>
      <c r="O374" s="40"/>
      <c r="P374" s="40"/>
      <c r="Q374" s="40"/>
      <c r="R374" s="40"/>
      <c r="S374" s="40"/>
      <c r="T374" s="40"/>
    </row>
    <row r="375" spans="1:20" ht="15.75">
      <c r="A375" s="13">
        <v>52565</v>
      </c>
      <c r="B375" s="48">
        <v>30</v>
      </c>
      <c r="C375" s="39">
        <v>122.58</v>
      </c>
      <c r="D375" s="39">
        <v>297.94099999999997</v>
      </c>
      <c r="E375" s="45">
        <v>729.47900000000004</v>
      </c>
      <c r="F375" s="39">
        <v>1150</v>
      </c>
      <c r="G375" s="39">
        <v>100</v>
      </c>
      <c r="H375" s="47">
        <v>600</v>
      </c>
      <c r="I375" s="39">
        <v>695</v>
      </c>
      <c r="J375" s="39">
        <v>50</v>
      </c>
      <c r="K375" s="40"/>
      <c r="L375" s="40"/>
      <c r="M375" s="40"/>
      <c r="N375" s="40"/>
      <c r="O375" s="40"/>
      <c r="P375" s="40"/>
      <c r="Q375" s="40"/>
      <c r="R375" s="40"/>
      <c r="S375" s="40"/>
      <c r="T375" s="40"/>
    </row>
    <row r="376" spans="1:20" ht="15.75">
      <c r="A376" s="13">
        <v>52596</v>
      </c>
      <c r="B376" s="48">
        <v>31</v>
      </c>
      <c r="C376" s="39">
        <v>122.58</v>
      </c>
      <c r="D376" s="39">
        <v>297.94099999999997</v>
      </c>
      <c r="E376" s="45">
        <v>729.47900000000004</v>
      </c>
      <c r="F376" s="39">
        <v>1150</v>
      </c>
      <c r="G376" s="39">
        <v>100</v>
      </c>
      <c r="H376" s="47">
        <v>600</v>
      </c>
      <c r="I376" s="39">
        <v>695</v>
      </c>
      <c r="J376" s="39">
        <v>50</v>
      </c>
      <c r="K376" s="40"/>
      <c r="L376" s="40"/>
      <c r="M376" s="40"/>
      <c r="N376" s="40"/>
      <c r="O376" s="40"/>
      <c r="P376" s="40"/>
      <c r="Q376" s="40"/>
      <c r="R376" s="40"/>
      <c r="S376" s="40"/>
      <c r="T376" s="40"/>
    </row>
    <row r="377" spans="1:20" ht="15.75">
      <c r="A377" s="13">
        <v>52627</v>
      </c>
      <c r="B377" s="48">
        <v>31</v>
      </c>
      <c r="C377" s="39">
        <v>122.58</v>
      </c>
      <c r="D377" s="39">
        <v>297.94099999999997</v>
      </c>
      <c r="E377" s="45">
        <v>729.47900000000004</v>
      </c>
      <c r="F377" s="39">
        <v>1150</v>
      </c>
      <c r="G377" s="39">
        <v>100</v>
      </c>
      <c r="H377" s="47">
        <v>600</v>
      </c>
      <c r="I377" s="39">
        <v>695</v>
      </c>
      <c r="J377" s="39">
        <v>50</v>
      </c>
      <c r="K377" s="40"/>
      <c r="L377" s="40"/>
      <c r="M377" s="40"/>
      <c r="N377" s="40"/>
      <c r="O377" s="40"/>
      <c r="P377" s="40"/>
      <c r="Q377" s="40"/>
      <c r="R377" s="40"/>
      <c r="S377" s="40"/>
      <c r="T377" s="40"/>
    </row>
    <row r="378" spans="1:20" ht="15.75">
      <c r="A378" s="13">
        <v>52655</v>
      </c>
      <c r="B378" s="48">
        <v>29</v>
      </c>
      <c r="C378" s="39">
        <v>122.58</v>
      </c>
      <c r="D378" s="39">
        <v>297.94099999999997</v>
      </c>
      <c r="E378" s="45">
        <v>729.47900000000004</v>
      </c>
      <c r="F378" s="39">
        <v>1150</v>
      </c>
      <c r="G378" s="39">
        <v>100</v>
      </c>
      <c r="H378" s="47">
        <v>600</v>
      </c>
      <c r="I378" s="39">
        <v>695</v>
      </c>
      <c r="J378" s="39">
        <v>50</v>
      </c>
      <c r="K378" s="40"/>
      <c r="L378" s="40"/>
      <c r="M378" s="40"/>
      <c r="N378" s="40"/>
      <c r="O378" s="40"/>
      <c r="P378" s="40"/>
      <c r="Q378" s="40"/>
      <c r="R378" s="40"/>
      <c r="S378" s="40"/>
      <c r="T378" s="40"/>
    </row>
    <row r="379" spans="1:20" ht="15.75">
      <c r="A379" s="13">
        <v>52687</v>
      </c>
      <c r="B379" s="48">
        <v>31</v>
      </c>
      <c r="C379" s="39">
        <v>122.58</v>
      </c>
      <c r="D379" s="39">
        <v>297.94099999999997</v>
      </c>
      <c r="E379" s="45">
        <v>729.47900000000004</v>
      </c>
      <c r="F379" s="39">
        <v>1150</v>
      </c>
      <c r="G379" s="39">
        <v>100</v>
      </c>
      <c r="H379" s="47">
        <v>600</v>
      </c>
      <c r="I379" s="39">
        <v>695</v>
      </c>
      <c r="J379" s="39">
        <v>50</v>
      </c>
      <c r="K379" s="40"/>
      <c r="L379" s="40"/>
      <c r="M379" s="40"/>
      <c r="N379" s="40"/>
      <c r="O379" s="40"/>
      <c r="P379" s="40"/>
      <c r="Q379" s="40"/>
      <c r="R379" s="40"/>
      <c r="S379" s="40"/>
      <c r="T379" s="40"/>
    </row>
    <row r="380" spans="1:20" ht="15.75">
      <c r="A380" s="13">
        <v>52717</v>
      </c>
      <c r="B380" s="48">
        <v>30</v>
      </c>
      <c r="C380" s="39">
        <v>141.29300000000001</v>
      </c>
      <c r="D380" s="39">
        <v>267.99299999999999</v>
      </c>
      <c r="E380" s="45">
        <v>829.71400000000006</v>
      </c>
      <c r="F380" s="39">
        <v>1239</v>
      </c>
      <c r="G380" s="39">
        <v>100</v>
      </c>
      <c r="H380" s="47">
        <v>600</v>
      </c>
      <c r="I380" s="39">
        <v>695</v>
      </c>
      <c r="J380" s="39">
        <v>50</v>
      </c>
      <c r="K380" s="40"/>
      <c r="L380" s="40"/>
      <c r="M380" s="40"/>
      <c r="N380" s="40"/>
      <c r="O380" s="40"/>
      <c r="P380" s="40"/>
      <c r="Q380" s="40"/>
      <c r="R380" s="40"/>
      <c r="S380" s="40"/>
      <c r="T380" s="40"/>
    </row>
    <row r="381" spans="1:20" ht="15.75">
      <c r="A381" s="13">
        <v>52748</v>
      </c>
      <c r="B381" s="48">
        <v>31</v>
      </c>
      <c r="C381" s="39">
        <v>194.20500000000001</v>
      </c>
      <c r="D381" s="39">
        <v>267.46600000000001</v>
      </c>
      <c r="E381" s="45">
        <v>812.32899999999995</v>
      </c>
      <c r="F381" s="39">
        <v>1274</v>
      </c>
      <c r="G381" s="39">
        <v>75</v>
      </c>
      <c r="H381" s="47">
        <v>600</v>
      </c>
      <c r="I381" s="39">
        <v>695</v>
      </c>
      <c r="J381" s="39">
        <v>50</v>
      </c>
      <c r="K381" s="40"/>
      <c r="L381" s="40"/>
      <c r="M381" s="40"/>
      <c r="N381" s="40"/>
      <c r="O381" s="40"/>
      <c r="P381" s="40"/>
      <c r="Q381" s="40"/>
      <c r="R381" s="40"/>
      <c r="S381" s="40"/>
      <c r="T381" s="40"/>
    </row>
    <row r="382" spans="1:20" ht="15.75">
      <c r="A382" s="13">
        <v>52778</v>
      </c>
      <c r="B382" s="48">
        <v>30</v>
      </c>
      <c r="C382" s="39">
        <v>194.20500000000001</v>
      </c>
      <c r="D382" s="39">
        <v>267.46600000000001</v>
      </c>
      <c r="E382" s="45">
        <v>812.32899999999995</v>
      </c>
      <c r="F382" s="39">
        <v>1274</v>
      </c>
      <c r="G382" s="39">
        <v>50</v>
      </c>
      <c r="H382" s="47">
        <v>600</v>
      </c>
      <c r="I382" s="39">
        <v>695</v>
      </c>
      <c r="J382" s="39">
        <v>50</v>
      </c>
      <c r="K382" s="40"/>
      <c r="L382" s="40"/>
      <c r="M382" s="40"/>
      <c r="N382" s="40"/>
      <c r="O382" s="40"/>
      <c r="P382" s="40"/>
      <c r="Q382" s="40"/>
      <c r="R382" s="40"/>
      <c r="S382" s="40"/>
      <c r="T382" s="40"/>
    </row>
    <row r="383" spans="1:20" ht="15.75">
      <c r="A383" s="13">
        <v>52809</v>
      </c>
      <c r="B383" s="48">
        <v>31</v>
      </c>
      <c r="C383" s="39">
        <v>194.20500000000001</v>
      </c>
      <c r="D383" s="39">
        <v>267.46600000000001</v>
      </c>
      <c r="E383" s="45">
        <v>812.32899999999995</v>
      </c>
      <c r="F383" s="39">
        <v>1274</v>
      </c>
      <c r="G383" s="39">
        <v>50</v>
      </c>
      <c r="H383" s="47">
        <v>600</v>
      </c>
      <c r="I383" s="39">
        <v>695</v>
      </c>
      <c r="J383" s="39">
        <v>0</v>
      </c>
      <c r="K383" s="40"/>
      <c r="L383" s="40"/>
      <c r="M383" s="40"/>
      <c r="N383" s="40"/>
      <c r="O383" s="40"/>
      <c r="P383" s="40"/>
      <c r="Q383" s="40"/>
      <c r="R383" s="40"/>
      <c r="S383" s="40"/>
      <c r="T383" s="40"/>
    </row>
    <row r="384" spans="1:20" ht="15.75">
      <c r="A384" s="13">
        <v>52840</v>
      </c>
      <c r="B384" s="48">
        <v>31</v>
      </c>
      <c r="C384" s="39">
        <v>194.20500000000001</v>
      </c>
      <c r="D384" s="39">
        <v>267.46600000000001</v>
      </c>
      <c r="E384" s="45">
        <v>812.32899999999995</v>
      </c>
      <c r="F384" s="39">
        <v>1274</v>
      </c>
      <c r="G384" s="39">
        <v>50</v>
      </c>
      <c r="H384" s="47">
        <v>600</v>
      </c>
      <c r="I384" s="39">
        <v>695</v>
      </c>
      <c r="J384" s="39">
        <v>0</v>
      </c>
      <c r="K384" s="40"/>
      <c r="L384" s="40"/>
      <c r="M384" s="40"/>
      <c r="N384" s="40"/>
      <c r="O384" s="40"/>
      <c r="P384" s="40"/>
      <c r="Q384" s="40"/>
      <c r="R384" s="40"/>
      <c r="S384" s="40"/>
      <c r="T384" s="40"/>
    </row>
    <row r="385" spans="1:20" ht="15.75">
      <c r="A385" s="13">
        <v>52870</v>
      </c>
      <c r="B385" s="48">
        <v>30</v>
      </c>
      <c r="C385" s="39">
        <v>194.20500000000001</v>
      </c>
      <c r="D385" s="39">
        <v>267.46600000000001</v>
      </c>
      <c r="E385" s="45">
        <v>812.32899999999995</v>
      </c>
      <c r="F385" s="39">
        <v>1274</v>
      </c>
      <c r="G385" s="39">
        <v>50</v>
      </c>
      <c r="H385" s="47">
        <v>600</v>
      </c>
      <c r="I385" s="39">
        <v>695</v>
      </c>
      <c r="J385" s="39">
        <v>0</v>
      </c>
      <c r="K385" s="40"/>
      <c r="L385" s="40"/>
      <c r="M385" s="40"/>
      <c r="N385" s="40"/>
      <c r="O385" s="40"/>
      <c r="P385" s="40"/>
      <c r="Q385" s="40"/>
      <c r="R385" s="40"/>
      <c r="S385" s="40"/>
      <c r="T385" s="40"/>
    </row>
    <row r="386" spans="1:20" ht="15.75">
      <c r="A386" s="13">
        <v>52901</v>
      </c>
      <c r="B386" s="48">
        <v>31</v>
      </c>
      <c r="C386" s="39">
        <v>131.881</v>
      </c>
      <c r="D386" s="39">
        <v>277.16699999999997</v>
      </c>
      <c r="E386" s="45">
        <v>829.952</v>
      </c>
      <c r="F386" s="39">
        <v>1239</v>
      </c>
      <c r="G386" s="39">
        <v>75</v>
      </c>
      <c r="H386" s="47">
        <v>600</v>
      </c>
      <c r="I386" s="39">
        <v>695</v>
      </c>
      <c r="J386" s="39">
        <v>0</v>
      </c>
      <c r="K386" s="40"/>
      <c r="L386" s="40"/>
      <c r="M386" s="40"/>
      <c r="N386" s="40"/>
      <c r="O386" s="40"/>
      <c r="P386" s="40"/>
      <c r="Q386" s="40"/>
      <c r="R386" s="40"/>
      <c r="S386" s="40"/>
      <c r="T386" s="40"/>
    </row>
    <row r="387" spans="1:20" ht="15.75">
      <c r="A387" s="13">
        <v>52931</v>
      </c>
      <c r="B387" s="48">
        <v>30</v>
      </c>
      <c r="C387" s="39">
        <v>122.58</v>
      </c>
      <c r="D387" s="39">
        <v>297.94099999999997</v>
      </c>
      <c r="E387" s="45">
        <v>729.47900000000004</v>
      </c>
      <c r="F387" s="39">
        <v>1150</v>
      </c>
      <c r="G387" s="39">
        <v>100</v>
      </c>
      <c r="H387" s="47">
        <v>600</v>
      </c>
      <c r="I387" s="39">
        <v>695</v>
      </c>
      <c r="J387" s="39">
        <v>50</v>
      </c>
      <c r="K387" s="40"/>
      <c r="L387" s="40"/>
      <c r="M387" s="40"/>
      <c r="N387" s="40"/>
      <c r="O387" s="40"/>
      <c r="P387" s="40"/>
      <c r="Q387" s="40"/>
      <c r="R387" s="40"/>
      <c r="S387" s="40"/>
      <c r="T387" s="40"/>
    </row>
    <row r="388" spans="1:20" ht="15.75">
      <c r="A388" s="13">
        <v>52962</v>
      </c>
      <c r="B388" s="48">
        <v>31</v>
      </c>
      <c r="C388" s="39">
        <v>122.58</v>
      </c>
      <c r="D388" s="39">
        <v>297.94099999999997</v>
      </c>
      <c r="E388" s="45">
        <v>729.47900000000004</v>
      </c>
      <c r="F388" s="39">
        <v>1150</v>
      </c>
      <c r="G388" s="39">
        <v>100</v>
      </c>
      <c r="H388" s="47">
        <v>600</v>
      </c>
      <c r="I388" s="39">
        <v>695</v>
      </c>
      <c r="J388" s="39">
        <v>50</v>
      </c>
      <c r="K388" s="40"/>
      <c r="L388" s="40"/>
      <c r="M388" s="40"/>
      <c r="N388" s="40"/>
      <c r="O388" s="40"/>
      <c r="P388" s="40"/>
      <c r="Q388" s="40"/>
      <c r="R388" s="40"/>
      <c r="S388" s="40"/>
      <c r="T388" s="40"/>
    </row>
    <row r="389" spans="1:20" ht="15.75">
      <c r="A389" s="13">
        <v>52993</v>
      </c>
      <c r="B389" s="48">
        <v>31</v>
      </c>
      <c r="C389" s="39">
        <v>122.58</v>
      </c>
      <c r="D389" s="39">
        <v>297.94099999999997</v>
      </c>
      <c r="E389" s="45">
        <v>729.47900000000004</v>
      </c>
      <c r="F389" s="39">
        <v>1150</v>
      </c>
      <c r="G389" s="39">
        <v>100</v>
      </c>
      <c r="H389" s="47">
        <v>600</v>
      </c>
      <c r="I389" s="39">
        <v>695</v>
      </c>
      <c r="J389" s="39">
        <v>50</v>
      </c>
      <c r="K389" s="40"/>
      <c r="L389" s="40"/>
      <c r="M389" s="40"/>
      <c r="N389" s="40"/>
      <c r="O389" s="40"/>
      <c r="P389" s="40"/>
      <c r="Q389" s="40"/>
      <c r="R389" s="40"/>
      <c r="S389" s="40"/>
      <c r="T389" s="40"/>
    </row>
    <row r="390" spans="1:20" ht="15.75">
      <c r="A390" s="13">
        <v>53021</v>
      </c>
      <c r="B390" s="48">
        <v>28</v>
      </c>
      <c r="C390" s="39">
        <v>122.58</v>
      </c>
      <c r="D390" s="39">
        <v>297.94099999999997</v>
      </c>
      <c r="E390" s="45">
        <v>729.47900000000004</v>
      </c>
      <c r="F390" s="39">
        <v>1150</v>
      </c>
      <c r="G390" s="39">
        <v>100</v>
      </c>
      <c r="H390" s="47">
        <v>600</v>
      </c>
      <c r="I390" s="39">
        <v>695</v>
      </c>
      <c r="J390" s="39">
        <v>50</v>
      </c>
      <c r="K390" s="40"/>
      <c r="L390" s="40"/>
      <c r="M390" s="40"/>
      <c r="N390" s="40"/>
      <c r="O390" s="40"/>
      <c r="P390" s="40"/>
      <c r="Q390" s="40"/>
      <c r="R390" s="40"/>
      <c r="S390" s="40"/>
      <c r="T390" s="40"/>
    </row>
    <row r="391" spans="1:20" ht="15.75">
      <c r="A391" s="13">
        <v>53052</v>
      </c>
      <c r="B391" s="48">
        <v>31</v>
      </c>
      <c r="C391" s="39">
        <v>122.58</v>
      </c>
      <c r="D391" s="39">
        <v>297.94099999999997</v>
      </c>
      <c r="E391" s="45">
        <v>729.47900000000004</v>
      </c>
      <c r="F391" s="39">
        <v>1150</v>
      </c>
      <c r="G391" s="39">
        <v>100</v>
      </c>
      <c r="H391" s="47">
        <v>600</v>
      </c>
      <c r="I391" s="39">
        <v>695</v>
      </c>
      <c r="J391" s="39">
        <v>50</v>
      </c>
      <c r="K391" s="40"/>
      <c r="L391" s="40"/>
      <c r="M391" s="40"/>
      <c r="N391" s="40"/>
      <c r="O391" s="40"/>
      <c r="P391" s="40"/>
      <c r="Q391" s="40"/>
      <c r="R391" s="40"/>
      <c r="S391" s="40"/>
      <c r="T391" s="40"/>
    </row>
    <row r="392" spans="1:20" ht="15.75">
      <c r="A392" s="13">
        <v>53082</v>
      </c>
      <c r="B392" s="48">
        <v>30</v>
      </c>
      <c r="C392" s="39">
        <v>141.29300000000001</v>
      </c>
      <c r="D392" s="39">
        <v>267.99299999999999</v>
      </c>
      <c r="E392" s="45">
        <v>829.71400000000006</v>
      </c>
      <c r="F392" s="39">
        <v>1239</v>
      </c>
      <c r="G392" s="39">
        <v>100</v>
      </c>
      <c r="H392" s="47">
        <v>600</v>
      </c>
      <c r="I392" s="39">
        <v>695</v>
      </c>
      <c r="J392" s="39">
        <v>50</v>
      </c>
      <c r="K392" s="40"/>
      <c r="L392" s="40"/>
      <c r="M392" s="40"/>
      <c r="N392" s="40"/>
      <c r="O392" s="40"/>
      <c r="P392" s="40"/>
      <c r="Q392" s="40"/>
      <c r="R392" s="40"/>
      <c r="S392" s="40"/>
      <c r="T392" s="40"/>
    </row>
    <row r="393" spans="1:20" ht="15.75">
      <c r="A393" s="13">
        <v>53113</v>
      </c>
      <c r="B393" s="48">
        <v>31</v>
      </c>
      <c r="C393" s="39">
        <v>194.20500000000001</v>
      </c>
      <c r="D393" s="39">
        <v>267.46600000000001</v>
      </c>
      <c r="E393" s="45">
        <v>812.32899999999995</v>
      </c>
      <c r="F393" s="39">
        <v>1274</v>
      </c>
      <c r="G393" s="39">
        <v>75</v>
      </c>
      <c r="H393" s="47">
        <v>600</v>
      </c>
      <c r="I393" s="39">
        <v>695</v>
      </c>
      <c r="J393" s="39">
        <v>50</v>
      </c>
      <c r="K393" s="40"/>
      <c r="L393" s="40"/>
      <c r="M393" s="40"/>
      <c r="N393" s="40"/>
      <c r="O393" s="40"/>
      <c r="P393" s="40"/>
      <c r="Q393" s="40"/>
      <c r="R393" s="40"/>
      <c r="S393" s="40"/>
      <c r="T393" s="40"/>
    </row>
    <row r="394" spans="1:20" ht="15.75">
      <c r="A394" s="13">
        <v>53143</v>
      </c>
      <c r="B394" s="48">
        <v>30</v>
      </c>
      <c r="C394" s="39">
        <v>194.20500000000001</v>
      </c>
      <c r="D394" s="39">
        <v>267.46600000000001</v>
      </c>
      <c r="E394" s="45">
        <v>812.32899999999995</v>
      </c>
      <c r="F394" s="39">
        <v>1274</v>
      </c>
      <c r="G394" s="39">
        <v>50</v>
      </c>
      <c r="H394" s="47">
        <v>600</v>
      </c>
      <c r="I394" s="39">
        <v>695</v>
      </c>
      <c r="J394" s="39">
        <v>50</v>
      </c>
      <c r="K394" s="40"/>
      <c r="L394" s="40"/>
      <c r="M394" s="40"/>
      <c r="N394" s="40"/>
      <c r="O394" s="40"/>
      <c r="P394" s="40"/>
      <c r="Q394" s="40"/>
      <c r="R394" s="40"/>
      <c r="S394" s="40"/>
      <c r="T394" s="40"/>
    </row>
    <row r="395" spans="1:20" ht="15.75">
      <c r="A395" s="13">
        <v>53174</v>
      </c>
      <c r="B395" s="48">
        <v>31</v>
      </c>
      <c r="C395" s="39">
        <v>194.20500000000001</v>
      </c>
      <c r="D395" s="39">
        <v>267.46600000000001</v>
      </c>
      <c r="E395" s="45">
        <v>812.32899999999995</v>
      </c>
      <c r="F395" s="39">
        <v>1274</v>
      </c>
      <c r="G395" s="39">
        <v>50</v>
      </c>
      <c r="H395" s="47">
        <v>600</v>
      </c>
      <c r="I395" s="39">
        <v>695</v>
      </c>
      <c r="J395" s="39">
        <v>0</v>
      </c>
      <c r="K395" s="40"/>
      <c r="L395" s="40"/>
      <c r="M395" s="40"/>
      <c r="N395" s="40"/>
      <c r="O395" s="40"/>
      <c r="P395" s="40"/>
      <c r="Q395" s="40"/>
      <c r="R395" s="40"/>
      <c r="S395" s="40"/>
      <c r="T395" s="40"/>
    </row>
    <row r="396" spans="1:20" ht="15.75">
      <c r="A396" s="13">
        <v>53205</v>
      </c>
      <c r="B396" s="48">
        <v>31</v>
      </c>
      <c r="C396" s="39">
        <v>194.20500000000001</v>
      </c>
      <c r="D396" s="39">
        <v>267.46600000000001</v>
      </c>
      <c r="E396" s="45">
        <v>812.32899999999995</v>
      </c>
      <c r="F396" s="39">
        <v>1274</v>
      </c>
      <c r="G396" s="39">
        <v>50</v>
      </c>
      <c r="H396" s="47">
        <v>600</v>
      </c>
      <c r="I396" s="39">
        <v>695</v>
      </c>
      <c r="J396" s="39">
        <v>0</v>
      </c>
      <c r="K396" s="40"/>
      <c r="L396" s="40"/>
      <c r="M396" s="40"/>
      <c r="N396" s="40"/>
      <c r="O396" s="40"/>
      <c r="P396" s="40"/>
      <c r="Q396" s="40"/>
      <c r="R396" s="40"/>
      <c r="S396" s="40"/>
      <c r="T396" s="40"/>
    </row>
    <row r="397" spans="1:20" ht="15.75">
      <c r="A397" s="13">
        <v>53235</v>
      </c>
      <c r="B397" s="48">
        <v>30</v>
      </c>
      <c r="C397" s="39">
        <v>194.20500000000001</v>
      </c>
      <c r="D397" s="39">
        <v>267.46600000000001</v>
      </c>
      <c r="E397" s="45">
        <v>812.32899999999995</v>
      </c>
      <c r="F397" s="39">
        <v>1274</v>
      </c>
      <c r="G397" s="39">
        <v>50</v>
      </c>
      <c r="H397" s="47">
        <v>600</v>
      </c>
      <c r="I397" s="39">
        <v>695</v>
      </c>
      <c r="J397" s="39">
        <v>0</v>
      </c>
      <c r="K397" s="40"/>
      <c r="L397" s="40"/>
      <c r="M397" s="40"/>
      <c r="N397" s="40"/>
      <c r="O397" s="40"/>
      <c r="P397" s="40"/>
      <c r="Q397" s="40"/>
      <c r="R397" s="40"/>
      <c r="S397" s="40"/>
      <c r="T397" s="40"/>
    </row>
    <row r="398" spans="1:20" ht="15.75">
      <c r="A398" s="13">
        <v>53266</v>
      </c>
      <c r="B398" s="48">
        <v>31</v>
      </c>
      <c r="C398" s="39">
        <v>131.881</v>
      </c>
      <c r="D398" s="39">
        <v>277.16699999999997</v>
      </c>
      <c r="E398" s="45">
        <v>829.952</v>
      </c>
      <c r="F398" s="39">
        <v>1239</v>
      </c>
      <c r="G398" s="39">
        <v>75</v>
      </c>
      <c r="H398" s="47">
        <v>600</v>
      </c>
      <c r="I398" s="39">
        <v>695</v>
      </c>
      <c r="J398" s="39">
        <v>0</v>
      </c>
      <c r="K398" s="40"/>
      <c r="L398" s="40"/>
      <c r="M398" s="40"/>
      <c r="N398" s="40"/>
      <c r="O398" s="40"/>
      <c r="P398" s="40"/>
      <c r="Q398" s="40"/>
      <c r="R398" s="40"/>
      <c r="S398" s="40"/>
      <c r="T398" s="40"/>
    </row>
    <row r="399" spans="1:20" ht="15.75">
      <c r="A399" s="13">
        <v>53296</v>
      </c>
      <c r="B399" s="48">
        <v>30</v>
      </c>
      <c r="C399" s="39">
        <v>122.58</v>
      </c>
      <c r="D399" s="39">
        <v>297.94099999999997</v>
      </c>
      <c r="E399" s="45">
        <v>729.47900000000004</v>
      </c>
      <c r="F399" s="39">
        <v>1150</v>
      </c>
      <c r="G399" s="39">
        <v>100</v>
      </c>
      <c r="H399" s="47">
        <v>600</v>
      </c>
      <c r="I399" s="39">
        <v>695</v>
      </c>
      <c r="J399" s="39">
        <v>50</v>
      </c>
      <c r="K399" s="40"/>
      <c r="L399" s="40"/>
      <c r="M399" s="40"/>
      <c r="N399" s="40"/>
      <c r="O399" s="40"/>
      <c r="P399" s="40"/>
      <c r="Q399" s="40"/>
      <c r="R399" s="40"/>
      <c r="S399" s="40"/>
      <c r="T399" s="40"/>
    </row>
    <row r="400" spans="1:20" ht="15.75">
      <c r="A400" s="13">
        <v>53327</v>
      </c>
      <c r="B400" s="48">
        <v>31</v>
      </c>
      <c r="C400" s="39">
        <v>122.58</v>
      </c>
      <c r="D400" s="39">
        <v>297.94099999999997</v>
      </c>
      <c r="E400" s="45">
        <v>729.47900000000004</v>
      </c>
      <c r="F400" s="39">
        <v>1150</v>
      </c>
      <c r="G400" s="39">
        <v>100</v>
      </c>
      <c r="H400" s="47">
        <v>600</v>
      </c>
      <c r="I400" s="39">
        <v>695</v>
      </c>
      <c r="J400" s="39">
        <v>50</v>
      </c>
      <c r="K400" s="40"/>
      <c r="L400" s="40"/>
      <c r="M400" s="40"/>
      <c r="N400" s="40"/>
      <c r="O400" s="40"/>
      <c r="P400" s="40"/>
      <c r="Q400" s="40"/>
      <c r="R400" s="40"/>
      <c r="S400" s="40"/>
      <c r="T400" s="40"/>
    </row>
    <row r="401" spans="1:20" ht="15.75">
      <c r="A401" s="13">
        <v>53358</v>
      </c>
      <c r="B401" s="48">
        <v>31</v>
      </c>
      <c r="C401" s="39">
        <v>122.58</v>
      </c>
      <c r="D401" s="39">
        <v>297.94099999999997</v>
      </c>
      <c r="E401" s="45">
        <v>729.47900000000004</v>
      </c>
      <c r="F401" s="39">
        <v>1150</v>
      </c>
      <c r="G401" s="39">
        <v>100</v>
      </c>
      <c r="H401" s="47">
        <v>600</v>
      </c>
      <c r="I401" s="39">
        <v>695</v>
      </c>
      <c r="J401" s="39">
        <v>50</v>
      </c>
      <c r="K401" s="40"/>
      <c r="L401" s="40"/>
      <c r="M401" s="40"/>
      <c r="N401" s="40"/>
      <c r="O401" s="40"/>
      <c r="P401" s="40"/>
      <c r="Q401" s="40"/>
      <c r="R401" s="40"/>
      <c r="S401" s="40"/>
      <c r="T401" s="40"/>
    </row>
    <row r="402" spans="1:20" ht="15.75">
      <c r="A402" s="13">
        <v>53386</v>
      </c>
      <c r="B402" s="48">
        <v>28</v>
      </c>
      <c r="C402" s="39">
        <v>122.58</v>
      </c>
      <c r="D402" s="39">
        <v>297.94099999999997</v>
      </c>
      <c r="E402" s="45">
        <v>729.47900000000004</v>
      </c>
      <c r="F402" s="39">
        <v>1150</v>
      </c>
      <c r="G402" s="39">
        <v>100</v>
      </c>
      <c r="H402" s="47">
        <v>600</v>
      </c>
      <c r="I402" s="39">
        <v>695</v>
      </c>
      <c r="J402" s="39">
        <v>50</v>
      </c>
      <c r="K402" s="40"/>
      <c r="L402" s="40"/>
      <c r="M402" s="40"/>
      <c r="N402" s="40"/>
      <c r="O402" s="40"/>
      <c r="P402" s="40"/>
      <c r="Q402" s="40"/>
      <c r="R402" s="40"/>
      <c r="S402" s="40"/>
      <c r="T402" s="40"/>
    </row>
    <row r="403" spans="1:20" ht="15.75">
      <c r="A403" s="13">
        <v>53417</v>
      </c>
      <c r="B403" s="48">
        <v>31</v>
      </c>
      <c r="C403" s="39">
        <v>122.58</v>
      </c>
      <c r="D403" s="39">
        <v>297.94099999999997</v>
      </c>
      <c r="E403" s="45">
        <v>729.47900000000004</v>
      </c>
      <c r="F403" s="39">
        <v>1150</v>
      </c>
      <c r="G403" s="39">
        <v>100</v>
      </c>
      <c r="H403" s="47">
        <v>600</v>
      </c>
      <c r="I403" s="39">
        <v>695</v>
      </c>
      <c r="J403" s="39">
        <v>50</v>
      </c>
      <c r="K403" s="40"/>
      <c r="L403" s="40"/>
      <c r="M403" s="40"/>
      <c r="N403" s="40"/>
      <c r="O403" s="40"/>
      <c r="P403" s="40"/>
      <c r="Q403" s="40"/>
      <c r="R403" s="40"/>
      <c r="S403" s="40"/>
      <c r="T403" s="40"/>
    </row>
    <row r="404" spans="1:20" ht="15.75">
      <c r="A404" s="13">
        <v>53447</v>
      </c>
      <c r="B404" s="48">
        <v>30</v>
      </c>
      <c r="C404" s="39">
        <v>141.29300000000001</v>
      </c>
      <c r="D404" s="39">
        <v>267.99299999999999</v>
      </c>
      <c r="E404" s="45">
        <v>829.71400000000006</v>
      </c>
      <c r="F404" s="39">
        <v>1239</v>
      </c>
      <c r="G404" s="39">
        <v>100</v>
      </c>
      <c r="H404" s="47">
        <v>600</v>
      </c>
      <c r="I404" s="39">
        <v>695</v>
      </c>
      <c r="J404" s="39">
        <v>50</v>
      </c>
      <c r="K404" s="40"/>
      <c r="L404" s="40"/>
      <c r="M404" s="40"/>
      <c r="N404" s="40"/>
      <c r="O404" s="40"/>
      <c r="P404" s="40"/>
      <c r="Q404" s="40"/>
      <c r="R404" s="40"/>
      <c r="S404" s="40"/>
      <c r="T404" s="40"/>
    </row>
    <row r="405" spans="1:20" ht="15.75">
      <c r="A405" s="13">
        <v>53478</v>
      </c>
      <c r="B405" s="48">
        <v>31</v>
      </c>
      <c r="C405" s="39">
        <v>194.20500000000001</v>
      </c>
      <c r="D405" s="39">
        <v>267.46600000000001</v>
      </c>
      <c r="E405" s="45">
        <v>812.32899999999995</v>
      </c>
      <c r="F405" s="39">
        <v>1274</v>
      </c>
      <c r="G405" s="39">
        <v>75</v>
      </c>
      <c r="H405" s="47">
        <v>600</v>
      </c>
      <c r="I405" s="39">
        <v>695</v>
      </c>
      <c r="J405" s="39">
        <v>50</v>
      </c>
      <c r="K405" s="40"/>
      <c r="L405" s="40"/>
      <c r="M405" s="40"/>
      <c r="N405" s="40"/>
      <c r="O405" s="40"/>
      <c r="P405" s="40"/>
      <c r="Q405" s="40"/>
      <c r="R405" s="40"/>
      <c r="S405" s="40"/>
      <c r="T405" s="40"/>
    </row>
    <row r="406" spans="1:20" ht="15.75">
      <c r="A406" s="13">
        <v>53508</v>
      </c>
      <c r="B406" s="48">
        <v>30</v>
      </c>
      <c r="C406" s="39">
        <v>194.20500000000001</v>
      </c>
      <c r="D406" s="39">
        <v>267.46600000000001</v>
      </c>
      <c r="E406" s="45">
        <v>812.32899999999995</v>
      </c>
      <c r="F406" s="39">
        <v>1274</v>
      </c>
      <c r="G406" s="39">
        <v>50</v>
      </c>
      <c r="H406" s="47">
        <v>600</v>
      </c>
      <c r="I406" s="39">
        <v>695</v>
      </c>
      <c r="J406" s="39">
        <v>50</v>
      </c>
      <c r="K406" s="40"/>
      <c r="L406" s="40"/>
      <c r="M406" s="40"/>
      <c r="N406" s="40"/>
      <c r="O406" s="40"/>
      <c r="P406" s="40"/>
      <c r="Q406" s="40"/>
      <c r="R406" s="40"/>
      <c r="S406" s="40"/>
      <c r="T406" s="40"/>
    </row>
    <row r="407" spans="1:20" ht="15.75">
      <c r="A407" s="13">
        <v>53539</v>
      </c>
      <c r="B407" s="48">
        <v>31</v>
      </c>
      <c r="C407" s="39">
        <v>194.20500000000001</v>
      </c>
      <c r="D407" s="39">
        <v>267.46600000000001</v>
      </c>
      <c r="E407" s="45">
        <v>812.32899999999995</v>
      </c>
      <c r="F407" s="39">
        <v>1274</v>
      </c>
      <c r="G407" s="39">
        <v>50</v>
      </c>
      <c r="H407" s="47">
        <v>600</v>
      </c>
      <c r="I407" s="39">
        <v>695</v>
      </c>
      <c r="J407" s="39">
        <v>0</v>
      </c>
      <c r="K407" s="40"/>
      <c r="L407" s="40"/>
      <c r="M407" s="40"/>
      <c r="N407" s="40"/>
      <c r="O407" s="40"/>
      <c r="P407" s="40"/>
      <c r="Q407" s="40"/>
      <c r="R407" s="40"/>
      <c r="S407" s="40"/>
      <c r="T407" s="40"/>
    </row>
    <row r="408" spans="1:20" ht="15.75">
      <c r="A408" s="13">
        <v>53570</v>
      </c>
      <c r="B408" s="48">
        <v>31</v>
      </c>
      <c r="C408" s="39">
        <v>194.20500000000001</v>
      </c>
      <c r="D408" s="39">
        <v>267.46600000000001</v>
      </c>
      <c r="E408" s="45">
        <v>812.32899999999995</v>
      </c>
      <c r="F408" s="39">
        <v>1274</v>
      </c>
      <c r="G408" s="39">
        <v>50</v>
      </c>
      <c r="H408" s="47">
        <v>600</v>
      </c>
      <c r="I408" s="39">
        <v>695</v>
      </c>
      <c r="J408" s="39">
        <v>0</v>
      </c>
      <c r="K408" s="40"/>
      <c r="L408" s="40"/>
      <c r="M408" s="40"/>
      <c r="N408" s="40"/>
      <c r="O408" s="40"/>
      <c r="P408" s="40"/>
      <c r="Q408" s="40"/>
      <c r="R408" s="40"/>
      <c r="S408" s="40"/>
      <c r="T408" s="40"/>
    </row>
    <row r="409" spans="1:20" ht="15.75">
      <c r="A409" s="13">
        <v>53600</v>
      </c>
      <c r="B409" s="48">
        <v>30</v>
      </c>
      <c r="C409" s="39">
        <v>194.20500000000001</v>
      </c>
      <c r="D409" s="39">
        <v>267.46600000000001</v>
      </c>
      <c r="E409" s="45">
        <v>812.32899999999995</v>
      </c>
      <c r="F409" s="39">
        <v>1274</v>
      </c>
      <c r="G409" s="39">
        <v>50</v>
      </c>
      <c r="H409" s="47">
        <v>600</v>
      </c>
      <c r="I409" s="39">
        <v>695</v>
      </c>
      <c r="J409" s="39">
        <v>0</v>
      </c>
      <c r="K409" s="40"/>
      <c r="L409" s="40"/>
      <c r="M409" s="40"/>
      <c r="N409" s="40"/>
      <c r="O409" s="40"/>
      <c r="P409" s="40"/>
      <c r="Q409" s="40"/>
      <c r="R409" s="40"/>
      <c r="S409" s="40"/>
      <c r="T409" s="40"/>
    </row>
    <row r="410" spans="1:20" ht="15.75">
      <c r="A410" s="13">
        <v>53631</v>
      </c>
      <c r="B410" s="48">
        <v>31</v>
      </c>
      <c r="C410" s="39">
        <v>131.881</v>
      </c>
      <c r="D410" s="39">
        <v>277.16699999999997</v>
      </c>
      <c r="E410" s="45">
        <v>829.952</v>
      </c>
      <c r="F410" s="39">
        <v>1239</v>
      </c>
      <c r="G410" s="39">
        <v>75</v>
      </c>
      <c r="H410" s="47">
        <v>600</v>
      </c>
      <c r="I410" s="39">
        <v>695</v>
      </c>
      <c r="J410" s="39">
        <v>0</v>
      </c>
      <c r="K410" s="40"/>
      <c r="L410" s="40"/>
      <c r="M410" s="40"/>
      <c r="N410" s="40"/>
      <c r="O410" s="40"/>
      <c r="P410" s="40"/>
      <c r="Q410" s="40"/>
      <c r="R410" s="40"/>
      <c r="S410" s="40"/>
      <c r="T410" s="40"/>
    </row>
    <row r="411" spans="1:20" ht="15.75">
      <c r="A411" s="13">
        <v>53661</v>
      </c>
      <c r="B411" s="48">
        <v>30</v>
      </c>
      <c r="C411" s="39">
        <v>122.58</v>
      </c>
      <c r="D411" s="39">
        <v>297.94099999999997</v>
      </c>
      <c r="E411" s="45">
        <v>729.47900000000004</v>
      </c>
      <c r="F411" s="39">
        <v>1150</v>
      </c>
      <c r="G411" s="39">
        <v>100</v>
      </c>
      <c r="H411" s="47">
        <v>600</v>
      </c>
      <c r="I411" s="39">
        <v>695</v>
      </c>
      <c r="J411" s="39">
        <v>50</v>
      </c>
      <c r="K411" s="40"/>
      <c r="L411" s="40"/>
      <c r="M411" s="40"/>
      <c r="N411" s="40"/>
      <c r="O411" s="40"/>
      <c r="P411" s="40"/>
      <c r="Q411" s="40"/>
      <c r="R411" s="40"/>
      <c r="S411" s="40"/>
      <c r="T411" s="40"/>
    </row>
    <row r="412" spans="1:20" ht="15.75">
      <c r="A412" s="13">
        <v>53692</v>
      </c>
      <c r="B412" s="48">
        <v>31</v>
      </c>
      <c r="C412" s="39">
        <v>122.58</v>
      </c>
      <c r="D412" s="39">
        <v>297.94099999999997</v>
      </c>
      <c r="E412" s="45">
        <v>729.47900000000004</v>
      </c>
      <c r="F412" s="39">
        <v>1150</v>
      </c>
      <c r="G412" s="39">
        <v>100</v>
      </c>
      <c r="H412" s="47">
        <v>600</v>
      </c>
      <c r="I412" s="39">
        <v>695</v>
      </c>
      <c r="J412" s="39">
        <v>50</v>
      </c>
      <c r="K412" s="40"/>
      <c r="L412" s="40"/>
      <c r="M412" s="40"/>
      <c r="N412" s="40"/>
      <c r="O412" s="40"/>
      <c r="P412" s="40"/>
      <c r="Q412" s="40"/>
      <c r="R412" s="40"/>
      <c r="S412" s="40"/>
      <c r="T412" s="40"/>
    </row>
    <row r="413" spans="1:20" ht="15.75">
      <c r="A413" s="13">
        <v>53723</v>
      </c>
      <c r="B413" s="48">
        <v>31</v>
      </c>
      <c r="C413" s="39">
        <v>122.58</v>
      </c>
      <c r="D413" s="39">
        <v>297.94099999999997</v>
      </c>
      <c r="E413" s="45">
        <v>729.47900000000004</v>
      </c>
      <c r="F413" s="39">
        <v>1150</v>
      </c>
      <c r="G413" s="39">
        <v>100</v>
      </c>
      <c r="H413" s="47">
        <v>600</v>
      </c>
      <c r="I413" s="39">
        <v>695</v>
      </c>
      <c r="J413" s="39">
        <v>50</v>
      </c>
      <c r="K413" s="40"/>
      <c r="L413" s="40"/>
      <c r="M413" s="40"/>
      <c r="N413" s="40"/>
      <c r="O413" s="40"/>
      <c r="P413" s="40"/>
      <c r="Q413" s="40"/>
      <c r="R413" s="40"/>
      <c r="S413" s="40"/>
      <c r="T413" s="40"/>
    </row>
    <row r="414" spans="1:20" ht="15.75">
      <c r="A414" s="13">
        <v>53751</v>
      </c>
      <c r="B414" s="48">
        <v>28</v>
      </c>
      <c r="C414" s="39">
        <v>122.58</v>
      </c>
      <c r="D414" s="39">
        <v>297.94099999999997</v>
      </c>
      <c r="E414" s="45">
        <v>729.47900000000004</v>
      </c>
      <c r="F414" s="39">
        <v>1150</v>
      </c>
      <c r="G414" s="39">
        <v>100</v>
      </c>
      <c r="H414" s="47">
        <v>600</v>
      </c>
      <c r="I414" s="39">
        <v>695</v>
      </c>
      <c r="J414" s="39">
        <v>50</v>
      </c>
      <c r="K414" s="40"/>
      <c r="L414" s="40"/>
      <c r="M414" s="40"/>
      <c r="N414" s="40"/>
      <c r="O414" s="40"/>
      <c r="P414" s="40"/>
      <c r="Q414" s="40"/>
      <c r="R414" s="40"/>
      <c r="S414" s="40"/>
      <c r="T414" s="40"/>
    </row>
    <row r="415" spans="1:20" ht="15.75">
      <c r="A415" s="13">
        <v>53782</v>
      </c>
      <c r="B415" s="48">
        <v>31</v>
      </c>
      <c r="C415" s="39">
        <v>122.58</v>
      </c>
      <c r="D415" s="39">
        <v>297.94099999999997</v>
      </c>
      <c r="E415" s="45">
        <v>729.47900000000004</v>
      </c>
      <c r="F415" s="39">
        <v>1150</v>
      </c>
      <c r="G415" s="39">
        <v>100</v>
      </c>
      <c r="H415" s="47">
        <v>600</v>
      </c>
      <c r="I415" s="39">
        <v>695</v>
      </c>
      <c r="J415" s="39">
        <v>50</v>
      </c>
      <c r="K415" s="40"/>
      <c r="L415" s="40"/>
      <c r="M415" s="40"/>
      <c r="N415" s="40"/>
      <c r="O415" s="40"/>
      <c r="P415" s="40"/>
      <c r="Q415" s="40"/>
      <c r="R415" s="40"/>
      <c r="S415" s="40"/>
      <c r="T415" s="40"/>
    </row>
    <row r="416" spans="1:20" ht="15.75">
      <c r="A416" s="13">
        <v>53812</v>
      </c>
      <c r="B416" s="48">
        <v>30</v>
      </c>
      <c r="C416" s="39">
        <v>141.29300000000001</v>
      </c>
      <c r="D416" s="39">
        <v>267.99299999999999</v>
      </c>
      <c r="E416" s="45">
        <v>829.71400000000006</v>
      </c>
      <c r="F416" s="39">
        <v>1239</v>
      </c>
      <c r="G416" s="39">
        <v>100</v>
      </c>
      <c r="H416" s="47">
        <v>600</v>
      </c>
      <c r="I416" s="39">
        <v>695</v>
      </c>
      <c r="J416" s="39">
        <v>50</v>
      </c>
      <c r="K416" s="40"/>
      <c r="L416" s="40"/>
      <c r="M416" s="40"/>
      <c r="N416" s="40"/>
      <c r="O416" s="40"/>
      <c r="P416" s="40"/>
      <c r="Q416" s="40"/>
      <c r="R416" s="40"/>
      <c r="S416" s="40"/>
      <c r="T416" s="40"/>
    </row>
    <row r="417" spans="1:20" ht="15.75">
      <c r="A417" s="13">
        <v>53843</v>
      </c>
      <c r="B417" s="48">
        <v>31</v>
      </c>
      <c r="C417" s="39">
        <v>194.20500000000001</v>
      </c>
      <c r="D417" s="39">
        <v>267.46600000000001</v>
      </c>
      <c r="E417" s="45">
        <v>812.32899999999995</v>
      </c>
      <c r="F417" s="39">
        <v>1274</v>
      </c>
      <c r="G417" s="39">
        <v>75</v>
      </c>
      <c r="H417" s="47">
        <v>600</v>
      </c>
      <c r="I417" s="39">
        <v>695</v>
      </c>
      <c r="J417" s="39">
        <v>50</v>
      </c>
      <c r="K417" s="40"/>
      <c r="L417" s="40"/>
      <c r="M417" s="40"/>
      <c r="N417" s="40"/>
      <c r="O417" s="40"/>
      <c r="P417" s="40"/>
      <c r="Q417" s="40"/>
      <c r="R417" s="40"/>
      <c r="S417" s="40"/>
      <c r="T417" s="40"/>
    </row>
    <row r="418" spans="1:20" ht="15.75">
      <c r="A418" s="13">
        <v>53873</v>
      </c>
      <c r="B418" s="48">
        <v>30</v>
      </c>
      <c r="C418" s="39">
        <v>194.20500000000001</v>
      </c>
      <c r="D418" s="39">
        <v>267.46600000000001</v>
      </c>
      <c r="E418" s="45">
        <v>812.32899999999995</v>
      </c>
      <c r="F418" s="39">
        <v>1274</v>
      </c>
      <c r="G418" s="39">
        <v>50</v>
      </c>
      <c r="H418" s="47">
        <v>600</v>
      </c>
      <c r="I418" s="39">
        <v>695</v>
      </c>
      <c r="J418" s="39">
        <v>50</v>
      </c>
      <c r="K418" s="40"/>
      <c r="L418" s="40"/>
      <c r="M418" s="40"/>
      <c r="N418" s="40"/>
      <c r="O418" s="40"/>
      <c r="P418" s="40"/>
      <c r="Q418" s="40"/>
      <c r="R418" s="40"/>
      <c r="S418" s="40"/>
      <c r="T418" s="40"/>
    </row>
    <row r="419" spans="1:20" ht="15.75">
      <c r="A419" s="13">
        <v>53904</v>
      </c>
      <c r="B419" s="48">
        <v>31</v>
      </c>
      <c r="C419" s="39">
        <v>194.20500000000001</v>
      </c>
      <c r="D419" s="39">
        <v>267.46600000000001</v>
      </c>
      <c r="E419" s="45">
        <v>812.32899999999995</v>
      </c>
      <c r="F419" s="39">
        <v>1274</v>
      </c>
      <c r="G419" s="39">
        <v>50</v>
      </c>
      <c r="H419" s="47">
        <v>600</v>
      </c>
      <c r="I419" s="39">
        <v>695</v>
      </c>
      <c r="J419" s="39">
        <v>0</v>
      </c>
      <c r="K419" s="40"/>
      <c r="L419" s="40"/>
      <c r="M419" s="40"/>
      <c r="N419" s="40"/>
      <c r="O419" s="40"/>
      <c r="P419" s="40"/>
      <c r="Q419" s="40"/>
      <c r="R419" s="40"/>
      <c r="S419" s="40"/>
      <c r="T419" s="40"/>
    </row>
    <row r="420" spans="1:20" ht="15.75">
      <c r="A420" s="13">
        <v>53935</v>
      </c>
      <c r="B420" s="48">
        <v>31</v>
      </c>
      <c r="C420" s="39">
        <v>194.20500000000001</v>
      </c>
      <c r="D420" s="39">
        <v>267.46600000000001</v>
      </c>
      <c r="E420" s="45">
        <v>812.32899999999995</v>
      </c>
      <c r="F420" s="39">
        <v>1274</v>
      </c>
      <c r="G420" s="39">
        <v>50</v>
      </c>
      <c r="H420" s="47">
        <v>600</v>
      </c>
      <c r="I420" s="39">
        <v>695</v>
      </c>
      <c r="J420" s="39">
        <v>0</v>
      </c>
      <c r="K420" s="40"/>
      <c r="L420" s="40"/>
      <c r="M420" s="40"/>
      <c r="N420" s="40"/>
      <c r="O420" s="40"/>
      <c r="P420" s="40"/>
      <c r="Q420" s="40"/>
      <c r="R420" s="40"/>
      <c r="S420" s="40"/>
      <c r="T420" s="40"/>
    </row>
    <row r="421" spans="1:20" ht="15.75">
      <c r="A421" s="13">
        <v>53965</v>
      </c>
      <c r="B421" s="48">
        <v>30</v>
      </c>
      <c r="C421" s="39">
        <v>194.20500000000001</v>
      </c>
      <c r="D421" s="39">
        <v>267.46600000000001</v>
      </c>
      <c r="E421" s="45">
        <v>812.32899999999995</v>
      </c>
      <c r="F421" s="39">
        <v>1274</v>
      </c>
      <c r="G421" s="39">
        <v>50</v>
      </c>
      <c r="H421" s="47">
        <v>600</v>
      </c>
      <c r="I421" s="39">
        <v>695</v>
      </c>
      <c r="J421" s="39">
        <v>0</v>
      </c>
      <c r="K421" s="40"/>
      <c r="L421" s="40"/>
      <c r="M421" s="40"/>
      <c r="N421" s="40"/>
      <c r="O421" s="40"/>
      <c r="P421" s="40"/>
      <c r="Q421" s="40"/>
      <c r="R421" s="40"/>
      <c r="S421" s="40"/>
      <c r="T421" s="40"/>
    </row>
    <row r="422" spans="1:20" ht="15.75">
      <c r="A422" s="13">
        <v>53996</v>
      </c>
      <c r="B422" s="48">
        <v>31</v>
      </c>
      <c r="C422" s="39">
        <v>131.881</v>
      </c>
      <c r="D422" s="39">
        <v>277.16699999999997</v>
      </c>
      <c r="E422" s="45">
        <v>829.952</v>
      </c>
      <c r="F422" s="39">
        <v>1239</v>
      </c>
      <c r="G422" s="39">
        <v>75</v>
      </c>
      <c r="H422" s="47">
        <v>600</v>
      </c>
      <c r="I422" s="39">
        <v>695</v>
      </c>
      <c r="J422" s="39">
        <v>0</v>
      </c>
      <c r="K422" s="40"/>
      <c r="L422" s="40"/>
      <c r="M422" s="40"/>
      <c r="N422" s="40"/>
      <c r="O422" s="40"/>
      <c r="P422" s="40"/>
      <c r="Q422" s="40"/>
      <c r="R422" s="40"/>
      <c r="S422" s="40"/>
      <c r="T422" s="40"/>
    </row>
    <row r="423" spans="1:20" ht="15.75">
      <c r="A423" s="13">
        <v>54026</v>
      </c>
      <c r="B423" s="48">
        <v>30</v>
      </c>
      <c r="C423" s="39">
        <v>122.58</v>
      </c>
      <c r="D423" s="39">
        <v>297.94099999999997</v>
      </c>
      <c r="E423" s="45">
        <v>729.47900000000004</v>
      </c>
      <c r="F423" s="39">
        <v>1150</v>
      </c>
      <c r="G423" s="39">
        <v>100</v>
      </c>
      <c r="H423" s="47">
        <v>600</v>
      </c>
      <c r="I423" s="39">
        <v>695</v>
      </c>
      <c r="J423" s="39">
        <v>50</v>
      </c>
      <c r="K423" s="40"/>
      <c r="L423" s="40"/>
      <c r="M423" s="40"/>
      <c r="N423" s="40"/>
      <c r="O423" s="40"/>
      <c r="P423" s="40"/>
      <c r="Q423" s="40"/>
      <c r="R423" s="40"/>
      <c r="S423" s="40"/>
      <c r="T423" s="40"/>
    </row>
    <row r="424" spans="1:20" ht="15.75">
      <c r="A424" s="13">
        <v>54057</v>
      </c>
      <c r="B424" s="48">
        <v>31</v>
      </c>
      <c r="C424" s="39">
        <v>122.58</v>
      </c>
      <c r="D424" s="39">
        <v>297.94099999999997</v>
      </c>
      <c r="E424" s="45">
        <v>729.47900000000004</v>
      </c>
      <c r="F424" s="39">
        <v>1150</v>
      </c>
      <c r="G424" s="39">
        <v>100</v>
      </c>
      <c r="H424" s="47">
        <v>600</v>
      </c>
      <c r="I424" s="39">
        <v>695</v>
      </c>
      <c r="J424" s="39">
        <v>50</v>
      </c>
      <c r="K424" s="40"/>
      <c r="L424" s="40"/>
      <c r="M424" s="40"/>
      <c r="N424" s="40"/>
      <c r="O424" s="40"/>
      <c r="P424" s="40"/>
      <c r="Q424" s="40"/>
      <c r="R424" s="40"/>
      <c r="S424" s="40"/>
      <c r="T424" s="40"/>
    </row>
    <row r="425" spans="1:20" ht="15.75">
      <c r="A425" s="13">
        <v>54088</v>
      </c>
      <c r="B425" s="48">
        <v>31</v>
      </c>
      <c r="C425" s="39">
        <v>122.58</v>
      </c>
      <c r="D425" s="39">
        <v>297.94099999999997</v>
      </c>
      <c r="E425" s="45">
        <v>729.47900000000004</v>
      </c>
      <c r="F425" s="39">
        <v>1150</v>
      </c>
      <c r="G425" s="39">
        <v>100</v>
      </c>
      <c r="H425" s="47">
        <v>600</v>
      </c>
      <c r="I425" s="39">
        <v>695</v>
      </c>
      <c r="J425" s="39">
        <v>50</v>
      </c>
      <c r="K425" s="40"/>
      <c r="L425" s="40"/>
      <c r="M425" s="40"/>
      <c r="N425" s="40"/>
      <c r="O425" s="40"/>
      <c r="P425" s="40"/>
      <c r="Q425" s="40"/>
      <c r="R425" s="40"/>
      <c r="S425" s="40"/>
      <c r="T425" s="40"/>
    </row>
    <row r="426" spans="1:20" ht="15.75">
      <c r="A426" s="13">
        <v>54116</v>
      </c>
      <c r="B426" s="48">
        <v>29</v>
      </c>
      <c r="C426" s="39">
        <v>122.58</v>
      </c>
      <c r="D426" s="39">
        <v>297.94099999999997</v>
      </c>
      <c r="E426" s="45">
        <v>729.47900000000004</v>
      </c>
      <c r="F426" s="39">
        <v>1150</v>
      </c>
      <c r="G426" s="39">
        <v>100</v>
      </c>
      <c r="H426" s="47">
        <v>600</v>
      </c>
      <c r="I426" s="39">
        <v>695</v>
      </c>
      <c r="J426" s="39">
        <v>50</v>
      </c>
      <c r="K426" s="40"/>
      <c r="L426" s="40"/>
      <c r="M426" s="40"/>
      <c r="N426" s="40"/>
      <c r="O426" s="40"/>
      <c r="P426" s="40"/>
      <c r="Q426" s="40"/>
      <c r="R426" s="40"/>
      <c r="S426" s="40"/>
      <c r="T426" s="40"/>
    </row>
    <row r="427" spans="1:20" ht="15.75">
      <c r="A427" s="13">
        <v>54148</v>
      </c>
      <c r="B427" s="48">
        <v>31</v>
      </c>
      <c r="C427" s="39">
        <v>122.58</v>
      </c>
      <c r="D427" s="39">
        <v>297.94099999999997</v>
      </c>
      <c r="E427" s="45">
        <v>729.47900000000004</v>
      </c>
      <c r="F427" s="39">
        <v>1150</v>
      </c>
      <c r="G427" s="39">
        <v>100</v>
      </c>
      <c r="H427" s="47">
        <v>600</v>
      </c>
      <c r="I427" s="39">
        <v>695</v>
      </c>
      <c r="J427" s="39">
        <v>50</v>
      </c>
      <c r="K427" s="40"/>
      <c r="L427" s="40"/>
      <c r="M427" s="40"/>
      <c r="N427" s="40"/>
      <c r="O427" s="40"/>
      <c r="P427" s="40"/>
      <c r="Q427" s="40"/>
      <c r="R427" s="40"/>
      <c r="S427" s="40"/>
      <c r="T427" s="40"/>
    </row>
    <row r="428" spans="1:20" ht="15.75">
      <c r="A428" s="13">
        <v>54178</v>
      </c>
      <c r="B428" s="48">
        <v>30</v>
      </c>
      <c r="C428" s="39">
        <v>141.29300000000001</v>
      </c>
      <c r="D428" s="39">
        <v>267.99299999999999</v>
      </c>
      <c r="E428" s="45">
        <v>829.71400000000006</v>
      </c>
      <c r="F428" s="39">
        <v>1239</v>
      </c>
      <c r="G428" s="39">
        <v>100</v>
      </c>
      <c r="H428" s="47">
        <v>600</v>
      </c>
      <c r="I428" s="39">
        <v>695</v>
      </c>
      <c r="J428" s="39">
        <v>50</v>
      </c>
      <c r="K428" s="40"/>
      <c r="L428" s="40"/>
      <c r="M428" s="40"/>
      <c r="N428" s="40"/>
      <c r="O428" s="40"/>
      <c r="P428" s="40"/>
      <c r="Q428" s="40"/>
      <c r="R428" s="40"/>
      <c r="S428" s="40"/>
      <c r="T428" s="40"/>
    </row>
    <row r="429" spans="1:20" ht="15.75">
      <c r="A429" s="13">
        <v>54209</v>
      </c>
      <c r="B429" s="48">
        <v>31</v>
      </c>
      <c r="C429" s="39">
        <v>194.20500000000001</v>
      </c>
      <c r="D429" s="39">
        <v>267.46600000000001</v>
      </c>
      <c r="E429" s="45">
        <v>812.32899999999995</v>
      </c>
      <c r="F429" s="39">
        <v>1274</v>
      </c>
      <c r="G429" s="39">
        <v>75</v>
      </c>
      <c r="H429" s="47">
        <v>600</v>
      </c>
      <c r="I429" s="39">
        <v>695</v>
      </c>
      <c r="J429" s="39">
        <v>50</v>
      </c>
      <c r="K429" s="40"/>
      <c r="L429" s="40"/>
      <c r="M429" s="40"/>
      <c r="N429" s="40"/>
      <c r="O429" s="40"/>
      <c r="P429" s="40"/>
      <c r="Q429" s="40"/>
      <c r="R429" s="40"/>
      <c r="S429" s="40"/>
      <c r="T429" s="40"/>
    </row>
    <row r="430" spans="1:20" ht="15.75">
      <c r="A430" s="13">
        <v>54239</v>
      </c>
      <c r="B430" s="48">
        <v>30</v>
      </c>
      <c r="C430" s="39">
        <v>194.20500000000001</v>
      </c>
      <c r="D430" s="39">
        <v>267.46600000000001</v>
      </c>
      <c r="E430" s="45">
        <v>812.32899999999995</v>
      </c>
      <c r="F430" s="39">
        <v>1274</v>
      </c>
      <c r="G430" s="39">
        <v>50</v>
      </c>
      <c r="H430" s="47">
        <v>600</v>
      </c>
      <c r="I430" s="39">
        <v>695</v>
      </c>
      <c r="J430" s="39">
        <v>50</v>
      </c>
      <c r="K430" s="40"/>
      <c r="L430" s="40"/>
      <c r="M430" s="40"/>
      <c r="N430" s="40"/>
      <c r="O430" s="40"/>
      <c r="P430" s="40"/>
      <c r="Q430" s="40"/>
      <c r="R430" s="40"/>
      <c r="S430" s="40"/>
      <c r="T430" s="40"/>
    </row>
    <row r="431" spans="1:20" ht="15.75">
      <c r="A431" s="13">
        <v>54270</v>
      </c>
      <c r="B431" s="48">
        <v>31</v>
      </c>
      <c r="C431" s="39">
        <v>194.20500000000001</v>
      </c>
      <c r="D431" s="39">
        <v>267.46600000000001</v>
      </c>
      <c r="E431" s="45">
        <v>812.32899999999995</v>
      </c>
      <c r="F431" s="39">
        <v>1274</v>
      </c>
      <c r="G431" s="39">
        <v>50</v>
      </c>
      <c r="H431" s="47">
        <v>600</v>
      </c>
      <c r="I431" s="39">
        <v>695</v>
      </c>
      <c r="J431" s="39">
        <v>0</v>
      </c>
      <c r="K431" s="40"/>
      <c r="L431" s="40"/>
      <c r="M431" s="40"/>
      <c r="N431" s="40"/>
      <c r="O431" s="40"/>
      <c r="P431" s="40"/>
      <c r="Q431" s="40"/>
      <c r="R431" s="40"/>
      <c r="S431" s="40"/>
      <c r="T431" s="40"/>
    </row>
    <row r="432" spans="1:20" ht="15.75">
      <c r="A432" s="13">
        <v>54301</v>
      </c>
      <c r="B432" s="48">
        <v>31</v>
      </c>
      <c r="C432" s="39">
        <v>194.20500000000001</v>
      </c>
      <c r="D432" s="39">
        <v>267.46600000000001</v>
      </c>
      <c r="E432" s="45">
        <v>812.32899999999995</v>
      </c>
      <c r="F432" s="39">
        <v>1274</v>
      </c>
      <c r="G432" s="39">
        <v>50</v>
      </c>
      <c r="H432" s="47">
        <v>600</v>
      </c>
      <c r="I432" s="39">
        <v>695</v>
      </c>
      <c r="J432" s="39">
        <v>0</v>
      </c>
      <c r="K432" s="40"/>
      <c r="L432" s="40"/>
      <c r="M432" s="40"/>
      <c r="N432" s="40"/>
      <c r="O432" s="40"/>
      <c r="P432" s="40"/>
      <c r="Q432" s="40"/>
      <c r="R432" s="40"/>
      <c r="S432" s="40"/>
      <c r="T432" s="40"/>
    </row>
    <row r="433" spans="1:20" ht="15.75">
      <c r="A433" s="13">
        <v>54331</v>
      </c>
      <c r="B433" s="48">
        <v>30</v>
      </c>
      <c r="C433" s="39">
        <v>194.20500000000001</v>
      </c>
      <c r="D433" s="39">
        <v>267.46600000000001</v>
      </c>
      <c r="E433" s="45">
        <v>812.32899999999995</v>
      </c>
      <c r="F433" s="39">
        <v>1274</v>
      </c>
      <c r="G433" s="39">
        <v>50</v>
      </c>
      <c r="H433" s="47">
        <v>600</v>
      </c>
      <c r="I433" s="39">
        <v>695</v>
      </c>
      <c r="J433" s="39">
        <v>0</v>
      </c>
      <c r="K433" s="40"/>
      <c r="L433" s="40"/>
      <c r="M433" s="40"/>
      <c r="N433" s="40"/>
      <c r="O433" s="40"/>
      <c r="P433" s="40"/>
      <c r="Q433" s="40"/>
      <c r="R433" s="40"/>
      <c r="S433" s="40"/>
      <c r="T433" s="40"/>
    </row>
    <row r="434" spans="1:20" ht="15.75">
      <c r="A434" s="13">
        <v>54362</v>
      </c>
      <c r="B434" s="48">
        <v>31</v>
      </c>
      <c r="C434" s="39">
        <v>131.881</v>
      </c>
      <c r="D434" s="39">
        <v>277.16699999999997</v>
      </c>
      <c r="E434" s="45">
        <v>829.952</v>
      </c>
      <c r="F434" s="39">
        <v>1239</v>
      </c>
      <c r="G434" s="39">
        <v>75</v>
      </c>
      <c r="H434" s="47">
        <v>600</v>
      </c>
      <c r="I434" s="39">
        <v>695</v>
      </c>
      <c r="J434" s="39">
        <v>0</v>
      </c>
      <c r="K434" s="40"/>
      <c r="L434" s="40"/>
      <c r="M434" s="40"/>
      <c r="N434" s="40"/>
      <c r="O434" s="40"/>
      <c r="P434" s="40"/>
      <c r="Q434" s="40"/>
      <c r="R434" s="40"/>
      <c r="S434" s="40"/>
      <c r="T434" s="40"/>
    </row>
    <row r="435" spans="1:20" ht="15.75">
      <c r="A435" s="13">
        <v>54392</v>
      </c>
      <c r="B435" s="48">
        <v>30</v>
      </c>
      <c r="C435" s="39">
        <v>122.58</v>
      </c>
      <c r="D435" s="39">
        <v>297.94099999999997</v>
      </c>
      <c r="E435" s="45">
        <v>729.47900000000004</v>
      </c>
      <c r="F435" s="39">
        <v>1150</v>
      </c>
      <c r="G435" s="39">
        <v>100</v>
      </c>
      <c r="H435" s="47">
        <v>600</v>
      </c>
      <c r="I435" s="39">
        <v>695</v>
      </c>
      <c r="J435" s="39">
        <v>50</v>
      </c>
      <c r="K435" s="40"/>
      <c r="L435" s="40"/>
      <c r="M435" s="40"/>
      <c r="N435" s="40"/>
      <c r="O435" s="40"/>
      <c r="P435" s="40"/>
      <c r="Q435" s="40"/>
      <c r="R435" s="40"/>
      <c r="S435" s="40"/>
      <c r="T435" s="40"/>
    </row>
    <row r="436" spans="1:20" ht="15.75">
      <c r="A436" s="13">
        <v>54423</v>
      </c>
      <c r="B436" s="48">
        <v>31</v>
      </c>
      <c r="C436" s="39">
        <v>122.58</v>
      </c>
      <c r="D436" s="39">
        <v>297.94099999999997</v>
      </c>
      <c r="E436" s="45">
        <v>729.47900000000004</v>
      </c>
      <c r="F436" s="39">
        <v>1150</v>
      </c>
      <c r="G436" s="39">
        <v>100</v>
      </c>
      <c r="H436" s="47">
        <v>600</v>
      </c>
      <c r="I436" s="39">
        <v>695</v>
      </c>
      <c r="J436" s="39">
        <v>50</v>
      </c>
      <c r="K436" s="40"/>
      <c r="L436" s="40"/>
      <c r="M436" s="40"/>
      <c r="N436" s="40"/>
      <c r="O436" s="40"/>
      <c r="P436" s="40"/>
      <c r="Q436" s="40"/>
      <c r="R436" s="40"/>
      <c r="S436" s="40"/>
      <c r="T436" s="40"/>
    </row>
    <row r="437" spans="1:20" ht="15.75">
      <c r="A437" s="13">
        <v>54454</v>
      </c>
      <c r="B437" s="48">
        <v>31</v>
      </c>
      <c r="C437" s="39">
        <v>122.58</v>
      </c>
      <c r="D437" s="39">
        <v>297.94099999999997</v>
      </c>
      <c r="E437" s="45">
        <v>729.47900000000004</v>
      </c>
      <c r="F437" s="39">
        <v>1150</v>
      </c>
      <c r="G437" s="39">
        <v>100</v>
      </c>
      <c r="H437" s="47">
        <v>600</v>
      </c>
      <c r="I437" s="39">
        <v>695</v>
      </c>
      <c r="J437" s="39">
        <v>50</v>
      </c>
      <c r="K437" s="40"/>
      <c r="L437" s="40"/>
      <c r="M437" s="40"/>
      <c r="N437" s="40"/>
      <c r="O437" s="40"/>
      <c r="P437" s="40"/>
      <c r="Q437" s="40"/>
      <c r="R437" s="40"/>
      <c r="S437" s="40"/>
      <c r="T437" s="40"/>
    </row>
    <row r="438" spans="1:20" ht="15.75">
      <c r="A438" s="13">
        <v>54482</v>
      </c>
      <c r="B438" s="48">
        <v>28</v>
      </c>
      <c r="C438" s="39">
        <v>122.58</v>
      </c>
      <c r="D438" s="39">
        <v>297.94099999999997</v>
      </c>
      <c r="E438" s="45">
        <v>729.47900000000004</v>
      </c>
      <c r="F438" s="39">
        <v>1150</v>
      </c>
      <c r="G438" s="39">
        <v>100</v>
      </c>
      <c r="H438" s="47">
        <v>600</v>
      </c>
      <c r="I438" s="39">
        <v>695</v>
      </c>
      <c r="J438" s="39">
        <v>50</v>
      </c>
      <c r="K438" s="40"/>
      <c r="L438" s="40"/>
      <c r="M438" s="40"/>
      <c r="N438" s="40"/>
      <c r="O438" s="40"/>
      <c r="P438" s="40"/>
      <c r="Q438" s="40"/>
      <c r="R438" s="40"/>
      <c r="S438" s="40"/>
      <c r="T438" s="40"/>
    </row>
    <row r="439" spans="1:20" ht="15.75">
      <c r="A439" s="13">
        <v>54513</v>
      </c>
      <c r="B439" s="48">
        <v>31</v>
      </c>
      <c r="C439" s="39">
        <v>122.58</v>
      </c>
      <c r="D439" s="39">
        <v>297.94099999999997</v>
      </c>
      <c r="E439" s="45">
        <v>729.47900000000004</v>
      </c>
      <c r="F439" s="39">
        <v>1150</v>
      </c>
      <c r="G439" s="39">
        <v>100</v>
      </c>
      <c r="H439" s="47">
        <v>600</v>
      </c>
      <c r="I439" s="39">
        <v>695</v>
      </c>
      <c r="J439" s="39">
        <v>50</v>
      </c>
      <c r="K439" s="40"/>
      <c r="L439" s="40"/>
      <c r="M439" s="40"/>
      <c r="N439" s="40"/>
      <c r="O439" s="40"/>
      <c r="P439" s="40"/>
      <c r="Q439" s="40"/>
      <c r="R439" s="40"/>
      <c r="S439" s="40"/>
      <c r="T439" s="40"/>
    </row>
    <row r="440" spans="1:20" ht="15.75">
      <c r="A440" s="13">
        <v>54543</v>
      </c>
      <c r="B440" s="48">
        <v>30</v>
      </c>
      <c r="C440" s="39">
        <v>141.29300000000001</v>
      </c>
      <c r="D440" s="39">
        <v>267.99299999999999</v>
      </c>
      <c r="E440" s="45">
        <v>829.71400000000006</v>
      </c>
      <c r="F440" s="39">
        <v>1239</v>
      </c>
      <c r="G440" s="39">
        <v>100</v>
      </c>
      <c r="H440" s="47">
        <v>600</v>
      </c>
      <c r="I440" s="39">
        <v>695</v>
      </c>
      <c r="J440" s="39">
        <v>50</v>
      </c>
      <c r="K440" s="40"/>
      <c r="L440" s="40"/>
      <c r="M440" s="40"/>
      <c r="N440" s="40"/>
      <c r="O440" s="40"/>
      <c r="P440" s="40"/>
      <c r="Q440" s="40"/>
      <c r="R440" s="40"/>
      <c r="S440" s="40"/>
      <c r="T440" s="40"/>
    </row>
    <row r="441" spans="1:20" ht="15.75">
      <c r="A441" s="13">
        <v>54574</v>
      </c>
      <c r="B441" s="48">
        <v>31</v>
      </c>
      <c r="C441" s="39">
        <v>194.20500000000001</v>
      </c>
      <c r="D441" s="39">
        <v>267.46600000000001</v>
      </c>
      <c r="E441" s="45">
        <v>812.32899999999995</v>
      </c>
      <c r="F441" s="39">
        <v>1274</v>
      </c>
      <c r="G441" s="39">
        <v>75</v>
      </c>
      <c r="H441" s="47">
        <v>600</v>
      </c>
      <c r="I441" s="39">
        <v>695</v>
      </c>
      <c r="J441" s="39">
        <v>50</v>
      </c>
      <c r="K441" s="40"/>
      <c r="L441" s="40"/>
      <c r="M441" s="40"/>
      <c r="N441" s="40"/>
      <c r="O441" s="40"/>
      <c r="P441" s="40"/>
      <c r="Q441" s="40"/>
      <c r="R441" s="40"/>
      <c r="S441" s="40"/>
      <c r="T441" s="40"/>
    </row>
    <row r="442" spans="1:20" ht="15.75">
      <c r="A442" s="13">
        <v>54604</v>
      </c>
      <c r="B442" s="48">
        <v>30</v>
      </c>
      <c r="C442" s="39">
        <v>194.20500000000001</v>
      </c>
      <c r="D442" s="39">
        <v>267.46600000000001</v>
      </c>
      <c r="E442" s="45">
        <v>812.32899999999995</v>
      </c>
      <c r="F442" s="39">
        <v>1274</v>
      </c>
      <c r="G442" s="39">
        <v>50</v>
      </c>
      <c r="H442" s="47">
        <v>600</v>
      </c>
      <c r="I442" s="39">
        <v>695</v>
      </c>
      <c r="J442" s="39">
        <v>50</v>
      </c>
      <c r="K442" s="40"/>
      <c r="L442" s="40"/>
      <c r="M442" s="40"/>
      <c r="N442" s="40"/>
      <c r="O442" s="40"/>
      <c r="P442" s="40"/>
      <c r="Q442" s="40"/>
      <c r="R442" s="40"/>
      <c r="S442" s="40"/>
      <c r="T442" s="40"/>
    </row>
    <row r="443" spans="1:20" ht="15.75">
      <c r="A443" s="13">
        <v>54635</v>
      </c>
      <c r="B443" s="48">
        <v>31</v>
      </c>
      <c r="C443" s="39">
        <v>194.20500000000001</v>
      </c>
      <c r="D443" s="39">
        <v>267.46600000000001</v>
      </c>
      <c r="E443" s="45">
        <v>812.32899999999995</v>
      </c>
      <c r="F443" s="39">
        <v>1274</v>
      </c>
      <c r="G443" s="39">
        <v>50</v>
      </c>
      <c r="H443" s="47">
        <v>600</v>
      </c>
      <c r="I443" s="39">
        <v>695</v>
      </c>
      <c r="J443" s="39">
        <v>0</v>
      </c>
      <c r="K443" s="40"/>
      <c r="L443" s="40"/>
      <c r="M443" s="40"/>
      <c r="N443" s="40"/>
      <c r="O443" s="40"/>
      <c r="P443" s="40"/>
      <c r="Q443" s="40"/>
      <c r="R443" s="40"/>
      <c r="S443" s="40"/>
      <c r="T443" s="40"/>
    </row>
    <row r="444" spans="1:20" ht="15.75">
      <c r="A444" s="13">
        <v>54666</v>
      </c>
      <c r="B444" s="48">
        <v>31</v>
      </c>
      <c r="C444" s="39">
        <v>194.20500000000001</v>
      </c>
      <c r="D444" s="39">
        <v>267.46600000000001</v>
      </c>
      <c r="E444" s="45">
        <v>812.32899999999995</v>
      </c>
      <c r="F444" s="39">
        <v>1274</v>
      </c>
      <c r="G444" s="39">
        <v>50</v>
      </c>
      <c r="H444" s="47">
        <v>600</v>
      </c>
      <c r="I444" s="39">
        <v>695</v>
      </c>
      <c r="J444" s="39">
        <v>0</v>
      </c>
      <c r="K444" s="40"/>
      <c r="L444" s="40"/>
      <c r="M444" s="40"/>
      <c r="N444" s="40"/>
      <c r="O444" s="40"/>
      <c r="P444" s="40"/>
      <c r="Q444" s="40"/>
      <c r="R444" s="40"/>
      <c r="S444" s="40"/>
      <c r="T444" s="40"/>
    </row>
    <row r="445" spans="1:20" ht="15.75">
      <c r="A445" s="13">
        <v>54696</v>
      </c>
      <c r="B445" s="48">
        <v>30</v>
      </c>
      <c r="C445" s="39">
        <v>194.20500000000001</v>
      </c>
      <c r="D445" s="39">
        <v>267.46600000000001</v>
      </c>
      <c r="E445" s="45">
        <v>812.32899999999995</v>
      </c>
      <c r="F445" s="39">
        <v>1274</v>
      </c>
      <c r="G445" s="39">
        <v>50</v>
      </c>
      <c r="H445" s="47">
        <v>600</v>
      </c>
      <c r="I445" s="39">
        <v>695</v>
      </c>
      <c r="J445" s="39">
        <v>0</v>
      </c>
      <c r="K445" s="40"/>
      <c r="L445" s="40"/>
      <c r="M445" s="40"/>
      <c r="N445" s="40"/>
      <c r="O445" s="40"/>
      <c r="P445" s="40"/>
      <c r="Q445" s="40"/>
      <c r="R445" s="40"/>
      <c r="S445" s="40"/>
      <c r="T445" s="40"/>
    </row>
    <row r="446" spans="1:20" ht="15.75">
      <c r="A446" s="13">
        <v>54727</v>
      </c>
      <c r="B446" s="48">
        <v>31</v>
      </c>
      <c r="C446" s="39">
        <v>131.881</v>
      </c>
      <c r="D446" s="39">
        <v>277.16699999999997</v>
      </c>
      <c r="E446" s="45">
        <v>829.952</v>
      </c>
      <c r="F446" s="39">
        <v>1239</v>
      </c>
      <c r="G446" s="39">
        <v>75</v>
      </c>
      <c r="H446" s="47">
        <v>600</v>
      </c>
      <c r="I446" s="39">
        <v>695</v>
      </c>
      <c r="J446" s="39">
        <v>0</v>
      </c>
      <c r="K446" s="40"/>
      <c r="L446" s="40"/>
      <c r="M446" s="40"/>
      <c r="N446" s="40"/>
      <c r="O446" s="40"/>
      <c r="P446" s="40"/>
      <c r="Q446" s="40"/>
      <c r="R446" s="40"/>
      <c r="S446" s="40"/>
      <c r="T446" s="40"/>
    </row>
    <row r="447" spans="1:20" ht="15.75">
      <c r="A447" s="13">
        <v>54757</v>
      </c>
      <c r="B447" s="48">
        <v>30</v>
      </c>
      <c r="C447" s="39">
        <v>122.58</v>
      </c>
      <c r="D447" s="39">
        <v>297.94099999999997</v>
      </c>
      <c r="E447" s="45">
        <v>729.47900000000004</v>
      </c>
      <c r="F447" s="39">
        <v>1150</v>
      </c>
      <c r="G447" s="39">
        <v>100</v>
      </c>
      <c r="H447" s="47">
        <v>600</v>
      </c>
      <c r="I447" s="39">
        <v>695</v>
      </c>
      <c r="J447" s="39">
        <v>50</v>
      </c>
      <c r="K447" s="40"/>
      <c r="L447" s="40"/>
      <c r="M447" s="40"/>
      <c r="N447" s="40"/>
      <c r="O447" s="40"/>
      <c r="P447" s="40"/>
      <c r="Q447" s="40"/>
      <c r="R447" s="40"/>
      <c r="S447" s="40"/>
      <c r="T447" s="40"/>
    </row>
    <row r="448" spans="1:20" ht="15.75">
      <c r="A448" s="13">
        <v>54788</v>
      </c>
      <c r="B448" s="48">
        <v>31</v>
      </c>
      <c r="C448" s="39">
        <v>122.58</v>
      </c>
      <c r="D448" s="39">
        <v>297.94099999999997</v>
      </c>
      <c r="E448" s="45">
        <v>729.47900000000004</v>
      </c>
      <c r="F448" s="39">
        <v>1150</v>
      </c>
      <c r="G448" s="39">
        <v>100</v>
      </c>
      <c r="H448" s="47">
        <v>600</v>
      </c>
      <c r="I448" s="39">
        <v>695</v>
      </c>
      <c r="J448" s="39">
        <v>50</v>
      </c>
      <c r="K448" s="40"/>
      <c r="L448" s="40"/>
      <c r="M448" s="40"/>
      <c r="N448" s="40"/>
      <c r="O448" s="40"/>
      <c r="P448" s="40"/>
      <c r="Q448" s="40"/>
      <c r="R448" s="40"/>
      <c r="S448" s="40"/>
      <c r="T448" s="40"/>
    </row>
    <row r="449" spans="1:20" ht="15.75">
      <c r="A449" s="13">
        <v>54819</v>
      </c>
      <c r="B449" s="48">
        <v>31</v>
      </c>
      <c r="C449" s="39">
        <v>122.58</v>
      </c>
      <c r="D449" s="39">
        <v>297.94099999999997</v>
      </c>
      <c r="E449" s="45">
        <v>729.47900000000004</v>
      </c>
      <c r="F449" s="39">
        <v>1150</v>
      </c>
      <c r="G449" s="39">
        <v>100</v>
      </c>
      <c r="H449" s="47">
        <v>600</v>
      </c>
      <c r="I449" s="39">
        <v>695</v>
      </c>
      <c r="J449" s="39">
        <v>50</v>
      </c>
      <c r="K449" s="40"/>
      <c r="L449" s="40"/>
      <c r="M449" s="40"/>
      <c r="N449" s="40"/>
      <c r="O449" s="40"/>
      <c r="P449" s="40"/>
      <c r="Q449" s="40"/>
      <c r="R449" s="40"/>
      <c r="S449" s="40"/>
      <c r="T449" s="40"/>
    </row>
    <row r="450" spans="1:20" ht="15.75">
      <c r="A450" s="13">
        <v>54847</v>
      </c>
      <c r="B450" s="48">
        <v>28</v>
      </c>
      <c r="C450" s="39">
        <v>122.58</v>
      </c>
      <c r="D450" s="39">
        <v>297.94099999999997</v>
      </c>
      <c r="E450" s="45">
        <v>729.47900000000004</v>
      </c>
      <c r="F450" s="39">
        <v>1150</v>
      </c>
      <c r="G450" s="39">
        <v>100</v>
      </c>
      <c r="H450" s="47">
        <v>600</v>
      </c>
      <c r="I450" s="39">
        <v>695</v>
      </c>
      <c r="J450" s="39">
        <v>50</v>
      </c>
      <c r="K450" s="40"/>
      <c r="L450" s="40"/>
      <c r="M450" s="40"/>
      <c r="N450" s="40"/>
      <c r="O450" s="40"/>
      <c r="P450" s="40"/>
      <c r="Q450" s="40"/>
      <c r="R450" s="40"/>
      <c r="S450" s="40"/>
      <c r="T450" s="40"/>
    </row>
    <row r="451" spans="1:20" ht="15.75">
      <c r="A451" s="13">
        <v>54878</v>
      </c>
      <c r="B451" s="48">
        <v>31</v>
      </c>
      <c r="C451" s="39">
        <v>122.58</v>
      </c>
      <c r="D451" s="39">
        <v>297.94099999999997</v>
      </c>
      <c r="E451" s="45">
        <v>729.47900000000004</v>
      </c>
      <c r="F451" s="39">
        <v>1150</v>
      </c>
      <c r="G451" s="39">
        <v>100</v>
      </c>
      <c r="H451" s="47">
        <v>600</v>
      </c>
      <c r="I451" s="39">
        <v>695</v>
      </c>
      <c r="J451" s="39">
        <v>50</v>
      </c>
      <c r="K451" s="40"/>
      <c r="L451" s="40"/>
      <c r="M451" s="40"/>
      <c r="N451" s="40"/>
      <c r="O451" s="40"/>
      <c r="P451" s="40"/>
      <c r="Q451" s="40"/>
      <c r="R451" s="40"/>
      <c r="S451" s="40"/>
      <c r="T451" s="40"/>
    </row>
    <row r="452" spans="1:20" ht="15.75">
      <c r="A452" s="13">
        <v>54908</v>
      </c>
      <c r="B452" s="48">
        <v>30</v>
      </c>
      <c r="C452" s="39">
        <v>141.29300000000001</v>
      </c>
      <c r="D452" s="39">
        <v>267.99299999999999</v>
      </c>
      <c r="E452" s="45">
        <v>829.71400000000006</v>
      </c>
      <c r="F452" s="39">
        <v>1239</v>
      </c>
      <c r="G452" s="39">
        <v>100</v>
      </c>
      <c r="H452" s="47">
        <v>600</v>
      </c>
      <c r="I452" s="39">
        <v>695</v>
      </c>
      <c r="J452" s="39">
        <v>50</v>
      </c>
      <c r="K452" s="40"/>
      <c r="L452" s="40"/>
      <c r="M452" s="40"/>
      <c r="N452" s="40"/>
      <c r="O452" s="40"/>
      <c r="P452" s="40"/>
      <c r="Q452" s="40"/>
      <c r="R452" s="40"/>
      <c r="S452" s="40"/>
      <c r="T452" s="40"/>
    </row>
    <row r="453" spans="1:20" ht="15.75">
      <c r="A453" s="13">
        <v>54939</v>
      </c>
      <c r="B453" s="48">
        <v>31</v>
      </c>
      <c r="C453" s="39">
        <v>194.20500000000001</v>
      </c>
      <c r="D453" s="39">
        <v>267.46600000000001</v>
      </c>
      <c r="E453" s="45">
        <v>812.32899999999995</v>
      </c>
      <c r="F453" s="39">
        <v>1274</v>
      </c>
      <c r="G453" s="39">
        <v>75</v>
      </c>
      <c r="H453" s="47">
        <v>600</v>
      </c>
      <c r="I453" s="39">
        <v>695</v>
      </c>
      <c r="J453" s="39">
        <v>50</v>
      </c>
      <c r="K453" s="40"/>
      <c r="L453" s="40"/>
      <c r="M453" s="40"/>
      <c r="N453" s="40"/>
      <c r="O453" s="40"/>
      <c r="P453" s="40"/>
      <c r="Q453" s="40"/>
      <c r="R453" s="40"/>
      <c r="S453" s="40"/>
      <c r="T453" s="40"/>
    </row>
    <row r="454" spans="1:20" ht="15.75">
      <c r="A454" s="13">
        <v>54969</v>
      </c>
      <c r="B454" s="48">
        <v>30</v>
      </c>
      <c r="C454" s="39">
        <v>194.20500000000001</v>
      </c>
      <c r="D454" s="39">
        <v>267.46600000000001</v>
      </c>
      <c r="E454" s="45">
        <v>812.32899999999995</v>
      </c>
      <c r="F454" s="39">
        <v>1274</v>
      </c>
      <c r="G454" s="39">
        <v>50</v>
      </c>
      <c r="H454" s="47">
        <v>600</v>
      </c>
      <c r="I454" s="39">
        <v>695</v>
      </c>
      <c r="J454" s="39">
        <v>50</v>
      </c>
      <c r="K454" s="40"/>
      <c r="L454" s="40"/>
      <c r="M454" s="40"/>
      <c r="N454" s="40"/>
      <c r="O454" s="40"/>
      <c r="P454" s="40"/>
      <c r="Q454" s="40"/>
      <c r="R454" s="40"/>
      <c r="S454" s="40"/>
      <c r="T454" s="40"/>
    </row>
    <row r="455" spans="1:20" ht="15.75">
      <c r="A455" s="13">
        <v>55000</v>
      </c>
      <c r="B455" s="48">
        <v>31</v>
      </c>
      <c r="C455" s="39">
        <v>194.20500000000001</v>
      </c>
      <c r="D455" s="39">
        <v>267.46600000000001</v>
      </c>
      <c r="E455" s="45">
        <v>812.32899999999995</v>
      </c>
      <c r="F455" s="39">
        <v>1274</v>
      </c>
      <c r="G455" s="39">
        <v>50</v>
      </c>
      <c r="H455" s="47">
        <v>600</v>
      </c>
      <c r="I455" s="39">
        <v>695</v>
      </c>
      <c r="J455" s="39">
        <v>0</v>
      </c>
      <c r="K455" s="40"/>
      <c r="L455" s="40"/>
      <c r="M455" s="40"/>
      <c r="N455" s="40"/>
      <c r="O455" s="40"/>
      <c r="P455" s="40"/>
      <c r="Q455" s="40"/>
      <c r="R455" s="40"/>
      <c r="S455" s="40"/>
      <c r="T455" s="40"/>
    </row>
    <row r="456" spans="1:20" ht="15.75">
      <c r="A456" s="13">
        <v>55031</v>
      </c>
      <c r="B456" s="48">
        <v>31</v>
      </c>
      <c r="C456" s="39">
        <v>194.20500000000001</v>
      </c>
      <c r="D456" s="39">
        <v>267.46600000000001</v>
      </c>
      <c r="E456" s="45">
        <v>812.32899999999995</v>
      </c>
      <c r="F456" s="39">
        <v>1274</v>
      </c>
      <c r="G456" s="39">
        <v>50</v>
      </c>
      <c r="H456" s="47">
        <v>600</v>
      </c>
      <c r="I456" s="39">
        <v>695</v>
      </c>
      <c r="J456" s="39">
        <v>0</v>
      </c>
      <c r="K456" s="40"/>
      <c r="L456" s="40"/>
      <c r="M456" s="40"/>
      <c r="N456" s="40"/>
      <c r="O456" s="40"/>
      <c r="P456" s="40"/>
      <c r="Q456" s="40"/>
      <c r="R456" s="40"/>
      <c r="S456" s="40"/>
      <c r="T456" s="40"/>
    </row>
    <row r="457" spans="1:20" ht="15.75">
      <c r="A457" s="13">
        <v>55061</v>
      </c>
      <c r="B457" s="48">
        <v>30</v>
      </c>
      <c r="C457" s="39">
        <v>194.20500000000001</v>
      </c>
      <c r="D457" s="39">
        <v>267.46600000000001</v>
      </c>
      <c r="E457" s="45">
        <v>812.32899999999995</v>
      </c>
      <c r="F457" s="39">
        <v>1274</v>
      </c>
      <c r="G457" s="39">
        <v>50</v>
      </c>
      <c r="H457" s="47">
        <v>600</v>
      </c>
      <c r="I457" s="39">
        <v>695</v>
      </c>
      <c r="J457" s="39">
        <v>0</v>
      </c>
      <c r="K457" s="40"/>
      <c r="L457" s="40"/>
      <c r="M457" s="40"/>
      <c r="N457" s="40"/>
      <c r="O457" s="40"/>
      <c r="P457" s="40"/>
      <c r="Q457" s="40"/>
      <c r="R457" s="40"/>
      <c r="S457" s="40"/>
      <c r="T457" s="40"/>
    </row>
    <row r="458" spans="1:20" ht="15.75">
      <c r="A458" s="13">
        <v>55092</v>
      </c>
      <c r="B458" s="48">
        <v>31</v>
      </c>
      <c r="C458" s="39">
        <v>131.881</v>
      </c>
      <c r="D458" s="39">
        <v>277.16699999999997</v>
      </c>
      <c r="E458" s="45">
        <v>829.952</v>
      </c>
      <c r="F458" s="39">
        <v>1239</v>
      </c>
      <c r="G458" s="39">
        <v>75</v>
      </c>
      <c r="H458" s="47">
        <v>600</v>
      </c>
      <c r="I458" s="39">
        <v>695</v>
      </c>
      <c r="J458" s="39">
        <v>0</v>
      </c>
      <c r="K458" s="40"/>
      <c r="L458" s="40"/>
      <c r="M458" s="40"/>
      <c r="N458" s="40"/>
      <c r="O458" s="40"/>
      <c r="P458" s="40"/>
      <c r="Q458" s="40"/>
      <c r="R458" s="40"/>
      <c r="S458" s="40"/>
      <c r="T458" s="40"/>
    </row>
    <row r="459" spans="1:20" ht="15.75">
      <c r="A459" s="13">
        <v>55122</v>
      </c>
      <c r="B459" s="48">
        <v>30</v>
      </c>
      <c r="C459" s="39">
        <v>122.58</v>
      </c>
      <c r="D459" s="39">
        <v>297.94099999999997</v>
      </c>
      <c r="E459" s="45">
        <v>729.47900000000004</v>
      </c>
      <c r="F459" s="39">
        <v>1150</v>
      </c>
      <c r="G459" s="39">
        <v>100</v>
      </c>
      <c r="H459" s="47">
        <v>600</v>
      </c>
      <c r="I459" s="39">
        <v>695</v>
      </c>
      <c r="J459" s="39">
        <v>50</v>
      </c>
      <c r="K459" s="40"/>
      <c r="L459" s="40"/>
      <c r="M459" s="40"/>
      <c r="N459" s="40"/>
      <c r="O459" s="40"/>
      <c r="P459" s="40"/>
      <c r="Q459" s="40"/>
      <c r="R459" s="40"/>
      <c r="S459" s="40"/>
      <c r="T459" s="40"/>
    </row>
    <row r="460" spans="1:20" ht="15.75">
      <c r="A460" s="13">
        <v>55153</v>
      </c>
      <c r="B460" s="48">
        <v>31</v>
      </c>
      <c r="C460" s="39">
        <v>122.58</v>
      </c>
      <c r="D460" s="39">
        <v>297.94099999999997</v>
      </c>
      <c r="E460" s="45">
        <v>729.47900000000004</v>
      </c>
      <c r="F460" s="39">
        <v>1150</v>
      </c>
      <c r="G460" s="39">
        <v>100</v>
      </c>
      <c r="H460" s="47">
        <v>600</v>
      </c>
      <c r="I460" s="39">
        <v>695</v>
      </c>
      <c r="J460" s="39">
        <v>50</v>
      </c>
      <c r="K460" s="40"/>
      <c r="L460" s="40"/>
      <c r="M460" s="40"/>
      <c r="N460" s="40"/>
      <c r="O460" s="40"/>
      <c r="P460" s="40"/>
      <c r="Q460" s="40"/>
      <c r="R460" s="40"/>
      <c r="S460" s="40"/>
      <c r="T460" s="40"/>
    </row>
    <row r="461" spans="1:20" ht="15.75">
      <c r="A461" s="13">
        <v>55184</v>
      </c>
      <c r="B461" s="48">
        <v>31</v>
      </c>
      <c r="C461" s="39">
        <v>122.58</v>
      </c>
      <c r="D461" s="39">
        <v>297.94099999999997</v>
      </c>
      <c r="E461" s="45">
        <v>729.47900000000004</v>
      </c>
      <c r="F461" s="39">
        <v>1150</v>
      </c>
      <c r="G461" s="39">
        <v>100</v>
      </c>
      <c r="H461" s="47">
        <v>600</v>
      </c>
      <c r="I461" s="39">
        <v>695</v>
      </c>
      <c r="J461" s="39">
        <v>50</v>
      </c>
      <c r="K461" s="40"/>
      <c r="L461" s="40"/>
      <c r="M461" s="40"/>
      <c r="N461" s="40"/>
      <c r="O461" s="40"/>
      <c r="P461" s="40"/>
      <c r="Q461" s="40"/>
      <c r="R461" s="40"/>
      <c r="S461" s="40"/>
      <c r="T461" s="40"/>
    </row>
    <row r="462" spans="1:20" ht="15.75">
      <c r="A462" s="13">
        <v>55212</v>
      </c>
      <c r="B462" s="48">
        <v>28</v>
      </c>
      <c r="C462" s="39">
        <v>122.58</v>
      </c>
      <c r="D462" s="39">
        <v>297.94099999999997</v>
      </c>
      <c r="E462" s="45">
        <v>729.47900000000004</v>
      </c>
      <c r="F462" s="39">
        <v>1150</v>
      </c>
      <c r="G462" s="39">
        <v>100</v>
      </c>
      <c r="H462" s="47">
        <v>600</v>
      </c>
      <c r="I462" s="39">
        <v>695</v>
      </c>
      <c r="J462" s="39">
        <v>50</v>
      </c>
      <c r="K462" s="40"/>
      <c r="L462" s="40"/>
      <c r="M462" s="40"/>
      <c r="N462" s="40"/>
      <c r="O462" s="40"/>
      <c r="P462" s="40"/>
      <c r="Q462" s="40"/>
      <c r="R462" s="40"/>
      <c r="S462" s="40"/>
      <c r="T462" s="40"/>
    </row>
    <row r="463" spans="1:20" ht="15.75">
      <c r="A463" s="13">
        <v>55243</v>
      </c>
      <c r="B463" s="48">
        <v>31</v>
      </c>
      <c r="C463" s="39">
        <v>122.58</v>
      </c>
      <c r="D463" s="39">
        <v>297.94099999999997</v>
      </c>
      <c r="E463" s="45">
        <v>729.47900000000004</v>
      </c>
      <c r="F463" s="39">
        <v>1150</v>
      </c>
      <c r="G463" s="39">
        <v>100</v>
      </c>
      <c r="H463" s="47">
        <v>600</v>
      </c>
      <c r="I463" s="39">
        <v>695</v>
      </c>
      <c r="J463" s="39">
        <v>50</v>
      </c>
      <c r="K463" s="40"/>
      <c r="L463" s="40"/>
      <c r="M463" s="40"/>
      <c r="N463" s="40"/>
      <c r="O463" s="40"/>
      <c r="P463" s="40"/>
      <c r="Q463" s="40"/>
      <c r="R463" s="40"/>
      <c r="S463" s="40"/>
      <c r="T463" s="40"/>
    </row>
    <row r="464" spans="1:20" ht="15.75">
      <c r="A464" s="13">
        <v>55273</v>
      </c>
      <c r="B464" s="48">
        <v>30</v>
      </c>
      <c r="C464" s="39">
        <v>141.29300000000001</v>
      </c>
      <c r="D464" s="39">
        <v>267.99299999999999</v>
      </c>
      <c r="E464" s="45">
        <v>829.71400000000006</v>
      </c>
      <c r="F464" s="39">
        <v>1239</v>
      </c>
      <c r="G464" s="39">
        <v>100</v>
      </c>
      <c r="H464" s="47">
        <v>600</v>
      </c>
      <c r="I464" s="39">
        <v>695</v>
      </c>
      <c r="J464" s="39">
        <v>50</v>
      </c>
      <c r="K464" s="40"/>
      <c r="L464" s="40"/>
      <c r="M464" s="40"/>
      <c r="N464" s="40"/>
      <c r="O464" s="40"/>
      <c r="P464" s="40"/>
      <c r="Q464" s="40"/>
      <c r="R464" s="40"/>
      <c r="S464" s="40"/>
      <c r="T464" s="40"/>
    </row>
    <row r="465" spans="1:20" ht="15.75">
      <c r="A465" s="13">
        <v>55304</v>
      </c>
      <c r="B465" s="48">
        <v>31</v>
      </c>
      <c r="C465" s="39">
        <v>194.20500000000001</v>
      </c>
      <c r="D465" s="39">
        <v>267.46600000000001</v>
      </c>
      <c r="E465" s="45">
        <v>812.32899999999995</v>
      </c>
      <c r="F465" s="39">
        <v>1274</v>
      </c>
      <c r="G465" s="39">
        <v>75</v>
      </c>
      <c r="H465" s="47">
        <v>600</v>
      </c>
      <c r="I465" s="39">
        <v>695</v>
      </c>
      <c r="J465" s="39">
        <v>50</v>
      </c>
      <c r="K465" s="40"/>
      <c r="L465" s="40"/>
      <c r="M465" s="40"/>
      <c r="N465" s="40"/>
      <c r="O465" s="40"/>
      <c r="P465" s="40"/>
      <c r="Q465" s="40"/>
      <c r="R465" s="40"/>
      <c r="S465" s="40"/>
      <c r="T465" s="40"/>
    </row>
    <row r="466" spans="1:20" ht="15.75">
      <c r="A466" s="13">
        <v>55334</v>
      </c>
      <c r="B466" s="48">
        <v>30</v>
      </c>
      <c r="C466" s="39">
        <v>194.20500000000001</v>
      </c>
      <c r="D466" s="39">
        <v>267.46600000000001</v>
      </c>
      <c r="E466" s="45">
        <v>812.32899999999995</v>
      </c>
      <c r="F466" s="39">
        <v>1274</v>
      </c>
      <c r="G466" s="39">
        <v>50</v>
      </c>
      <c r="H466" s="47">
        <v>600</v>
      </c>
      <c r="I466" s="39">
        <v>695</v>
      </c>
      <c r="J466" s="39">
        <v>50</v>
      </c>
      <c r="K466" s="40"/>
      <c r="L466" s="40"/>
      <c r="M466" s="40"/>
      <c r="N466" s="40"/>
      <c r="O466" s="40"/>
      <c r="P466" s="40"/>
      <c r="Q466" s="40"/>
      <c r="R466" s="40"/>
      <c r="S466" s="40"/>
      <c r="T466" s="40"/>
    </row>
    <row r="467" spans="1:20" ht="15.75">
      <c r="A467" s="13">
        <v>55365</v>
      </c>
      <c r="B467" s="48">
        <v>31</v>
      </c>
      <c r="C467" s="39">
        <v>194.20500000000001</v>
      </c>
      <c r="D467" s="39">
        <v>267.46600000000001</v>
      </c>
      <c r="E467" s="45">
        <v>812.32899999999995</v>
      </c>
      <c r="F467" s="39">
        <v>1274</v>
      </c>
      <c r="G467" s="39">
        <v>50</v>
      </c>
      <c r="H467" s="47">
        <v>600</v>
      </c>
      <c r="I467" s="39">
        <v>695</v>
      </c>
      <c r="J467" s="39">
        <v>0</v>
      </c>
      <c r="K467" s="40"/>
      <c r="L467" s="40"/>
      <c r="M467" s="40"/>
      <c r="N467" s="40"/>
      <c r="O467" s="40"/>
      <c r="P467" s="40"/>
      <c r="Q467" s="40"/>
      <c r="R467" s="40"/>
      <c r="S467" s="40"/>
      <c r="T467" s="40"/>
    </row>
    <row r="468" spans="1:20" ht="15.75">
      <c r="A468" s="13">
        <v>55396</v>
      </c>
      <c r="B468" s="48">
        <v>31</v>
      </c>
      <c r="C468" s="39">
        <v>194.20500000000001</v>
      </c>
      <c r="D468" s="39">
        <v>267.46600000000001</v>
      </c>
      <c r="E468" s="45">
        <v>812.32899999999995</v>
      </c>
      <c r="F468" s="39">
        <v>1274</v>
      </c>
      <c r="G468" s="39">
        <v>50</v>
      </c>
      <c r="H468" s="47">
        <v>600</v>
      </c>
      <c r="I468" s="39">
        <v>695</v>
      </c>
      <c r="J468" s="39">
        <v>0</v>
      </c>
      <c r="K468" s="40"/>
      <c r="L468" s="40"/>
      <c r="M468" s="40"/>
      <c r="N468" s="40"/>
      <c r="O468" s="40"/>
      <c r="P468" s="40"/>
      <c r="Q468" s="40"/>
      <c r="R468" s="40"/>
      <c r="S468" s="40"/>
      <c r="T468" s="40"/>
    </row>
    <row r="469" spans="1:20" ht="15.75">
      <c r="A469" s="13">
        <v>55426</v>
      </c>
      <c r="B469" s="48">
        <v>30</v>
      </c>
      <c r="C469" s="39">
        <v>194.20500000000001</v>
      </c>
      <c r="D469" s="39">
        <v>267.46600000000001</v>
      </c>
      <c r="E469" s="45">
        <v>812.32899999999995</v>
      </c>
      <c r="F469" s="39">
        <v>1274</v>
      </c>
      <c r="G469" s="39">
        <v>50</v>
      </c>
      <c r="H469" s="47">
        <v>600</v>
      </c>
      <c r="I469" s="39">
        <v>695</v>
      </c>
      <c r="J469" s="39">
        <v>0</v>
      </c>
      <c r="K469" s="40"/>
      <c r="L469" s="40"/>
      <c r="M469" s="40"/>
      <c r="N469" s="40"/>
      <c r="O469" s="40"/>
      <c r="P469" s="40"/>
      <c r="Q469" s="40"/>
      <c r="R469" s="40"/>
      <c r="S469" s="40"/>
      <c r="T469" s="40"/>
    </row>
    <row r="470" spans="1:20" ht="15.75">
      <c r="A470" s="13">
        <v>55457</v>
      </c>
      <c r="B470" s="48">
        <v>31</v>
      </c>
      <c r="C470" s="39">
        <v>131.881</v>
      </c>
      <c r="D470" s="39">
        <v>277.16699999999997</v>
      </c>
      <c r="E470" s="45">
        <v>829.952</v>
      </c>
      <c r="F470" s="39">
        <v>1239</v>
      </c>
      <c r="G470" s="39">
        <v>75</v>
      </c>
      <c r="H470" s="47">
        <v>600</v>
      </c>
      <c r="I470" s="39">
        <v>695</v>
      </c>
      <c r="J470" s="39">
        <v>0</v>
      </c>
      <c r="K470" s="40"/>
      <c r="L470" s="40"/>
      <c r="M470" s="40"/>
      <c r="N470" s="40"/>
      <c r="O470" s="40"/>
      <c r="P470" s="40"/>
      <c r="Q470" s="40"/>
      <c r="R470" s="40"/>
      <c r="S470" s="40"/>
      <c r="T470" s="40"/>
    </row>
    <row r="471" spans="1:20" ht="15.75">
      <c r="A471" s="13">
        <v>55487</v>
      </c>
      <c r="B471" s="48">
        <v>30</v>
      </c>
      <c r="C471" s="39">
        <v>122.58</v>
      </c>
      <c r="D471" s="39">
        <v>297.94099999999997</v>
      </c>
      <c r="E471" s="45">
        <v>729.47900000000004</v>
      </c>
      <c r="F471" s="39">
        <v>1150</v>
      </c>
      <c r="G471" s="39">
        <v>100</v>
      </c>
      <c r="H471" s="47">
        <v>600</v>
      </c>
      <c r="I471" s="39">
        <v>695</v>
      </c>
      <c r="J471" s="39">
        <v>50</v>
      </c>
      <c r="K471" s="40"/>
      <c r="L471" s="40"/>
      <c r="M471" s="40"/>
      <c r="N471" s="40"/>
      <c r="O471" s="40"/>
      <c r="P471" s="40"/>
      <c r="Q471" s="40"/>
      <c r="R471" s="40"/>
      <c r="S471" s="40"/>
      <c r="T471" s="40"/>
    </row>
    <row r="472" spans="1:20" ht="15.75">
      <c r="A472" s="13">
        <v>55518</v>
      </c>
      <c r="B472" s="48">
        <v>31</v>
      </c>
      <c r="C472" s="39">
        <v>122.58</v>
      </c>
      <c r="D472" s="39">
        <v>297.94099999999997</v>
      </c>
      <c r="E472" s="45">
        <v>729.47900000000004</v>
      </c>
      <c r="F472" s="39">
        <v>1150</v>
      </c>
      <c r="G472" s="39">
        <v>100</v>
      </c>
      <c r="H472" s="47">
        <v>600</v>
      </c>
      <c r="I472" s="39">
        <v>695</v>
      </c>
      <c r="J472" s="39">
        <v>50</v>
      </c>
      <c r="K472" s="40"/>
      <c r="L472" s="40"/>
      <c r="M472" s="40"/>
      <c r="N472" s="40"/>
      <c r="O472" s="40"/>
      <c r="P472" s="40"/>
      <c r="Q472" s="40"/>
      <c r="R472" s="40"/>
      <c r="S472" s="40"/>
      <c r="T472" s="40"/>
    </row>
    <row r="473" spans="1:20" ht="15.75">
      <c r="A473" s="13">
        <v>55549</v>
      </c>
      <c r="B473" s="48">
        <v>31</v>
      </c>
      <c r="C473" s="39">
        <v>122.58</v>
      </c>
      <c r="D473" s="39">
        <v>297.94099999999997</v>
      </c>
      <c r="E473" s="45">
        <v>729.47900000000004</v>
      </c>
      <c r="F473" s="39">
        <v>1150</v>
      </c>
      <c r="G473" s="39">
        <v>100</v>
      </c>
      <c r="H473" s="47">
        <v>600</v>
      </c>
      <c r="I473" s="39">
        <v>695</v>
      </c>
      <c r="J473" s="39">
        <v>50</v>
      </c>
      <c r="K473" s="40"/>
      <c r="L473" s="40"/>
      <c r="M473" s="40"/>
      <c r="N473" s="40"/>
      <c r="O473" s="40"/>
      <c r="P473" s="40"/>
      <c r="Q473" s="40"/>
      <c r="R473" s="40"/>
      <c r="S473" s="40"/>
      <c r="T473" s="40"/>
    </row>
    <row r="474" spans="1:20" ht="15.75">
      <c r="A474" s="13">
        <v>55577</v>
      </c>
      <c r="B474" s="48">
        <v>29</v>
      </c>
      <c r="C474" s="39">
        <v>122.58</v>
      </c>
      <c r="D474" s="39">
        <v>297.94099999999997</v>
      </c>
      <c r="E474" s="45">
        <v>729.47900000000004</v>
      </c>
      <c r="F474" s="39">
        <v>1150</v>
      </c>
      <c r="G474" s="39">
        <v>100</v>
      </c>
      <c r="H474" s="47">
        <v>600</v>
      </c>
      <c r="I474" s="39">
        <v>695</v>
      </c>
      <c r="J474" s="39">
        <v>50</v>
      </c>
      <c r="K474" s="40"/>
      <c r="L474" s="40"/>
      <c r="M474" s="40"/>
      <c r="N474" s="40"/>
      <c r="O474" s="40"/>
      <c r="P474" s="40"/>
      <c r="Q474" s="40"/>
      <c r="R474" s="40"/>
      <c r="S474" s="40"/>
      <c r="T474" s="40"/>
    </row>
    <row r="475" spans="1:20" ht="15.75">
      <c r="A475" s="13">
        <v>55609</v>
      </c>
      <c r="B475" s="48">
        <v>31</v>
      </c>
      <c r="C475" s="39">
        <v>122.58</v>
      </c>
      <c r="D475" s="39">
        <v>297.94099999999997</v>
      </c>
      <c r="E475" s="45">
        <v>729.47900000000004</v>
      </c>
      <c r="F475" s="39">
        <v>1150</v>
      </c>
      <c r="G475" s="39">
        <v>100</v>
      </c>
      <c r="H475" s="47">
        <v>600</v>
      </c>
      <c r="I475" s="39">
        <v>695</v>
      </c>
      <c r="J475" s="39">
        <v>50</v>
      </c>
      <c r="K475" s="40"/>
      <c r="L475" s="40"/>
      <c r="M475" s="40"/>
      <c r="N475" s="40"/>
      <c r="O475" s="40"/>
      <c r="P475" s="40"/>
      <c r="Q475" s="40"/>
      <c r="R475" s="40"/>
      <c r="S475" s="40"/>
      <c r="T475" s="40"/>
    </row>
    <row r="476" spans="1:20" ht="15.75">
      <c r="A476" s="13">
        <v>55639</v>
      </c>
      <c r="B476" s="48">
        <v>30</v>
      </c>
      <c r="C476" s="39">
        <v>141.29300000000001</v>
      </c>
      <c r="D476" s="39">
        <v>267.99299999999999</v>
      </c>
      <c r="E476" s="45">
        <v>829.71400000000006</v>
      </c>
      <c r="F476" s="39">
        <v>1239</v>
      </c>
      <c r="G476" s="39">
        <v>100</v>
      </c>
      <c r="H476" s="47">
        <v>600</v>
      </c>
      <c r="I476" s="39">
        <v>695</v>
      </c>
      <c r="J476" s="39">
        <v>50</v>
      </c>
      <c r="K476" s="40"/>
      <c r="L476" s="40"/>
      <c r="M476" s="40"/>
      <c r="N476" s="40"/>
      <c r="O476" s="40"/>
      <c r="P476" s="40"/>
      <c r="Q476" s="40"/>
      <c r="R476" s="40"/>
      <c r="S476" s="40"/>
      <c r="T476" s="40"/>
    </row>
    <row r="477" spans="1:20" ht="15.75">
      <c r="A477" s="13">
        <v>55670</v>
      </c>
      <c r="B477" s="48">
        <v>31</v>
      </c>
      <c r="C477" s="39">
        <v>194.20500000000001</v>
      </c>
      <c r="D477" s="39">
        <v>267.46600000000001</v>
      </c>
      <c r="E477" s="45">
        <v>812.32899999999995</v>
      </c>
      <c r="F477" s="39">
        <v>1274</v>
      </c>
      <c r="G477" s="39">
        <v>75</v>
      </c>
      <c r="H477" s="47">
        <v>600</v>
      </c>
      <c r="I477" s="39">
        <v>695</v>
      </c>
      <c r="J477" s="39">
        <v>50</v>
      </c>
      <c r="K477" s="40"/>
      <c r="L477" s="40"/>
      <c r="M477" s="40"/>
      <c r="N477" s="40"/>
      <c r="O477" s="40"/>
      <c r="P477" s="40"/>
      <c r="Q477" s="40"/>
      <c r="R477" s="40"/>
      <c r="S477" s="40"/>
      <c r="T477" s="40"/>
    </row>
    <row r="478" spans="1:20" ht="15.75">
      <c r="A478" s="13">
        <v>55700</v>
      </c>
      <c r="B478" s="48">
        <v>30</v>
      </c>
      <c r="C478" s="39">
        <v>194.20500000000001</v>
      </c>
      <c r="D478" s="39">
        <v>267.46600000000001</v>
      </c>
      <c r="E478" s="45">
        <v>812.32899999999995</v>
      </c>
      <c r="F478" s="39">
        <v>1274</v>
      </c>
      <c r="G478" s="39">
        <v>50</v>
      </c>
      <c r="H478" s="47">
        <v>600</v>
      </c>
      <c r="I478" s="39">
        <v>695</v>
      </c>
      <c r="J478" s="39">
        <v>50</v>
      </c>
      <c r="K478" s="40"/>
      <c r="L478" s="40"/>
      <c r="M478" s="40"/>
      <c r="N478" s="40"/>
      <c r="O478" s="40"/>
      <c r="P478" s="40"/>
      <c r="Q478" s="40"/>
      <c r="R478" s="40"/>
      <c r="S478" s="40"/>
      <c r="T478" s="40"/>
    </row>
    <row r="479" spans="1:20" ht="15.75">
      <c r="A479" s="13">
        <v>55731</v>
      </c>
      <c r="B479" s="48">
        <v>31</v>
      </c>
      <c r="C479" s="39">
        <v>194.20500000000001</v>
      </c>
      <c r="D479" s="39">
        <v>267.46600000000001</v>
      </c>
      <c r="E479" s="45">
        <v>812.32899999999995</v>
      </c>
      <c r="F479" s="39">
        <v>1274</v>
      </c>
      <c r="G479" s="39">
        <v>50</v>
      </c>
      <c r="H479" s="47">
        <v>600</v>
      </c>
      <c r="I479" s="39">
        <v>695</v>
      </c>
      <c r="J479" s="39">
        <v>0</v>
      </c>
      <c r="K479" s="40"/>
      <c r="L479" s="40"/>
      <c r="M479" s="40"/>
      <c r="N479" s="40"/>
      <c r="O479" s="40"/>
      <c r="P479" s="40"/>
      <c r="Q479" s="40"/>
      <c r="R479" s="40"/>
      <c r="S479" s="40"/>
      <c r="T479" s="40"/>
    </row>
    <row r="480" spans="1:20" ht="15.75">
      <c r="A480" s="13">
        <v>55762</v>
      </c>
      <c r="B480" s="48">
        <v>31</v>
      </c>
      <c r="C480" s="39">
        <v>194.20500000000001</v>
      </c>
      <c r="D480" s="39">
        <v>267.46600000000001</v>
      </c>
      <c r="E480" s="45">
        <v>812.32899999999995</v>
      </c>
      <c r="F480" s="39">
        <v>1274</v>
      </c>
      <c r="G480" s="39">
        <v>50</v>
      </c>
      <c r="H480" s="47">
        <v>600</v>
      </c>
      <c r="I480" s="39">
        <v>695</v>
      </c>
      <c r="J480" s="39">
        <v>0</v>
      </c>
      <c r="K480" s="40"/>
      <c r="L480" s="40"/>
      <c r="M480" s="40"/>
      <c r="N480" s="40"/>
      <c r="O480" s="40"/>
      <c r="P480" s="40"/>
      <c r="Q480" s="40"/>
      <c r="R480" s="40"/>
      <c r="S480" s="40"/>
      <c r="T480" s="40"/>
    </row>
    <row r="481" spans="1:20" ht="15.75">
      <c r="A481" s="13">
        <v>55792</v>
      </c>
      <c r="B481" s="48">
        <v>30</v>
      </c>
      <c r="C481" s="39">
        <v>194.20500000000001</v>
      </c>
      <c r="D481" s="39">
        <v>267.46600000000001</v>
      </c>
      <c r="E481" s="45">
        <v>812.32899999999995</v>
      </c>
      <c r="F481" s="39">
        <v>1274</v>
      </c>
      <c r="G481" s="39">
        <v>50</v>
      </c>
      <c r="H481" s="47">
        <v>600</v>
      </c>
      <c r="I481" s="39">
        <v>695</v>
      </c>
      <c r="J481" s="39">
        <v>0</v>
      </c>
      <c r="K481" s="40"/>
      <c r="L481" s="40"/>
      <c r="M481" s="40"/>
      <c r="N481" s="40"/>
      <c r="O481" s="40"/>
      <c r="P481" s="40"/>
      <c r="Q481" s="40"/>
      <c r="R481" s="40"/>
      <c r="S481" s="40"/>
      <c r="T481" s="40"/>
    </row>
    <row r="482" spans="1:20" ht="15.75">
      <c r="A482" s="13">
        <v>55823</v>
      </c>
      <c r="B482" s="48">
        <v>31</v>
      </c>
      <c r="C482" s="39">
        <v>131.881</v>
      </c>
      <c r="D482" s="39">
        <v>277.16699999999997</v>
      </c>
      <c r="E482" s="45">
        <v>829.952</v>
      </c>
      <c r="F482" s="39">
        <v>1239</v>
      </c>
      <c r="G482" s="39">
        <v>75</v>
      </c>
      <c r="H482" s="47">
        <v>600</v>
      </c>
      <c r="I482" s="39">
        <v>695</v>
      </c>
      <c r="J482" s="39">
        <v>0</v>
      </c>
      <c r="K482" s="40"/>
      <c r="L482" s="40"/>
      <c r="M482" s="40"/>
      <c r="N482" s="40"/>
      <c r="O482" s="40"/>
      <c r="P482" s="40"/>
      <c r="Q482" s="40"/>
      <c r="R482" s="40"/>
      <c r="S482" s="40"/>
      <c r="T482" s="40"/>
    </row>
    <row r="483" spans="1:20" ht="15.75">
      <c r="A483" s="13">
        <v>55853</v>
      </c>
      <c r="B483" s="48">
        <v>30</v>
      </c>
      <c r="C483" s="39">
        <v>122.58</v>
      </c>
      <c r="D483" s="39">
        <v>297.94099999999997</v>
      </c>
      <c r="E483" s="45">
        <v>729.47900000000004</v>
      </c>
      <c r="F483" s="39">
        <v>1150</v>
      </c>
      <c r="G483" s="39">
        <v>100</v>
      </c>
      <c r="H483" s="47">
        <v>600</v>
      </c>
      <c r="I483" s="39">
        <v>695</v>
      </c>
      <c r="J483" s="39">
        <v>50</v>
      </c>
      <c r="K483" s="40"/>
      <c r="L483" s="40"/>
      <c r="M483" s="40"/>
      <c r="N483" s="40"/>
      <c r="O483" s="40"/>
      <c r="P483" s="40"/>
      <c r="Q483" s="40"/>
      <c r="R483" s="40"/>
      <c r="S483" s="40"/>
      <c r="T483" s="40"/>
    </row>
    <row r="484" spans="1:20" ht="15.75">
      <c r="A484" s="13">
        <v>55884</v>
      </c>
      <c r="B484" s="48">
        <v>31</v>
      </c>
      <c r="C484" s="39">
        <v>122.58</v>
      </c>
      <c r="D484" s="39">
        <v>297.94099999999997</v>
      </c>
      <c r="E484" s="45">
        <v>729.47900000000004</v>
      </c>
      <c r="F484" s="39">
        <v>1150</v>
      </c>
      <c r="G484" s="39">
        <v>100</v>
      </c>
      <c r="H484" s="47">
        <v>600</v>
      </c>
      <c r="I484" s="39">
        <v>695</v>
      </c>
      <c r="J484" s="39">
        <v>50</v>
      </c>
      <c r="K484" s="40"/>
      <c r="L484" s="40"/>
      <c r="M484" s="40"/>
      <c r="N484" s="40"/>
      <c r="O484" s="40"/>
      <c r="P484" s="40"/>
      <c r="Q484" s="40"/>
      <c r="R484" s="40"/>
      <c r="S484" s="40"/>
      <c r="T484" s="40"/>
    </row>
    <row r="485" spans="1:20" ht="15.75">
      <c r="A485" s="13">
        <v>55915</v>
      </c>
      <c r="B485" s="48">
        <v>31</v>
      </c>
      <c r="C485" s="39">
        <v>122.58</v>
      </c>
      <c r="D485" s="39">
        <v>297.94099999999997</v>
      </c>
      <c r="E485" s="45">
        <v>729.47900000000004</v>
      </c>
      <c r="F485" s="39">
        <v>1150</v>
      </c>
      <c r="G485" s="39">
        <v>100</v>
      </c>
      <c r="H485" s="47">
        <v>600</v>
      </c>
      <c r="I485" s="39">
        <v>695</v>
      </c>
      <c r="J485" s="39">
        <v>50</v>
      </c>
      <c r="K485" s="40"/>
      <c r="L485" s="40"/>
      <c r="M485" s="40"/>
      <c r="N485" s="40"/>
      <c r="O485" s="40"/>
      <c r="P485" s="40"/>
      <c r="Q485" s="40"/>
      <c r="R485" s="40"/>
      <c r="S485" s="40"/>
      <c r="T485" s="40"/>
    </row>
    <row r="486" spans="1:20" ht="15.75">
      <c r="A486" s="13">
        <v>55943</v>
      </c>
      <c r="B486" s="48">
        <v>28</v>
      </c>
      <c r="C486" s="39">
        <v>122.58</v>
      </c>
      <c r="D486" s="39">
        <v>297.94099999999997</v>
      </c>
      <c r="E486" s="45">
        <v>729.47900000000004</v>
      </c>
      <c r="F486" s="39">
        <v>1150</v>
      </c>
      <c r="G486" s="39">
        <v>100</v>
      </c>
      <c r="H486" s="47">
        <v>600</v>
      </c>
      <c r="I486" s="39">
        <v>695</v>
      </c>
      <c r="J486" s="39">
        <v>50</v>
      </c>
      <c r="K486" s="40"/>
      <c r="L486" s="40"/>
      <c r="M486" s="40"/>
      <c r="N486" s="40"/>
      <c r="O486" s="40"/>
      <c r="P486" s="40"/>
      <c r="Q486" s="40"/>
      <c r="R486" s="40"/>
      <c r="S486" s="40"/>
      <c r="T486" s="40"/>
    </row>
    <row r="487" spans="1:20" ht="15.75">
      <c r="A487" s="13">
        <v>55974</v>
      </c>
      <c r="B487" s="48">
        <v>31</v>
      </c>
      <c r="C487" s="39">
        <v>122.58</v>
      </c>
      <c r="D487" s="39">
        <v>297.94099999999997</v>
      </c>
      <c r="E487" s="45">
        <v>729.47900000000004</v>
      </c>
      <c r="F487" s="39">
        <v>1150</v>
      </c>
      <c r="G487" s="39">
        <v>100</v>
      </c>
      <c r="H487" s="47">
        <v>600</v>
      </c>
      <c r="I487" s="39">
        <v>695</v>
      </c>
      <c r="J487" s="39">
        <v>50</v>
      </c>
      <c r="K487" s="40"/>
      <c r="L487" s="40"/>
      <c r="M487" s="40"/>
      <c r="N487" s="40"/>
      <c r="O487" s="40"/>
      <c r="P487" s="40"/>
      <c r="Q487" s="40"/>
      <c r="R487" s="40"/>
      <c r="S487" s="40"/>
      <c r="T487" s="40"/>
    </row>
    <row r="488" spans="1:20" ht="15.75">
      <c r="A488" s="13">
        <v>56004</v>
      </c>
      <c r="B488" s="48">
        <v>30</v>
      </c>
      <c r="C488" s="39">
        <v>141.29300000000001</v>
      </c>
      <c r="D488" s="39">
        <v>267.99299999999999</v>
      </c>
      <c r="E488" s="45">
        <v>829.71400000000006</v>
      </c>
      <c r="F488" s="39">
        <v>1239</v>
      </c>
      <c r="G488" s="39">
        <v>100</v>
      </c>
      <c r="H488" s="47">
        <v>600</v>
      </c>
      <c r="I488" s="39">
        <v>695</v>
      </c>
      <c r="J488" s="39">
        <v>50</v>
      </c>
      <c r="K488" s="40"/>
      <c r="L488" s="40"/>
      <c r="M488" s="40"/>
      <c r="N488" s="40"/>
      <c r="O488" s="40"/>
      <c r="P488" s="40"/>
      <c r="Q488" s="40"/>
      <c r="R488" s="40"/>
      <c r="S488" s="40"/>
      <c r="T488" s="40"/>
    </row>
    <row r="489" spans="1:20" ht="15.75">
      <c r="A489" s="13">
        <v>56035</v>
      </c>
      <c r="B489" s="48">
        <v>31</v>
      </c>
      <c r="C489" s="39">
        <v>194.20500000000001</v>
      </c>
      <c r="D489" s="39">
        <v>267.46600000000001</v>
      </c>
      <c r="E489" s="45">
        <v>812.32899999999995</v>
      </c>
      <c r="F489" s="39">
        <v>1274</v>
      </c>
      <c r="G489" s="39">
        <v>75</v>
      </c>
      <c r="H489" s="47">
        <v>600</v>
      </c>
      <c r="I489" s="39">
        <v>695</v>
      </c>
      <c r="J489" s="39">
        <v>50</v>
      </c>
      <c r="K489" s="40"/>
      <c r="L489" s="40"/>
      <c r="M489" s="40"/>
      <c r="N489" s="40"/>
      <c r="O489" s="40"/>
      <c r="P489" s="40"/>
      <c r="Q489" s="40"/>
      <c r="R489" s="40"/>
      <c r="S489" s="40"/>
      <c r="T489" s="40"/>
    </row>
    <row r="490" spans="1:20" ht="15.75">
      <c r="A490" s="13">
        <v>56065</v>
      </c>
      <c r="B490" s="48">
        <v>30</v>
      </c>
      <c r="C490" s="39">
        <v>194.20500000000001</v>
      </c>
      <c r="D490" s="39">
        <v>267.46600000000001</v>
      </c>
      <c r="E490" s="45">
        <v>812.32899999999995</v>
      </c>
      <c r="F490" s="39">
        <v>1274</v>
      </c>
      <c r="G490" s="39">
        <v>50</v>
      </c>
      <c r="H490" s="47">
        <v>600</v>
      </c>
      <c r="I490" s="39">
        <v>695</v>
      </c>
      <c r="J490" s="39">
        <v>50</v>
      </c>
      <c r="K490" s="40"/>
      <c r="L490" s="40"/>
      <c r="M490" s="40"/>
      <c r="N490" s="40"/>
      <c r="O490" s="40"/>
      <c r="P490" s="40"/>
      <c r="Q490" s="40"/>
      <c r="R490" s="40"/>
      <c r="S490" s="40"/>
      <c r="T490" s="40"/>
    </row>
    <row r="491" spans="1:20" ht="15.75">
      <c r="A491" s="13">
        <v>56096</v>
      </c>
      <c r="B491" s="48">
        <v>31</v>
      </c>
      <c r="C491" s="39">
        <v>194.20500000000001</v>
      </c>
      <c r="D491" s="39">
        <v>267.46600000000001</v>
      </c>
      <c r="E491" s="45">
        <v>812.32899999999995</v>
      </c>
      <c r="F491" s="39">
        <v>1274</v>
      </c>
      <c r="G491" s="39">
        <v>50</v>
      </c>
      <c r="H491" s="47">
        <v>600</v>
      </c>
      <c r="I491" s="39">
        <v>695</v>
      </c>
      <c r="J491" s="39">
        <v>0</v>
      </c>
      <c r="K491" s="40"/>
      <c r="L491" s="40"/>
      <c r="M491" s="40"/>
      <c r="N491" s="40"/>
      <c r="O491" s="40"/>
      <c r="P491" s="40"/>
      <c r="Q491" s="40"/>
      <c r="R491" s="40"/>
      <c r="S491" s="40"/>
      <c r="T491" s="40"/>
    </row>
    <row r="492" spans="1:20" ht="15.75">
      <c r="A492" s="13">
        <v>56127</v>
      </c>
      <c r="B492" s="48">
        <v>31</v>
      </c>
      <c r="C492" s="39">
        <v>194.20500000000001</v>
      </c>
      <c r="D492" s="39">
        <v>267.46600000000001</v>
      </c>
      <c r="E492" s="45">
        <v>812.32899999999995</v>
      </c>
      <c r="F492" s="39">
        <v>1274</v>
      </c>
      <c r="G492" s="39">
        <v>50</v>
      </c>
      <c r="H492" s="47">
        <v>600</v>
      </c>
      <c r="I492" s="39">
        <v>695</v>
      </c>
      <c r="J492" s="39">
        <v>0</v>
      </c>
      <c r="K492" s="40"/>
      <c r="L492" s="40"/>
      <c r="M492" s="40"/>
      <c r="N492" s="40"/>
      <c r="O492" s="40"/>
      <c r="P492" s="40"/>
      <c r="Q492" s="40"/>
      <c r="R492" s="40"/>
      <c r="S492" s="40"/>
      <c r="T492" s="40"/>
    </row>
    <row r="493" spans="1:20" ht="15.75">
      <c r="A493" s="13">
        <v>56157</v>
      </c>
      <c r="B493" s="48">
        <v>30</v>
      </c>
      <c r="C493" s="39">
        <v>194.20500000000001</v>
      </c>
      <c r="D493" s="39">
        <v>267.46600000000001</v>
      </c>
      <c r="E493" s="45">
        <v>812.32899999999995</v>
      </c>
      <c r="F493" s="39">
        <v>1274</v>
      </c>
      <c r="G493" s="39">
        <v>50</v>
      </c>
      <c r="H493" s="47">
        <v>600</v>
      </c>
      <c r="I493" s="39">
        <v>695</v>
      </c>
      <c r="J493" s="39">
        <v>0</v>
      </c>
      <c r="K493" s="40"/>
      <c r="L493" s="40"/>
      <c r="M493" s="40"/>
      <c r="N493" s="40"/>
      <c r="O493" s="40"/>
      <c r="P493" s="40"/>
      <c r="Q493" s="40"/>
      <c r="R493" s="40"/>
      <c r="S493" s="40"/>
      <c r="T493" s="40"/>
    </row>
    <row r="494" spans="1:20" ht="15.75">
      <c r="A494" s="13">
        <v>56188</v>
      </c>
      <c r="B494" s="48">
        <v>31</v>
      </c>
      <c r="C494" s="39">
        <v>131.881</v>
      </c>
      <c r="D494" s="39">
        <v>277.16699999999997</v>
      </c>
      <c r="E494" s="45">
        <v>829.952</v>
      </c>
      <c r="F494" s="39">
        <v>1239</v>
      </c>
      <c r="G494" s="39">
        <v>75</v>
      </c>
      <c r="H494" s="47">
        <v>600</v>
      </c>
      <c r="I494" s="39">
        <v>695</v>
      </c>
      <c r="J494" s="39">
        <v>0</v>
      </c>
      <c r="K494" s="40"/>
      <c r="L494" s="40"/>
      <c r="M494" s="40"/>
      <c r="N494" s="40"/>
      <c r="O494" s="40"/>
      <c r="P494" s="40"/>
      <c r="Q494" s="40"/>
      <c r="R494" s="40"/>
      <c r="S494" s="40"/>
      <c r="T494" s="40"/>
    </row>
    <row r="495" spans="1:20" ht="15.75">
      <c r="A495" s="13">
        <v>56218</v>
      </c>
      <c r="B495" s="48">
        <v>30</v>
      </c>
      <c r="C495" s="39">
        <v>122.58</v>
      </c>
      <c r="D495" s="39">
        <v>297.94099999999997</v>
      </c>
      <c r="E495" s="45">
        <v>729.47900000000004</v>
      </c>
      <c r="F495" s="39">
        <v>1150</v>
      </c>
      <c r="G495" s="39">
        <v>100</v>
      </c>
      <c r="H495" s="47">
        <v>600</v>
      </c>
      <c r="I495" s="39">
        <v>695</v>
      </c>
      <c r="J495" s="39">
        <v>50</v>
      </c>
      <c r="K495" s="40"/>
      <c r="L495" s="40"/>
      <c r="M495" s="40"/>
      <c r="N495" s="40"/>
      <c r="O495" s="40"/>
      <c r="P495" s="40"/>
      <c r="Q495" s="40"/>
      <c r="R495" s="40"/>
      <c r="S495" s="40"/>
      <c r="T495" s="40"/>
    </row>
    <row r="496" spans="1:20" ht="15.75">
      <c r="A496" s="13">
        <v>56249</v>
      </c>
      <c r="B496" s="48">
        <v>31</v>
      </c>
      <c r="C496" s="39">
        <v>122.58</v>
      </c>
      <c r="D496" s="39">
        <v>297.94099999999997</v>
      </c>
      <c r="E496" s="45">
        <v>729.47900000000004</v>
      </c>
      <c r="F496" s="39">
        <v>1150</v>
      </c>
      <c r="G496" s="39">
        <v>100</v>
      </c>
      <c r="H496" s="47">
        <v>600</v>
      </c>
      <c r="I496" s="39">
        <v>695</v>
      </c>
      <c r="J496" s="39">
        <v>50</v>
      </c>
      <c r="K496" s="40"/>
      <c r="L496" s="40"/>
      <c r="M496" s="40"/>
      <c r="N496" s="40"/>
      <c r="O496" s="40"/>
      <c r="P496" s="40"/>
      <c r="Q496" s="40"/>
      <c r="R496" s="40"/>
      <c r="S496" s="40"/>
      <c r="T496" s="40"/>
    </row>
    <row r="497" spans="1:20" ht="15.75">
      <c r="A497" s="13">
        <v>56280</v>
      </c>
      <c r="B497" s="48">
        <v>31</v>
      </c>
      <c r="C497" s="39">
        <v>122.58</v>
      </c>
      <c r="D497" s="39">
        <v>297.94099999999997</v>
      </c>
      <c r="E497" s="45">
        <v>729.47900000000004</v>
      </c>
      <c r="F497" s="39">
        <v>1150</v>
      </c>
      <c r="G497" s="39">
        <v>100</v>
      </c>
      <c r="H497" s="47">
        <v>600</v>
      </c>
      <c r="I497" s="39">
        <v>695</v>
      </c>
      <c r="J497" s="39">
        <v>50</v>
      </c>
      <c r="K497" s="40"/>
      <c r="L497" s="40"/>
      <c r="M497" s="40"/>
      <c r="N497" s="40"/>
      <c r="O497" s="40"/>
      <c r="P497" s="40"/>
      <c r="Q497" s="40"/>
      <c r="R497" s="40"/>
      <c r="S497" s="40"/>
      <c r="T497" s="40"/>
    </row>
    <row r="498" spans="1:20" ht="15.75">
      <c r="A498" s="13">
        <v>56308</v>
      </c>
      <c r="B498" s="48">
        <v>28</v>
      </c>
      <c r="C498" s="39">
        <v>122.58</v>
      </c>
      <c r="D498" s="39">
        <v>297.94099999999997</v>
      </c>
      <c r="E498" s="45">
        <v>729.47900000000004</v>
      </c>
      <c r="F498" s="39">
        <v>1150</v>
      </c>
      <c r="G498" s="39">
        <v>100</v>
      </c>
      <c r="H498" s="47">
        <v>600</v>
      </c>
      <c r="I498" s="39">
        <v>695</v>
      </c>
      <c r="J498" s="39">
        <v>50</v>
      </c>
      <c r="K498" s="40"/>
      <c r="L498" s="40"/>
      <c r="M498" s="40"/>
      <c r="N498" s="40"/>
      <c r="O498" s="40"/>
      <c r="P498" s="40"/>
      <c r="Q498" s="40"/>
      <c r="R498" s="40"/>
      <c r="S498" s="40"/>
      <c r="T498" s="40"/>
    </row>
    <row r="499" spans="1:20" ht="15.75">
      <c r="A499" s="13">
        <v>56339</v>
      </c>
      <c r="B499" s="48">
        <v>31</v>
      </c>
      <c r="C499" s="39">
        <v>122.58</v>
      </c>
      <c r="D499" s="39">
        <v>297.94099999999997</v>
      </c>
      <c r="E499" s="45">
        <v>729.47900000000004</v>
      </c>
      <c r="F499" s="39">
        <v>1150</v>
      </c>
      <c r="G499" s="39">
        <v>100</v>
      </c>
      <c r="H499" s="47">
        <v>600</v>
      </c>
      <c r="I499" s="39">
        <v>695</v>
      </c>
      <c r="J499" s="39">
        <v>50</v>
      </c>
      <c r="K499" s="40"/>
      <c r="L499" s="40"/>
      <c r="M499" s="40"/>
      <c r="N499" s="40"/>
      <c r="O499" s="40"/>
      <c r="P499" s="40"/>
      <c r="Q499" s="40"/>
      <c r="R499" s="40"/>
      <c r="S499" s="40"/>
      <c r="T499" s="40"/>
    </row>
    <row r="500" spans="1:20" ht="15.75">
      <c r="A500" s="13">
        <v>56369</v>
      </c>
      <c r="B500" s="48">
        <v>30</v>
      </c>
      <c r="C500" s="39">
        <v>141.29300000000001</v>
      </c>
      <c r="D500" s="39">
        <v>267.99299999999999</v>
      </c>
      <c r="E500" s="45">
        <v>829.71400000000006</v>
      </c>
      <c r="F500" s="39">
        <v>1239</v>
      </c>
      <c r="G500" s="39">
        <v>100</v>
      </c>
      <c r="H500" s="47">
        <v>600</v>
      </c>
      <c r="I500" s="39">
        <v>695</v>
      </c>
      <c r="J500" s="39">
        <v>50</v>
      </c>
      <c r="K500" s="40"/>
      <c r="L500" s="40"/>
      <c r="M500" s="40"/>
      <c r="N500" s="40"/>
      <c r="O500" s="40"/>
      <c r="P500" s="40"/>
      <c r="Q500" s="40"/>
      <c r="R500" s="40"/>
      <c r="S500" s="40"/>
      <c r="T500" s="40"/>
    </row>
    <row r="501" spans="1:20" ht="15.75">
      <c r="A501" s="13">
        <v>56400</v>
      </c>
      <c r="B501" s="48">
        <v>31</v>
      </c>
      <c r="C501" s="39">
        <v>194.20500000000001</v>
      </c>
      <c r="D501" s="39">
        <v>267.46600000000001</v>
      </c>
      <c r="E501" s="45">
        <v>812.32899999999995</v>
      </c>
      <c r="F501" s="39">
        <v>1274</v>
      </c>
      <c r="G501" s="39">
        <v>75</v>
      </c>
      <c r="H501" s="47">
        <v>600</v>
      </c>
      <c r="I501" s="39">
        <v>695</v>
      </c>
      <c r="J501" s="39">
        <v>50</v>
      </c>
      <c r="K501" s="40"/>
      <c r="L501" s="40"/>
      <c r="M501" s="40"/>
      <c r="N501" s="40"/>
      <c r="O501" s="40"/>
      <c r="P501" s="40"/>
      <c r="Q501" s="40"/>
      <c r="R501" s="40"/>
      <c r="S501" s="40"/>
      <c r="T501" s="40"/>
    </row>
    <row r="502" spans="1:20" ht="15.75">
      <c r="A502" s="13">
        <v>56430</v>
      </c>
      <c r="B502" s="48">
        <v>30</v>
      </c>
      <c r="C502" s="39">
        <v>194.20500000000001</v>
      </c>
      <c r="D502" s="39">
        <v>267.46600000000001</v>
      </c>
      <c r="E502" s="45">
        <v>812.32899999999995</v>
      </c>
      <c r="F502" s="39">
        <v>1274</v>
      </c>
      <c r="G502" s="39">
        <v>50</v>
      </c>
      <c r="H502" s="47">
        <v>600</v>
      </c>
      <c r="I502" s="39">
        <v>695</v>
      </c>
      <c r="J502" s="39">
        <v>50</v>
      </c>
      <c r="K502" s="40"/>
      <c r="L502" s="40"/>
      <c r="M502" s="40"/>
      <c r="N502" s="40"/>
      <c r="O502" s="40"/>
      <c r="P502" s="40"/>
      <c r="Q502" s="40"/>
      <c r="R502" s="40"/>
      <c r="S502" s="40"/>
      <c r="T502" s="40"/>
    </row>
    <row r="503" spans="1:20" ht="15.75">
      <c r="A503" s="13">
        <v>56461</v>
      </c>
      <c r="B503" s="48">
        <v>31</v>
      </c>
      <c r="C503" s="39">
        <v>194.20500000000001</v>
      </c>
      <c r="D503" s="39">
        <v>267.46600000000001</v>
      </c>
      <c r="E503" s="45">
        <v>812.32899999999995</v>
      </c>
      <c r="F503" s="39">
        <v>1274</v>
      </c>
      <c r="G503" s="39">
        <v>50</v>
      </c>
      <c r="H503" s="47">
        <v>600</v>
      </c>
      <c r="I503" s="39">
        <v>695</v>
      </c>
      <c r="J503" s="39">
        <v>0</v>
      </c>
      <c r="K503" s="40"/>
      <c r="L503" s="40"/>
      <c r="M503" s="40"/>
      <c r="N503" s="40"/>
      <c r="O503" s="40"/>
      <c r="P503" s="40"/>
      <c r="Q503" s="40"/>
      <c r="R503" s="40"/>
      <c r="S503" s="40"/>
      <c r="T503" s="40"/>
    </row>
    <row r="504" spans="1:20" ht="15.75">
      <c r="A504" s="13">
        <v>56492</v>
      </c>
      <c r="B504" s="48">
        <v>31</v>
      </c>
      <c r="C504" s="39">
        <v>194.20500000000001</v>
      </c>
      <c r="D504" s="39">
        <v>267.46600000000001</v>
      </c>
      <c r="E504" s="45">
        <v>812.32899999999995</v>
      </c>
      <c r="F504" s="39">
        <v>1274</v>
      </c>
      <c r="G504" s="39">
        <v>50</v>
      </c>
      <c r="H504" s="47">
        <v>600</v>
      </c>
      <c r="I504" s="39">
        <v>695</v>
      </c>
      <c r="J504" s="39">
        <v>0</v>
      </c>
      <c r="K504" s="40"/>
      <c r="L504" s="40"/>
      <c r="M504" s="40"/>
      <c r="N504" s="40"/>
      <c r="O504" s="40"/>
      <c r="P504" s="40"/>
      <c r="Q504" s="40"/>
      <c r="R504" s="40"/>
      <c r="S504" s="40"/>
      <c r="T504" s="40"/>
    </row>
    <row r="505" spans="1:20" ht="15.75">
      <c r="A505" s="13">
        <v>56522</v>
      </c>
      <c r="B505" s="48">
        <v>30</v>
      </c>
      <c r="C505" s="39">
        <v>194.20500000000001</v>
      </c>
      <c r="D505" s="39">
        <v>267.46600000000001</v>
      </c>
      <c r="E505" s="45">
        <v>812.32899999999995</v>
      </c>
      <c r="F505" s="39">
        <v>1274</v>
      </c>
      <c r="G505" s="39">
        <v>50</v>
      </c>
      <c r="H505" s="47">
        <v>600</v>
      </c>
      <c r="I505" s="39">
        <v>695</v>
      </c>
      <c r="J505" s="39">
        <v>0</v>
      </c>
      <c r="K505" s="40"/>
      <c r="L505" s="40"/>
      <c r="M505" s="40"/>
      <c r="N505" s="40"/>
      <c r="O505" s="40"/>
      <c r="P505" s="40"/>
      <c r="Q505" s="40"/>
      <c r="R505" s="40"/>
      <c r="S505" s="40"/>
      <c r="T505" s="40"/>
    </row>
    <row r="506" spans="1:20" ht="15.75">
      <c r="A506" s="13">
        <v>56553</v>
      </c>
      <c r="B506" s="48">
        <v>31</v>
      </c>
      <c r="C506" s="39">
        <v>131.881</v>
      </c>
      <c r="D506" s="39">
        <v>277.16699999999997</v>
      </c>
      <c r="E506" s="45">
        <v>829.952</v>
      </c>
      <c r="F506" s="39">
        <v>1239</v>
      </c>
      <c r="G506" s="39">
        <v>75</v>
      </c>
      <c r="H506" s="47">
        <v>600</v>
      </c>
      <c r="I506" s="39">
        <v>695</v>
      </c>
      <c r="J506" s="39">
        <v>0</v>
      </c>
      <c r="K506" s="40"/>
      <c r="L506" s="40"/>
      <c r="M506" s="40"/>
      <c r="N506" s="40"/>
      <c r="O506" s="40"/>
      <c r="P506" s="40"/>
      <c r="Q506" s="40"/>
      <c r="R506" s="40"/>
      <c r="S506" s="40"/>
      <c r="T506" s="40"/>
    </row>
    <row r="507" spans="1:20" ht="15.75">
      <c r="A507" s="13">
        <v>56583</v>
      </c>
      <c r="B507" s="48">
        <v>30</v>
      </c>
      <c r="C507" s="39">
        <v>122.58</v>
      </c>
      <c r="D507" s="39">
        <v>297.94099999999997</v>
      </c>
      <c r="E507" s="45">
        <v>729.47900000000004</v>
      </c>
      <c r="F507" s="39">
        <v>1150</v>
      </c>
      <c r="G507" s="39">
        <v>100</v>
      </c>
      <c r="H507" s="47">
        <v>600</v>
      </c>
      <c r="I507" s="39">
        <v>695</v>
      </c>
      <c r="J507" s="39">
        <v>50</v>
      </c>
      <c r="K507" s="40"/>
      <c r="L507" s="40"/>
      <c r="M507" s="40"/>
      <c r="N507" s="40"/>
      <c r="O507" s="40"/>
      <c r="P507" s="40"/>
      <c r="Q507" s="40"/>
      <c r="R507" s="40"/>
      <c r="S507" s="40"/>
      <c r="T507" s="40"/>
    </row>
    <row r="508" spans="1:20" ht="15.75">
      <c r="A508" s="13">
        <v>56614</v>
      </c>
      <c r="B508" s="48">
        <v>31</v>
      </c>
      <c r="C508" s="39">
        <v>122.58</v>
      </c>
      <c r="D508" s="39">
        <v>297.94099999999997</v>
      </c>
      <c r="E508" s="45">
        <v>729.47900000000004</v>
      </c>
      <c r="F508" s="39">
        <v>1150</v>
      </c>
      <c r="G508" s="39">
        <v>100</v>
      </c>
      <c r="H508" s="47">
        <v>600</v>
      </c>
      <c r="I508" s="39">
        <v>695</v>
      </c>
      <c r="J508" s="39">
        <v>50</v>
      </c>
      <c r="K508" s="40"/>
      <c r="L508" s="40"/>
      <c r="M508" s="40"/>
      <c r="N508" s="40"/>
      <c r="O508" s="40"/>
      <c r="P508" s="40"/>
      <c r="Q508" s="40"/>
      <c r="R508" s="40"/>
      <c r="S508" s="40"/>
      <c r="T508" s="40"/>
    </row>
    <row r="509" spans="1:20" ht="15.75">
      <c r="A509" s="13">
        <v>56645</v>
      </c>
      <c r="B509" s="48">
        <v>31</v>
      </c>
      <c r="C509" s="39">
        <v>122.58</v>
      </c>
      <c r="D509" s="39">
        <v>297.94099999999997</v>
      </c>
      <c r="E509" s="45">
        <v>729.47900000000004</v>
      </c>
      <c r="F509" s="39">
        <v>1150</v>
      </c>
      <c r="G509" s="39">
        <v>100</v>
      </c>
      <c r="H509" s="47">
        <v>600</v>
      </c>
      <c r="I509" s="39">
        <v>695</v>
      </c>
      <c r="J509" s="39">
        <v>50</v>
      </c>
      <c r="K509" s="40"/>
      <c r="L509" s="40"/>
      <c r="M509" s="40"/>
      <c r="N509" s="40"/>
      <c r="O509" s="40"/>
      <c r="P509" s="40"/>
      <c r="Q509" s="40"/>
      <c r="R509" s="40"/>
      <c r="S509" s="40"/>
      <c r="T509" s="40"/>
    </row>
    <row r="510" spans="1:20" ht="15.75">
      <c r="A510" s="13">
        <v>56673</v>
      </c>
      <c r="B510" s="48">
        <v>28</v>
      </c>
      <c r="C510" s="39">
        <v>122.58</v>
      </c>
      <c r="D510" s="39">
        <v>297.94099999999997</v>
      </c>
      <c r="E510" s="45">
        <v>729.47900000000004</v>
      </c>
      <c r="F510" s="39">
        <v>1150</v>
      </c>
      <c r="G510" s="39">
        <v>100</v>
      </c>
      <c r="H510" s="47">
        <v>600</v>
      </c>
      <c r="I510" s="39">
        <v>695</v>
      </c>
      <c r="J510" s="39">
        <v>50</v>
      </c>
      <c r="K510" s="40"/>
      <c r="L510" s="40"/>
      <c r="M510" s="40"/>
      <c r="N510" s="40"/>
      <c r="O510" s="40"/>
      <c r="P510" s="40"/>
      <c r="Q510" s="40"/>
      <c r="R510" s="40"/>
      <c r="S510" s="40"/>
      <c r="T510" s="40"/>
    </row>
    <row r="511" spans="1:20" ht="15.75">
      <c r="A511" s="13">
        <v>56704</v>
      </c>
      <c r="B511" s="48">
        <v>31</v>
      </c>
      <c r="C511" s="39">
        <v>122.58</v>
      </c>
      <c r="D511" s="39">
        <v>297.94099999999997</v>
      </c>
      <c r="E511" s="45">
        <v>729.47900000000004</v>
      </c>
      <c r="F511" s="39">
        <v>1150</v>
      </c>
      <c r="G511" s="39">
        <v>100</v>
      </c>
      <c r="H511" s="47">
        <v>600</v>
      </c>
      <c r="I511" s="39">
        <v>695</v>
      </c>
      <c r="J511" s="39">
        <v>50</v>
      </c>
      <c r="K511" s="40"/>
      <c r="L511" s="40"/>
      <c r="M511" s="40"/>
      <c r="N511" s="40"/>
      <c r="O511" s="40"/>
      <c r="P511" s="40"/>
      <c r="Q511" s="40"/>
      <c r="R511" s="40"/>
      <c r="S511" s="40"/>
      <c r="T511" s="40"/>
    </row>
    <row r="512" spans="1:20" ht="15.75">
      <c r="A512" s="13">
        <v>56734</v>
      </c>
      <c r="B512" s="48">
        <v>30</v>
      </c>
      <c r="C512" s="39">
        <v>141.29300000000001</v>
      </c>
      <c r="D512" s="39">
        <v>267.99299999999999</v>
      </c>
      <c r="E512" s="45">
        <v>829.71400000000006</v>
      </c>
      <c r="F512" s="39">
        <v>1239</v>
      </c>
      <c r="G512" s="39">
        <v>100</v>
      </c>
      <c r="H512" s="47">
        <v>600</v>
      </c>
      <c r="I512" s="39">
        <v>695</v>
      </c>
      <c r="J512" s="39">
        <v>50</v>
      </c>
      <c r="K512" s="40"/>
      <c r="L512" s="40"/>
      <c r="M512" s="40"/>
      <c r="N512" s="40"/>
      <c r="O512" s="40"/>
      <c r="P512" s="40"/>
      <c r="Q512" s="40"/>
      <c r="R512" s="40"/>
      <c r="S512" s="40"/>
      <c r="T512" s="40"/>
    </row>
    <row r="513" spans="1:20" ht="15.75">
      <c r="A513" s="13">
        <v>56765</v>
      </c>
      <c r="B513" s="48">
        <v>31</v>
      </c>
      <c r="C513" s="39">
        <v>194.20500000000001</v>
      </c>
      <c r="D513" s="39">
        <v>267.46600000000001</v>
      </c>
      <c r="E513" s="45">
        <v>812.32899999999995</v>
      </c>
      <c r="F513" s="39">
        <v>1274</v>
      </c>
      <c r="G513" s="39">
        <v>75</v>
      </c>
      <c r="H513" s="47">
        <v>600</v>
      </c>
      <c r="I513" s="39">
        <v>695</v>
      </c>
      <c r="J513" s="39">
        <v>50</v>
      </c>
      <c r="K513" s="40"/>
      <c r="L513" s="40"/>
      <c r="M513" s="40"/>
      <c r="N513" s="40"/>
      <c r="O513" s="40"/>
      <c r="P513" s="40"/>
      <c r="Q513" s="40"/>
      <c r="R513" s="40"/>
      <c r="S513" s="40"/>
      <c r="T513" s="40"/>
    </row>
    <row r="514" spans="1:20" ht="15.75">
      <c r="A514" s="13">
        <v>56795</v>
      </c>
      <c r="B514" s="48">
        <v>30</v>
      </c>
      <c r="C514" s="39">
        <v>194.20500000000001</v>
      </c>
      <c r="D514" s="39">
        <v>267.46600000000001</v>
      </c>
      <c r="E514" s="45">
        <v>812.32899999999995</v>
      </c>
      <c r="F514" s="39">
        <v>1274</v>
      </c>
      <c r="G514" s="39">
        <v>50</v>
      </c>
      <c r="H514" s="47">
        <v>600</v>
      </c>
      <c r="I514" s="39">
        <v>695</v>
      </c>
      <c r="J514" s="39">
        <v>50</v>
      </c>
      <c r="K514" s="40"/>
      <c r="L514" s="40"/>
      <c r="M514" s="40"/>
      <c r="N514" s="40"/>
      <c r="O514" s="40"/>
      <c r="P514" s="40"/>
      <c r="Q514" s="40"/>
      <c r="R514" s="40"/>
      <c r="S514" s="40"/>
      <c r="T514" s="40"/>
    </row>
    <row r="515" spans="1:20" ht="15.75">
      <c r="A515" s="13">
        <v>56826</v>
      </c>
      <c r="B515" s="48">
        <v>31</v>
      </c>
      <c r="C515" s="39">
        <v>194.20500000000001</v>
      </c>
      <c r="D515" s="39">
        <v>267.46600000000001</v>
      </c>
      <c r="E515" s="45">
        <v>812.32899999999995</v>
      </c>
      <c r="F515" s="39">
        <v>1274</v>
      </c>
      <c r="G515" s="39">
        <v>50</v>
      </c>
      <c r="H515" s="47">
        <v>600</v>
      </c>
      <c r="I515" s="39">
        <v>695</v>
      </c>
      <c r="J515" s="39">
        <v>0</v>
      </c>
      <c r="K515" s="40"/>
      <c r="L515" s="40"/>
      <c r="M515" s="40"/>
      <c r="N515" s="40"/>
      <c r="O515" s="40"/>
      <c r="P515" s="40"/>
      <c r="Q515" s="40"/>
      <c r="R515" s="40"/>
      <c r="S515" s="40"/>
      <c r="T515" s="40"/>
    </row>
    <row r="516" spans="1:20" ht="15.75">
      <c r="A516" s="13">
        <v>56857</v>
      </c>
      <c r="B516" s="48">
        <v>31</v>
      </c>
      <c r="C516" s="39">
        <v>194.20500000000001</v>
      </c>
      <c r="D516" s="39">
        <v>267.46600000000001</v>
      </c>
      <c r="E516" s="45">
        <v>812.32899999999995</v>
      </c>
      <c r="F516" s="39">
        <v>1274</v>
      </c>
      <c r="G516" s="39">
        <v>50</v>
      </c>
      <c r="H516" s="47">
        <v>600</v>
      </c>
      <c r="I516" s="39">
        <v>695</v>
      </c>
      <c r="J516" s="39">
        <v>0</v>
      </c>
      <c r="K516" s="40"/>
      <c r="L516" s="40"/>
      <c r="M516" s="40"/>
      <c r="N516" s="40"/>
      <c r="O516" s="40"/>
      <c r="P516" s="40"/>
      <c r="Q516" s="40"/>
      <c r="R516" s="40"/>
      <c r="S516" s="40"/>
      <c r="T516" s="40"/>
    </row>
    <row r="517" spans="1:20" ht="15.75">
      <c r="A517" s="13">
        <v>56887</v>
      </c>
      <c r="B517" s="48">
        <v>30</v>
      </c>
      <c r="C517" s="39">
        <v>194.20500000000001</v>
      </c>
      <c r="D517" s="39">
        <v>267.46600000000001</v>
      </c>
      <c r="E517" s="45">
        <v>812.32899999999995</v>
      </c>
      <c r="F517" s="39">
        <v>1274</v>
      </c>
      <c r="G517" s="39">
        <v>50</v>
      </c>
      <c r="H517" s="47">
        <v>600</v>
      </c>
      <c r="I517" s="39">
        <v>695</v>
      </c>
      <c r="J517" s="39">
        <v>0</v>
      </c>
      <c r="K517" s="40"/>
      <c r="L517" s="40"/>
      <c r="M517" s="40"/>
      <c r="N517" s="40"/>
      <c r="O517" s="40"/>
      <c r="P517" s="40"/>
      <c r="Q517" s="40"/>
      <c r="R517" s="40"/>
      <c r="S517" s="40"/>
      <c r="T517" s="40"/>
    </row>
    <row r="518" spans="1:20" ht="15.75">
      <c r="A518" s="13">
        <v>56918</v>
      </c>
      <c r="B518" s="48">
        <v>31</v>
      </c>
      <c r="C518" s="39">
        <v>131.881</v>
      </c>
      <c r="D518" s="39">
        <v>277.16699999999997</v>
      </c>
      <c r="E518" s="45">
        <v>829.952</v>
      </c>
      <c r="F518" s="39">
        <v>1239</v>
      </c>
      <c r="G518" s="39">
        <v>75</v>
      </c>
      <c r="H518" s="47">
        <v>600</v>
      </c>
      <c r="I518" s="39">
        <v>695</v>
      </c>
      <c r="J518" s="39">
        <v>0</v>
      </c>
      <c r="K518" s="40"/>
      <c r="L518" s="40"/>
      <c r="M518" s="40"/>
      <c r="N518" s="40"/>
      <c r="O518" s="40"/>
      <c r="P518" s="40"/>
      <c r="Q518" s="40"/>
      <c r="R518" s="40"/>
      <c r="S518" s="40"/>
      <c r="T518" s="40"/>
    </row>
    <row r="519" spans="1:20" ht="15.75">
      <c r="A519" s="13">
        <v>56948</v>
      </c>
      <c r="B519" s="48">
        <v>30</v>
      </c>
      <c r="C519" s="39">
        <v>122.58</v>
      </c>
      <c r="D519" s="39">
        <v>297.94099999999997</v>
      </c>
      <c r="E519" s="45">
        <v>729.47900000000004</v>
      </c>
      <c r="F519" s="39">
        <v>1150</v>
      </c>
      <c r="G519" s="39">
        <v>100</v>
      </c>
      <c r="H519" s="47">
        <v>600</v>
      </c>
      <c r="I519" s="39">
        <v>695</v>
      </c>
      <c r="J519" s="39">
        <v>50</v>
      </c>
      <c r="K519" s="40"/>
      <c r="L519" s="40"/>
      <c r="M519" s="40"/>
      <c r="N519" s="40"/>
      <c r="O519" s="40"/>
      <c r="P519" s="40"/>
      <c r="Q519" s="40"/>
      <c r="R519" s="40"/>
      <c r="S519" s="40"/>
      <c r="T519" s="40"/>
    </row>
    <row r="520" spans="1:20" ht="15.75">
      <c r="A520" s="13">
        <v>56979</v>
      </c>
      <c r="B520" s="48">
        <v>31</v>
      </c>
      <c r="C520" s="39">
        <v>122.58</v>
      </c>
      <c r="D520" s="39">
        <v>297.94099999999997</v>
      </c>
      <c r="E520" s="45">
        <v>729.47900000000004</v>
      </c>
      <c r="F520" s="39">
        <v>1150</v>
      </c>
      <c r="G520" s="39">
        <v>100</v>
      </c>
      <c r="H520" s="47">
        <v>600</v>
      </c>
      <c r="I520" s="39">
        <v>695</v>
      </c>
      <c r="J520" s="39">
        <v>50</v>
      </c>
      <c r="K520" s="40"/>
      <c r="L520" s="40"/>
      <c r="M520" s="40"/>
      <c r="N520" s="40"/>
      <c r="O520" s="40"/>
      <c r="P520" s="40"/>
      <c r="Q520" s="40"/>
      <c r="R520" s="40"/>
      <c r="S520" s="40"/>
      <c r="T520" s="40"/>
    </row>
    <row r="521" spans="1:20" ht="15.75">
      <c r="A521" s="13">
        <v>57010</v>
      </c>
      <c r="B521" s="48">
        <v>31</v>
      </c>
      <c r="C521" s="39">
        <v>122.58</v>
      </c>
      <c r="D521" s="39">
        <v>297.94099999999997</v>
      </c>
      <c r="E521" s="45">
        <v>729.47900000000004</v>
      </c>
      <c r="F521" s="39">
        <v>1150</v>
      </c>
      <c r="G521" s="39">
        <v>100</v>
      </c>
      <c r="H521" s="47">
        <v>600</v>
      </c>
      <c r="I521" s="39">
        <v>695</v>
      </c>
      <c r="J521" s="39">
        <v>50</v>
      </c>
      <c r="K521" s="40"/>
      <c r="L521" s="40"/>
      <c r="M521" s="40"/>
      <c r="N521" s="40"/>
      <c r="O521" s="40"/>
      <c r="P521" s="40"/>
      <c r="Q521" s="40"/>
      <c r="R521" s="40"/>
      <c r="S521" s="40"/>
      <c r="T521" s="40"/>
    </row>
    <row r="522" spans="1:20" ht="15.75">
      <c r="A522" s="13">
        <v>57038</v>
      </c>
      <c r="B522" s="48">
        <v>29</v>
      </c>
      <c r="C522" s="39">
        <v>122.58</v>
      </c>
      <c r="D522" s="39">
        <v>297.94099999999997</v>
      </c>
      <c r="E522" s="45">
        <v>729.47900000000004</v>
      </c>
      <c r="F522" s="39">
        <v>1150</v>
      </c>
      <c r="G522" s="39">
        <v>100</v>
      </c>
      <c r="H522" s="47">
        <v>600</v>
      </c>
      <c r="I522" s="39">
        <v>695</v>
      </c>
      <c r="J522" s="39">
        <v>50</v>
      </c>
      <c r="K522" s="40"/>
      <c r="L522" s="40"/>
      <c r="M522" s="40"/>
      <c r="N522" s="40"/>
      <c r="O522" s="40"/>
      <c r="P522" s="40"/>
      <c r="Q522" s="40"/>
      <c r="R522" s="40"/>
      <c r="S522" s="40"/>
      <c r="T522" s="40"/>
    </row>
    <row r="523" spans="1:20" ht="15.75">
      <c r="A523" s="13">
        <v>57070</v>
      </c>
      <c r="B523" s="48">
        <v>31</v>
      </c>
      <c r="C523" s="39">
        <v>122.58</v>
      </c>
      <c r="D523" s="39">
        <v>297.94099999999997</v>
      </c>
      <c r="E523" s="45">
        <v>729.47900000000004</v>
      </c>
      <c r="F523" s="39">
        <v>1150</v>
      </c>
      <c r="G523" s="39">
        <v>100</v>
      </c>
      <c r="H523" s="47">
        <v>600</v>
      </c>
      <c r="I523" s="39">
        <v>695</v>
      </c>
      <c r="J523" s="39">
        <v>50</v>
      </c>
      <c r="K523" s="40"/>
      <c r="L523" s="40"/>
      <c r="M523" s="40"/>
      <c r="N523" s="40"/>
      <c r="O523" s="40"/>
      <c r="P523" s="40"/>
      <c r="Q523" s="40"/>
      <c r="R523" s="40"/>
      <c r="S523" s="40"/>
      <c r="T523" s="40"/>
    </row>
    <row r="524" spans="1:20" ht="15.75">
      <c r="A524" s="13">
        <v>57100</v>
      </c>
      <c r="B524" s="48">
        <v>30</v>
      </c>
      <c r="C524" s="39">
        <v>141.29300000000001</v>
      </c>
      <c r="D524" s="39">
        <v>267.99299999999999</v>
      </c>
      <c r="E524" s="45">
        <v>829.71400000000006</v>
      </c>
      <c r="F524" s="39">
        <v>1239</v>
      </c>
      <c r="G524" s="39">
        <v>100</v>
      </c>
      <c r="H524" s="47">
        <v>600</v>
      </c>
      <c r="I524" s="39">
        <v>695</v>
      </c>
      <c r="J524" s="39">
        <v>50</v>
      </c>
      <c r="K524" s="40"/>
      <c r="L524" s="40"/>
      <c r="M524" s="40"/>
      <c r="N524" s="40"/>
      <c r="O524" s="40"/>
      <c r="P524" s="40"/>
      <c r="Q524" s="40"/>
      <c r="R524" s="40"/>
      <c r="S524" s="40"/>
      <c r="T524" s="40"/>
    </row>
    <row r="525" spans="1:20" ht="15.75">
      <c r="A525" s="13">
        <v>57131</v>
      </c>
      <c r="B525" s="48">
        <v>31</v>
      </c>
      <c r="C525" s="39">
        <v>194.20500000000001</v>
      </c>
      <c r="D525" s="39">
        <v>267.46600000000001</v>
      </c>
      <c r="E525" s="45">
        <v>812.32899999999995</v>
      </c>
      <c r="F525" s="39">
        <v>1274</v>
      </c>
      <c r="G525" s="39">
        <v>75</v>
      </c>
      <c r="H525" s="47">
        <v>600</v>
      </c>
      <c r="I525" s="39">
        <v>695</v>
      </c>
      <c r="J525" s="39">
        <v>50</v>
      </c>
      <c r="K525" s="40"/>
      <c r="L525" s="40"/>
      <c r="M525" s="40"/>
      <c r="N525" s="40"/>
      <c r="O525" s="40"/>
      <c r="P525" s="40"/>
      <c r="Q525" s="40"/>
      <c r="R525" s="40"/>
      <c r="S525" s="40"/>
      <c r="T525" s="40"/>
    </row>
    <row r="526" spans="1:20" ht="15.75">
      <c r="A526" s="13">
        <v>57161</v>
      </c>
      <c r="B526" s="48">
        <v>30</v>
      </c>
      <c r="C526" s="39">
        <v>194.20500000000001</v>
      </c>
      <c r="D526" s="39">
        <v>267.46600000000001</v>
      </c>
      <c r="E526" s="45">
        <v>812.32899999999995</v>
      </c>
      <c r="F526" s="39">
        <v>1274</v>
      </c>
      <c r="G526" s="39">
        <v>50</v>
      </c>
      <c r="H526" s="47">
        <v>600</v>
      </c>
      <c r="I526" s="39">
        <v>695</v>
      </c>
      <c r="J526" s="39">
        <v>50</v>
      </c>
      <c r="K526" s="40"/>
      <c r="L526" s="40"/>
      <c r="M526" s="40"/>
      <c r="N526" s="40"/>
      <c r="O526" s="40"/>
      <c r="P526" s="40"/>
      <c r="Q526" s="40"/>
      <c r="R526" s="40"/>
      <c r="S526" s="40"/>
      <c r="T526" s="40"/>
    </row>
    <row r="527" spans="1:20" ht="15.75">
      <c r="A527" s="13">
        <v>57192</v>
      </c>
      <c r="B527" s="48">
        <v>31</v>
      </c>
      <c r="C527" s="39">
        <v>194.20500000000001</v>
      </c>
      <c r="D527" s="39">
        <v>267.46600000000001</v>
      </c>
      <c r="E527" s="45">
        <v>812.32899999999995</v>
      </c>
      <c r="F527" s="39">
        <v>1274</v>
      </c>
      <c r="G527" s="39">
        <v>50</v>
      </c>
      <c r="H527" s="47">
        <v>600</v>
      </c>
      <c r="I527" s="39">
        <v>695</v>
      </c>
      <c r="J527" s="39">
        <v>0</v>
      </c>
      <c r="K527" s="40"/>
      <c r="L527" s="40"/>
      <c r="M527" s="40"/>
      <c r="N527" s="40"/>
      <c r="O527" s="40"/>
      <c r="P527" s="40"/>
      <c r="Q527" s="40"/>
      <c r="R527" s="40"/>
      <c r="S527" s="40"/>
      <c r="T527" s="40"/>
    </row>
    <row r="528" spans="1:20" ht="15.75">
      <c r="A528" s="13">
        <v>57223</v>
      </c>
      <c r="B528" s="48">
        <v>31</v>
      </c>
      <c r="C528" s="39">
        <v>194.20500000000001</v>
      </c>
      <c r="D528" s="39">
        <v>267.46600000000001</v>
      </c>
      <c r="E528" s="45">
        <v>812.32899999999995</v>
      </c>
      <c r="F528" s="39">
        <v>1274</v>
      </c>
      <c r="G528" s="39">
        <v>50</v>
      </c>
      <c r="H528" s="47">
        <v>600</v>
      </c>
      <c r="I528" s="39">
        <v>695</v>
      </c>
      <c r="J528" s="39">
        <v>0</v>
      </c>
      <c r="K528" s="40"/>
      <c r="L528" s="40"/>
      <c r="M528" s="40"/>
      <c r="N528" s="40"/>
      <c r="O528" s="40"/>
      <c r="P528" s="40"/>
      <c r="Q528" s="40"/>
      <c r="R528" s="40"/>
      <c r="S528" s="40"/>
      <c r="T528" s="40"/>
    </row>
    <row r="529" spans="1:20" ht="15.75">
      <c r="A529" s="13">
        <v>57253</v>
      </c>
      <c r="B529" s="48">
        <v>30</v>
      </c>
      <c r="C529" s="39">
        <v>194.20500000000001</v>
      </c>
      <c r="D529" s="39">
        <v>267.46600000000001</v>
      </c>
      <c r="E529" s="45">
        <v>812.32899999999995</v>
      </c>
      <c r="F529" s="39">
        <v>1274</v>
      </c>
      <c r="G529" s="39">
        <v>50</v>
      </c>
      <c r="H529" s="47">
        <v>600</v>
      </c>
      <c r="I529" s="39">
        <v>695</v>
      </c>
      <c r="J529" s="39">
        <v>0</v>
      </c>
      <c r="K529" s="40"/>
      <c r="L529" s="40"/>
      <c r="M529" s="40"/>
      <c r="N529" s="40"/>
      <c r="O529" s="40"/>
      <c r="P529" s="40"/>
      <c r="Q529" s="40"/>
      <c r="R529" s="40"/>
      <c r="S529" s="40"/>
      <c r="T529" s="40"/>
    </row>
    <row r="530" spans="1:20" ht="15.75">
      <c r="A530" s="13">
        <v>57284</v>
      </c>
      <c r="B530" s="48">
        <v>31</v>
      </c>
      <c r="C530" s="39">
        <v>131.881</v>
      </c>
      <c r="D530" s="39">
        <v>277.16699999999997</v>
      </c>
      <c r="E530" s="45">
        <v>829.952</v>
      </c>
      <c r="F530" s="39">
        <v>1239</v>
      </c>
      <c r="G530" s="39">
        <v>75</v>
      </c>
      <c r="H530" s="47">
        <v>600</v>
      </c>
      <c r="I530" s="39">
        <v>695</v>
      </c>
      <c r="J530" s="39">
        <v>0</v>
      </c>
      <c r="K530" s="40"/>
      <c r="L530" s="40"/>
      <c r="M530" s="40"/>
      <c r="N530" s="40"/>
      <c r="O530" s="40"/>
      <c r="P530" s="40"/>
      <c r="Q530" s="40"/>
      <c r="R530" s="40"/>
      <c r="S530" s="40"/>
      <c r="T530" s="40"/>
    </row>
    <row r="531" spans="1:20" ht="15.75">
      <c r="A531" s="13">
        <v>57314</v>
      </c>
      <c r="B531" s="48">
        <v>30</v>
      </c>
      <c r="C531" s="39">
        <v>122.58</v>
      </c>
      <c r="D531" s="39">
        <v>297.94099999999997</v>
      </c>
      <c r="E531" s="45">
        <v>729.47900000000004</v>
      </c>
      <c r="F531" s="39">
        <v>1150</v>
      </c>
      <c r="G531" s="39">
        <v>100</v>
      </c>
      <c r="H531" s="47">
        <v>600</v>
      </c>
      <c r="I531" s="39">
        <v>695</v>
      </c>
      <c r="J531" s="39">
        <v>50</v>
      </c>
      <c r="K531" s="40"/>
      <c r="L531" s="40"/>
      <c r="M531" s="40"/>
      <c r="N531" s="40"/>
      <c r="O531" s="40"/>
      <c r="P531" s="40"/>
      <c r="Q531" s="40"/>
      <c r="R531" s="40"/>
      <c r="S531" s="40"/>
      <c r="T531" s="40"/>
    </row>
    <row r="532" spans="1:20" ht="15.75">
      <c r="A532" s="13">
        <v>57345</v>
      </c>
      <c r="B532" s="48">
        <v>31</v>
      </c>
      <c r="C532" s="39">
        <v>122.58</v>
      </c>
      <c r="D532" s="39">
        <v>297.94099999999997</v>
      </c>
      <c r="E532" s="45">
        <v>729.47900000000004</v>
      </c>
      <c r="F532" s="39">
        <v>1150</v>
      </c>
      <c r="G532" s="39">
        <v>100</v>
      </c>
      <c r="H532" s="47">
        <v>600</v>
      </c>
      <c r="I532" s="39">
        <v>695</v>
      </c>
      <c r="J532" s="39">
        <v>50</v>
      </c>
      <c r="K532" s="40"/>
      <c r="L532" s="40"/>
      <c r="M532" s="40"/>
      <c r="N532" s="40"/>
      <c r="O532" s="40"/>
      <c r="P532" s="40"/>
      <c r="Q532" s="40"/>
      <c r="R532" s="40"/>
      <c r="S532" s="40"/>
      <c r="T532" s="40"/>
    </row>
    <row r="533" spans="1:20" ht="15.75">
      <c r="A533" s="13">
        <v>57376</v>
      </c>
      <c r="B533" s="48">
        <v>31</v>
      </c>
      <c r="C533" s="39">
        <v>122.58</v>
      </c>
      <c r="D533" s="39">
        <v>297.94099999999997</v>
      </c>
      <c r="E533" s="45">
        <v>729.47900000000004</v>
      </c>
      <c r="F533" s="39">
        <v>1150</v>
      </c>
      <c r="G533" s="39">
        <v>100</v>
      </c>
      <c r="H533" s="47">
        <v>600</v>
      </c>
      <c r="I533" s="39">
        <v>695</v>
      </c>
      <c r="J533" s="39">
        <v>50</v>
      </c>
      <c r="K533" s="40"/>
      <c r="L533" s="40"/>
      <c r="M533" s="40"/>
      <c r="N533" s="40"/>
      <c r="O533" s="40"/>
      <c r="P533" s="40"/>
      <c r="Q533" s="40"/>
      <c r="R533" s="40"/>
      <c r="S533" s="40"/>
      <c r="T533" s="40"/>
    </row>
    <row r="534" spans="1:20" ht="15.75">
      <c r="A534" s="13">
        <v>57404</v>
      </c>
      <c r="B534" s="48">
        <v>28</v>
      </c>
      <c r="C534" s="39">
        <v>122.58</v>
      </c>
      <c r="D534" s="39">
        <v>297.94099999999997</v>
      </c>
      <c r="E534" s="45">
        <v>729.47900000000004</v>
      </c>
      <c r="F534" s="39">
        <v>1150</v>
      </c>
      <c r="G534" s="39">
        <v>100</v>
      </c>
      <c r="H534" s="47">
        <v>600</v>
      </c>
      <c r="I534" s="39">
        <v>695</v>
      </c>
      <c r="J534" s="39">
        <v>50</v>
      </c>
      <c r="K534" s="40"/>
      <c r="L534" s="40"/>
      <c r="M534" s="40"/>
      <c r="N534" s="40"/>
      <c r="O534" s="40"/>
      <c r="P534" s="40"/>
      <c r="Q534" s="40"/>
      <c r="R534" s="40"/>
      <c r="S534" s="40"/>
      <c r="T534" s="40"/>
    </row>
    <row r="535" spans="1:20" ht="15.75">
      <c r="A535" s="13">
        <v>57435</v>
      </c>
      <c r="B535" s="48">
        <v>31</v>
      </c>
      <c r="C535" s="39">
        <v>122.58</v>
      </c>
      <c r="D535" s="39">
        <v>297.94099999999997</v>
      </c>
      <c r="E535" s="45">
        <v>729.47900000000004</v>
      </c>
      <c r="F535" s="39">
        <v>1150</v>
      </c>
      <c r="G535" s="39">
        <v>100</v>
      </c>
      <c r="H535" s="47">
        <v>600</v>
      </c>
      <c r="I535" s="39">
        <v>695</v>
      </c>
      <c r="J535" s="39">
        <v>50</v>
      </c>
      <c r="K535" s="40"/>
      <c r="L535" s="40"/>
      <c r="M535" s="40"/>
      <c r="N535" s="40"/>
      <c r="O535" s="40"/>
      <c r="P535" s="40"/>
      <c r="Q535" s="40"/>
      <c r="R535" s="40"/>
      <c r="S535" s="40"/>
      <c r="T535" s="40"/>
    </row>
    <row r="536" spans="1:20" ht="15.75">
      <c r="A536" s="13">
        <v>57465</v>
      </c>
      <c r="B536" s="48">
        <v>30</v>
      </c>
      <c r="C536" s="39">
        <v>141.29300000000001</v>
      </c>
      <c r="D536" s="39">
        <v>267.99299999999999</v>
      </c>
      <c r="E536" s="45">
        <v>829.71400000000006</v>
      </c>
      <c r="F536" s="39">
        <v>1239</v>
      </c>
      <c r="G536" s="39">
        <v>100</v>
      </c>
      <c r="H536" s="47">
        <v>600</v>
      </c>
      <c r="I536" s="39">
        <v>695</v>
      </c>
      <c r="J536" s="39">
        <v>50</v>
      </c>
      <c r="K536" s="40"/>
      <c r="L536" s="40"/>
      <c r="M536" s="40"/>
      <c r="N536" s="40"/>
      <c r="O536" s="40"/>
      <c r="P536" s="40"/>
      <c r="Q536" s="40"/>
      <c r="R536" s="40"/>
      <c r="S536" s="40"/>
      <c r="T536" s="40"/>
    </row>
    <row r="537" spans="1:20" ht="15.75">
      <c r="A537" s="13">
        <v>57496</v>
      </c>
      <c r="B537" s="48">
        <v>31</v>
      </c>
      <c r="C537" s="39">
        <v>194.20500000000001</v>
      </c>
      <c r="D537" s="39">
        <v>267.46600000000001</v>
      </c>
      <c r="E537" s="45">
        <v>812.32899999999995</v>
      </c>
      <c r="F537" s="39">
        <v>1274</v>
      </c>
      <c r="G537" s="39">
        <v>75</v>
      </c>
      <c r="H537" s="47">
        <v>600</v>
      </c>
      <c r="I537" s="39">
        <v>695</v>
      </c>
      <c r="J537" s="39">
        <v>50</v>
      </c>
      <c r="K537" s="40"/>
      <c r="L537" s="40"/>
      <c r="M537" s="40"/>
      <c r="N537" s="40"/>
      <c r="O537" s="40"/>
      <c r="P537" s="40"/>
      <c r="Q537" s="40"/>
      <c r="R537" s="40"/>
      <c r="S537" s="40"/>
      <c r="T537" s="40"/>
    </row>
    <row r="538" spans="1:20" ht="15.75">
      <c r="A538" s="13">
        <v>57526</v>
      </c>
      <c r="B538" s="48">
        <v>30</v>
      </c>
      <c r="C538" s="39">
        <v>194.20500000000001</v>
      </c>
      <c r="D538" s="39">
        <v>267.46600000000001</v>
      </c>
      <c r="E538" s="45">
        <v>812.32899999999995</v>
      </c>
      <c r="F538" s="39">
        <v>1274</v>
      </c>
      <c r="G538" s="39">
        <v>50</v>
      </c>
      <c r="H538" s="47">
        <v>600</v>
      </c>
      <c r="I538" s="39">
        <v>695</v>
      </c>
      <c r="J538" s="39">
        <v>50</v>
      </c>
      <c r="K538" s="40"/>
      <c r="L538" s="40"/>
      <c r="M538" s="40"/>
      <c r="N538" s="40"/>
      <c r="O538" s="40"/>
      <c r="P538" s="40"/>
      <c r="Q538" s="40"/>
      <c r="R538" s="40"/>
      <c r="S538" s="40"/>
      <c r="T538" s="40"/>
    </row>
    <row r="539" spans="1:20" ht="15.75">
      <c r="A539" s="13">
        <v>57557</v>
      </c>
      <c r="B539" s="48">
        <v>31</v>
      </c>
      <c r="C539" s="39">
        <v>194.20500000000001</v>
      </c>
      <c r="D539" s="39">
        <v>267.46600000000001</v>
      </c>
      <c r="E539" s="45">
        <v>812.32899999999995</v>
      </c>
      <c r="F539" s="39">
        <v>1274</v>
      </c>
      <c r="G539" s="39">
        <v>50</v>
      </c>
      <c r="H539" s="47">
        <v>600</v>
      </c>
      <c r="I539" s="39">
        <v>695</v>
      </c>
      <c r="J539" s="39">
        <v>0</v>
      </c>
      <c r="K539" s="40"/>
      <c r="L539" s="40"/>
      <c r="M539" s="40"/>
      <c r="N539" s="40"/>
      <c r="O539" s="40"/>
      <c r="P539" s="40"/>
      <c r="Q539" s="40"/>
      <c r="R539" s="40"/>
      <c r="S539" s="40"/>
      <c r="T539" s="40"/>
    </row>
    <row r="540" spans="1:20" ht="15.75">
      <c r="A540" s="13">
        <v>57588</v>
      </c>
      <c r="B540" s="48">
        <v>31</v>
      </c>
      <c r="C540" s="39">
        <v>194.20500000000001</v>
      </c>
      <c r="D540" s="39">
        <v>267.46600000000001</v>
      </c>
      <c r="E540" s="45">
        <v>812.32899999999995</v>
      </c>
      <c r="F540" s="39">
        <v>1274</v>
      </c>
      <c r="G540" s="39">
        <v>50</v>
      </c>
      <c r="H540" s="47">
        <v>600</v>
      </c>
      <c r="I540" s="39">
        <v>695</v>
      </c>
      <c r="J540" s="39">
        <v>0</v>
      </c>
      <c r="K540" s="40"/>
      <c r="L540" s="40"/>
      <c r="M540" s="40"/>
      <c r="N540" s="40"/>
      <c r="O540" s="40"/>
      <c r="P540" s="40"/>
      <c r="Q540" s="40"/>
      <c r="R540" s="40"/>
      <c r="S540" s="40"/>
      <c r="T540" s="40"/>
    </row>
    <row r="541" spans="1:20" ht="15.75">
      <c r="A541" s="13">
        <v>57618</v>
      </c>
      <c r="B541" s="48">
        <v>30</v>
      </c>
      <c r="C541" s="39">
        <v>194.20500000000001</v>
      </c>
      <c r="D541" s="39">
        <v>267.46600000000001</v>
      </c>
      <c r="E541" s="45">
        <v>812.32899999999995</v>
      </c>
      <c r="F541" s="39">
        <v>1274</v>
      </c>
      <c r="G541" s="39">
        <v>50</v>
      </c>
      <c r="H541" s="47">
        <v>600</v>
      </c>
      <c r="I541" s="39">
        <v>695</v>
      </c>
      <c r="J541" s="39">
        <v>0</v>
      </c>
      <c r="K541" s="40"/>
      <c r="L541" s="40"/>
      <c r="M541" s="40"/>
      <c r="N541" s="40"/>
      <c r="O541" s="40"/>
      <c r="P541" s="40"/>
      <c r="Q541" s="40"/>
      <c r="R541" s="40"/>
      <c r="S541" s="40"/>
      <c r="T541" s="40"/>
    </row>
    <row r="542" spans="1:20" ht="15.75">
      <c r="A542" s="13">
        <v>57649</v>
      </c>
      <c r="B542" s="48">
        <v>31</v>
      </c>
      <c r="C542" s="39">
        <v>131.881</v>
      </c>
      <c r="D542" s="39">
        <v>277.16699999999997</v>
      </c>
      <c r="E542" s="45">
        <v>829.952</v>
      </c>
      <c r="F542" s="39">
        <v>1239</v>
      </c>
      <c r="G542" s="39">
        <v>75</v>
      </c>
      <c r="H542" s="47">
        <v>600</v>
      </c>
      <c r="I542" s="39">
        <v>695</v>
      </c>
      <c r="J542" s="39">
        <v>0</v>
      </c>
      <c r="K542" s="40"/>
      <c r="L542" s="40"/>
      <c r="M542" s="40"/>
      <c r="N542" s="40"/>
      <c r="O542" s="40"/>
      <c r="P542" s="40"/>
      <c r="Q542" s="40"/>
      <c r="R542" s="40"/>
      <c r="S542" s="40"/>
      <c r="T542" s="40"/>
    </row>
    <row r="543" spans="1:20" ht="15.75">
      <c r="A543" s="13">
        <v>57679</v>
      </c>
      <c r="B543" s="48">
        <v>30</v>
      </c>
      <c r="C543" s="39">
        <v>122.58</v>
      </c>
      <c r="D543" s="39">
        <v>297.94099999999997</v>
      </c>
      <c r="E543" s="45">
        <v>729.47900000000004</v>
      </c>
      <c r="F543" s="39">
        <v>1150</v>
      </c>
      <c r="G543" s="39">
        <v>100</v>
      </c>
      <c r="H543" s="47">
        <v>600</v>
      </c>
      <c r="I543" s="39">
        <v>695</v>
      </c>
      <c r="J543" s="39">
        <v>50</v>
      </c>
      <c r="K543" s="40"/>
      <c r="L543" s="40"/>
      <c r="M543" s="40"/>
      <c r="N543" s="40"/>
      <c r="O543" s="40"/>
      <c r="P543" s="40"/>
      <c r="Q543" s="40"/>
      <c r="R543" s="40"/>
      <c r="S543" s="40"/>
      <c r="T543" s="40"/>
    </row>
    <row r="544" spans="1:20" ht="15.75">
      <c r="A544" s="13">
        <v>57710</v>
      </c>
      <c r="B544" s="48">
        <v>31</v>
      </c>
      <c r="C544" s="39">
        <v>122.58</v>
      </c>
      <c r="D544" s="39">
        <v>297.94099999999997</v>
      </c>
      <c r="E544" s="45">
        <v>729.47900000000004</v>
      </c>
      <c r="F544" s="39">
        <v>1150</v>
      </c>
      <c r="G544" s="39">
        <v>100</v>
      </c>
      <c r="H544" s="47">
        <v>600</v>
      </c>
      <c r="I544" s="39">
        <v>695</v>
      </c>
      <c r="J544" s="39">
        <v>50</v>
      </c>
      <c r="K544" s="40"/>
      <c r="L544" s="40"/>
      <c r="M544" s="40"/>
      <c r="N544" s="40"/>
      <c r="O544" s="40"/>
      <c r="P544" s="40"/>
      <c r="Q544" s="40"/>
      <c r="R544" s="40"/>
      <c r="S544" s="40"/>
      <c r="T544" s="40"/>
    </row>
    <row r="545" spans="1:20" ht="15.75">
      <c r="A545" s="13">
        <v>57741</v>
      </c>
      <c r="B545" s="48">
        <v>31</v>
      </c>
      <c r="C545" s="39">
        <v>122.58</v>
      </c>
      <c r="D545" s="39">
        <v>297.94099999999997</v>
      </c>
      <c r="E545" s="45">
        <v>729.47900000000004</v>
      </c>
      <c r="F545" s="39">
        <v>1150</v>
      </c>
      <c r="G545" s="39">
        <v>100</v>
      </c>
      <c r="H545" s="47">
        <v>600</v>
      </c>
      <c r="I545" s="39">
        <v>695</v>
      </c>
      <c r="J545" s="39">
        <v>50</v>
      </c>
      <c r="K545" s="40"/>
      <c r="L545" s="40"/>
      <c r="M545" s="40"/>
      <c r="N545" s="40"/>
      <c r="O545" s="40"/>
      <c r="P545" s="40"/>
      <c r="Q545" s="40"/>
      <c r="R545" s="40"/>
      <c r="S545" s="40"/>
      <c r="T545" s="40"/>
    </row>
    <row r="546" spans="1:20" ht="15.75">
      <c r="A546" s="13">
        <v>57769</v>
      </c>
      <c r="B546" s="48">
        <v>28</v>
      </c>
      <c r="C546" s="39">
        <v>122.58</v>
      </c>
      <c r="D546" s="39">
        <v>297.94099999999997</v>
      </c>
      <c r="E546" s="45">
        <v>729.47900000000004</v>
      </c>
      <c r="F546" s="39">
        <v>1150</v>
      </c>
      <c r="G546" s="39">
        <v>100</v>
      </c>
      <c r="H546" s="47">
        <v>600</v>
      </c>
      <c r="I546" s="39">
        <v>695</v>
      </c>
      <c r="J546" s="39">
        <v>50</v>
      </c>
      <c r="K546" s="40"/>
      <c r="L546" s="40"/>
      <c r="M546" s="40"/>
      <c r="N546" s="40"/>
      <c r="O546" s="40"/>
      <c r="P546" s="40"/>
      <c r="Q546" s="40"/>
      <c r="R546" s="40"/>
      <c r="S546" s="40"/>
      <c r="T546" s="40"/>
    </row>
    <row r="547" spans="1:20" ht="15.75">
      <c r="A547" s="13">
        <v>57800</v>
      </c>
      <c r="B547" s="48">
        <v>31</v>
      </c>
      <c r="C547" s="39">
        <v>122.58</v>
      </c>
      <c r="D547" s="39">
        <v>297.94099999999997</v>
      </c>
      <c r="E547" s="45">
        <v>729.47900000000004</v>
      </c>
      <c r="F547" s="39">
        <v>1150</v>
      </c>
      <c r="G547" s="39">
        <v>100</v>
      </c>
      <c r="H547" s="47">
        <v>600</v>
      </c>
      <c r="I547" s="39">
        <v>695</v>
      </c>
      <c r="J547" s="39">
        <v>50</v>
      </c>
      <c r="K547" s="40"/>
      <c r="L547" s="40"/>
      <c r="M547" s="40"/>
      <c r="N547" s="40"/>
      <c r="O547" s="40"/>
      <c r="P547" s="40"/>
      <c r="Q547" s="40"/>
      <c r="R547" s="40"/>
      <c r="S547" s="40"/>
      <c r="T547" s="40"/>
    </row>
    <row r="548" spans="1:20" ht="15.75">
      <c r="A548" s="13">
        <v>57830</v>
      </c>
      <c r="B548" s="48">
        <v>30</v>
      </c>
      <c r="C548" s="39">
        <v>141.29300000000001</v>
      </c>
      <c r="D548" s="39">
        <v>267.99299999999999</v>
      </c>
      <c r="E548" s="45">
        <v>829.71400000000006</v>
      </c>
      <c r="F548" s="39">
        <v>1239</v>
      </c>
      <c r="G548" s="39">
        <v>100</v>
      </c>
      <c r="H548" s="47">
        <v>600</v>
      </c>
      <c r="I548" s="39">
        <v>695</v>
      </c>
      <c r="J548" s="39">
        <v>50</v>
      </c>
      <c r="K548" s="40"/>
      <c r="L548" s="40"/>
      <c r="M548" s="40"/>
      <c r="N548" s="40"/>
      <c r="O548" s="40"/>
      <c r="P548" s="40"/>
      <c r="Q548" s="40"/>
      <c r="R548" s="40"/>
      <c r="S548" s="40"/>
      <c r="T548" s="40"/>
    </row>
    <row r="549" spans="1:20" ht="15.75">
      <c r="A549" s="13">
        <v>57861</v>
      </c>
      <c r="B549" s="48">
        <v>31</v>
      </c>
      <c r="C549" s="39">
        <v>194.20500000000001</v>
      </c>
      <c r="D549" s="39">
        <v>267.46600000000001</v>
      </c>
      <c r="E549" s="45">
        <v>812.32899999999995</v>
      </c>
      <c r="F549" s="39">
        <v>1274</v>
      </c>
      <c r="G549" s="39">
        <v>75</v>
      </c>
      <c r="H549" s="47">
        <v>600</v>
      </c>
      <c r="I549" s="39">
        <v>695</v>
      </c>
      <c r="J549" s="39">
        <v>50</v>
      </c>
      <c r="K549" s="40"/>
      <c r="L549" s="40"/>
      <c r="M549" s="40"/>
      <c r="N549" s="40"/>
      <c r="O549" s="40"/>
      <c r="P549" s="40"/>
      <c r="Q549" s="40"/>
      <c r="R549" s="40"/>
      <c r="S549" s="40"/>
      <c r="T549" s="40"/>
    </row>
    <row r="550" spans="1:20" ht="15.75">
      <c r="A550" s="13">
        <v>57891</v>
      </c>
      <c r="B550" s="48">
        <v>30</v>
      </c>
      <c r="C550" s="39">
        <v>194.20500000000001</v>
      </c>
      <c r="D550" s="39">
        <v>267.46600000000001</v>
      </c>
      <c r="E550" s="45">
        <v>812.32899999999995</v>
      </c>
      <c r="F550" s="39">
        <v>1274</v>
      </c>
      <c r="G550" s="39">
        <v>50</v>
      </c>
      <c r="H550" s="47">
        <v>600</v>
      </c>
      <c r="I550" s="39">
        <v>695</v>
      </c>
      <c r="J550" s="39">
        <v>50</v>
      </c>
      <c r="K550" s="40"/>
      <c r="L550" s="40"/>
      <c r="M550" s="40"/>
      <c r="N550" s="40"/>
      <c r="O550" s="40"/>
      <c r="P550" s="40"/>
      <c r="Q550" s="40"/>
      <c r="R550" s="40"/>
      <c r="S550" s="40"/>
      <c r="T550" s="40"/>
    </row>
    <row r="551" spans="1:20" ht="15.75">
      <c r="A551" s="13">
        <v>57922</v>
      </c>
      <c r="B551" s="48">
        <v>31</v>
      </c>
      <c r="C551" s="39">
        <v>194.20500000000001</v>
      </c>
      <c r="D551" s="39">
        <v>267.46600000000001</v>
      </c>
      <c r="E551" s="45">
        <v>812.32899999999995</v>
      </c>
      <c r="F551" s="39">
        <v>1274</v>
      </c>
      <c r="G551" s="39">
        <v>50</v>
      </c>
      <c r="H551" s="47">
        <v>600</v>
      </c>
      <c r="I551" s="39">
        <v>695</v>
      </c>
      <c r="J551" s="39">
        <v>0</v>
      </c>
      <c r="K551" s="40"/>
      <c r="L551" s="40"/>
      <c r="M551" s="40"/>
      <c r="N551" s="40"/>
      <c r="O551" s="40"/>
      <c r="P551" s="40"/>
      <c r="Q551" s="40"/>
      <c r="R551" s="40"/>
      <c r="S551" s="40"/>
      <c r="T551" s="40"/>
    </row>
    <row r="552" spans="1:20" ht="15.75">
      <c r="A552" s="13">
        <v>57953</v>
      </c>
      <c r="B552" s="48">
        <v>31</v>
      </c>
      <c r="C552" s="39">
        <v>194.20500000000001</v>
      </c>
      <c r="D552" s="39">
        <v>267.46600000000001</v>
      </c>
      <c r="E552" s="45">
        <v>812.32899999999995</v>
      </c>
      <c r="F552" s="39">
        <v>1274</v>
      </c>
      <c r="G552" s="39">
        <v>50</v>
      </c>
      <c r="H552" s="47">
        <v>600</v>
      </c>
      <c r="I552" s="39">
        <v>695</v>
      </c>
      <c r="J552" s="39">
        <v>0</v>
      </c>
      <c r="K552" s="40"/>
      <c r="L552" s="40"/>
      <c r="M552" s="40"/>
      <c r="N552" s="40"/>
      <c r="O552" s="40"/>
      <c r="P552" s="40"/>
      <c r="Q552" s="40"/>
      <c r="R552" s="40"/>
      <c r="S552" s="40"/>
      <c r="T552" s="40"/>
    </row>
    <row r="553" spans="1:20" ht="15.75">
      <c r="A553" s="13">
        <v>57983</v>
      </c>
      <c r="B553" s="48">
        <v>30</v>
      </c>
      <c r="C553" s="39">
        <v>194.20500000000001</v>
      </c>
      <c r="D553" s="39">
        <v>267.46600000000001</v>
      </c>
      <c r="E553" s="45">
        <v>812.32899999999995</v>
      </c>
      <c r="F553" s="39">
        <v>1274</v>
      </c>
      <c r="G553" s="39">
        <v>50</v>
      </c>
      <c r="H553" s="47">
        <v>600</v>
      </c>
      <c r="I553" s="39">
        <v>695</v>
      </c>
      <c r="J553" s="39">
        <v>0</v>
      </c>
      <c r="K553" s="40"/>
      <c r="L553" s="40"/>
      <c r="M553" s="40"/>
      <c r="N553" s="40"/>
      <c r="O553" s="40"/>
      <c r="P553" s="40"/>
      <c r="Q553" s="40"/>
      <c r="R553" s="40"/>
      <c r="S553" s="40"/>
      <c r="T553" s="40"/>
    </row>
    <row r="554" spans="1:20" ht="15.75">
      <c r="A554" s="13">
        <v>58014</v>
      </c>
      <c r="B554" s="48">
        <v>31</v>
      </c>
      <c r="C554" s="39">
        <v>131.881</v>
      </c>
      <c r="D554" s="39">
        <v>277.16699999999997</v>
      </c>
      <c r="E554" s="45">
        <v>829.952</v>
      </c>
      <c r="F554" s="39">
        <v>1239</v>
      </c>
      <c r="G554" s="39">
        <v>75</v>
      </c>
      <c r="H554" s="47">
        <v>600</v>
      </c>
      <c r="I554" s="39">
        <v>695</v>
      </c>
      <c r="J554" s="39">
        <v>0</v>
      </c>
      <c r="K554" s="40"/>
      <c r="L554" s="40"/>
      <c r="M554" s="40"/>
      <c r="N554" s="40"/>
      <c r="O554" s="40"/>
      <c r="P554" s="40"/>
      <c r="Q554" s="40"/>
      <c r="R554" s="40"/>
      <c r="S554" s="40"/>
      <c r="T554" s="40"/>
    </row>
    <row r="555" spans="1:20" ht="15.75">
      <c r="A555" s="13">
        <v>58044</v>
      </c>
      <c r="B555" s="48">
        <v>30</v>
      </c>
      <c r="C555" s="39">
        <v>122.58</v>
      </c>
      <c r="D555" s="39">
        <v>297.94099999999997</v>
      </c>
      <c r="E555" s="45">
        <v>729.47900000000004</v>
      </c>
      <c r="F555" s="39">
        <v>1150</v>
      </c>
      <c r="G555" s="39">
        <v>100</v>
      </c>
      <c r="H555" s="47">
        <v>600</v>
      </c>
      <c r="I555" s="39">
        <v>695</v>
      </c>
      <c r="J555" s="39">
        <v>50</v>
      </c>
      <c r="K555" s="40"/>
      <c r="L555" s="40"/>
      <c r="M555" s="40"/>
      <c r="N555" s="40"/>
      <c r="O555" s="40"/>
      <c r="P555" s="40"/>
      <c r="Q555" s="40"/>
      <c r="R555" s="40"/>
      <c r="S555" s="40"/>
      <c r="T555" s="40"/>
    </row>
    <row r="556" spans="1:20" ht="15.75">
      <c r="A556" s="13">
        <v>58075</v>
      </c>
      <c r="B556" s="48">
        <v>31</v>
      </c>
      <c r="C556" s="39">
        <v>122.58</v>
      </c>
      <c r="D556" s="39">
        <v>297.94099999999997</v>
      </c>
      <c r="E556" s="45">
        <v>729.47900000000004</v>
      </c>
      <c r="F556" s="39">
        <v>1150</v>
      </c>
      <c r="G556" s="39">
        <v>100</v>
      </c>
      <c r="H556" s="47">
        <v>600</v>
      </c>
      <c r="I556" s="39">
        <v>695</v>
      </c>
      <c r="J556" s="39">
        <v>50</v>
      </c>
      <c r="K556" s="40"/>
      <c r="L556" s="40"/>
      <c r="M556" s="40"/>
      <c r="N556" s="40"/>
      <c r="O556" s="40"/>
      <c r="P556" s="40"/>
      <c r="Q556" s="40"/>
      <c r="R556" s="40"/>
      <c r="S556" s="40"/>
      <c r="T556" s="40"/>
    </row>
    <row r="557" spans="1:20" ht="15.75">
      <c r="A557" s="13">
        <v>58106</v>
      </c>
      <c r="B557" s="48">
        <v>31</v>
      </c>
      <c r="C557" s="39">
        <v>122.58</v>
      </c>
      <c r="D557" s="39">
        <v>297.94099999999997</v>
      </c>
      <c r="E557" s="45">
        <v>729.47900000000004</v>
      </c>
      <c r="F557" s="39">
        <v>1150</v>
      </c>
      <c r="G557" s="39">
        <v>100</v>
      </c>
      <c r="H557" s="47">
        <v>600</v>
      </c>
      <c r="I557" s="39">
        <v>695</v>
      </c>
      <c r="J557" s="39">
        <v>50</v>
      </c>
      <c r="K557" s="40"/>
      <c r="L557" s="40"/>
      <c r="M557" s="40"/>
      <c r="N557" s="40"/>
      <c r="O557" s="40"/>
      <c r="P557" s="40"/>
      <c r="Q557" s="40"/>
      <c r="R557" s="40"/>
      <c r="S557" s="40"/>
      <c r="T557" s="40"/>
    </row>
    <row r="558" spans="1:20" ht="15.75">
      <c r="A558" s="13">
        <v>58134</v>
      </c>
      <c r="B558" s="48">
        <v>28</v>
      </c>
      <c r="C558" s="39">
        <v>122.58</v>
      </c>
      <c r="D558" s="39">
        <v>297.94099999999997</v>
      </c>
      <c r="E558" s="45">
        <v>729.47900000000004</v>
      </c>
      <c r="F558" s="39">
        <v>1150</v>
      </c>
      <c r="G558" s="39">
        <v>100</v>
      </c>
      <c r="H558" s="47">
        <v>600</v>
      </c>
      <c r="I558" s="39">
        <v>695</v>
      </c>
      <c r="J558" s="39">
        <v>50</v>
      </c>
      <c r="K558" s="40"/>
      <c r="L558" s="40"/>
      <c r="M558" s="40"/>
      <c r="N558" s="40"/>
      <c r="O558" s="40"/>
      <c r="P558" s="40"/>
      <c r="Q558" s="40"/>
      <c r="R558" s="40"/>
      <c r="S558" s="40"/>
      <c r="T558" s="40"/>
    </row>
    <row r="559" spans="1:20" ht="15.75">
      <c r="A559" s="13">
        <v>58165</v>
      </c>
      <c r="B559" s="48">
        <v>31</v>
      </c>
      <c r="C559" s="39">
        <v>122.58</v>
      </c>
      <c r="D559" s="39">
        <v>297.94099999999997</v>
      </c>
      <c r="E559" s="45">
        <v>729.47900000000004</v>
      </c>
      <c r="F559" s="39">
        <v>1150</v>
      </c>
      <c r="G559" s="39">
        <v>100</v>
      </c>
      <c r="H559" s="47">
        <v>600</v>
      </c>
      <c r="I559" s="39">
        <v>695</v>
      </c>
      <c r="J559" s="39">
        <v>50</v>
      </c>
      <c r="K559" s="40"/>
      <c r="L559" s="40"/>
      <c r="M559" s="40"/>
      <c r="N559" s="40"/>
      <c r="O559" s="40"/>
      <c r="P559" s="40"/>
      <c r="Q559" s="40"/>
      <c r="R559" s="40"/>
      <c r="S559" s="40"/>
      <c r="T559" s="40"/>
    </row>
    <row r="560" spans="1:20" ht="15.75">
      <c r="A560" s="13">
        <v>58195</v>
      </c>
      <c r="B560" s="48">
        <v>30</v>
      </c>
      <c r="C560" s="39">
        <v>141.29300000000001</v>
      </c>
      <c r="D560" s="39">
        <v>267.99299999999999</v>
      </c>
      <c r="E560" s="45">
        <v>829.71400000000006</v>
      </c>
      <c r="F560" s="39">
        <v>1239</v>
      </c>
      <c r="G560" s="39">
        <v>100</v>
      </c>
      <c r="H560" s="47">
        <v>600</v>
      </c>
      <c r="I560" s="39">
        <v>695</v>
      </c>
      <c r="J560" s="39">
        <v>50</v>
      </c>
      <c r="K560" s="40"/>
      <c r="L560" s="40"/>
      <c r="M560" s="40"/>
      <c r="N560" s="40"/>
      <c r="O560" s="40"/>
      <c r="P560" s="40"/>
      <c r="Q560" s="40"/>
      <c r="R560" s="40"/>
      <c r="S560" s="40"/>
      <c r="T560" s="40"/>
    </row>
    <row r="561" spans="1:20" ht="15.75">
      <c r="A561" s="13">
        <v>58226</v>
      </c>
      <c r="B561" s="48">
        <v>31</v>
      </c>
      <c r="C561" s="39">
        <v>194.20500000000001</v>
      </c>
      <c r="D561" s="39">
        <v>267.46600000000001</v>
      </c>
      <c r="E561" s="45">
        <v>812.32899999999995</v>
      </c>
      <c r="F561" s="39">
        <v>1274</v>
      </c>
      <c r="G561" s="39">
        <v>75</v>
      </c>
      <c r="H561" s="47">
        <v>600</v>
      </c>
      <c r="I561" s="39">
        <v>695</v>
      </c>
      <c r="J561" s="39">
        <v>50</v>
      </c>
      <c r="K561" s="40"/>
      <c r="L561" s="40"/>
      <c r="M561" s="40"/>
      <c r="N561" s="40"/>
      <c r="O561" s="40"/>
      <c r="P561" s="40"/>
      <c r="Q561" s="40"/>
      <c r="R561" s="40"/>
      <c r="S561" s="40"/>
      <c r="T561" s="40"/>
    </row>
    <row r="562" spans="1:20" ht="15.75">
      <c r="A562" s="13">
        <v>58256</v>
      </c>
      <c r="B562" s="48">
        <v>30</v>
      </c>
      <c r="C562" s="39">
        <v>194.20500000000001</v>
      </c>
      <c r="D562" s="39">
        <v>267.46600000000001</v>
      </c>
      <c r="E562" s="45">
        <v>812.32899999999995</v>
      </c>
      <c r="F562" s="39">
        <v>1274</v>
      </c>
      <c r="G562" s="39">
        <v>50</v>
      </c>
      <c r="H562" s="47">
        <v>600</v>
      </c>
      <c r="I562" s="39">
        <v>695</v>
      </c>
      <c r="J562" s="39">
        <v>50</v>
      </c>
      <c r="K562" s="40"/>
      <c r="L562" s="40"/>
      <c r="M562" s="40"/>
      <c r="N562" s="40"/>
      <c r="O562" s="40"/>
      <c r="P562" s="40"/>
      <c r="Q562" s="40"/>
      <c r="R562" s="40"/>
      <c r="S562" s="40"/>
      <c r="T562" s="40"/>
    </row>
    <row r="563" spans="1:20" ht="15.75">
      <c r="A563" s="13">
        <v>58287</v>
      </c>
      <c r="B563" s="48">
        <v>31</v>
      </c>
      <c r="C563" s="39">
        <v>194.20500000000001</v>
      </c>
      <c r="D563" s="39">
        <v>267.46600000000001</v>
      </c>
      <c r="E563" s="45">
        <v>812.32899999999995</v>
      </c>
      <c r="F563" s="39">
        <v>1274</v>
      </c>
      <c r="G563" s="39">
        <v>50</v>
      </c>
      <c r="H563" s="47">
        <v>600</v>
      </c>
      <c r="I563" s="39">
        <v>695</v>
      </c>
      <c r="J563" s="39">
        <v>0</v>
      </c>
      <c r="K563" s="40"/>
      <c r="L563" s="40"/>
      <c r="M563" s="40"/>
      <c r="N563" s="40"/>
      <c r="O563" s="40"/>
      <c r="P563" s="40"/>
      <c r="Q563" s="40"/>
      <c r="R563" s="40"/>
      <c r="S563" s="40"/>
      <c r="T563" s="40"/>
    </row>
    <row r="564" spans="1:20" ht="15.75">
      <c r="A564" s="13">
        <v>58318</v>
      </c>
      <c r="B564" s="48">
        <v>31</v>
      </c>
      <c r="C564" s="39">
        <v>194.20500000000001</v>
      </c>
      <c r="D564" s="39">
        <v>267.46600000000001</v>
      </c>
      <c r="E564" s="45">
        <v>812.32899999999995</v>
      </c>
      <c r="F564" s="39">
        <v>1274</v>
      </c>
      <c r="G564" s="39">
        <v>50</v>
      </c>
      <c r="H564" s="47">
        <v>600</v>
      </c>
      <c r="I564" s="39">
        <v>695</v>
      </c>
      <c r="J564" s="39">
        <v>0</v>
      </c>
      <c r="K564" s="40"/>
      <c r="L564" s="40"/>
      <c r="M564" s="40"/>
      <c r="N564" s="40"/>
      <c r="O564" s="40"/>
      <c r="P564" s="40"/>
      <c r="Q564" s="40"/>
      <c r="R564" s="40"/>
      <c r="S564" s="40"/>
      <c r="T564" s="40"/>
    </row>
    <row r="565" spans="1:20" ht="15.75">
      <c r="A565" s="13">
        <v>58348</v>
      </c>
      <c r="B565" s="48">
        <v>30</v>
      </c>
      <c r="C565" s="39">
        <v>194.20500000000001</v>
      </c>
      <c r="D565" s="39">
        <v>267.46600000000001</v>
      </c>
      <c r="E565" s="45">
        <v>812.32899999999995</v>
      </c>
      <c r="F565" s="39">
        <v>1274</v>
      </c>
      <c r="G565" s="39">
        <v>50</v>
      </c>
      <c r="H565" s="47">
        <v>600</v>
      </c>
      <c r="I565" s="39">
        <v>695</v>
      </c>
      <c r="J565" s="39">
        <v>0</v>
      </c>
      <c r="K565" s="40"/>
      <c r="L565" s="40"/>
      <c r="M565" s="40"/>
      <c r="N565" s="40"/>
      <c r="O565" s="40"/>
      <c r="P565" s="40"/>
      <c r="Q565" s="40"/>
      <c r="R565" s="40"/>
      <c r="S565" s="40"/>
      <c r="T565" s="40"/>
    </row>
    <row r="566" spans="1:20" ht="15.75">
      <c r="A566" s="13">
        <v>58379</v>
      </c>
      <c r="B566" s="48">
        <v>31</v>
      </c>
      <c r="C566" s="39">
        <v>131.881</v>
      </c>
      <c r="D566" s="39">
        <v>277.16699999999997</v>
      </c>
      <c r="E566" s="45">
        <v>829.952</v>
      </c>
      <c r="F566" s="39">
        <v>1239</v>
      </c>
      <c r="G566" s="39">
        <v>75</v>
      </c>
      <c r="H566" s="47">
        <v>600</v>
      </c>
      <c r="I566" s="39">
        <v>695</v>
      </c>
      <c r="J566" s="39">
        <v>0</v>
      </c>
      <c r="K566" s="40"/>
      <c r="L566" s="40"/>
      <c r="M566" s="40"/>
      <c r="N566" s="40"/>
      <c r="O566" s="40"/>
      <c r="P566" s="40"/>
      <c r="Q566" s="40"/>
      <c r="R566" s="40"/>
      <c r="S566" s="40"/>
      <c r="T566" s="40"/>
    </row>
    <row r="567" spans="1:20" ht="15.75">
      <c r="A567" s="13">
        <v>58409</v>
      </c>
      <c r="B567" s="48">
        <v>30</v>
      </c>
      <c r="C567" s="39">
        <v>122.58</v>
      </c>
      <c r="D567" s="39">
        <v>297.94099999999997</v>
      </c>
      <c r="E567" s="45">
        <v>729.47900000000004</v>
      </c>
      <c r="F567" s="39">
        <v>1150</v>
      </c>
      <c r="G567" s="39">
        <v>100</v>
      </c>
      <c r="H567" s="47">
        <v>600</v>
      </c>
      <c r="I567" s="39">
        <v>695</v>
      </c>
      <c r="J567" s="39">
        <v>50</v>
      </c>
      <c r="K567" s="40"/>
      <c r="L567" s="40"/>
      <c r="M567" s="40"/>
      <c r="N567" s="40"/>
      <c r="O567" s="40"/>
      <c r="P567" s="40"/>
      <c r="Q567" s="40"/>
      <c r="R567" s="40"/>
      <c r="S567" s="40"/>
      <c r="T567" s="40"/>
    </row>
    <row r="568" spans="1:20" ht="15.75">
      <c r="A568" s="13">
        <v>58440</v>
      </c>
      <c r="B568" s="48">
        <v>31</v>
      </c>
      <c r="C568" s="39">
        <v>122.58</v>
      </c>
      <c r="D568" s="39">
        <v>297.94099999999997</v>
      </c>
      <c r="E568" s="45">
        <v>729.47900000000004</v>
      </c>
      <c r="F568" s="39">
        <v>1150</v>
      </c>
      <c r="G568" s="39">
        <v>100</v>
      </c>
      <c r="H568" s="47">
        <v>600</v>
      </c>
      <c r="I568" s="39">
        <v>695</v>
      </c>
      <c r="J568" s="39">
        <v>50</v>
      </c>
      <c r="K568" s="40"/>
      <c r="L568" s="40"/>
      <c r="M568" s="40"/>
      <c r="N568" s="40"/>
      <c r="O568" s="40"/>
      <c r="P568" s="40"/>
      <c r="Q568" s="40"/>
      <c r="R568" s="40"/>
      <c r="S568" s="40"/>
      <c r="T568" s="40"/>
    </row>
    <row r="569" spans="1:20" ht="15.75">
      <c r="A569" s="13">
        <v>58471</v>
      </c>
      <c r="B569" s="48">
        <v>31</v>
      </c>
      <c r="C569" s="39">
        <v>122.58</v>
      </c>
      <c r="D569" s="39">
        <v>297.94099999999997</v>
      </c>
      <c r="E569" s="45">
        <v>729.47900000000004</v>
      </c>
      <c r="F569" s="39">
        <v>1150</v>
      </c>
      <c r="G569" s="39">
        <v>100</v>
      </c>
      <c r="H569" s="47">
        <v>600</v>
      </c>
      <c r="I569" s="39">
        <v>695</v>
      </c>
      <c r="J569" s="39">
        <v>50</v>
      </c>
      <c r="K569" s="40"/>
      <c r="L569" s="40"/>
      <c r="M569" s="40"/>
      <c r="N569" s="40"/>
      <c r="O569" s="40"/>
      <c r="P569" s="40"/>
      <c r="Q569" s="40"/>
      <c r="R569" s="40"/>
      <c r="S569" s="40"/>
      <c r="T569" s="40"/>
    </row>
    <row r="570" spans="1:20" ht="15.75">
      <c r="A570" s="13">
        <v>58499</v>
      </c>
      <c r="B570" s="48">
        <v>29</v>
      </c>
      <c r="C570" s="39">
        <v>122.58</v>
      </c>
      <c r="D570" s="39">
        <v>297.94099999999997</v>
      </c>
      <c r="E570" s="45">
        <v>729.47900000000004</v>
      </c>
      <c r="F570" s="39">
        <v>1150</v>
      </c>
      <c r="G570" s="39">
        <v>100</v>
      </c>
      <c r="H570" s="47">
        <v>600</v>
      </c>
      <c r="I570" s="39">
        <v>695</v>
      </c>
      <c r="J570" s="39">
        <v>50</v>
      </c>
      <c r="K570" s="40"/>
      <c r="L570" s="40"/>
      <c r="M570" s="40"/>
      <c r="N570" s="40"/>
      <c r="O570" s="40"/>
      <c r="P570" s="40"/>
      <c r="Q570" s="40"/>
      <c r="R570" s="40"/>
      <c r="S570" s="40"/>
      <c r="T570" s="40"/>
    </row>
    <row r="571" spans="1:20" ht="15.75">
      <c r="A571" s="13">
        <v>58531</v>
      </c>
      <c r="B571" s="48">
        <v>31</v>
      </c>
      <c r="C571" s="39">
        <v>122.58</v>
      </c>
      <c r="D571" s="39">
        <v>297.94099999999997</v>
      </c>
      <c r="E571" s="45">
        <v>729.47900000000004</v>
      </c>
      <c r="F571" s="39">
        <v>1150</v>
      </c>
      <c r="G571" s="39">
        <v>100</v>
      </c>
      <c r="H571" s="47">
        <v>600</v>
      </c>
      <c r="I571" s="39">
        <v>695</v>
      </c>
      <c r="J571" s="39">
        <v>50</v>
      </c>
      <c r="K571" s="40"/>
      <c r="L571" s="40"/>
      <c r="M571" s="40"/>
      <c r="N571" s="40"/>
      <c r="O571" s="40"/>
      <c r="P571" s="40"/>
      <c r="Q571" s="40"/>
      <c r="R571" s="40"/>
      <c r="S571" s="40"/>
      <c r="T571" s="40"/>
    </row>
    <row r="572" spans="1:20" ht="15.75">
      <c r="A572" s="13">
        <v>58561</v>
      </c>
      <c r="B572" s="48">
        <v>30</v>
      </c>
      <c r="C572" s="39">
        <v>141.29300000000001</v>
      </c>
      <c r="D572" s="39">
        <v>267.99299999999999</v>
      </c>
      <c r="E572" s="45">
        <v>829.71400000000006</v>
      </c>
      <c r="F572" s="39">
        <v>1239</v>
      </c>
      <c r="G572" s="39">
        <v>100</v>
      </c>
      <c r="H572" s="47">
        <v>600</v>
      </c>
      <c r="I572" s="39">
        <v>695</v>
      </c>
      <c r="J572" s="39">
        <v>50</v>
      </c>
      <c r="K572" s="40"/>
      <c r="L572" s="40"/>
      <c r="M572" s="40"/>
      <c r="N572" s="40"/>
      <c r="O572" s="40"/>
      <c r="P572" s="40"/>
      <c r="Q572" s="40"/>
      <c r="R572" s="40"/>
      <c r="S572" s="40"/>
      <c r="T572" s="40"/>
    </row>
    <row r="573" spans="1:20" ht="15.75">
      <c r="A573" s="13">
        <v>58592</v>
      </c>
      <c r="B573" s="48">
        <v>31</v>
      </c>
      <c r="C573" s="39">
        <v>194.20500000000001</v>
      </c>
      <c r="D573" s="39">
        <v>267.46600000000001</v>
      </c>
      <c r="E573" s="45">
        <v>812.32899999999995</v>
      </c>
      <c r="F573" s="39">
        <v>1274</v>
      </c>
      <c r="G573" s="39">
        <v>75</v>
      </c>
      <c r="H573" s="47">
        <v>600</v>
      </c>
      <c r="I573" s="39">
        <v>695</v>
      </c>
      <c r="J573" s="39">
        <v>50</v>
      </c>
      <c r="K573" s="40"/>
      <c r="L573" s="40"/>
      <c r="M573" s="40"/>
      <c r="N573" s="40"/>
      <c r="O573" s="40"/>
      <c r="P573" s="40"/>
      <c r="Q573" s="40"/>
      <c r="R573" s="40"/>
      <c r="S573" s="40"/>
      <c r="T573" s="40"/>
    </row>
    <row r="574" spans="1:20" ht="15.75">
      <c r="A574" s="13">
        <v>58622</v>
      </c>
      <c r="B574" s="48">
        <v>30</v>
      </c>
      <c r="C574" s="39">
        <v>194.20500000000001</v>
      </c>
      <c r="D574" s="39">
        <v>267.46600000000001</v>
      </c>
      <c r="E574" s="45">
        <v>812.32899999999995</v>
      </c>
      <c r="F574" s="39">
        <v>1274</v>
      </c>
      <c r="G574" s="39">
        <v>50</v>
      </c>
      <c r="H574" s="47">
        <v>600</v>
      </c>
      <c r="I574" s="39">
        <v>695</v>
      </c>
      <c r="J574" s="39">
        <v>50</v>
      </c>
      <c r="K574" s="40"/>
      <c r="L574" s="40"/>
      <c r="M574" s="40"/>
      <c r="N574" s="40"/>
      <c r="O574" s="40"/>
      <c r="P574" s="40"/>
      <c r="Q574" s="40"/>
      <c r="R574" s="40"/>
      <c r="S574" s="40"/>
      <c r="T574" s="40"/>
    </row>
    <row r="575" spans="1:20" ht="15.75">
      <c r="A575" s="13">
        <v>58653</v>
      </c>
      <c r="B575" s="48">
        <v>31</v>
      </c>
      <c r="C575" s="39">
        <v>194.20500000000001</v>
      </c>
      <c r="D575" s="39">
        <v>267.46600000000001</v>
      </c>
      <c r="E575" s="45">
        <v>812.32899999999995</v>
      </c>
      <c r="F575" s="39">
        <v>1274</v>
      </c>
      <c r="G575" s="39">
        <v>50</v>
      </c>
      <c r="H575" s="47">
        <v>600</v>
      </c>
      <c r="I575" s="39">
        <v>695</v>
      </c>
      <c r="J575" s="39">
        <v>0</v>
      </c>
      <c r="K575" s="40"/>
      <c r="L575" s="40"/>
      <c r="M575" s="40"/>
      <c r="N575" s="40"/>
      <c r="O575" s="40"/>
      <c r="P575" s="40"/>
      <c r="Q575" s="40"/>
      <c r="R575" s="40"/>
      <c r="S575" s="40"/>
      <c r="T575" s="40"/>
    </row>
    <row r="576" spans="1:20" ht="15.75">
      <c r="A576" s="13">
        <v>58684</v>
      </c>
      <c r="B576" s="48">
        <v>31</v>
      </c>
      <c r="C576" s="39">
        <v>194.20500000000001</v>
      </c>
      <c r="D576" s="39">
        <v>267.46600000000001</v>
      </c>
      <c r="E576" s="45">
        <v>812.32899999999995</v>
      </c>
      <c r="F576" s="39">
        <v>1274</v>
      </c>
      <c r="G576" s="39">
        <v>50</v>
      </c>
      <c r="H576" s="47">
        <v>600</v>
      </c>
      <c r="I576" s="39">
        <v>695</v>
      </c>
      <c r="J576" s="39">
        <v>0</v>
      </c>
      <c r="K576" s="40"/>
      <c r="L576" s="40"/>
      <c r="M576" s="40"/>
      <c r="N576" s="40"/>
      <c r="O576" s="40"/>
      <c r="P576" s="40"/>
      <c r="Q576" s="40"/>
      <c r="R576" s="40"/>
      <c r="S576" s="40"/>
      <c r="T576" s="40"/>
    </row>
    <row r="577" spans="1:20" ht="15.75">
      <c r="A577" s="13">
        <v>58714</v>
      </c>
      <c r="B577" s="48">
        <v>30</v>
      </c>
      <c r="C577" s="39">
        <v>194.20500000000001</v>
      </c>
      <c r="D577" s="39">
        <v>267.46600000000001</v>
      </c>
      <c r="E577" s="45">
        <v>812.32899999999995</v>
      </c>
      <c r="F577" s="39">
        <v>1274</v>
      </c>
      <c r="G577" s="39">
        <v>50</v>
      </c>
      <c r="H577" s="47">
        <v>600</v>
      </c>
      <c r="I577" s="39">
        <v>695</v>
      </c>
      <c r="J577" s="39">
        <v>0</v>
      </c>
      <c r="K577" s="40"/>
      <c r="L577" s="40"/>
      <c r="M577" s="40"/>
      <c r="N577" s="40"/>
      <c r="O577" s="40"/>
      <c r="P577" s="40"/>
      <c r="Q577" s="40"/>
      <c r="R577" s="40"/>
      <c r="S577" s="40"/>
      <c r="T577" s="40"/>
    </row>
    <row r="578" spans="1:20" ht="15.75">
      <c r="A578" s="13">
        <v>58745</v>
      </c>
      <c r="B578" s="48">
        <v>31</v>
      </c>
      <c r="C578" s="39">
        <v>131.881</v>
      </c>
      <c r="D578" s="39">
        <v>277.16699999999997</v>
      </c>
      <c r="E578" s="45">
        <v>829.952</v>
      </c>
      <c r="F578" s="39">
        <v>1239</v>
      </c>
      <c r="G578" s="39">
        <v>75</v>
      </c>
      <c r="H578" s="47">
        <v>600</v>
      </c>
      <c r="I578" s="39">
        <v>695</v>
      </c>
      <c r="J578" s="39">
        <v>0</v>
      </c>
      <c r="K578" s="40"/>
      <c r="L578" s="40"/>
      <c r="M578" s="40"/>
      <c r="N578" s="40"/>
      <c r="O578" s="40"/>
      <c r="P578" s="40"/>
      <c r="Q578" s="40"/>
      <c r="R578" s="40"/>
      <c r="S578" s="40"/>
      <c r="T578" s="40"/>
    </row>
    <row r="579" spans="1:20" ht="15.75">
      <c r="A579" s="13">
        <v>58775</v>
      </c>
      <c r="B579" s="48">
        <v>30</v>
      </c>
      <c r="C579" s="39">
        <v>122.58</v>
      </c>
      <c r="D579" s="39">
        <v>297.94099999999997</v>
      </c>
      <c r="E579" s="45">
        <v>729.47900000000004</v>
      </c>
      <c r="F579" s="39">
        <v>1150</v>
      </c>
      <c r="G579" s="39">
        <v>100</v>
      </c>
      <c r="H579" s="47">
        <v>600</v>
      </c>
      <c r="I579" s="39">
        <v>695</v>
      </c>
      <c r="J579" s="39">
        <v>50</v>
      </c>
      <c r="K579" s="40"/>
      <c r="L579" s="40"/>
      <c r="M579" s="40"/>
      <c r="N579" s="40"/>
      <c r="O579" s="40"/>
      <c r="P579" s="40"/>
      <c r="Q579" s="40"/>
      <c r="R579" s="40"/>
      <c r="S579" s="40"/>
      <c r="T579" s="40"/>
    </row>
    <row r="580" spans="1:20" ht="15.75">
      <c r="A580" s="13">
        <v>58806</v>
      </c>
      <c r="B580" s="48">
        <v>31</v>
      </c>
      <c r="C580" s="39">
        <v>122.58</v>
      </c>
      <c r="D580" s="39">
        <v>297.94099999999997</v>
      </c>
      <c r="E580" s="45">
        <v>729.47900000000004</v>
      </c>
      <c r="F580" s="39">
        <v>1150</v>
      </c>
      <c r="G580" s="39">
        <v>100</v>
      </c>
      <c r="H580" s="47">
        <v>600</v>
      </c>
      <c r="I580" s="39">
        <v>695</v>
      </c>
      <c r="J580" s="39">
        <v>50</v>
      </c>
      <c r="K580" s="40"/>
      <c r="L580" s="40"/>
      <c r="M580" s="40"/>
      <c r="N580" s="40"/>
      <c r="O580" s="40"/>
      <c r="P580" s="40"/>
      <c r="Q580" s="40"/>
      <c r="R580" s="40"/>
      <c r="S580" s="40"/>
      <c r="T580" s="40"/>
    </row>
    <row r="581" spans="1:20" ht="15.75">
      <c r="A581" s="13">
        <v>58837</v>
      </c>
      <c r="B581" s="48">
        <v>31</v>
      </c>
      <c r="C581" s="39">
        <v>122.58</v>
      </c>
      <c r="D581" s="39">
        <v>297.94099999999997</v>
      </c>
      <c r="E581" s="45">
        <v>729.47900000000004</v>
      </c>
      <c r="F581" s="39">
        <v>1150</v>
      </c>
      <c r="G581" s="39">
        <v>100</v>
      </c>
      <c r="H581" s="47">
        <v>600</v>
      </c>
      <c r="I581" s="39">
        <v>695</v>
      </c>
      <c r="J581" s="39">
        <v>50</v>
      </c>
      <c r="K581" s="40"/>
      <c r="L581" s="40"/>
      <c r="M581" s="40"/>
      <c r="N581" s="40"/>
      <c r="O581" s="40"/>
      <c r="P581" s="40"/>
      <c r="Q581" s="40"/>
      <c r="R581" s="40"/>
      <c r="S581" s="40"/>
      <c r="T581" s="40"/>
    </row>
    <row r="582" spans="1:20" ht="15.75">
      <c r="A582" s="13">
        <v>58865</v>
      </c>
      <c r="B582" s="48">
        <v>28</v>
      </c>
      <c r="C582" s="39">
        <v>122.58</v>
      </c>
      <c r="D582" s="39">
        <v>297.94099999999997</v>
      </c>
      <c r="E582" s="45">
        <v>729.47900000000004</v>
      </c>
      <c r="F582" s="39">
        <v>1150</v>
      </c>
      <c r="G582" s="39">
        <v>100</v>
      </c>
      <c r="H582" s="47">
        <v>600</v>
      </c>
      <c r="I582" s="39">
        <v>695</v>
      </c>
      <c r="J582" s="39">
        <v>50</v>
      </c>
      <c r="K582" s="40"/>
      <c r="L582" s="40"/>
      <c r="M582" s="40"/>
      <c r="N582" s="40"/>
      <c r="O582" s="40"/>
      <c r="P582" s="40"/>
      <c r="Q582" s="40"/>
      <c r="R582" s="40"/>
      <c r="S582" s="40"/>
      <c r="T582" s="40"/>
    </row>
    <row r="583" spans="1:20" ht="15.75">
      <c r="A583" s="13">
        <v>58893</v>
      </c>
      <c r="B583" s="48">
        <v>31</v>
      </c>
      <c r="C583" s="39">
        <v>122.58</v>
      </c>
      <c r="D583" s="39">
        <v>297.94099999999997</v>
      </c>
      <c r="E583" s="45">
        <v>729.47900000000004</v>
      </c>
      <c r="F583" s="39">
        <v>1150</v>
      </c>
      <c r="G583" s="39">
        <v>100</v>
      </c>
      <c r="H583" s="47">
        <v>600</v>
      </c>
      <c r="I583" s="39">
        <v>695</v>
      </c>
      <c r="J583" s="39">
        <v>50</v>
      </c>
      <c r="K583" s="40"/>
      <c r="L583" s="40"/>
      <c r="M583" s="40"/>
      <c r="N583" s="40"/>
      <c r="O583" s="40"/>
      <c r="P583" s="40"/>
      <c r="Q583" s="40"/>
      <c r="R583" s="40"/>
      <c r="S583" s="40"/>
      <c r="T583" s="40"/>
    </row>
    <row r="584" spans="1:20" ht="15.75">
      <c r="A584" s="13">
        <v>58926</v>
      </c>
      <c r="B584" s="48">
        <v>30</v>
      </c>
      <c r="C584" s="39">
        <v>141.29300000000001</v>
      </c>
      <c r="D584" s="39">
        <v>267.99299999999999</v>
      </c>
      <c r="E584" s="45">
        <v>829.71400000000006</v>
      </c>
      <c r="F584" s="39">
        <v>1239</v>
      </c>
      <c r="G584" s="39">
        <v>100</v>
      </c>
      <c r="H584" s="47">
        <v>600</v>
      </c>
      <c r="I584" s="39">
        <v>695</v>
      </c>
      <c r="J584" s="39">
        <v>50</v>
      </c>
      <c r="K584" s="40"/>
      <c r="L584" s="40"/>
      <c r="M584" s="40"/>
      <c r="N584" s="40"/>
      <c r="O584" s="40"/>
      <c r="P584" s="40"/>
      <c r="Q584" s="40"/>
      <c r="R584" s="40"/>
      <c r="S584" s="40"/>
      <c r="T584" s="40"/>
    </row>
    <row r="585" spans="1:20" ht="15.75">
      <c r="A585" s="13">
        <v>58957</v>
      </c>
      <c r="B585" s="48">
        <v>31</v>
      </c>
      <c r="C585" s="39">
        <v>194.20500000000001</v>
      </c>
      <c r="D585" s="39">
        <v>267.46600000000001</v>
      </c>
      <c r="E585" s="45">
        <v>812.32899999999995</v>
      </c>
      <c r="F585" s="39">
        <v>1274</v>
      </c>
      <c r="G585" s="39">
        <v>75</v>
      </c>
      <c r="H585" s="47">
        <v>600</v>
      </c>
      <c r="I585" s="39">
        <v>695</v>
      </c>
      <c r="J585" s="39">
        <v>50</v>
      </c>
      <c r="K585" s="40"/>
      <c r="L585" s="40"/>
      <c r="M585" s="40"/>
      <c r="N585" s="40"/>
      <c r="O585" s="40"/>
      <c r="P585" s="40"/>
      <c r="Q585" s="40"/>
      <c r="R585" s="40"/>
      <c r="S585" s="40"/>
      <c r="T585" s="40"/>
    </row>
    <row r="586" spans="1:20" ht="15.75">
      <c r="A586" s="13">
        <v>58987</v>
      </c>
      <c r="B586" s="48">
        <v>30</v>
      </c>
      <c r="C586" s="39">
        <v>194.20500000000001</v>
      </c>
      <c r="D586" s="39">
        <v>267.46600000000001</v>
      </c>
      <c r="E586" s="45">
        <v>812.32899999999995</v>
      </c>
      <c r="F586" s="39">
        <v>1274</v>
      </c>
      <c r="G586" s="39">
        <v>50</v>
      </c>
      <c r="H586" s="47">
        <v>600</v>
      </c>
      <c r="I586" s="39">
        <v>695</v>
      </c>
      <c r="J586" s="39">
        <v>50</v>
      </c>
      <c r="K586" s="40"/>
      <c r="L586" s="40"/>
      <c r="M586" s="40"/>
      <c r="N586" s="40"/>
      <c r="O586" s="40"/>
      <c r="P586" s="40"/>
      <c r="Q586" s="40"/>
      <c r="R586" s="40"/>
      <c r="S586" s="40"/>
      <c r="T586" s="40"/>
    </row>
    <row r="587" spans="1:20" ht="15.75">
      <c r="A587" s="13">
        <v>59018</v>
      </c>
      <c r="B587" s="48">
        <v>31</v>
      </c>
      <c r="C587" s="39">
        <v>194.20500000000001</v>
      </c>
      <c r="D587" s="39">
        <v>267.46600000000001</v>
      </c>
      <c r="E587" s="45">
        <v>812.32899999999995</v>
      </c>
      <c r="F587" s="39">
        <v>1274</v>
      </c>
      <c r="G587" s="39">
        <v>50</v>
      </c>
      <c r="H587" s="47">
        <v>600</v>
      </c>
      <c r="I587" s="39">
        <v>695</v>
      </c>
      <c r="J587" s="39">
        <v>0</v>
      </c>
      <c r="K587" s="40"/>
      <c r="L587" s="40"/>
      <c r="M587" s="40"/>
      <c r="N587" s="40"/>
      <c r="O587" s="40"/>
      <c r="P587" s="40"/>
      <c r="Q587" s="40"/>
      <c r="R587" s="40"/>
      <c r="S587" s="40"/>
      <c r="T587" s="40"/>
    </row>
    <row r="588" spans="1:20" ht="15.75">
      <c r="A588" s="13">
        <v>59049</v>
      </c>
      <c r="B588" s="48">
        <v>31</v>
      </c>
      <c r="C588" s="39">
        <v>194.20500000000001</v>
      </c>
      <c r="D588" s="39">
        <v>267.46600000000001</v>
      </c>
      <c r="E588" s="45">
        <v>812.32899999999995</v>
      </c>
      <c r="F588" s="39">
        <v>1274</v>
      </c>
      <c r="G588" s="39">
        <v>50</v>
      </c>
      <c r="H588" s="47">
        <v>600</v>
      </c>
      <c r="I588" s="39">
        <v>695</v>
      </c>
      <c r="J588" s="39">
        <v>0</v>
      </c>
      <c r="K588" s="40"/>
      <c r="L588" s="40"/>
      <c r="M588" s="40"/>
      <c r="N588" s="40"/>
      <c r="O588" s="40"/>
      <c r="P588" s="40"/>
      <c r="Q588" s="40"/>
      <c r="R588" s="40"/>
      <c r="S588" s="40"/>
      <c r="T588" s="40"/>
    </row>
    <row r="589" spans="1:20" ht="15.75">
      <c r="A589" s="13">
        <v>59079</v>
      </c>
      <c r="B589" s="48">
        <v>30</v>
      </c>
      <c r="C589" s="39">
        <v>194.20500000000001</v>
      </c>
      <c r="D589" s="39">
        <v>267.46600000000001</v>
      </c>
      <c r="E589" s="45">
        <v>812.32899999999995</v>
      </c>
      <c r="F589" s="39">
        <v>1274</v>
      </c>
      <c r="G589" s="39">
        <v>50</v>
      </c>
      <c r="H589" s="47">
        <v>600</v>
      </c>
      <c r="I589" s="39">
        <v>695</v>
      </c>
      <c r="J589" s="39">
        <v>0</v>
      </c>
      <c r="K589" s="40"/>
      <c r="L589" s="40"/>
      <c r="M589" s="40"/>
      <c r="N589" s="40"/>
      <c r="O589" s="40"/>
      <c r="P589" s="40"/>
      <c r="Q589" s="40"/>
      <c r="R589" s="40"/>
      <c r="S589" s="40"/>
      <c r="T589" s="40"/>
    </row>
    <row r="590" spans="1:20" ht="15.75">
      <c r="A590" s="13">
        <v>59110</v>
      </c>
      <c r="B590" s="48">
        <v>31</v>
      </c>
      <c r="C590" s="39">
        <v>131.881</v>
      </c>
      <c r="D590" s="39">
        <v>277.16699999999997</v>
      </c>
      <c r="E590" s="45">
        <v>829.952</v>
      </c>
      <c r="F590" s="39">
        <v>1239</v>
      </c>
      <c r="G590" s="39">
        <v>75</v>
      </c>
      <c r="H590" s="47">
        <v>600</v>
      </c>
      <c r="I590" s="39">
        <v>695</v>
      </c>
      <c r="J590" s="39">
        <v>0</v>
      </c>
      <c r="K590" s="40"/>
      <c r="L590" s="40"/>
      <c r="M590" s="40"/>
      <c r="N590" s="40"/>
      <c r="O590" s="40"/>
      <c r="P590" s="40"/>
      <c r="Q590" s="40"/>
      <c r="R590" s="40"/>
      <c r="S590" s="40"/>
      <c r="T590" s="40"/>
    </row>
    <row r="591" spans="1:20" ht="15.75">
      <c r="A591" s="13">
        <v>59140</v>
      </c>
      <c r="B591" s="48">
        <v>30</v>
      </c>
      <c r="C591" s="39">
        <v>122.58</v>
      </c>
      <c r="D591" s="39">
        <v>297.94099999999997</v>
      </c>
      <c r="E591" s="45">
        <v>729.47900000000004</v>
      </c>
      <c r="F591" s="39">
        <v>1150</v>
      </c>
      <c r="G591" s="39">
        <v>100</v>
      </c>
      <c r="H591" s="47">
        <v>600</v>
      </c>
      <c r="I591" s="39">
        <v>695</v>
      </c>
      <c r="J591" s="39">
        <v>50</v>
      </c>
      <c r="K591" s="40"/>
      <c r="L591" s="40"/>
      <c r="M591" s="40"/>
      <c r="N591" s="40"/>
      <c r="O591" s="40"/>
      <c r="P591" s="40"/>
      <c r="Q591" s="40"/>
      <c r="R591" s="40"/>
      <c r="S591" s="40"/>
      <c r="T591" s="40"/>
    </row>
    <row r="592" spans="1:20" ht="15.75">
      <c r="A592" s="13">
        <v>59171</v>
      </c>
      <c r="B592" s="48">
        <v>31</v>
      </c>
      <c r="C592" s="39">
        <v>122.58</v>
      </c>
      <c r="D592" s="39">
        <v>297.94099999999997</v>
      </c>
      <c r="E592" s="45">
        <v>729.47900000000004</v>
      </c>
      <c r="F592" s="39">
        <v>1150</v>
      </c>
      <c r="G592" s="39">
        <v>100</v>
      </c>
      <c r="H592" s="47">
        <v>600</v>
      </c>
      <c r="I592" s="39">
        <v>695</v>
      </c>
      <c r="J592" s="39">
        <v>50</v>
      </c>
      <c r="K592" s="40"/>
      <c r="L592" s="40"/>
      <c r="M592" s="40"/>
      <c r="N592" s="40"/>
      <c r="O592" s="40"/>
      <c r="P592" s="40"/>
      <c r="Q592" s="40"/>
      <c r="R592" s="40"/>
      <c r="S592" s="40"/>
      <c r="T592" s="40"/>
    </row>
    <row r="593" spans="1:20" ht="15.75">
      <c r="A593" s="13">
        <v>59202</v>
      </c>
      <c r="B593" s="48">
        <f t="shared" ref="B593:B656" si="0">EOMONTH(A593,0)-EOMONTH(A593,-1)</f>
        <v>31</v>
      </c>
      <c r="C593" s="39">
        <v>122.58</v>
      </c>
      <c r="D593" s="39">
        <v>297.94099999999997</v>
      </c>
      <c r="E593" s="45">
        <v>729.47900000000004</v>
      </c>
      <c r="F593" s="39">
        <v>1150</v>
      </c>
      <c r="G593" s="39">
        <v>100</v>
      </c>
      <c r="H593" s="47">
        <v>600</v>
      </c>
      <c r="I593" s="39">
        <v>695</v>
      </c>
      <c r="J593" s="39">
        <v>50</v>
      </c>
      <c r="K593" s="40"/>
      <c r="L593" s="40"/>
      <c r="M593" s="40"/>
      <c r="N593" s="40"/>
      <c r="O593" s="40"/>
      <c r="P593" s="40"/>
      <c r="Q593" s="40"/>
      <c r="R593" s="40"/>
      <c r="S593" s="40"/>
      <c r="T593" s="40"/>
    </row>
    <row r="594" spans="1:20" ht="15.75">
      <c r="A594" s="13">
        <v>59230</v>
      </c>
      <c r="B594" s="48">
        <f t="shared" si="0"/>
        <v>28</v>
      </c>
      <c r="C594" s="39">
        <v>122.58</v>
      </c>
      <c r="D594" s="39">
        <v>297.94099999999997</v>
      </c>
      <c r="E594" s="45">
        <v>729.47900000000004</v>
      </c>
      <c r="F594" s="39">
        <v>1150</v>
      </c>
      <c r="G594" s="39">
        <v>100</v>
      </c>
      <c r="H594" s="47">
        <v>600</v>
      </c>
      <c r="I594" s="39">
        <v>695</v>
      </c>
      <c r="J594" s="39">
        <v>50</v>
      </c>
      <c r="K594" s="40"/>
      <c r="L594" s="40"/>
      <c r="M594" s="40"/>
      <c r="N594" s="40"/>
      <c r="O594" s="40"/>
      <c r="P594" s="40"/>
      <c r="Q594" s="40"/>
      <c r="R594" s="40"/>
      <c r="S594" s="40"/>
      <c r="T594" s="40"/>
    </row>
    <row r="595" spans="1:20" ht="15.75">
      <c r="A595" s="13">
        <v>59261</v>
      </c>
      <c r="B595" s="48">
        <f t="shared" si="0"/>
        <v>31</v>
      </c>
      <c r="C595" s="39">
        <v>122.58</v>
      </c>
      <c r="D595" s="39">
        <v>297.94099999999997</v>
      </c>
      <c r="E595" s="45">
        <v>729.47900000000004</v>
      </c>
      <c r="F595" s="39">
        <v>1150</v>
      </c>
      <c r="G595" s="39">
        <v>100</v>
      </c>
      <c r="H595" s="47">
        <v>600</v>
      </c>
      <c r="I595" s="39">
        <v>695</v>
      </c>
      <c r="J595" s="39">
        <v>50</v>
      </c>
      <c r="K595" s="40"/>
      <c r="L595" s="40"/>
      <c r="M595" s="40"/>
      <c r="N595" s="40"/>
      <c r="O595" s="40"/>
      <c r="P595" s="40"/>
      <c r="Q595" s="40"/>
      <c r="R595" s="40"/>
      <c r="S595" s="40"/>
      <c r="T595" s="40"/>
    </row>
    <row r="596" spans="1:20" ht="15.75">
      <c r="A596" s="13">
        <v>59291</v>
      </c>
      <c r="B596" s="48">
        <f t="shared" si="0"/>
        <v>30</v>
      </c>
      <c r="C596" s="39">
        <v>141.29300000000001</v>
      </c>
      <c r="D596" s="39">
        <v>267.99299999999999</v>
      </c>
      <c r="E596" s="45">
        <v>829.71400000000006</v>
      </c>
      <c r="F596" s="39">
        <v>1239</v>
      </c>
      <c r="G596" s="39">
        <v>100</v>
      </c>
      <c r="H596" s="47">
        <v>600</v>
      </c>
      <c r="I596" s="39">
        <v>695</v>
      </c>
      <c r="J596" s="39">
        <v>50</v>
      </c>
      <c r="K596" s="40"/>
      <c r="L596" s="40"/>
      <c r="M596" s="40"/>
      <c r="N596" s="40"/>
      <c r="O596" s="40"/>
      <c r="P596" s="40"/>
      <c r="Q596" s="40"/>
      <c r="R596" s="40"/>
      <c r="S596" s="40"/>
      <c r="T596" s="40"/>
    </row>
    <row r="597" spans="1:20" ht="15.75">
      <c r="A597" s="13">
        <v>59322</v>
      </c>
      <c r="B597" s="48">
        <f t="shared" si="0"/>
        <v>31</v>
      </c>
      <c r="C597" s="39">
        <v>194.20500000000001</v>
      </c>
      <c r="D597" s="39">
        <v>267.46600000000001</v>
      </c>
      <c r="E597" s="45">
        <v>812.32899999999995</v>
      </c>
      <c r="F597" s="39">
        <v>1274</v>
      </c>
      <c r="G597" s="39">
        <v>75</v>
      </c>
      <c r="H597" s="47">
        <v>600</v>
      </c>
      <c r="I597" s="39">
        <v>695</v>
      </c>
      <c r="J597" s="39">
        <v>50</v>
      </c>
      <c r="K597" s="40"/>
      <c r="L597" s="40"/>
      <c r="M597" s="40"/>
      <c r="N597" s="40"/>
      <c r="O597" s="40"/>
      <c r="P597" s="40"/>
      <c r="Q597" s="40"/>
      <c r="R597" s="40"/>
      <c r="S597" s="40"/>
      <c r="T597" s="40"/>
    </row>
    <row r="598" spans="1:20" ht="15.75">
      <c r="A598" s="13">
        <v>59352</v>
      </c>
      <c r="B598" s="48">
        <f t="shared" si="0"/>
        <v>30</v>
      </c>
      <c r="C598" s="39">
        <v>194.20500000000001</v>
      </c>
      <c r="D598" s="39">
        <v>267.46600000000001</v>
      </c>
      <c r="E598" s="45">
        <v>812.32899999999995</v>
      </c>
      <c r="F598" s="39">
        <v>1274</v>
      </c>
      <c r="G598" s="39">
        <v>50</v>
      </c>
      <c r="H598" s="47">
        <v>600</v>
      </c>
      <c r="I598" s="39">
        <v>695</v>
      </c>
      <c r="J598" s="39">
        <v>50</v>
      </c>
      <c r="K598" s="40"/>
      <c r="L598" s="40"/>
      <c r="M598" s="40"/>
      <c r="N598" s="40"/>
      <c r="O598" s="40"/>
      <c r="P598" s="40"/>
      <c r="Q598" s="40"/>
      <c r="R598" s="40"/>
      <c r="S598" s="40"/>
      <c r="T598" s="40"/>
    </row>
    <row r="599" spans="1:20" ht="15.75">
      <c r="A599" s="13">
        <v>59383</v>
      </c>
      <c r="B599" s="48">
        <f t="shared" si="0"/>
        <v>31</v>
      </c>
      <c r="C599" s="39">
        <v>194.20500000000001</v>
      </c>
      <c r="D599" s="39">
        <v>267.46600000000001</v>
      </c>
      <c r="E599" s="45">
        <v>812.32899999999995</v>
      </c>
      <c r="F599" s="39">
        <v>1274</v>
      </c>
      <c r="G599" s="39">
        <v>50</v>
      </c>
      <c r="H599" s="47">
        <v>600</v>
      </c>
      <c r="I599" s="39">
        <v>695</v>
      </c>
      <c r="J599" s="39">
        <v>0</v>
      </c>
      <c r="K599" s="40"/>
      <c r="L599" s="40"/>
      <c r="M599" s="40"/>
      <c r="N599" s="40"/>
      <c r="O599" s="40"/>
      <c r="P599" s="40"/>
      <c r="Q599" s="40"/>
      <c r="R599" s="40"/>
      <c r="S599" s="40"/>
      <c r="T599" s="40"/>
    </row>
    <row r="600" spans="1:20" ht="15.75">
      <c r="A600" s="13">
        <v>59414</v>
      </c>
      <c r="B600" s="48">
        <f t="shared" si="0"/>
        <v>31</v>
      </c>
      <c r="C600" s="39">
        <v>194.20500000000001</v>
      </c>
      <c r="D600" s="39">
        <v>267.46600000000001</v>
      </c>
      <c r="E600" s="45">
        <v>812.32899999999995</v>
      </c>
      <c r="F600" s="39">
        <v>1274</v>
      </c>
      <c r="G600" s="39">
        <v>50</v>
      </c>
      <c r="H600" s="47">
        <v>600</v>
      </c>
      <c r="I600" s="39">
        <v>695</v>
      </c>
      <c r="J600" s="39">
        <v>0</v>
      </c>
      <c r="K600" s="40"/>
      <c r="L600" s="40"/>
      <c r="M600" s="40"/>
      <c r="N600" s="40"/>
      <c r="O600" s="40"/>
      <c r="P600" s="40"/>
      <c r="Q600" s="40"/>
      <c r="R600" s="40"/>
      <c r="S600" s="40"/>
      <c r="T600" s="40"/>
    </row>
    <row r="601" spans="1:20" ht="15.75">
      <c r="A601" s="13">
        <v>59444</v>
      </c>
      <c r="B601" s="48">
        <f t="shared" si="0"/>
        <v>30</v>
      </c>
      <c r="C601" s="39">
        <v>194.20500000000001</v>
      </c>
      <c r="D601" s="39">
        <v>267.46600000000001</v>
      </c>
      <c r="E601" s="45">
        <v>812.32899999999995</v>
      </c>
      <c r="F601" s="39">
        <v>1274</v>
      </c>
      <c r="G601" s="39">
        <v>50</v>
      </c>
      <c r="H601" s="47">
        <v>600</v>
      </c>
      <c r="I601" s="39">
        <v>695</v>
      </c>
      <c r="J601" s="39">
        <v>0</v>
      </c>
      <c r="K601" s="40"/>
      <c r="L601" s="40"/>
      <c r="M601" s="40"/>
      <c r="N601" s="40"/>
      <c r="O601" s="40"/>
      <c r="P601" s="40"/>
      <c r="Q601" s="40"/>
      <c r="R601" s="40"/>
      <c r="S601" s="40"/>
      <c r="T601" s="40"/>
    </row>
    <row r="602" spans="1:20" ht="15.75">
      <c r="A602" s="13">
        <v>59475</v>
      </c>
      <c r="B602" s="48">
        <f t="shared" si="0"/>
        <v>31</v>
      </c>
      <c r="C602" s="39">
        <v>131.881</v>
      </c>
      <c r="D602" s="39">
        <v>277.16699999999997</v>
      </c>
      <c r="E602" s="45">
        <v>829.952</v>
      </c>
      <c r="F602" s="39">
        <v>1239</v>
      </c>
      <c r="G602" s="39">
        <v>75</v>
      </c>
      <c r="H602" s="47">
        <v>600</v>
      </c>
      <c r="I602" s="39">
        <v>695</v>
      </c>
      <c r="J602" s="39">
        <v>0</v>
      </c>
      <c r="K602" s="40"/>
      <c r="L602" s="40"/>
      <c r="M602" s="40"/>
      <c r="N602" s="40"/>
      <c r="O602" s="40"/>
      <c r="P602" s="40"/>
      <c r="Q602" s="40"/>
      <c r="R602" s="40"/>
      <c r="S602" s="40"/>
      <c r="T602" s="40"/>
    </row>
    <row r="603" spans="1:20" ht="15.75">
      <c r="A603" s="13">
        <v>59505</v>
      </c>
      <c r="B603" s="48">
        <f t="shared" si="0"/>
        <v>30</v>
      </c>
      <c r="C603" s="39">
        <v>122.58</v>
      </c>
      <c r="D603" s="39">
        <v>297.94099999999997</v>
      </c>
      <c r="E603" s="45">
        <v>729.47900000000004</v>
      </c>
      <c r="F603" s="39">
        <v>1150</v>
      </c>
      <c r="G603" s="39">
        <v>100</v>
      </c>
      <c r="H603" s="47">
        <v>600</v>
      </c>
      <c r="I603" s="39">
        <v>695</v>
      </c>
      <c r="J603" s="39">
        <v>50</v>
      </c>
      <c r="K603" s="40"/>
      <c r="L603" s="40"/>
      <c r="M603" s="40"/>
      <c r="N603" s="40"/>
      <c r="O603" s="40"/>
      <c r="P603" s="40"/>
      <c r="Q603" s="40"/>
      <c r="R603" s="40"/>
      <c r="S603" s="40"/>
      <c r="T603" s="40"/>
    </row>
    <row r="604" spans="1:20" ht="15.75">
      <c r="A604" s="13">
        <v>59536</v>
      </c>
      <c r="B604" s="48">
        <f t="shared" si="0"/>
        <v>31</v>
      </c>
      <c r="C604" s="39">
        <v>122.58</v>
      </c>
      <c r="D604" s="39">
        <v>297.94099999999997</v>
      </c>
      <c r="E604" s="45">
        <v>729.47900000000004</v>
      </c>
      <c r="F604" s="39">
        <v>1150</v>
      </c>
      <c r="G604" s="39">
        <v>100</v>
      </c>
      <c r="H604" s="47">
        <v>600</v>
      </c>
      <c r="I604" s="39">
        <v>695</v>
      </c>
      <c r="J604" s="39">
        <v>50</v>
      </c>
      <c r="K604" s="40"/>
      <c r="L604" s="40"/>
      <c r="M604" s="40"/>
      <c r="N604" s="40"/>
      <c r="O604" s="40"/>
      <c r="P604" s="40"/>
      <c r="Q604" s="40"/>
      <c r="R604" s="40"/>
      <c r="S604" s="40"/>
      <c r="T604" s="40"/>
    </row>
    <row r="605" spans="1:20" ht="15.75">
      <c r="A605" s="13">
        <v>59567</v>
      </c>
      <c r="B605" s="48">
        <f t="shared" si="0"/>
        <v>31</v>
      </c>
      <c r="C605" s="39">
        <v>122.58</v>
      </c>
      <c r="D605" s="39">
        <v>297.94099999999997</v>
      </c>
      <c r="E605" s="45">
        <v>729.47900000000004</v>
      </c>
      <c r="F605" s="39">
        <v>1150</v>
      </c>
      <c r="G605" s="39">
        <v>100</v>
      </c>
      <c r="H605" s="47">
        <v>600</v>
      </c>
      <c r="I605" s="39">
        <v>695</v>
      </c>
      <c r="J605" s="39">
        <v>50</v>
      </c>
      <c r="K605" s="40"/>
      <c r="L605" s="40"/>
      <c r="M605" s="40"/>
      <c r="N605" s="40"/>
      <c r="O605" s="40"/>
      <c r="P605" s="40"/>
      <c r="Q605" s="40"/>
      <c r="R605" s="40"/>
      <c r="S605" s="40"/>
      <c r="T605" s="40"/>
    </row>
    <row r="606" spans="1:20" ht="15.75">
      <c r="A606" s="13">
        <v>59595</v>
      </c>
      <c r="B606" s="48">
        <f t="shared" si="0"/>
        <v>28</v>
      </c>
      <c r="C606" s="39">
        <v>122.58</v>
      </c>
      <c r="D606" s="39">
        <v>297.94099999999997</v>
      </c>
      <c r="E606" s="45">
        <v>729.47900000000004</v>
      </c>
      <c r="F606" s="39">
        <v>1150</v>
      </c>
      <c r="G606" s="39">
        <v>100</v>
      </c>
      <c r="H606" s="47">
        <v>600</v>
      </c>
      <c r="I606" s="39">
        <v>695</v>
      </c>
      <c r="J606" s="39">
        <v>50</v>
      </c>
      <c r="K606" s="40"/>
      <c r="L606" s="40"/>
      <c r="M606" s="40"/>
      <c r="N606" s="40"/>
      <c r="O606" s="40"/>
      <c r="P606" s="40"/>
      <c r="Q606" s="40"/>
      <c r="R606" s="40"/>
      <c r="S606" s="40"/>
      <c r="T606" s="40"/>
    </row>
    <row r="607" spans="1:20" ht="15.75">
      <c r="A607" s="13">
        <v>59626</v>
      </c>
      <c r="B607" s="48">
        <f t="shared" si="0"/>
        <v>31</v>
      </c>
      <c r="C607" s="39">
        <v>122.58</v>
      </c>
      <c r="D607" s="39">
        <v>297.94099999999997</v>
      </c>
      <c r="E607" s="45">
        <v>729.47900000000004</v>
      </c>
      <c r="F607" s="39">
        <v>1150</v>
      </c>
      <c r="G607" s="39">
        <v>100</v>
      </c>
      <c r="H607" s="47">
        <v>600</v>
      </c>
      <c r="I607" s="39">
        <v>695</v>
      </c>
      <c r="J607" s="39">
        <v>50</v>
      </c>
      <c r="K607" s="40"/>
      <c r="L607" s="40"/>
      <c r="M607" s="40"/>
      <c r="N607" s="40"/>
      <c r="O607" s="40"/>
      <c r="P607" s="40"/>
      <c r="Q607" s="40"/>
      <c r="R607" s="40"/>
      <c r="S607" s="40"/>
      <c r="T607" s="40"/>
    </row>
    <row r="608" spans="1:20" ht="15.75">
      <c r="A608" s="13">
        <v>59656</v>
      </c>
      <c r="B608" s="48">
        <f t="shared" si="0"/>
        <v>30</v>
      </c>
      <c r="C608" s="39">
        <v>141.29300000000001</v>
      </c>
      <c r="D608" s="39">
        <v>267.99299999999999</v>
      </c>
      <c r="E608" s="45">
        <v>829.71400000000006</v>
      </c>
      <c r="F608" s="39">
        <v>1239</v>
      </c>
      <c r="G608" s="39">
        <v>100</v>
      </c>
      <c r="H608" s="47">
        <v>600</v>
      </c>
      <c r="I608" s="39">
        <v>695</v>
      </c>
      <c r="J608" s="39">
        <v>50</v>
      </c>
      <c r="K608" s="40"/>
      <c r="L608" s="40"/>
      <c r="M608" s="40"/>
      <c r="N608" s="40"/>
      <c r="O608" s="40"/>
      <c r="P608" s="40"/>
      <c r="Q608" s="40"/>
      <c r="R608" s="40"/>
      <c r="S608" s="40"/>
      <c r="T608" s="40"/>
    </row>
    <row r="609" spans="1:20" ht="15.75">
      <c r="A609" s="13">
        <v>59687</v>
      </c>
      <c r="B609" s="48">
        <f t="shared" si="0"/>
        <v>31</v>
      </c>
      <c r="C609" s="39">
        <v>194.20500000000001</v>
      </c>
      <c r="D609" s="39">
        <v>267.46600000000001</v>
      </c>
      <c r="E609" s="45">
        <v>812.32899999999995</v>
      </c>
      <c r="F609" s="39">
        <v>1274</v>
      </c>
      <c r="G609" s="39">
        <v>75</v>
      </c>
      <c r="H609" s="47">
        <v>600</v>
      </c>
      <c r="I609" s="39">
        <v>695</v>
      </c>
      <c r="J609" s="39">
        <v>50</v>
      </c>
      <c r="K609" s="40"/>
      <c r="L609" s="40"/>
      <c r="M609" s="40"/>
      <c r="N609" s="40"/>
      <c r="O609" s="40"/>
      <c r="P609" s="40"/>
      <c r="Q609" s="40"/>
      <c r="R609" s="40"/>
      <c r="S609" s="40"/>
      <c r="T609" s="40"/>
    </row>
    <row r="610" spans="1:20" ht="15.75">
      <c r="A610" s="13">
        <v>59717</v>
      </c>
      <c r="B610" s="48">
        <f t="shared" si="0"/>
        <v>30</v>
      </c>
      <c r="C610" s="39">
        <v>194.20500000000001</v>
      </c>
      <c r="D610" s="39">
        <v>267.46600000000001</v>
      </c>
      <c r="E610" s="45">
        <v>812.32899999999995</v>
      </c>
      <c r="F610" s="39">
        <v>1274</v>
      </c>
      <c r="G610" s="39">
        <v>50</v>
      </c>
      <c r="H610" s="47">
        <v>600</v>
      </c>
      <c r="I610" s="39">
        <v>695</v>
      </c>
      <c r="J610" s="39">
        <v>50</v>
      </c>
      <c r="K610" s="40"/>
      <c r="L610" s="40"/>
      <c r="M610" s="40"/>
      <c r="N610" s="40"/>
      <c r="O610" s="40"/>
      <c r="P610" s="40"/>
      <c r="Q610" s="40"/>
      <c r="R610" s="40"/>
      <c r="S610" s="40"/>
      <c r="T610" s="40"/>
    </row>
    <row r="611" spans="1:20" ht="15.75">
      <c r="A611" s="13">
        <v>59748</v>
      </c>
      <c r="B611" s="48">
        <f t="shared" si="0"/>
        <v>31</v>
      </c>
      <c r="C611" s="39">
        <v>194.20500000000001</v>
      </c>
      <c r="D611" s="39">
        <v>267.46600000000001</v>
      </c>
      <c r="E611" s="45">
        <v>812.32899999999995</v>
      </c>
      <c r="F611" s="39">
        <v>1274</v>
      </c>
      <c r="G611" s="39">
        <v>50</v>
      </c>
      <c r="H611" s="47">
        <v>600</v>
      </c>
      <c r="I611" s="39">
        <v>695</v>
      </c>
      <c r="J611" s="39">
        <v>0</v>
      </c>
      <c r="K611" s="40"/>
      <c r="L611" s="40"/>
      <c r="M611" s="40"/>
      <c r="N611" s="40"/>
      <c r="O611" s="40"/>
      <c r="P611" s="40"/>
      <c r="Q611" s="40"/>
      <c r="R611" s="40"/>
      <c r="S611" s="40"/>
      <c r="T611" s="40"/>
    </row>
    <row r="612" spans="1:20" ht="15.75">
      <c r="A612" s="13">
        <v>59779</v>
      </c>
      <c r="B612" s="48">
        <f t="shared" si="0"/>
        <v>31</v>
      </c>
      <c r="C612" s="39">
        <v>194.20500000000001</v>
      </c>
      <c r="D612" s="39">
        <v>267.46600000000001</v>
      </c>
      <c r="E612" s="45">
        <v>812.32899999999995</v>
      </c>
      <c r="F612" s="39">
        <v>1274</v>
      </c>
      <c r="G612" s="39">
        <v>50</v>
      </c>
      <c r="H612" s="47">
        <v>600</v>
      </c>
      <c r="I612" s="39">
        <v>695</v>
      </c>
      <c r="J612" s="39">
        <v>0</v>
      </c>
      <c r="K612" s="40"/>
      <c r="L612" s="40"/>
      <c r="M612" s="40"/>
      <c r="N612" s="40"/>
      <c r="O612" s="40"/>
      <c r="P612" s="40"/>
      <c r="Q612" s="40"/>
      <c r="R612" s="40"/>
      <c r="S612" s="40"/>
      <c r="T612" s="40"/>
    </row>
    <row r="613" spans="1:20" ht="15.75">
      <c r="A613" s="13">
        <v>59809</v>
      </c>
      <c r="B613" s="48">
        <f t="shared" si="0"/>
        <v>30</v>
      </c>
      <c r="C613" s="39">
        <v>194.20500000000001</v>
      </c>
      <c r="D613" s="39">
        <v>267.46600000000001</v>
      </c>
      <c r="E613" s="45">
        <v>812.32899999999995</v>
      </c>
      <c r="F613" s="39">
        <v>1274</v>
      </c>
      <c r="G613" s="39">
        <v>50</v>
      </c>
      <c r="H613" s="47">
        <v>600</v>
      </c>
      <c r="I613" s="39">
        <v>695</v>
      </c>
      <c r="J613" s="39">
        <v>0</v>
      </c>
      <c r="K613" s="40"/>
      <c r="L613" s="40"/>
      <c r="M613" s="40"/>
      <c r="N613" s="40"/>
      <c r="O613" s="40"/>
      <c r="P613" s="40"/>
      <c r="Q613" s="40"/>
      <c r="R613" s="40"/>
      <c r="S613" s="40"/>
      <c r="T613" s="40"/>
    </row>
    <row r="614" spans="1:20" ht="15.75">
      <c r="A614" s="13">
        <v>59840</v>
      </c>
      <c r="B614" s="48">
        <f t="shared" si="0"/>
        <v>31</v>
      </c>
      <c r="C614" s="39">
        <v>131.881</v>
      </c>
      <c r="D614" s="39">
        <v>277.16699999999997</v>
      </c>
      <c r="E614" s="45">
        <v>829.952</v>
      </c>
      <c r="F614" s="39">
        <v>1239</v>
      </c>
      <c r="G614" s="39">
        <v>75</v>
      </c>
      <c r="H614" s="47">
        <v>600</v>
      </c>
      <c r="I614" s="39">
        <v>695</v>
      </c>
      <c r="J614" s="39">
        <v>0</v>
      </c>
      <c r="K614" s="40"/>
      <c r="L614" s="40"/>
      <c r="M614" s="40"/>
      <c r="N614" s="40"/>
      <c r="O614" s="40"/>
      <c r="P614" s="40"/>
      <c r="Q614" s="40"/>
      <c r="R614" s="40"/>
      <c r="S614" s="40"/>
      <c r="T614" s="40"/>
    </row>
    <row r="615" spans="1:20" ht="15.75">
      <c r="A615" s="13">
        <v>59870</v>
      </c>
      <c r="B615" s="48">
        <f t="shared" si="0"/>
        <v>30</v>
      </c>
      <c r="C615" s="39">
        <v>122.58</v>
      </c>
      <c r="D615" s="39">
        <v>297.94099999999997</v>
      </c>
      <c r="E615" s="45">
        <v>729.47900000000004</v>
      </c>
      <c r="F615" s="39">
        <v>1150</v>
      </c>
      <c r="G615" s="39">
        <v>100</v>
      </c>
      <c r="H615" s="47">
        <v>600</v>
      </c>
      <c r="I615" s="39">
        <v>695</v>
      </c>
      <c r="J615" s="39">
        <v>50</v>
      </c>
      <c r="K615" s="40"/>
      <c r="L615" s="40"/>
      <c r="M615" s="40"/>
      <c r="N615" s="40"/>
      <c r="O615" s="40"/>
      <c r="P615" s="40"/>
      <c r="Q615" s="40"/>
      <c r="R615" s="40"/>
      <c r="S615" s="40"/>
      <c r="T615" s="40"/>
    </row>
    <row r="616" spans="1:20" ht="15.75">
      <c r="A616" s="13">
        <v>59901</v>
      </c>
      <c r="B616" s="48">
        <f t="shared" si="0"/>
        <v>31</v>
      </c>
      <c r="C616" s="39">
        <v>122.58</v>
      </c>
      <c r="D616" s="39">
        <v>297.94099999999997</v>
      </c>
      <c r="E616" s="45">
        <v>729.47900000000004</v>
      </c>
      <c r="F616" s="39">
        <v>1150</v>
      </c>
      <c r="G616" s="39">
        <v>100</v>
      </c>
      <c r="H616" s="47">
        <v>600</v>
      </c>
      <c r="I616" s="39">
        <v>695</v>
      </c>
      <c r="J616" s="39">
        <v>50</v>
      </c>
      <c r="K616" s="40"/>
      <c r="L616" s="40"/>
      <c r="M616" s="40"/>
      <c r="N616" s="40"/>
      <c r="O616" s="40"/>
      <c r="P616" s="40"/>
      <c r="Q616" s="40"/>
      <c r="R616" s="40"/>
      <c r="S616" s="40"/>
      <c r="T616" s="40"/>
    </row>
    <row r="617" spans="1:20" ht="15.75">
      <c r="A617" s="13">
        <v>59932</v>
      </c>
      <c r="B617" s="48">
        <f t="shared" si="0"/>
        <v>31</v>
      </c>
      <c r="C617" s="39">
        <v>122.58</v>
      </c>
      <c r="D617" s="39">
        <v>297.94099999999997</v>
      </c>
      <c r="E617" s="45">
        <v>729.47900000000004</v>
      </c>
      <c r="F617" s="39">
        <v>1150</v>
      </c>
      <c r="G617" s="39">
        <v>100</v>
      </c>
      <c r="H617" s="47">
        <v>600</v>
      </c>
      <c r="I617" s="39">
        <v>695</v>
      </c>
      <c r="J617" s="39">
        <v>50</v>
      </c>
      <c r="K617" s="40"/>
      <c r="L617" s="40"/>
      <c r="M617" s="40"/>
      <c r="N617" s="40"/>
      <c r="O617" s="40"/>
      <c r="P617" s="40"/>
      <c r="Q617" s="40"/>
      <c r="R617" s="40"/>
      <c r="S617" s="40"/>
      <c r="T617" s="40"/>
    </row>
    <row r="618" spans="1:20" ht="15.75">
      <c r="A618" s="13">
        <v>59961</v>
      </c>
      <c r="B618" s="48">
        <f t="shared" si="0"/>
        <v>29</v>
      </c>
      <c r="C618" s="39">
        <v>122.58</v>
      </c>
      <c r="D618" s="39">
        <v>297.94099999999997</v>
      </c>
      <c r="E618" s="45">
        <v>729.47900000000004</v>
      </c>
      <c r="F618" s="39">
        <v>1150</v>
      </c>
      <c r="G618" s="39">
        <v>100</v>
      </c>
      <c r="H618" s="47">
        <v>600</v>
      </c>
      <c r="I618" s="39">
        <v>695</v>
      </c>
      <c r="J618" s="39">
        <v>50</v>
      </c>
      <c r="K618" s="40"/>
      <c r="L618" s="40"/>
      <c r="M618" s="40"/>
      <c r="N618" s="40"/>
      <c r="O618" s="40"/>
      <c r="P618" s="40"/>
      <c r="Q618" s="40"/>
      <c r="R618" s="40"/>
      <c r="S618" s="40"/>
      <c r="T618" s="40"/>
    </row>
    <row r="619" spans="1:20" ht="15.75">
      <c r="A619" s="13">
        <v>59992</v>
      </c>
      <c r="B619" s="48">
        <f t="shared" si="0"/>
        <v>31</v>
      </c>
      <c r="C619" s="39">
        <v>122.58</v>
      </c>
      <c r="D619" s="39">
        <v>297.94099999999997</v>
      </c>
      <c r="E619" s="45">
        <v>729.47900000000004</v>
      </c>
      <c r="F619" s="39">
        <v>1150</v>
      </c>
      <c r="G619" s="39">
        <v>100</v>
      </c>
      <c r="H619" s="47">
        <v>600</v>
      </c>
      <c r="I619" s="39">
        <v>695</v>
      </c>
      <c r="J619" s="39">
        <v>50</v>
      </c>
      <c r="K619" s="40"/>
      <c r="L619" s="40"/>
      <c r="M619" s="40"/>
      <c r="N619" s="40"/>
      <c r="O619" s="40"/>
      <c r="P619" s="40"/>
      <c r="Q619" s="40"/>
      <c r="R619" s="40"/>
      <c r="S619" s="40"/>
      <c r="T619" s="40"/>
    </row>
    <row r="620" spans="1:20" ht="15.75">
      <c r="A620" s="13">
        <v>60022</v>
      </c>
      <c r="B620" s="48">
        <f t="shared" si="0"/>
        <v>30</v>
      </c>
      <c r="C620" s="39">
        <v>141.29300000000001</v>
      </c>
      <c r="D620" s="39">
        <v>267.99299999999999</v>
      </c>
      <c r="E620" s="45">
        <v>829.71400000000006</v>
      </c>
      <c r="F620" s="39">
        <v>1239</v>
      </c>
      <c r="G620" s="39">
        <v>100</v>
      </c>
      <c r="H620" s="47">
        <v>600</v>
      </c>
      <c r="I620" s="39">
        <v>695</v>
      </c>
      <c r="J620" s="39">
        <v>50</v>
      </c>
      <c r="K620" s="40"/>
      <c r="L620" s="40"/>
      <c r="M620" s="40"/>
      <c r="N620" s="40"/>
      <c r="O620" s="40"/>
      <c r="P620" s="40"/>
      <c r="Q620" s="40"/>
      <c r="R620" s="40"/>
      <c r="S620" s="40"/>
      <c r="T620" s="40"/>
    </row>
    <row r="621" spans="1:20" ht="15.75">
      <c r="A621" s="13">
        <v>60053</v>
      </c>
      <c r="B621" s="48">
        <f t="shared" si="0"/>
        <v>31</v>
      </c>
      <c r="C621" s="39">
        <v>194.20500000000001</v>
      </c>
      <c r="D621" s="39">
        <v>267.46600000000001</v>
      </c>
      <c r="E621" s="45">
        <v>812.32899999999995</v>
      </c>
      <c r="F621" s="39">
        <v>1274</v>
      </c>
      <c r="G621" s="39">
        <v>75</v>
      </c>
      <c r="H621" s="47">
        <v>600</v>
      </c>
      <c r="I621" s="39">
        <v>695</v>
      </c>
      <c r="J621" s="39">
        <v>50</v>
      </c>
      <c r="K621" s="40"/>
      <c r="L621" s="40"/>
      <c r="M621" s="40"/>
      <c r="N621" s="40"/>
      <c r="O621" s="40"/>
      <c r="P621" s="40"/>
      <c r="Q621" s="40"/>
      <c r="R621" s="40"/>
      <c r="S621" s="40"/>
      <c r="T621" s="40"/>
    </row>
    <row r="622" spans="1:20" ht="15.75">
      <c r="A622" s="13">
        <v>60083</v>
      </c>
      <c r="B622" s="48">
        <f t="shared" si="0"/>
        <v>30</v>
      </c>
      <c r="C622" s="39">
        <v>194.20500000000001</v>
      </c>
      <c r="D622" s="39">
        <v>267.46600000000001</v>
      </c>
      <c r="E622" s="45">
        <v>812.32899999999995</v>
      </c>
      <c r="F622" s="39">
        <v>1274</v>
      </c>
      <c r="G622" s="39">
        <v>50</v>
      </c>
      <c r="H622" s="47">
        <v>600</v>
      </c>
      <c r="I622" s="39">
        <v>695</v>
      </c>
      <c r="J622" s="39">
        <v>50</v>
      </c>
      <c r="K622" s="40"/>
      <c r="L622" s="40"/>
      <c r="M622" s="40"/>
      <c r="N622" s="40"/>
      <c r="O622" s="40"/>
      <c r="P622" s="40"/>
      <c r="Q622" s="40"/>
      <c r="R622" s="40"/>
      <c r="S622" s="40"/>
      <c r="T622" s="40"/>
    </row>
    <row r="623" spans="1:20" ht="15.75">
      <c r="A623" s="13">
        <v>60114</v>
      </c>
      <c r="B623" s="48">
        <f t="shared" si="0"/>
        <v>31</v>
      </c>
      <c r="C623" s="39">
        <v>194.20500000000001</v>
      </c>
      <c r="D623" s="39">
        <v>267.46600000000001</v>
      </c>
      <c r="E623" s="45">
        <v>812.32899999999995</v>
      </c>
      <c r="F623" s="39">
        <v>1274</v>
      </c>
      <c r="G623" s="39">
        <v>50</v>
      </c>
      <c r="H623" s="47">
        <v>600</v>
      </c>
      <c r="I623" s="39">
        <v>695</v>
      </c>
      <c r="J623" s="39">
        <v>0</v>
      </c>
      <c r="K623" s="40"/>
      <c r="L623" s="40"/>
      <c r="M623" s="40"/>
      <c r="N623" s="40"/>
      <c r="O623" s="40"/>
      <c r="P623" s="40"/>
      <c r="Q623" s="40"/>
      <c r="R623" s="40"/>
      <c r="S623" s="40"/>
      <c r="T623" s="40"/>
    </row>
    <row r="624" spans="1:20" ht="15.75">
      <c r="A624" s="13">
        <v>60145</v>
      </c>
      <c r="B624" s="48">
        <f t="shared" si="0"/>
        <v>31</v>
      </c>
      <c r="C624" s="39">
        <v>194.20500000000001</v>
      </c>
      <c r="D624" s="39">
        <v>267.46600000000001</v>
      </c>
      <c r="E624" s="45">
        <v>812.32899999999995</v>
      </c>
      <c r="F624" s="39">
        <v>1274</v>
      </c>
      <c r="G624" s="39">
        <v>50</v>
      </c>
      <c r="H624" s="47">
        <v>600</v>
      </c>
      <c r="I624" s="39">
        <v>695</v>
      </c>
      <c r="J624" s="39">
        <v>0</v>
      </c>
      <c r="K624" s="40"/>
      <c r="L624" s="40"/>
      <c r="M624" s="40"/>
      <c r="N624" s="40"/>
      <c r="O624" s="40"/>
      <c r="P624" s="40"/>
      <c r="Q624" s="40"/>
      <c r="R624" s="40"/>
      <c r="S624" s="40"/>
      <c r="T624" s="40"/>
    </row>
    <row r="625" spans="1:20" ht="15.75">
      <c r="A625" s="13">
        <v>60175</v>
      </c>
      <c r="B625" s="48">
        <f t="shared" si="0"/>
        <v>30</v>
      </c>
      <c r="C625" s="39">
        <v>194.20500000000001</v>
      </c>
      <c r="D625" s="39">
        <v>267.46600000000001</v>
      </c>
      <c r="E625" s="45">
        <v>812.32899999999995</v>
      </c>
      <c r="F625" s="39">
        <v>1274</v>
      </c>
      <c r="G625" s="39">
        <v>50</v>
      </c>
      <c r="H625" s="47">
        <v>600</v>
      </c>
      <c r="I625" s="39">
        <v>695</v>
      </c>
      <c r="J625" s="39">
        <v>0</v>
      </c>
      <c r="K625" s="40"/>
      <c r="L625" s="40"/>
      <c r="M625" s="40"/>
      <c r="N625" s="40"/>
      <c r="O625" s="40"/>
      <c r="P625" s="40"/>
      <c r="Q625" s="40"/>
      <c r="R625" s="40"/>
      <c r="S625" s="40"/>
      <c r="T625" s="40"/>
    </row>
    <row r="626" spans="1:20" ht="15.75">
      <c r="A626" s="13">
        <v>60206</v>
      </c>
      <c r="B626" s="48">
        <f t="shared" si="0"/>
        <v>31</v>
      </c>
      <c r="C626" s="39">
        <v>131.881</v>
      </c>
      <c r="D626" s="39">
        <v>277.16699999999997</v>
      </c>
      <c r="E626" s="45">
        <v>829.952</v>
      </c>
      <c r="F626" s="39">
        <v>1239</v>
      </c>
      <c r="G626" s="39">
        <v>75</v>
      </c>
      <c r="H626" s="47">
        <v>600</v>
      </c>
      <c r="I626" s="39">
        <v>695</v>
      </c>
      <c r="J626" s="39">
        <v>0</v>
      </c>
      <c r="K626" s="40"/>
      <c r="L626" s="40"/>
      <c r="M626" s="40"/>
      <c r="N626" s="40"/>
      <c r="O626" s="40"/>
      <c r="P626" s="40"/>
      <c r="Q626" s="40"/>
      <c r="R626" s="40"/>
      <c r="S626" s="40"/>
      <c r="T626" s="40"/>
    </row>
    <row r="627" spans="1:20" ht="15.75">
      <c r="A627" s="13">
        <v>60236</v>
      </c>
      <c r="B627" s="48">
        <f t="shared" si="0"/>
        <v>30</v>
      </c>
      <c r="C627" s="39">
        <v>122.58</v>
      </c>
      <c r="D627" s="39">
        <v>297.94099999999997</v>
      </c>
      <c r="E627" s="45">
        <v>729.47900000000004</v>
      </c>
      <c r="F627" s="39">
        <v>1150</v>
      </c>
      <c r="G627" s="39">
        <v>100</v>
      </c>
      <c r="H627" s="47">
        <v>600</v>
      </c>
      <c r="I627" s="39">
        <v>695</v>
      </c>
      <c r="J627" s="39">
        <v>50</v>
      </c>
      <c r="K627" s="40"/>
      <c r="L627" s="40"/>
      <c r="M627" s="40"/>
      <c r="N627" s="40"/>
      <c r="O627" s="40"/>
      <c r="P627" s="40"/>
      <c r="Q627" s="40"/>
      <c r="R627" s="40"/>
      <c r="S627" s="40"/>
      <c r="T627" s="40"/>
    </row>
    <row r="628" spans="1:20" ht="15.75">
      <c r="A628" s="13">
        <v>60267</v>
      </c>
      <c r="B628" s="48">
        <f t="shared" si="0"/>
        <v>31</v>
      </c>
      <c r="C628" s="39">
        <v>122.58</v>
      </c>
      <c r="D628" s="39">
        <v>297.94099999999997</v>
      </c>
      <c r="E628" s="45">
        <v>729.47900000000004</v>
      </c>
      <c r="F628" s="39">
        <v>1150</v>
      </c>
      <c r="G628" s="39">
        <v>100</v>
      </c>
      <c r="H628" s="47">
        <v>600</v>
      </c>
      <c r="I628" s="39">
        <v>695</v>
      </c>
      <c r="J628" s="39">
        <v>50</v>
      </c>
      <c r="K628" s="40"/>
      <c r="L628" s="40"/>
      <c r="M628" s="40"/>
      <c r="N628" s="40"/>
      <c r="O628" s="40"/>
      <c r="P628" s="40"/>
      <c r="Q628" s="40"/>
      <c r="R628" s="40"/>
      <c r="S628" s="40"/>
      <c r="T628" s="40"/>
    </row>
    <row r="629" spans="1:20" ht="15.75">
      <c r="A629" s="13">
        <v>60298</v>
      </c>
      <c r="B629" s="48">
        <f t="shared" si="0"/>
        <v>31</v>
      </c>
      <c r="C629" s="39">
        <v>122.58</v>
      </c>
      <c r="D629" s="39">
        <v>297.94099999999997</v>
      </c>
      <c r="E629" s="45">
        <v>729.47900000000004</v>
      </c>
      <c r="F629" s="39">
        <v>1150</v>
      </c>
      <c r="G629" s="39">
        <v>100</v>
      </c>
      <c r="H629" s="47">
        <v>600</v>
      </c>
      <c r="I629" s="39">
        <v>695</v>
      </c>
      <c r="J629" s="39">
        <v>50</v>
      </c>
      <c r="K629" s="40"/>
      <c r="L629" s="40"/>
      <c r="M629" s="40"/>
      <c r="N629" s="40"/>
      <c r="O629" s="40"/>
      <c r="P629" s="40"/>
      <c r="Q629" s="40"/>
      <c r="R629" s="40"/>
      <c r="S629" s="40"/>
      <c r="T629" s="40"/>
    </row>
    <row r="630" spans="1:20" ht="15.75">
      <c r="A630" s="13">
        <v>60326</v>
      </c>
      <c r="B630" s="48">
        <f t="shared" si="0"/>
        <v>28</v>
      </c>
      <c r="C630" s="39">
        <v>122.58</v>
      </c>
      <c r="D630" s="39">
        <v>297.94099999999997</v>
      </c>
      <c r="E630" s="45">
        <v>729.47900000000004</v>
      </c>
      <c r="F630" s="39">
        <v>1150</v>
      </c>
      <c r="G630" s="39">
        <v>100</v>
      </c>
      <c r="H630" s="47">
        <v>600</v>
      </c>
      <c r="I630" s="39">
        <v>695</v>
      </c>
      <c r="J630" s="39">
        <v>50</v>
      </c>
      <c r="K630" s="40"/>
      <c r="L630" s="40"/>
      <c r="M630" s="40"/>
      <c r="N630" s="40"/>
      <c r="O630" s="40"/>
      <c r="P630" s="40"/>
      <c r="Q630" s="40"/>
      <c r="R630" s="40"/>
      <c r="S630" s="40"/>
      <c r="T630" s="40"/>
    </row>
    <row r="631" spans="1:20" ht="15.75">
      <c r="A631" s="13">
        <v>60357</v>
      </c>
      <c r="B631" s="48">
        <f t="shared" si="0"/>
        <v>31</v>
      </c>
      <c r="C631" s="39">
        <v>122.58</v>
      </c>
      <c r="D631" s="39">
        <v>297.94099999999997</v>
      </c>
      <c r="E631" s="45">
        <v>729.47900000000004</v>
      </c>
      <c r="F631" s="39">
        <v>1150</v>
      </c>
      <c r="G631" s="39">
        <v>100</v>
      </c>
      <c r="H631" s="47">
        <v>600</v>
      </c>
      <c r="I631" s="39">
        <v>695</v>
      </c>
      <c r="J631" s="39">
        <v>50</v>
      </c>
      <c r="K631" s="40"/>
      <c r="L631" s="40"/>
      <c r="M631" s="40"/>
      <c r="N631" s="40"/>
      <c r="O631" s="40"/>
      <c r="P631" s="40"/>
      <c r="Q631" s="40"/>
      <c r="R631" s="40"/>
      <c r="S631" s="40"/>
      <c r="T631" s="40"/>
    </row>
    <row r="632" spans="1:20" ht="15.75">
      <c r="A632" s="13">
        <v>60387</v>
      </c>
      <c r="B632" s="48">
        <f t="shared" si="0"/>
        <v>30</v>
      </c>
      <c r="C632" s="39">
        <v>141.29300000000001</v>
      </c>
      <c r="D632" s="39">
        <v>267.99299999999999</v>
      </c>
      <c r="E632" s="45">
        <v>829.71400000000006</v>
      </c>
      <c r="F632" s="39">
        <v>1239</v>
      </c>
      <c r="G632" s="39">
        <v>100</v>
      </c>
      <c r="H632" s="47">
        <v>600</v>
      </c>
      <c r="I632" s="39">
        <v>695</v>
      </c>
      <c r="J632" s="39">
        <v>50</v>
      </c>
      <c r="K632" s="40"/>
      <c r="L632" s="40"/>
      <c r="M632" s="40"/>
      <c r="N632" s="40"/>
      <c r="O632" s="40"/>
      <c r="P632" s="40"/>
      <c r="Q632" s="40"/>
      <c r="R632" s="40"/>
      <c r="S632" s="40"/>
      <c r="T632" s="40"/>
    </row>
    <row r="633" spans="1:20" ht="15.75">
      <c r="A633" s="13">
        <v>60418</v>
      </c>
      <c r="B633" s="48">
        <f t="shared" si="0"/>
        <v>31</v>
      </c>
      <c r="C633" s="39">
        <v>194.20500000000001</v>
      </c>
      <c r="D633" s="39">
        <v>267.46600000000001</v>
      </c>
      <c r="E633" s="45">
        <v>812.32899999999995</v>
      </c>
      <c r="F633" s="39">
        <v>1274</v>
      </c>
      <c r="G633" s="39">
        <v>75</v>
      </c>
      <c r="H633" s="47">
        <v>600</v>
      </c>
      <c r="I633" s="39">
        <v>695</v>
      </c>
      <c r="J633" s="39">
        <v>50</v>
      </c>
      <c r="K633" s="40"/>
      <c r="L633" s="40"/>
      <c r="M633" s="40"/>
      <c r="N633" s="40"/>
      <c r="O633" s="40"/>
      <c r="P633" s="40"/>
      <c r="Q633" s="40"/>
      <c r="R633" s="40"/>
      <c r="S633" s="40"/>
      <c r="T633" s="40"/>
    </row>
    <row r="634" spans="1:20" ht="15.75">
      <c r="A634" s="13">
        <v>60448</v>
      </c>
      <c r="B634" s="48">
        <f t="shared" si="0"/>
        <v>30</v>
      </c>
      <c r="C634" s="39">
        <v>194.20500000000001</v>
      </c>
      <c r="D634" s="39">
        <v>267.46600000000001</v>
      </c>
      <c r="E634" s="45">
        <v>812.32899999999995</v>
      </c>
      <c r="F634" s="39">
        <v>1274</v>
      </c>
      <c r="G634" s="39">
        <v>50</v>
      </c>
      <c r="H634" s="47">
        <v>600</v>
      </c>
      <c r="I634" s="39">
        <v>695</v>
      </c>
      <c r="J634" s="39">
        <v>50</v>
      </c>
      <c r="K634" s="40"/>
      <c r="L634" s="40"/>
      <c r="M634" s="40"/>
      <c r="N634" s="40"/>
      <c r="O634" s="40"/>
      <c r="P634" s="40"/>
      <c r="Q634" s="40"/>
      <c r="R634" s="40"/>
      <c r="S634" s="40"/>
      <c r="T634" s="40"/>
    </row>
    <row r="635" spans="1:20" ht="15.75">
      <c r="A635" s="13">
        <v>60479</v>
      </c>
      <c r="B635" s="48">
        <f t="shared" si="0"/>
        <v>31</v>
      </c>
      <c r="C635" s="39">
        <v>194.20500000000001</v>
      </c>
      <c r="D635" s="39">
        <v>267.46600000000001</v>
      </c>
      <c r="E635" s="45">
        <v>812.32899999999995</v>
      </c>
      <c r="F635" s="39">
        <v>1274</v>
      </c>
      <c r="G635" s="39">
        <v>50</v>
      </c>
      <c r="H635" s="47">
        <v>600</v>
      </c>
      <c r="I635" s="39">
        <v>695</v>
      </c>
      <c r="J635" s="39">
        <v>0</v>
      </c>
      <c r="K635" s="40"/>
      <c r="L635" s="40"/>
      <c r="M635" s="40"/>
      <c r="N635" s="40"/>
      <c r="O635" s="40"/>
      <c r="P635" s="40"/>
      <c r="Q635" s="40"/>
      <c r="R635" s="40"/>
      <c r="S635" s="40"/>
      <c r="T635" s="40"/>
    </row>
    <row r="636" spans="1:20" ht="15.75">
      <c r="A636" s="13">
        <v>60510</v>
      </c>
      <c r="B636" s="48">
        <f t="shared" si="0"/>
        <v>31</v>
      </c>
      <c r="C636" s="39">
        <v>194.20500000000001</v>
      </c>
      <c r="D636" s="39">
        <v>267.46600000000001</v>
      </c>
      <c r="E636" s="45">
        <v>812.32899999999995</v>
      </c>
      <c r="F636" s="39">
        <v>1274</v>
      </c>
      <c r="G636" s="39">
        <v>50</v>
      </c>
      <c r="H636" s="47">
        <v>600</v>
      </c>
      <c r="I636" s="39">
        <v>695</v>
      </c>
      <c r="J636" s="39">
        <v>0</v>
      </c>
      <c r="K636" s="40"/>
      <c r="L636" s="40"/>
      <c r="M636" s="40"/>
      <c r="N636" s="40"/>
      <c r="O636" s="40"/>
      <c r="P636" s="40"/>
      <c r="Q636" s="40"/>
      <c r="R636" s="40"/>
      <c r="S636" s="40"/>
      <c r="T636" s="40"/>
    </row>
    <row r="637" spans="1:20" ht="15.75">
      <c r="A637" s="13">
        <v>60540</v>
      </c>
      <c r="B637" s="48">
        <f t="shared" si="0"/>
        <v>30</v>
      </c>
      <c r="C637" s="39">
        <v>194.20500000000001</v>
      </c>
      <c r="D637" s="39">
        <v>267.46600000000001</v>
      </c>
      <c r="E637" s="45">
        <v>812.32899999999995</v>
      </c>
      <c r="F637" s="39">
        <v>1274</v>
      </c>
      <c r="G637" s="39">
        <v>50</v>
      </c>
      <c r="H637" s="47">
        <v>600</v>
      </c>
      <c r="I637" s="39">
        <v>695</v>
      </c>
      <c r="J637" s="39">
        <v>0</v>
      </c>
      <c r="K637" s="40"/>
      <c r="L637" s="40"/>
      <c r="M637" s="40"/>
      <c r="N637" s="40"/>
      <c r="O637" s="40"/>
      <c r="P637" s="40"/>
      <c r="Q637" s="40"/>
      <c r="R637" s="40"/>
      <c r="S637" s="40"/>
      <c r="T637" s="40"/>
    </row>
    <row r="638" spans="1:20" ht="15.75">
      <c r="A638" s="13">
        <v>60571</v>
      </c>
      <c r="B638" s="48">
        <f t="shared" si="0"/>
        <v>31</v>
      </c>
      <c r="C638" s="39">
        <v>131.881</v>
      </c>
      <c r="D638" s="39">
        <v>277.16699999999997</v>
      </c>
      <c r="E638" s="45">
        <v>829.952</v>
      </c>
      <c r="F638" s="39">
        <v>1239</v>
      </c>
      <c r="G638" s="39">
        <v>75</v>
      </c>
      <c r="H638" s="47">
        <v>600</v>
      </c>
      <c r="I638" s="39">
        <v>695</v>
      </c>
      <c r="J638" s="39">
        <v>0</v>
      </c>
      <c r="K638" s="40"/>
      <c r="L638" s="40"/>
      <c r="M638" s="40"/>
      <c r="N638" s="40"/>
      <c r="O638" s="40"/>
      <c r="P638" s="40"/>
      <c r="Q638" s="40"/>
      <c r="R638" s="40"/>
      <c r="S638" s="40"/>
      <c r="T638" s="40"/>
    </row>
    <row r="639" spans="1:20" ht="15.75">
      <c r="A639" s="13">
        <v>60601</v>
      </c>
      <c r="B639" s="48">
        <f t="shared" si="0"/>
        <v>30</v>
      </c>
      <c r="C639" s="39">
        <v>122.58</v>
      </c>
      <c r="D639" s="39">
        <v>297.94099999999997</v>
      </c>
      <c r="E639" s="45">
        <v>729.47900000000004</v>
      </c>
      <c r="F639" s="39">
        <v>1150</v>
      </c>
      <c r="G639" s="39">
        <v>100</v>
      </c>
      <c r="H639" s="47">
        <v>600</v>
      </c>
      <c r="I639" s="39">
        <v>695</v>
      </c>
      <c r="J639" s="39">
        <v>50</v>
      </c>
      <c r="K639" s="40"/>
      <c r="L639" s="40"/>
      <c r="M639" s="40"/>
      <c r="N639" s="40"/>
      <c r="O639" s="40"/>
      <c r="P639" s="40"/>
      <c r="Q639" s="40"/>
      <c r="R639" s="40"/>
      <c r="S639" s="40"/>
      <c r="T639" s="40"/>
    </row>
    <row r="640" spans="1:20" ht="15.75">
      <c r="A640" s="13">
        <v>60632</v>
      </c>
      <c r="B640" s="48">
        <f t="shared" si="0"/>
        <v>31</v>
      </c>
      <c r="C640" s="39">
        <v>122.58</v>
      </c>
      <c r="D640" s="39">
        <v>297.94099999999997</v>
      </c>
      <c r="E640" s="45">
        <v>729.47900000000004</v>
      </c>
      <c r="F640" s="39">
        <v>1150</v>
      </c>
      <c r="G640" s="39">
        <v>100</v>
      </c>
      <c r="H640" s="47">
        <v>600</v>
      </c>
      <c r="I640" s="39">
        <v>695</v>
      </c>
      <c r="J640" s="39">
        <v>50</v>
      </c>
      <c r="K640" s="40"/>
      <c r="L640" s="40"/>
      <c r="M640" s="40"/>
      <c r="N640" s="40"/>
      <c r="O640" s="40"/>
      <c r="P640" s="40"/>
      <c r="Q640" s="40"/>
      <c r="R640" s="40"/>
      <c r="S640" s="40"/>
      <c r="T640" s="40"/>
    </row>
    <row r="641" spans="1:20" ht="15.75">
      <c r="A641" s="13">
        <v>60663</v>
      </c>
      <c r="B641" s="48">
        <f t="shared" si="0"/>
        <v>31</v>
      </c>
      <c r="C641" s="39">
        <v>122.58</v>
      </c>
      <c r="D641" s="39">
        <v>297.94099999999997</v>
      </c>
      <c r="E641" s="45">
        <v>729.47900000000004</v>
      </c>
      <c r="F641" s="39">
        <v>1150</v>
      </c>
      <c r="G641" s="39">
        <v>100</v>
      </c>
      <c r="H641" s="47">
        <v>600</v>
      </c>
      <c r="I641" s="39">
        <v>695</v>
      </c>
      <c r="J641" s="39">
        <v>50</v>
      </c>
      <c r="K641" s="40"/>
      <c r="L641" s="40"/>
      <c r="M641" s="40"/>
      <c r="N641" s="40"/>
      <c r="O641" s="40"/>
      <c r="P641" s="40"/>
      <c r="Q641" s="40"/>
      <c r="R641" s="40"/>
      <c r="S641" s="40"/>
      <c r="T641" s="40"/>
    </row>
    <row r="642" spans="1:20" ht="15.75">
      <c r="A642" s="13">
        <v>60691</v>
      </c>
      <c r="B642" s="48">
        <f t="shared" si="0"/>
        <v>28</v>
      </c>
      <c r="C642" s="39">
        <v>122.58</v>
      </c>
      <c r="D642" s="39">
        <v>297.94099999999997</v>
      </c>
      <c r="E642" s="45">
        <v>729.47900000000004</v>
      </c>
      <c r="F642" s="39">
        <v>1150</v>
      </c>
      <c r="G642" s="39">
        <v>100</v>
      </c>
      <c r="H642" s="47">
        <v>600</v>
      </c>
      <c r="I642" s="39">
        <v>695</v>
      </c>
      <c r="J642" s="39">
        <v>50</v>
      </c>
      <c r="K642" s="40"/>
      <c r="L642" s="40"/>
      <c r="M642" s="40"/>
      <c r="N642" s="40"/>
      <c r="O642" s="40"/>
      <c r="P642" s="40"/>
      <c r="Q642" s="40"/>
      <c r="R642" s="40"/>
      <c r="S642" s="40"/>
      <c r="T642" s="40"/>
    </row>
    <row r="643" spans="1:20" ht="15.75">
      <c r="A643" s="13">
        <v>60722</v>
      </c>
      <c r="B643" s="48">
        <f t="shared" si="0"/>
        <v>31</v>
      </c>
      <c r="C643" s="39">
        <v>122.58</v>
      </c>
      <c r="D643" s="39">
        <v>297.94099999999997</v>
      </c>
      <c r="E643" s="45">
        <v>729.47900000000004</v>
      </c>
      <c r="F643" s="39">
        <v>1150</v>
      </c>
      <c r="G643" s="39">
        <v>100</v>
      </c>
      <c r="H643" s="47">
        <v>600</v>
      </c>
      <c r="I643" s="39">
        <v>695</v>
      </c>
      <c r="J643" s="39">
        <v>50</v>
      </c>
      <c r="K643" s="40"/>
      <c r="L643" s="40"/>
      <c r="M643" s="40"/>
      <c r="N643" s="40"/>
      <c r="O643" s="40"/>
      <c r="P643" s="40"/>
      <c r="Q643" s="40"/>
      <c r="R643" s="40"/>
      <c r="S643" s="40"/>
      <c r="T643" s="40"/>
    </row>
    <row r="644" spans="1:20" ht="15.75">
      <c r="A644" s="13">
        <v>60752</v>
      </c>
      <c r="B644" s="48">
        <f t="shared" si="0"/>
        <v>30</v>
      </c>
      <c r="C644" s="39">
        <v>141.29300000000001</v>
      </c>
      <c r="D644" s="39">
        <v>267.99299999999999</v>
      </c>
      <c r="E644" s="45">
        <v>829.71400000000006</v>
      </c>
      <c r="F644" s="39">
        <v>1239</v>
      </c>
      <c r="G644" s="39">
        <v>100</v>
      </c>
      <c r="H644" s="47">
        <v>600</v>
      </c>
      <c r="I644" s="39">
        <v>695</v>
      </c>
      <c r="J644" s="39">
        <v>50</v>
      </c>
      <c r="K644" s="40"/>
      <c r="L644" s="40"/>
      <c r="M644" s="40"/>
      <c r="N644" s="40"/>
      <c r="O644" s="40"/>
      <c r="P644" s="40"/>
      <c r="Q644" s="40"/>
      <c r="R644" s="40"/>
      <c r="S644" s="40"/>
      <c r="T644" s="40"/>
    </row>
    <row r="645" spans="1:20" ht="15.75">
      <c r="A645" s="13">
        <v>60783</v>
      </c>
      <c r="B645" s="48">
        <f t="shared" si="0"/>
        <v>31</v>
      </c>
      <c r="C645" s="39">
        <v>194.20500000000001</v>
      </c>
      <c r="D645" s="39">
        <v>267.46600000000001</v>
      </c>
      <c r="E645" s="45">
        <v>812.32899999999995</v>
      </c>
      <c r="F645" s="39">
        <v>1274</v>
      </c>
      <c r="G645" s="39">
        <v>75</v>
      </c>
      <c r="H645" s="47">
        <v>600</v>
      </c>
      <c r="I645" s="39">
        <v>695</v>
      </c>
      <c r="J645" s="39">
        <v>50</v>
      </c>
      <c r="K645" s="40"/>
      <c r="L645" s="40"/>
      <c r="M645" s="40"/>
      <c r="N645" s="40"/>
      <c r="O645" s="40"/>
      <c r="P645" s="40"/>
      <c r="Q645" s="40"/>
      <c r="R645" s="40"/>
      <c r="S645" s="40"/>
      <c r="T645" s="40"/>
    </row>
    <row r="646" spans="1:20" ht="15.75">
      <c r="A646" s="13">
        <v>60813</v>
      </c>
      <c r="B646" s="48">
        <f t="shared" si="0"/>
        <v>30</v>
      </c>
      <c r="C646" s="39">
        <v>194.20500000000001</v>
      </c>
      <c r="D646" s="39">
        <v>267.46600000000001</v>
      </c>
      <c r="E646" s="45">
        <v>812.32899999999995</v>
      </c>
      <c r="F646" s="39">
        <v>1274</v>
      </c>
      <c r="G646" s="39">
        <v>50</v>
      </c>
      <c r="H646" s="47">
        <v>600</v>
      </c>
      <c r="I646" s="39">
        <v>695</v>
      </c>
      <c r="J646" s="39">
        <v>50</v>
      </c>
      <c r="K646" s="40"/>
      <c r="L646" s="40"/>
      <c r="M646" s="40"/>
      <c r="N646" s="40"/>
      <c r="O646" s="40"/>
      <c r="P646" s="40"/>
      <c r="Q646" s="40"/>
      <c r="R646" s="40"/>
      <c r="S646" s="40"/>
      <c r="T646" s="40"/>
    </row>
    <row r="647" spans="1:20" ht="15.75">
      <c r="A647" s="13">
        <v>60844</v>
      </c>
      <c r="B647" s="48">
        <f t="shared" si="0"/>
        <v>31</v>
      </c>
      <c r="C647" s="39">
        <v>194.20500000000001</v>
      </c>
      <c r="D647" s="39">
        <v>267.46600000000001</v>
      </c>
      <c r="E647" s="45">
        <v>812.32899999999995</v>
      </c>
      <c r="F647" s="39">
        <v>1274</v>
      </c>
      <c r="G647" s="39">
        <v>50</v>
      </c>
      <c r="H647" s="47">
        <v>600</v>
      </c>
      <c r="I647" s="39">
        <v>695</v>
      </c>
      <c r="J647" s="39">
        <v>0</v>
      </c>
      <c r="K647" s="40"/>
      <c r="L647" s="40"/>
      <c r="M647" s="40"/>
      <c r="N647" s="40"/>
      <c r="O647" s="40"/>
      <c r="P647" s="40"/>
      <c r="Q647" s="40"/>
      <c r="R647" s="40"/>
      <c r="S647" s="40"/>
      <c r="T647" s="40"/>
    </row>
    <row r="648" spans="1:20" ht="15.75">
      <c r="A648" s="13">
        <v>60875</v>
      </c>
      <c r="B648" s="48">
        <f t="shared" si="0"/>
        <v>31</v>
      </c>
      <c r="C648" s="39">
        <v>194.20500000000001</v>
      </c>
      <c r="D648" s="39">
        <v>267.46600000000001</v>
      </c>
      <c r="E648" s="45">
        <v>812.32899999999995</v>
      </c>
      <c r="F648" s="39">
        <v>1274</v>
      </c>
      <c r="G648" s="39">
        <v>50</v>
      </c>
      <c r="H648" s="47">
        <v>600</v>
      </c>
      <c r="I648" s="39">
        <v>695</v>
      </c>
      <c r="J648" s="39">
        <v>0</v>
      </c>
      <c r="K648" s="40"/>
      <c r="L648" s="40"/>
      <c r="M648" s="40"/>
      <c r="N648" s="40"/>
      <c r="O648" s="40"/>
      <c r="P648" s="40"/>
      <c r="Q648" s="40"/>
      <c r="R648" s="40"/>
      <c r="S648" s="40"/>
      <c r="T648" s="40"/>
    </row>
    <row r="649" spans="1:20" ht="15.75">
      <c r="A649" s="13">
        <v>60905</v>
      </c>
      <c r="B649" s="48">
        <f t="shared" si="0"/>
        <v>30</v>
      </c>
      <c r="C649" s="39">
        <v>194.20500000000001</v>
      </c>
      <c r="D649" s="39">
        <v>267.46600000000001</v>
      </c>
      <c r="E649" s="45">
        <v>812.32899999999995</v>
      </c>
      <c r="F649" s="39">
        <v>1274</v>
      </c>
      <c r="G649" s="39">
        <v>50</v>
      </c>
      <c r="H649" s="47">
        <v>600</v>
      </c>
      <c r="I649" s="39">
        <v>695</v>
      </c>
      <c r="J649" s="39">
        <v>0</v>
      </c>
      <c r="K649" s="40"/>
      <c r="L649" s="40"/>
      <c r="M649" s="40"/>
      <c r="N649" s="40"/>
      <c r="O649" s="40"/>
      <c r="P649" s="40"/>
      <c r="Q649" s="40"/>
      <c r="R649" s="40"/>
      <c r="S649" s="40"/>
      <c r="T649" s="40"/>
    </row>
    <row r="650" spans="1:20" ht="15.75">
      <c r="A650" s="13">
        <v>60936</v>
      </c>
      <c r="B650" s="48">
        <f t="shared" si="0"/>
        <v>31</v>
      </c>
      <c r="C650" s="39">
        <v>131.881</v>
      </c>
      <c r="D650" s="39">
        <v>277.16699999999997</v>
      </c>
      <c r="E650" s="45">
        <v>829.952</v>
      </c>
      <c r="F650" s="39">
        <v>1239</v>
      </c>
      <c r="G650" s="39">
        <v>75</v>
      </c>
      <c r="H650" s="47">
        <v>600</v>
      </c>
      <c r="I650" s="39">
        <v>695</v>
      </c>
      <c r="J650" s="39">
        <v>0</v>
      </c>
      <c r="K650" s="40"/>
      <c r="L650" s="40"/>
      <c r="M650" s="40"/>
      <c r="N650" s="40"/>
      <c r="O650" s="40"/>
      <c r="P650" s="40"/>
      <c r="Q650" s="40"/>
      <c r="R650" s="40"/>
      <c r="S650" s="40"/>
      <c r="T650" s="40"/>
    </row>
    <row r="651" spans="1:20" ht="15.75">
      <c r="A651" s="13">
        <v>60966</v>
      </c>
      <c r="B651" s="48">
        <f t="shared" si="0"/>
        <v>30</v>
      </c>
      <c r="C651" s="39">
        <v>122.58</v>
      </c>
      <c r="D651" s="39">
        <v>297.94099999999997</v>
      </c>
      <c r="E651" s="45">
        <v>729.47900000000004</v>
      </c>
      <c r="F651" s="39">
        <v>1150</v>
      </c>
      <c r="G651" s="39">
        <v>100</v>
      </c>
      <c r="H651" s="47">
        <v>600</v>
      </c>
      <c r="I651" s="39">
        <v>695</v>
      </c>
      <c r="J651" s="39">
        <v>50</v>
      </c>
      <c r="K651" s="40"/>
      <c r="L651" s="40"/>
      <c r="M651" s="40"/>
      <c r="N651" s="40"/>
      <c r="O651" s="40"/>
      <c r="P651" s="40"/>
      <c r="Q651" s="40"/>
      <c r="R651" s="40"/>
      <c r="S651" s="40"/>
      <c r="T651" s="40"/>
    </row>
    <row r="652" spans="1:20" ht="15.75">
      <c r="A652" s="13">
        <v>60997</v>
      </c>
      <c r="B652" s="48">
        <f t="shared" si="0"/>
        <v>31</v>
      </c>
      <c r="C652" s="39">
        <v>122.58</v>
      </c>
      <c r="D652" s="39">
        <v>297.94099999999997</v>
      </c>
      <c r="E652" s="45">
        <v>729.47900000000004</v>
      </c>
      <c r="F652" s="39">
        <v>1150</v>
      </c>
      <c r="G652" s="39">
        <v>100</v>
      </c>
      <c r="H652" s="47">
        <v>600</v>
      </c>
      <c r="I652" s="39">
        <v>695</v>
      </c>
      <c r="J652" s="39">
        <v>50</v>
      </c>
      <c r="K652" s="40"/>
      <c r="L652" s="40"/>
      <c r="M652" s="40"/>
      <c r="N652" s="40"/>
      <c r="O652" s="40"/>
      <c r="P652" s="40"/>
      <c r="Q652" s="40"/>
      <c r="R652" s="40"/>
      <c r="S652" s="40"/>
      <c r="T652" s="40"/>
    </row>
    <row r="653" spans="1:20" ht="15.75">
      <c r="A653" s="13">
        <v>61028</v>
      </c>
      <c r="B653" s="48">
        <f t="shared" si="0"/>
        <v>31</v>
      </c>
      <c r="C653" s="39">
        <v>122.58</v>
      </c>
      <c r="D653" s="39">
        <v>297.94099999999997</v>
      </c>
      <c r="E653" s="45">
        <v>729.47900000000004</v>
      </c>
      <c r="F653" s="39">
        <v>1150</v>
      </c>
      <c r="G653" s="39">
        <v>100</v>
      </c>
      <c r="H653" s="47">
        <v>600</v>
      </c>
      <c r="I653" s="39">
        <v>695</v>
      </c>
      <c r="J653" s="39">
        <v>50</v>
      </c>
      <c r="K653" s="40"/>
      <c r="L653" s="40"/>
      <c r="M653" s="40"/>
      <c r="N653" s="40"/>
      <c r="O653" s="40"/>
      <c r="P653" s="40"/>
      <c r="Q653" s="40"/>
      <c r="R653" s="40"/>
      <c r="S653" s="40"/>
      <c r="T653" s="40"/>
    </row>
    <row r="654" spans="1:20" ht="15.75">
      <c r="A654" s="13">
        <v>61056</v>
      </c>
      <c r="B654" s="48">
        <f t="shared" si="0"/>
        <v>28</v>
      </c>
      <c r="C654" s="39">
        <v>122.58</v>
      </c>
      <c r="D654" s="39">
        <v>297.94099999999997</v>
      </c>
      <c r="E654" s="45">
        <v>729.47900000000004</v>
      </c>
      <c r="F654" s="39">
        <v>1150</v>
      </c>
      <c r="G654" s="39">
        <v>100</v>
      </c>
      <c r="H654" s="47">
        <v>600</v>
      </c>
      <c r="I654" s="39">
        <v>695</v>
      </c>
      <c r="J654" s="39">
        <v>50</v>
      </c>
      <c r="K654" s="40"/>
      <c r="L654" s="40"/>
      <c r="M654" s="40"/>
      <c r="N654" s="40"/>
      <c r="O654" s="40"/>
      <c r="P654" s="40"/>
      <c r="Q654" s="40"/>
      <c r="R654" s="40"/>
      <c r="S654" s="40"/>
      <c r="T654" s="40"/>
    </row>
    <row r="655" spans="1:20" ht="15.75">
      <c r="A655" s="13">
        <v>61087</v>
      </c>
      <c r="B655" s="48">
        <f t="shared" si="0"/>
        <v>31</v>
      </c>
      <c r="C655" s="39">
        <v>122.58</v>
      </c>
      <c r="D655" s="39">
        <v>297.94099999999997</v>
      </c>
      <c r="E655" s="45">
        <v>729.47900000000004</v>
      </c>
      <c r="F655" s="39">
        <v>1150</v>
      </c>
      <c r="G655" s="39">
        <v>100</v>
      </c>
      <c r="H655" s="47">
        <v>600</v>
      </c>
      <c r="I655" s="39">
        <v>695</v>
      </c>
      <c r="J655" s="39">
        <v>50</v>
      </c>
      <c r="K655" s="40"/>
      <c r="L655" s="40"/>
      <c r="M655" s="40"/>
      <c r="N655" s="40"/>
      <c r="O655" s="40"/>
      <c r="P655" s="40"/>
      <c r="Q655" s="40"/>
      <c r="R655" s="40"/>
      <c r="S655" s="40"/>
      <c r="T655" s="40"/>
    </row>
    <row r="656" spans="1:20" ht="15.75">
      <c r="A656" s="13">
        <v>61117</v>
      </c>
      <c r="B656" s="48">
        <f t="shared" si="0"/>
        <v>30</v>
      </c>
      <c r="C656" s="39">
        <v>141.29300000000001</v>
      </c>
      <c r="D656" s="39">
        <v>267.99299999999999</v>
      </c>
      <c r="E656" s="45">
        <v>829.71400000000006</v>
      </c>
      <c r="F656" s="39">
        <v>1239</v>
      </c>
      <c r="G656" s="39">
        <v>100</v>
      </c>
      <c r="H656" s="47">
        <v>600</v>
      </c>
      <c r="I656" s="39">
        <v>695</v>
      </c>
      <c r="J656" s="39">
        <v>50</v>
      </c>
      <c r="K656" s="40"/>
      <c r="L656" s="40"/>
      <c r="M656" s="40"/>
      <c r="N656" s="40"/>
      <c r="O656" s="40"/>
      <c r="P656" s="40"/>
      <c r="Q656" s="40"/>
      <c r="R656" s="40"/>
      <c r="S656" s="40"/>
      <c r="T656" s="40"/>
    </row>
    <row r="657" spans="1:20" ht="15.75">
      <c r="A657" s="13">
        <v>61148</v>
      </c>
      <c r="B657" s="48">
        <f t="shared" ref="B657:B720" si="1">EOMONTH(A657,0)-EOMONTH(A657,-1)</f>
        <v>31</v>
      </c>
      <c r="C657" s="39">
        <v>194.20500000000001</v>
      </c>
      <c r="D657" s="39">
        <v>267.46600000000001</v>
      </c>
      <c r="E657" s="45">
        <v>812.32899999999995</v>
      </c>
      <c r="F657" s="39">
        <v>1274</v>
      </c>
      <c r="G657" s="39">
        <v>75</v>
      </c>
      <c r="H657" s="47">
        <v>600</v>
      </c>
      <c r="I657" s="39">
        <v>695</v>
      </c>
      <c r="J657" s="39">
        <v>50</v>
      </c>
      <c r="K657" s="40"/>
      <c r="L657" s="40"/>
      <c r="M657" s="40"/>
      <c r="N657" s="40"/>
      <c r="O657" s="40"/>
      <c r="P657" s="40"/>
      <c r="Q657" s="40"/>
      <c r="R657" s="40"/>
      <c r="S657" s="40"/>
      <c r="T657" s="40"/>
    </row>
    <row r="658" spans="1:20" ht="15.75">
      <c r="A658" s="13">
        <v>61178</v>
      </c>
      <c r="B658" s="48">
        <f t="shared" si="1"/>
        <v>30</v>
      </c>
      <c r="C658" s="39">
        <v>194.20500000000001</v>
      </c>
      <c r="D658" s="39">
        <v>267.46600000000001</v>
      </c>
      <c r="E658" s="45">
        <v>812.32899999999995</v>
      </c>
      <c r="F658" s="39">
        <v>1274</v>
      </c>
      <c r="G658" s="39">
        <v>50</v>
      </c>
      <c r="H658" s="47">
        <v>600</v>
      </c>
      <c r="I658" s="39">
        <v>695</v>
      </c>
      <c r="J658" s="39">
        <v>50</v>
      </c>
      <c r="K658" s="40"/>
      <c r="L658" s="40"/>
      <c r="M658" s="40"/>
      <c r="N658" s="40"/>
      <c r="O658" s="40"/>
      <c r="P658" s="40"/>
      <c r="Q658" s="40"/>
      <c r="R658" s="40"/>
      <c r="S658" s="40"/>
      <c r="T658" s="40"/>
    </row>
    <row r="659" spans="1:20" ht="15.75">
      <c r="A659" s="13">
        <v>61209</v>
      </c>
      <c r="B659" s="48">
        <f t="shared" si="1"/>
        <v>31</v>
      </c>
      <c r="C659" s="39">
        <v>194.20500000000001</v>
      </c>
      <c r="D659" s="39">
        <v>267.46600000000001</v>
      </c>
      <c r="E659" s="45">
        <v>812.32899999999995</v>
      </c>
      <c r="F659" s="39">
        <v>1274</v>
      </c>
      <c r="G659" s="39">
        <v>50</v>
      </c>
      <c r="H659" s="47">
        <v>600</v>
      </c>
      <c r="I659" s="39">
        <v>695</v>
      </c>
      <c r="J659" s="39">
        <v>0</v>
      </c>
      <c r="K659" s="40"/>
      <c r="L659" s="40"/>
      <c r="M659" s="40"/>
      <c r="N659" s="40"/>
      <c r="O659" s="40"/>
      <c r="P659" s="40"/>
      <c r="Q659" s="40"/>
      <c r="R659" s="40"/>
      <c r="S659" s="40"/>
      <c r="T659" s="40"/>
    </row>
    <row r="660" spans="1:20" ht="15.75">
      <c r="A660" s="13">
        <v>61240</v>
      </c>
      <c r="B660" s="48">
        <f t="shared" si="1"/>
        <v>31</v>
      </c>
      <c r="C660" s="39">
        <v>194.20500000000001</v>
      </c>
      <c r="D660" s="39">
        <v>267.46600000000001</v>
      </c>
      <c r="E660" s="45">
        <v>812.32899999999995</v>
      </c>
      <c r="F660" s="39">
        <v>1274</v>
      </c>
      <c r="G660" s="39">
        <v>50</v>
      </c>
      <c r="H660" s="47">
        <v>600</v>
      </c>
      <c r="I660" s="39">
        <v>695</v>
      </c>
      <c r="J660" s="39">
        <v>0</v>
      </c>
      <c r="K660" s="40"/>
      <c r="L660" s="40"/>
      <c r="M660" s="40"/>
      <c r="N660" s="40"/>
      <c r="O660" s="40"/>
      <c r="P660" s="40"/>
      <c r="Q660" s="40"/>
      <c r="R660" s="40"/>
      <c r="S660" s="40"/>
      <c r="T660" s="40"/>
    </row>
    <row r="661" spans="1:20" ht="15.75">
      <c r="A661" s="13">
        <v>61270</v>
      </c>
      <c r="B661" s="48">
        <f t="shared" si="1"/>
        <v>30</v>
      </c>
      <c r="C661" s="39">
        <v>194.20500000000001</v>
      </c>
      <c r="D661" s="39">
        <v>267.46600000000001</v>
      </c>
      <c r="E661" s="45">
        <v>812.32899999999995</v>
      </c>
      <c r="F661" s="39">
        <v>1274</v>
      </c>
      <c r="G661" s="39">
        <v>50</v>
      </c>
      <c r="H661" s="47">
        <v>600</v>
      </c>
      <c r="I661" s="39">
        <v>695</v>
      </c>
      <c r="J661" s="39">
        <v>0</v>
      </c>
      <c r="K661" s="40"/>
      <c r="L661" s="40"/>
      <c r="M661" s="40"/>
      <c r="N661" s="40"/>
      <c r="O661" s="40"/>
      <c r="P661" s="40"/>
      <c r="Q661" s="40"/>
      <c r="R661" s="40"/>
      <c r="S661" s="40"/>
      <c r="T661" s="40"/>
    </row>
    <row r="662" spans="1:20" ht="15.75">
      <c r="A662" s="13">
        <v>61301</v>
      </c>
      <c r="B662" s="48">
        <f t="shared" si="1"/>
        <v>31</v>
      </c>
      <c r="C662" s="39">
        <v>131.881</v>
      </c>
      <c r="D662" s="39">
        <v>277.16699999999997</v>
      </c>
      <c r="E662" s="45">
        <v>829.952</v>
      </c>
      <c r="F662" s="39">
        <v>1239</v>
      </c>
      <c r="G662" s="39">
        <v>75</v>
      </c>
      <c r="H662" s="47">
        <v>600</v>
      </c>
      <c r="I662" s="39">
        <v>695</v>
      </c>
      <c r="J662" s="39">
        <v>0</v>
      </c>
      <c r="K662" s="40"/>
      <c r="L662" s="40"/>
      <c r="M662" s="40"/>
      <c r="N662" s="40"/>
      <c r="O662" s="40"/>
      <c r="P662" s="40"/>
      <c r="Q662" s="40"/>
      <c r="R662" s="40"/>
      <c r="S662" s="40"/>
      <c r="T662" s="40"/>
    </row>
    <row r="663" spans="1:20" ht="15.75">
      <c r="A663" s="13">
        <v>61331</v>
      </c>
      <c r="B663" s="48">
        <f t="shared" si="1"/>
        <v>30</v>
      </c>
      <c r="C663" s="39">
        <v>122.58</v>
      </c>
      <c r="D663" s="39">
        <v>297.94099999999997</v>
      </c>
      <c r="E663" s="45">
        <v>729.47900000000004</v>
      </c>
      <c r="F663" s="39">
        <v>1150</v>
      </c>
      <c r="G663" s="39">
        <v>100</v>
      </c>
      <c r="H663" s="47">
        <v>600</v>
      </c>
      <c r="I663" s="39">
        <v>695</v>
      </c>
      <c r="J663" s="39">
        <v>50</v>
      </c>
      <c r="K663" s="40"/>
      <c r="L663" s="40"/>
      <c r="M663" s="40"/>
      <c r="N663" s="40"/>
      <c r="O663" s="40"/>
      <c r="P663" s="40"/>
      <c r="Q663" s="40"/>
      <c r="R663" s="40"/>
      <c r="S663" s="40"/>
      <c r="T663" s="40"/>
    </row>
    <row r="664" spans="1:20" ht="15.75">
      <c r="A664" s="13">
        <v>61362</v>
      </c>
      <c r="B664" s="48">
        <f t="shared" si="1"/>
        <v>31</v>
      </c>
      <c r="C664" s="39">
        <v>122.58</v>
      </c>
      <c r="D664" s="39">
        <v>297.94099999999997</v>
      </c>
      <c r="E664" s="45">
        <v>729.47900000000004</v>
      </c>
      <c r="F664" s="39">
        <v>1150</v>
      </c>
      <c r="G664" s="39">
        <v>100</v>
      </c>
      <c r="H664" s="47">
        <v>600</v>
      </c>
      <c r="I664" s="39">
        <v>695</v>
      </c>
      <c r="J664" s="39">
        <v>50</v>
      </c>
      <c r="K664" s="40"/>
      <c r="L664" s="40"/>
      <c r="M664" s="40"/>
      <c r="N664" s="40"/>
      <c r="O664" s="40"/>
      <c r="P664" s="40"/>
      <c r="Q664" s="40"/>
      <c r="R664" s="40"/>
      <c r="S664" s="40"/>
      <c r="T664" s="40"/>
    </row>
    <row r="665" spans="1:20" ht="15.75">
      <c r="A665" s="13">
        <v>61393</v>
      </c>
      <c r="B665" s="48">
        <f t="shared" si="1"/>
        <v>31</v>
      </c>
      <c r="C665" s="39">
        <v>122.58</v>
      </c>
      <c r="D665" s="39">
        <v>297.94099999999997</v>
      </c>
      <c r="E665" s="45">
        <v>729.47900000000004</v>
      </c>
      <c r="F665" s="39">
        <v>1150</v>
      </c>
      <c r="G665" s="39">
        <v>100</v>
      </c>
      <c r="H665" s="47">
        <v>600</v>
      </c>
      <c r="I665" s="39">
        <v>695</v>
      </c>
      <c r="J665" s="39">
        <v>50</v>
      </c>
      <c r="K665" s="40"/>
      <c r="L665" s="40"/>
      <c r="M665" s="40"/>
      <c r="N665" s="40"/>
      <c r="O665" s="40"/>
      <c r="P665" s="40"/>
      <c r="Q665" s="40"/>
      <c r="R665" s="40"/>
      <c r="S665" s="40"/>
      <c r="T665" s="40"/>
    </row>
    <row r="666" spans="1:20" ht="15.75">
      <c r="A666" s="13">
        <v>61422</v>
      </c>
      <c r="B666" s="48">
        <f t="shared" si="1"/>
        <v>29</v>
      </c>
      <c r="C666" s="39">
        <v>122.58</v>
      </c>
      <c r="D666" s="39">
        <v>297.94099999999997</v>
      </c>
      <c r="E666" s="45">
        <v>729.47900000000004</v>
      </c>
      <c r="F666" s="39">
        <v>1150</v>
      </c>
      <c r="G666" s="39">
        <v>100</v>
      </c>
      <c r="H666" s="47">
        <v>600</v>
      </c>
      <c r="I666" s="39">
        <v>695</v>
      </c>
      <c r="J666" s="39">
        <v>50</v>
      </c>
      <c r="K666" s="40"/>
      <c r="L666" s="40"/>
      <c r="M666" s="40"/>
      <c r="N666" s="40"/>
      <c r="O666" s="40"/>
      <c r="P666" s="40"/>
      <c r="Q666" s="40"/>
      <c r="R666" s="40"/>
      <c r="S666" s="40"/>
      <c r="T666" s="40"/>
    </row>
    <row r="667" spans="1:20" ht="15.75">
      <c r="A667" s="13">
        <v>61453</v>
      </c>
      <c r="B667" s="48">
        <f t="shared" si="1"/>
        <v>31</v>
      </c>
      <c r="C667" s="39">
        <v>122.58</v>
      </c>
      <c r="D667" s="39">
        <v>297.94099999999997</v>
      </c>
      <c r="E667" s="45">
        <v>729.47900000000004</v>
      </c>
      <c r="F667" s="39">
        <v>1150</v>
      </c>
      <c r="G667" s="39">
        <v>100</v>
      </c>
      <c r="H667" s="47">
        <v>600</v>
      </c>
      <c r="I667" s="39">
        <v>695</v>
      </c>
      <c r="J667" s="39">
        <v>50</v>
      </c>
      <c r="K667" s="40"/>
      <c r="L667" s="40"/>
      <c r="M667" s="40"/>
      <c r="N667" s="40"/>
      <c r="O667" s="40"/>
      <c r="P667" s="40"/>
      <c r="Q667" s="40"/>
      <c r="R667" s="40"/>
      <c r="S667" s="40"/>
      <c r="T667" s="40"/>
    </row>
    <row r="668" spans="1:20" ht="15.75">
      <c r="A668" s="13">
        <v>61483</v>
      </c>
      <c r="B668" s="48">
        <f t="shared" si="1"/>
        <v>30</v>
      </c>
      <c r="C668" s="39">
        <v>141.29300000000001</v>
      </c>
      <c r="D668" s="39">
        <v>267.99299999999999</v>
      </c>
      <c r="E668" s="45">
        <v>829.71400000000006</v>
      </c>
      <c r="F668" s="39">
        <v>1239</v>
      </c>
      <c r="G668" s="39">
        <v>100</v>
      </c>
      <c r="H668" s="47">
        <v>600</v>
      </c>
      <c r="I668" s="39">
        <v>695</v>
      </c>
      <c r="J668" s="39">
        <v>50</v>
      </c>
      <c r="K668" s="40"/>
      <c r="L668" s="40"/>
      <c r="M668" s="40"/>
      <c r="N668" s="40"/>
      <c r="O668" s="40"/>
      <c r="P668" s="40"/>
      <c r="Q668" s="40"/>
      <c r="R668" s="40"/>
      <c r="S668" s="40"/>
      <c r="T668" s="40"/>
    </row>
    <row r="669" spans="1:20" ht="15.75">
      <c r="A669" s="13">
        <v>61514</v>
      </c>
      <c r="B669" s="48">
        <f t="shared" si="1"/>
        <v>31</v>
      </c>
      <c r="C669" s="39">
        <v>194.20500000000001</v>
      </c>
      <c r="D669" s="39">
        <v>267.46600000000001</v>
      </c>
      <c r="E669" s="45">
        <v>812.32899999999995</v>
      </c>
      <c r="F669" s="39">
        <v>1274</v>
      </c>
      <c r="G669" s="39">
        <v>75</v>
      </c>
      <c r="H669" s="47">
        <v>600</v>
      </c>
      <c r="I669" s="39">
        <v>695</v>
      </c>
      <c r="J669" s="39">
        <v>50</v>
      </c>
      <c r="K669" s="40"/>
      <c r="L669" s="40"/>
      <c r="M669" s="40"/>
      <c r="N669" s="40"/>
      <c r="O669" s="40"/>
      <c r="P669" s="40"/>
      <c r="Q669" s="40"/>
      <c r="R669" s="40"/>
      <c r="S669" s="40"/>
      <c r="T669" s="40"/>
    </row>
    <row r="670" spans="1:20" ht="15.75">
      <c r="A670" s="13">
        <v>61544</v>
      </c>
      <c r="B670" s="48">
        <f t="shared" si="1"/>
        <v>30</v>
      </c>
      <c r="C670" s="39">
        <v>194.20500000000001</v>
      </c>
      <c r="D670" s="39">
        <v>267.46600000000001</v>
      </c>
      <c r="E670" s="45">
        <v>812.32899999999995</v>
      </c>
      <c r="F670" s="39">
        <v>1274</v>
      </c>
      <c r="G670" s="39">
        <v>50</v>
      </c>
      <c r="H670" s="47">
        <v>600</v>
      </c>
      <c r="I670" s="39">
        <v>695</v>
      </c>
      <c r="J670" s="39">
        <v>50</v>
      </c>
      <c r="K670" s="40"/>
      <c r="L670" s="40"/>
      <c r="M670" s="40"/>
      <c r="N670" s="40"/>
      <c r="O670" s="40"/>
      <c r="P670" s="40"/>
      <c r="Q670" s="40"/>
      <c r="R670" s="40"/>
      <c r="S670" s="40"/>
      <c r="T670" s="40"/>
    </row>
    <row r="671" spans="1:20" ht="15.75">
      <c r="A671" s="13">
        <v>61575</v>
      </c>
      <c r="B671" s="48">
        <f t="shared" si="1"/>
        <v>31</v>
      </c>
      <c r="C671" s="39">
        <v>194.20500000000001</v>
      </c>
      <c r="D671" s="39">
        <v>267.46600000000001</v>
      </c>
      <c r="E671" s="45">
        <v>812.32899999999995</v>
      </c>
      <c r="F671" s="39">
        <v>1274</v>
      </c>
      <c r="G671" s="39">
        <v>50</v>
      </c>
      <c r="H671" s="47">
        <v>600</v>
      </c>
      <c r="I671" s="39">
        <v>695</v>
      </c>
      <c r="J671" s="39">
        <v>0</v>
      </c>
      <c r="K671" s="40"/>
      <c r="L671" s="40"/>
      <c r="M671" s="40"/>
      <c r="N671" s="40"/>
      <c r="O671" s="40"/>
      <c r="P671" s="40"/>
      <c r="Q671" s="40"/>
      <c r="R671" s="40"/>
      <c r="S671" s="40"/>
      <c r="T671" s="40"/>
    </row>
    <row r="672" spans="1:20" ht="15.75">
      <c r="A672" s="13">
        <v>61606</v>
      </c>
      <c r="B672" s="48">
        <f t="shared" si="1"/>
        <v>31</v>
      </c>
      <c r="C672" s="39">
        <v>194.20500000000001</v>
      </c>
      <c r="D672" s="39">
        <v>267.46600000000001</v>
      </c>
      <c r="E672" s="45">
        <v>812.32899999999995</v>
      </c>
      <c r="F672" s="39">
        <v>1274</v>
      </c>
      <c r="G672" s="39">
        <v>50</v>
      </c>
      <c r="H672" s="47">
        <v>600</v>
      </c>
      <c r="I672" s="39">
        <v>695</v>
      </c>
      <c r="J672" s="39">
        <v>0</v>
      </c>
      <c r="K672" s="40"/>
      <c r="L672" s="40"/>
      <c r="M672" s="40"/>
      <c r="N672" s="40"/>
      <c r="O672" s="40"/>
      <c r="P672" s="40"/>
      <c r="Q672" s="40"/>
      <c r="R672" s="40"/>
      <c r="S672" s="40"/>
      <c r="T672" s="40"/>
    </row>
    <row r="673" spans="1:20" ht="15.75">
      <c r="A673" s="13">
        <v>61636</v>
      </c>
      <c r="B673" s="48">
        <f t="shared" si="1"/>
        <v>30</v>
      </c>
      <c r="C673" s="39">
        <v>194.20500000000001</v>
      </c>
      <c r="D673" s="39">
        <v>267.46600000000001</v>
      </c>
      <c r="E673" s="45">
        <v>812.32899999999995</v>
      </c>
      <c r="F673" s="39">
        <v>1274</v>
      </c>
      <c r="G673" s="39">
        <v>50</v>
      </c>
      <c r="H673" s="47">
        <v>600</v>
      </c>
      <c r="I673" s="39">
        <v>695</v>
      </c>
      <c r="J673" s="39">
        <v>0</v>
      </c>
      <c r="K673" s="40"/>
      <c r="L673" s="40"/>
      <c r="M673" s="40"/>
      <c r="N673" s="40"/>
      <c r="O673" s="40"/>
      <c r="P673" s="40"/>
      <c r="Q673" s="40"/>
      <c r="R673" s="40"/>
      <c r="S673" s="40"/>
      <c r="T673" s="40"/>
    </row>
    <row r="674" spans="1:20" ht="15.75">
      <c r="A674" s="13">
        <v>61667</v>
      </c>
      <c r="B674" s="48">
        <f t="shared" si="1"/>
        <v>31</v>
      </c>
      <c r="C674" s="39">
        <v>131.881</v>
      </c>
      <c r="D674" s="39">
        <v>277.16699999999997</v>
      </c>
      <c r="E674" s="45">
        <v>829.952</v>
      </c>
      <c r="F674" s="39">
        <v>1239</v>
      </c>
      <c r="G674" s="39">
        <v>75</v>
      </c>
      <c r="H674" s="47">
        <v>600</v>
      </c>
      <c r="I674" s="39">
        <v>695</v>
      </c>
      <c r="J674" s="39">
        <v>0</v>
      </c>
      <c r="K674" s="40"/>
      <c r="L674" s="40"/>
      <c r="M674" s="40"/>
      <c r="N674" s="40"/>
      <c r="O674" s="40"/>
      <c r="P674" s="40"/>
      <c r="Q674" s="40"/>
      <c r="R674" s="40"/>
      <c r="S674" s="40"/>
      <c r="T674" s="40"/>
    </row>
    <row r="675" spans="1:20" ht="15.75">
      <c r="A675" s="13">
        <v>61697</v>
      </c>
      <c r="B675" s="48">
        <f t="shared" si="1"/>
        <v>30</v>
      </c>
      <c r="C675" s="39">
        <v>122.58</v>
      </c>
      <c r="D675" s="39">
        <v>297.94099999999997</v>
      </c>
      <c r="E675" s="45">
        <v>729.47900000000004</v>
      </c>
      <c r="F675" s="39">
        <v>1150</v>
      </c>
      <c r="G675" s="39">
        <v>100</v>
      </c>
      <c r="H675" s="47">
        <v>600</v>
      </c>
      <c r="I675" s="39">
        <v>695</v>
      </c>
      <c r="J675" s="39">
        <v>50</v>
      </c>
      <c r="K675" s="40"/>
      <c r="L675" s="40"/>
      <c r="M675" s="40"/>
      <c r="N675" s="40"/>
      <c r="O675" s="40"/>
      <c r="P675" s="40"/>
      <c r="Q675" s="40"/>
      <c r="R675" s="40"/>
      <c r="S675" s="40"/>
      <c r="T675" s="40"/>
    </row>
    <row r="676" spans="1:20" ht="15.75">
      <c r="A676" s="13">
        <v>61728</v>
      </c>
      <c r="B676" s="48">
        <f t="shared" si="1"/>
        <v>31</v>
      </c>
      <c r="C676" s="39">
        <v>122.58</v>
      </c>
      <c r="D676" s="39">
        <v>297.94099999999997</v>
      </c>
      <c r="E676" s="45">
        <v>729.47900000000004</v>
      </c>
      <c r="F676" s="39">
        <v>1150</v>
      </c>
      <c r="G676" s="39">
        <v>100</v>
      </c>
      <c r="H676" s="47">
        <v>600</v>
      </c>
      <c r="I676" s="39">
        <v>695</v>
      </c>
      <c r="J676" s="39">
        <v>50</v>
      </c>
      <c r="K676" s="40"/>
      <c r="L676" s="40"/>
      <c r="M676" s="40"/>
      <c r="N676" s="40"/>
      <c r="O676" s="40"/>
      <c r="P676" s="40"/>
      <c r="Q676" s="40"/>
      <c r="R676" s="40"/>
      <c r="S676" s="40"/>
      <c r="T676" s="40"/>
    </row>
    <row r="677" spans="1:20" ht="15.75">
      <c r="A677" s="13">
        <v>61759</v>
      </c>
      <c r="B677" s="48">
        <f t="shared" si="1"/>
        <v>31</v>
      </c>
      <c r="C677" s="39">
        <v>122.58</v>
      </c>
      <c r="D677" s="39">
        <v>297.94099999999997</v>
      </c>
      <c r="E677" s="45">
        <v>729.47900000000004</v>
      </c>
      <c r="F677" s="39">
        <v>1150</v>
      </c>
      <c r="G677" s="39">
        <v>100</v>
      </c>
      <c r="H677" s="47">
        <v>600</v>
      </c>
      <c r="I677" s="39">
        <v>695</v>
      </c>
      <c r="J677" s="39">
        <v>50</v>
      </c>
      <c r="K677" s="40"/>
      <c r="L677" s="40"/>
      <c r="M677" s="40"/>
      <c r="N677" s="40"/>
      <c r="O677" s="40"/>
      <c r="P677" s="40"/>
      <c r="Q677" s="40"/>
      <c r="R677" s="40"/>
      <c r="S677" s="40"/>
      <c r="T677" s="40"/>
    </row>
    <row r="678" spans="1:20" ht="15.75">
      <c r="A678" s="13">
        <v>61787</v>
      </c>
      <c r="B678" s="48">
        <f t="shared" si="1"/>
        <v>28</v>
      </c>
      <c r="C678" s="39">
        <v>122.58</v>
      </c>
      <c r="D678" s="39">
        <v>297.94099999999997</v>
      </c>
      <c r="E678" s="45">
        <v>729.47900000000004</v>
      </c>
      <c r="F678" s="39">
        <v>1150</v>
      </c>
      <c r="G678" s="39">
        <v>100</v>
      </c>
      <c r="H678" s="47">
        <v>600</v>
      </c>
      <c r="I678" s="39">
        <v>695</v>
      </c>
      <c r="J678" s="39">
        <v>50</v>
      </c>
      <c r="K678" s="40"/>
      <c r="L678" s="40"/>
      <c r="M678" s="40"/>
      <c r="N678" s="40"/>
      <c r="O678" s="40"/>
      <c r="P678" s="40"/>
      <c r="Q678" s="40"/>
      <c r="R678" s="40"/>
      <c r="S678" s="40"/>
      <c r="T678" s="40"/>
    </row>
    <row r="679" spans="1:20" ht="15.75">
      <c r="A679" s="13">
        <v>61818</v>
      </c>
      <c r="B679" s="48">
        <f t="shared" si="1"/>
        <v>31</v>
      </c>
      <c r="C679" s="39">
        <v>122.58</v>
      </c>
      <c r="D679" s="39">
        <v>297.94099999999997</v>
      </c>
      <c r="E679" s="45">
        <v>729.47900000000004</v>
      </c>
      <c r="F679" s="39">
        <v>1150</v>
      </c>
      <c r="G679" s="39">
        <v>100</v>
      </c>
      <c r="H679" s="47">
        <v>600</v>
      </c>
      <c r="I679" s="39">
        <v>695</v>
      </c>
      <c r="J679" s="39">
        <v>50</v>
      </c>
      <c r="K679" s="40"/>
      <c r="L679" s="40"/>
      <c r="M679" s="40"/>
      <c r="N679" s="40"/>
      <c r="O679" s="40"/>
      <c r="P679" s="40"/>
      <c r="Q679" s="40"/>
      <c r="R679" s="40"/>
      <c r="S679" s="40"/>
      <c r="T679" s="40"/>
    </row>
    <row r="680" spans="1:20" ht="15.75">
      <c r="A680" s="13">
        <v>61848</v>
      </c>
      <c r="B680" s="48">
        <f t="shared" si="1"/>
        <v>30</v>
      </c>
      <c r="C680" s="39">
        <v>141.29300000000001</v>
      </c>
      <c r="D680" s="39">
        <v>267.99299999999999</v>
      </c>
      <c r="E680" s="45">
        <v>829.71400000000006</v>
      </c>
      <c r="F680" s="39">
        <v>1239</v>
      </c>
      <c r="G680" s="39">
        <v>100</v>
      </c>
      <c r="H680" s="47">
        <v>600</v>
      </c>
      <c r="I680" s="39">
        <v>695</v>
      </c>
      <c r="J680" s="39">
        <v>50</v>
      </c>
      <c r="K680" s="40"/>
      <c r="L680" s="40"/>
      <c r="M680" s="40"/>
      <c r="N680" s="40"/>
      <c r="O680" s="40"/>
      <c r="P680" s="40"/>
      <c r="Q680" s="40"/>
      <c r="R680" s="40"/>
      <c r="S680" s="40"/>
      <c r="T680" s="40"/>
    </row>
    <row r="681" spans="1:20" ht="15.75">
      <c r="A681" s="13">
        <v>61879</v>
      </c>
      <c r="B681" s="48">
        <f t="shared" si="1"/>
        <v>31</v>
      </c>
      <c r="C681" s="39">
        <v>194.20500000000001</v>
      </c>
      <c r="D681" s="39">
        <v>267.46600000000001</v>
      </c>
      <c r="E681" s="45">
        <v>812.32899999999995</v>
      </c>
      <c r="F681" s="39">
        <v>1274</v>
      </c>
      <c r="G681" s="39">
        <v>75</v>
      </c>
      <c r="H681" s="47">
        <v>600</v>
      </c>
      <c r="I681" s="39">
        <v>695</v>
      </c>
      <c r="J681" s="39">
        <v>50</v>
      </c>
      <c r="K681" s="40"/>
      <c r="L681" s="40"/>
      <c r="M681" s="40"/>
      <c r="N681" s="40"/>
      <c r="O681" s="40"/>
      <c r="P681" s="40"/>
      <c r="Q681" s="40"/>
      <c r="R681" s="40"/>
      <c r="S681" s="40"/>
      <c r="T681" s="40"/>
    </row>
    <row r="682" spans="1:20" ht="15.75">
      <c r="A682" s="13">
        <v>61909</v>
      </c>
      <c r="B682" s="48">
        <f t="shared" si="1"/>
        <v>30</v>
      </c>
      <c r="C682" s="39">
        <v>194.20500000000001</v>
      </c>
      <c r="D682" s="39">
        <v>267.46600000000001</v>
      </c>
      <c r="E682" s="45">
        <v>812.32899999999995</v>
      </c>
      <c r="F682" s="39">
        <v>1274</v>
      </c>
      <c r="G682" s="39">
        <v>50</v>
      </c>
      <c r="H682" s="47">
        <v>600</v>
      </c>
      <c r="I682" s="39">
        <v>695</v>
      </c>
      <c r="J682" s="39">
        <v>50</v>
      </c>
      <c r="K682" s="40"/>
      <c r="L682" s="40"/>
      <c r="M682" s="40"/>
      <c r="N682" s="40"/>
      <c r="O682" s="40"/>
      <c r="P682" s="40"/>
      <c r="Q682" s="40"/>
      <c r="R682" s="40"/>
      <c r="S682" s="40"/>
      <c r="T682" s="40"/>
    </row>
    <row r="683" spans="1:20" ht="15.75">
      <c r="A683" s="13">
        <v>61940</v>
      </c>
      <c r="B683" s="48">
        <f t="shared" si="1"/>
        <v>31</v>
      </c>
      <c r="C683" s="39">
        <v>194.20500000000001</v>
      </c>
      <c r="D683" s="39">
        <v>267.46600000000001</v>
      </c>
      <c r="E683" s="45">
        <v>812.32899999999995</v>
      </c>
      <c r="F683" s="39">
        <v>1274</v>
      </c>
      <c r="G683" s="39">
        <v>50</v>
      </c>
      <c r="H683" s="47">
        <v>600</v>
      </c>
      <c r="I683" s="39">
        <v>695</v>
      </c>
      <c r="J683" s="39">
        <v>0</v>
      </c>
      <c r="K683" s="40"/>
      <c r="L683" s="40"/>
      <c r="M683" s="40"/>
      <c r="N683" s="40"/>
      <c r="O683" s="40"/>
      <c r="P683" s="40"/>
      <c r="Q683" s="40"/>
      <c r="R683" s="40"/>
      <c r="S683" s="40"/>
      <c r="T683" s="40"/>
    </row>
    <row r="684" spans="1:20" ht="15.75">
      <c r="A684" s="13">
        <v>61971</v>
      </c>
      <c r="B684" s="48">
        <f t="shared" si="1"/>
        <v>31</v>
      </c>
      <c r="C684" s="39">
        <v>194.20500000000001</v>
      </c>
      <c r="D684" s="39">
        <v>267.46600000000001</v>
      </c>
      <c r="E684" s="45">
        <v>812.32899999999995</v>
      </c>
      <c r="F684" s="39">
        <v>1274</v>
      </c>
      <c r="G684" s="39">
        <v>50</v>
      </c>
      <c r="H684" s="47">
        <v>600</v>
      </c>
      <c r="I684" s="39">
        <v>695</v>
      </c>
      <c r="J684" s="39">
        <v>0</v>
      </c>
      <c r="K684" s="40"/>
      <c r="L684" s="40"/>
      <c r="M684" s="40"/>
      <c r="N684" s="40"/>
      <c r="O684" s="40"/>
      <c r="P684" s="40"/>
      <c r="Q684" s="40"/>
      <c r="R684" s="40"/>
      <c r="S684" s="40"/>
      <c r="T684" s="40"/>
    </row>
    <row r="685" spans="1:20" ht="15.75">
      <c r="A685" s="13">
        <v>62001</v>
      </c>
      <c r="B685" s="48">
        <f t="shared" si="1"/>
        <v>30</v>
      </c>
      <c r="C685" s="39">
        <v>194.20500000000001</v>
      </c>
      <c r="D685" s="39">
        <v>267.46600000000001</v>
      </c>
      <c r="E685" s="45">
        <v>812.32899999999995</v>
      </c>
      <c r="F685" s="39">
        <v>1274</v>
      </c>
      <c r="G685" s="39">
        <v>50</v>
      </c>
      <c r="H685" s="47">
        <v>600</v>
      </c>
      <c r="I685" s="39">
        <v>695</v>
      </c>
      <c r="J685" s="39">
        <v>0</v>
      </c>
      <c r="K685" s="40"/>
      <c r="L685" s="40"/>
      <c r="M685" s="40"/>
      <c r="N685" s="40"/>
      <c r="O685" s="40"/>
      <c r="P685" s="40"/>
      <c r="Q685" s="40"/>
      <c r="R685" s="40"/>
      <c r="S685" s="40"/>
      <c r="T685" s="40"/>
    </row>
    <row r="686" spans="1:20" ht="15.75">
      <c r="A686" s="13">
        <v>62032</v>
      </c>
      <c r="B686" s="48">
        <f t="shared" si="1"/>
        <v>31</v>
      </c>
      <c r="C686" s="39">
        <v>131.881</v>
      </c>
      <c r="D686" s="39">
        <v>277.16699999999997</v>
      </c>
      <c r="E686" s="45">
        <v>829.952</v>
      </c>
      <c r="F686" s="39">
        <v>1239</v>
      </c>
      <c r="G686" s="39">
        <v>75</v>
      </c>
      <c r="H686" s="47">
        <v>600</v>
      </c>
      <c r="I686" s="39">
        <v>695</v>
      </c>
      <c r="J686" s="39">
        <v>0</v>
      </c>
      <c r="K686" s="40"/>
      <c r="L686" s="40"/>
      <c r="M686" s="40"/>
      <c r="N686" s="40"/>
      <c r="O686" s="40"/>
      <c r="P686" s="40"/>
      <c r="Q686" s="40"/>
      <c r="R686" s="40"/>
      <c r="S686" s="40"/>
      <c r="T686" s="40"/>
    </row>
    <row r="687" spans="1:20" ht="15.75">
      <c r="A687" s="13">
        <v>62062</v>
      </c>
      <c r="B687" s="48">
        <f t="shared" si="1"/>
        <v>30</v>
      </c>
      <c r="C687" s="39">
        <v>122.58</v>
      </c>
      <c r="D687" s="39">
        <v>297.94099999999997</v>
      </c>
      <c r="E687" s="45">
        <v>729.47900000000004</v>
      </c>
      <c r="F687" s="39">
        <v>1150</v>
      </c>
      <c r="G687" s="39">
        <v>100</v>
      </c>
      <c r="H687" s="47">
        <v>600</v>
      </c>
      <c r="I687" s="39">
        <v>695</v>
      </c>
      <c r="J687" s="39">
        <v>50</v>
      </c>
      <c r="K687" s="40"/>
      <c r="L687" s="40"/>
      <c r="M687" s="40"/>
      <c r="N687" s="40"/>
      <c r="O687" s="40"/>
      <c r="P687" s="40"/>
      <c r="Q687" s="40"/>
      <c r="R687" s="40"/>
      <c r="S687" s="40"/>
      <c r="T687" s="40"/>
    </row>
    <row r="688" spans="1:20" ht="15.75">
      <c r="A688" s="13">
        <v>62093</v>
      </c>
      <c r="B688" s="48">
        <f t="shared" si="1"/>
        <v>31</v>
      </c>
      <c r="C688" s="39">
        <v>122.58</v>
      </c>
      <c r="D688" s="39">
        <v>297.94099999999997</v>
      </c>
      <c r="E688" s="45">
        <v>729.47900000000004</v>
      </c>
      <c r="F688" s="39">
        <v>1150</v>
      </c>
      <c r="G688" s="39">
        <v>100</v>
      </c>
      <c r="H688" s="47">
        <v>600</v>
      </c>
      <c r="I688" s="39">
        <v>695</v>
      </c>
      <c r="J688" s="39">
        <v>50</v>
      </c>
      <c r="K688" s="40"/>
      <c r="L688" s="40"/>
      <c r="M688" s="40"/>
      <c r="N688" s="40"/>
      <c r="O688" s="40"/>
      <c r="P688" s="40"/>
      <c r="Q688" s="40"/>
      <c r="R688" s="40"/>
      <c r="S688" s="40"/>
      <c r="T688" s="40"/>
    </row>
    <row r="689" spans="1:20" ht="15.75">
      <c r="A689" s="13">
        <v>62124</v>
      </c>
      <c r="B689" s="48">
        <f t="shared" si="1"/>
        <v>31</v>
      </c>
      <c r="C689" s="39">
        <v>122.58</v>
      </c>
      <c r="D689" s="39">
        <v>297.94099999999997</v>
      </c>
      <c r="E689" s="45">
        <v>729.47900000000004</v>
      </c>
      <c r="F689" s="39">
        <v>1150</v>
      </c>
      <c r="G689" s="39">
        <v>100</v>
      </c>
      <c r="H689" s="47">
        <v>600</v>
      </c>
      <c r="I689" s="39">
        <v>695</v>
      </c>
      <c r="J689" s="39">
        <v>50</v>
      </c>
      <c r="K689" s="40"/>
      <c r="L689" s="40"/>
      <c r="M689" s="40"/>
      <c r="N689" s="40"/>
      <c r="O689" s="40"/>
      <c r="P689" s="40"/>
      <c r="Q689" s="40"/>
      <c r="R689" s="40"/>
      <c r="S689" s="40"/>
      <c r="T689" s="40"/>
    </row>
    <row r="690" spans="1:20" ht="15.75">
      <c r="A690" s="13">
        <v>62152</v>
      </c>
      <c r="B690" s="48">
        <f t="shared" si="1"/>
        <v>28</v>
      </c>
      <c r="C690" s="39">
        <v>122.58</v>
      </c>
      <c r="D690" s="39">
        <v>297.94099999999997</v>
      </c>
      <c r="E690" s="45">
        <v>729.47900000000004</v>
      </c>
      <c r="F690" s="39">
        <v>1150</v>
      </c>
      <c r="G690" s="39">
        <v>100</v>
      </c>
      <c r="H690" s="47">
        <v>600</v>
      </c>
      <c r="I690" s="39">
        <v>695</v>
      </c>
      <c r="J690" s="39">
        <v>50</v>
      </c>
      <c r="K690" s="40"/>
      <c r="L690" s="40"/>
      <c r="M690" s="40"/>
      <c r="N690" s="40"/>
      <c r="O690" s="40"/>
      <c r="P690" s="40"/>
      <c r="Q690" s="40"/>
      <c r="R690" s="40"/>
      <c r="S690" s="40"/>
      <c r="T690" s="40"/>
    </row>
    <row r="691" spans="1:20" ht="15.75">
      <c r="A691" s="13">
        <v>62183</v>
      </c>
      <c r="B691" s="48">
        <f t="shared" si="1"/>
        <v>31</v>
      </c>
      <c r="C691" s="39">
        <v>122.58</v>
      </c>
      <c r="D691" s="39">
        <v>297.94099999999997</v>
      </c>
      <c r="E691" s="45">
        <v>729.47900000000004</v>
      </c>
      <c r="F691" s="39">
        <v>1150</v>
      </c>
      <c r="G691" s="39">
        <v>100</v>
      </c>
      <c r="H691" s="47">
        <v>600</v>
      </c>
      <c r="I691" s="39">
        <v>695</v>
      </c>
      <c r="J691" s="39">
        <v>50</v>
      </c>
      <c r="K691" s="40"/>
      <c r="L691" s="40"/>
      <c r="M691" s="40"/>
      <c r="N691" s="40"/>
      <c r="O691" s="40"/>
      <c r="P691" s="40"/>
      <c r="Q691" s="40"/>
      <c r="R691" s="40"/>
      <c r="S691" s="40"/>
      <c r="T691" s="40"/>
    </row>
    <row r="692" spans="1:20" ht="15.75">
      <c r="A692" s="13">
        <v>62213</v>
      </c>
      <c r="B692" s="48">
        <f t="shared" si="1"/>
        <v>30</v>
      </c>
      <c r="C692" s="39">
        <v>141.29300000000001</v>
      </c>
      <c r="D692" s="39">
        <v>267.99299999999999</v>
      </c>
      <c r="E692" s="45">
        <v>829.71400000000006</v>
      </c>
      <c r="F692" s="39">
        <v>1239</v>
      </c>
      <c r="G692" s="39">
        <v>100</v>
      </c>
      <c r="H692" s="47">
        <v>600</v>
      </c>
      <c r="I692" s="39">
        <v>695</v>
      </c>
      <c r="J692" s="39">
        <v>50</v>
      </c>
      <c r="K692" s="40"/>
      <c r="L692" s="40"/>
      <c r="M692" s="40"/>
      <c r="N692" s="40"/>
      <c r="O692" s="40"/>
      <c r="P692" s="40"/>
      <c r="Q692" s="40"/>
      <c r="R692" s="40"/>
      <c r="S692" s="40"/>
      <c r="T692" s="40"/>
    </row>
    <row r="693" spans="1:20" ht="15.75">
      <c r="A693" s="13">
        <v>62244</v>
      </c>
      <c r="B693" s="48">
        <f t="shared" si="1"/>
        <v>31</v>
      </c>
      <c r="C693" s="39">
        <v>194.20500000000001</v>
      </c>
      <c r="D693" s="39">
        <v>267.46600000000001</v>
      </c>
      <c r="E693" s="45">
        <v>812.32899999999995</v>
      </c>
      <c r="F693" s="39">
        <v>1274</v>
      </c>
      <c r="G693" s="39">
        <v>75</v>
      </c>
      <c r="H693" s="47">
        <v>600</v>
      </c>
      <c r="I693" s="39">
        <v>695</v>
      </c>
      <c r="J693" s="39">
        <v>50</v>
      </c>
      <c r="K693" s="40"/>
      <c r="L693" s="40"/>
      <c r="M693" s="40"/>
      <c r="N693" s="40"/>
      <c r="O693" s="40"/>
      <c r="P693" s="40"/>
      <c r="Q693" s="40"/>
      <c r="R693" s="40"/>
      <c r="S693" s="40"/>
      <c r="T693" s="40"/>
    </row>
    <row r="694" spans="1:20" ht="15.75">
      <c r="A694" s="13">
        <v>62274</v>
      </c>
      <c r="B694" s="48">
        <f t="shared" si="1"/>
        <v>30</v>
      </c>
      <c r="C694" s="39">
        <v>194.20500000000001</v>
      </c>
      <c r="D694" s="39">
        <v>267.46600000000001</v>
      </c>
      <c r="E694" s="45">
        <v>812.32899999999995</v>
      </c>
      <c r="F694" s="39">
        <v>1274</v>
      </c>
      <c r="G694" s="39">
        <v>50</v>
      </c>
      <c r="H694" s="47">
        <v>600</v>
      </c>
      <c r="I694" s="39">
        <v>695</v>
      </c>
      <c r="J694" s="39">
        <v>50</v>
      </c>
      <c r="K694" s="40"/>
      <c r="L694" s="40"/>
      <c r="M694" s="40"/>
      <c r="N694" s="40"/>
      <c r="O694" s="40"/>
      <c r="P694" s="40"/>
      <c r="Q694" s="40"/>
      <c r="R694" s="40"/>
      <c r="S694" s="40"/>
      <c r="T694" s="40"/>
    </row>
    <row r="695" spans="1:20" ht="15.75">
      <c r="A695" s="13">
        <v>62305</v>
      </c>
      <c r="B695" s="48">
        <f t="shared" si="1"/>
        <v>31</v>
      </c>
      <c r="C695" s="39">
        <v>194.20500000000001</v>
      </c>
      <c r="D695" s="39">
        <v>267.46600000000001</v>
      </c>
      <c r="E695" s="45">
        <v>812.32899999999995</v>
      </c>
      <c r="F695" s="39">
        <v>1274</v>
      </c>
      <c r="G695" s="39">
        <v>50</v>
      </c>
      <c r="H695" s="47">
        <v>600</v>
      </c>
      <c r="I695" s="39">
        <v>695</v>
      </c>
      <c r="J695" s="39">
        <v>0</v>
      </c>
      <c r="K695" s="40"/>
      <c r="L695" s="40"/>
      <c r="M695" s="40"/>
      <c r="N695" s="40"/>
      <c r="O695" s="40"/>
      <c r="P695" s="40"/>
      <c r="Q695" s="40"/>
      <c r="R695" s="40"/>
      <c r="S695" s="40"/>
      <c r="T695" s="40"/>
    </row>
    <row r="696" spans="1:20" ht="15.75">
      <c r="A696" s="13">
        <v>62336</v>
      </c>
      <c r="B696" s="48">
        <f t="shared" si="1"/>
        <v>31</v>
      </c>
      <c r="C696" s="39">
        <v>194.20500000000001</v>
      </c>
      <c r="D696" s="39">
        <v>267.46600000000001</v>
      </c>
      <c r="E696" s="45">
        <v>812.32899999999995</v>
      </c>
      <c r="F696" s="39">
        <v>1274</v>
      </c>
      <c r="G696" s="39">
        <v>50</v>
      </c>
      <c r="H696" s="47">
        <v>600</v>
      </c>
      <c r="I696" s="39">
        <v>695</v>
      </c>
      <c r="J696" s="39">
        <v>0</v>
      </c>
      <c r="K696" s="40"/>
      <c r="L696" s="40"/>
      <c r="M696" s="40"/>
      <c r="N696" s="40"/>
      <c r="O696" s="40"/>
      <c r="P696" s="40"/>
      <c r="Q696" s="40"/>
      <c r="R696" s="40"/>
      <c r="S696" s="40"/>
      <c r="T696" s="40"/>
    </row>
    <row r="697" spans="1:20" ht="15.75">
      <c r="A697" s="13">
        <v>62366</v>
      </c>
      <c r="B697" s="48">
        <f t="shared" si="1"/>
        <v>30</v>
      </c>
      <c r="C697" s="39">
        <v>194.20500000000001</v>
      </c>
      <c r="D697" s="39">
        <v>267.46600000000001</v>
      </c>
      <c r="E697" s="45">
        <v>812.32899999999995</v>
      </c>
      <c r="F697" s="39">
        <v>1274</v>
      </c>
      <c r="G697" s="39">
        <v>50</v>
      </c>
      <c r="H697" s="47">
        <v>600</v>
      </c>
      <c r="I697" s="39">
        <v>695</v>
      </c>
      <c r="J697" s="39">
        <v>0</v>
      </c>
      <c r="K697" s="40"/>
      <c r="L697" s="40"/>
      <c r="M697" s="40"/>
      <c r="N697" s="40"/>
      <c r="O697" s="40"/>
      <c r="P697" s="40"/>
      <c r="Q697" s="40"/>
      <c r="R697" s="40"/>
      <c r="S697" s="40"/>
      <c r="T697" s="40"/>
    </row>
    <row r="698" spans="1:20" ht="15.75">
      <c r="A698" s="13">
        <v>62397</v>
      </c>
      <c r="B698" s="48">
        <f t="shared" si="1"/>
        <v>31</v>
      </c>
      <c r="C698" s="39">
        <v>131.881</v>
      </c>
      <c r="D698" s="39">
        <v>277.16699999999997</v>
      </c>
      <c r="E698" s="45">
        <v>829.952</v>
      </c>
      <c r="F698" s="39">
        <v>1239</v>
      </c>
      <c r="G698" s="39">
        <v>75</v>
      </c>
      <c r="H698" s="47">
        <v>600</v>
      </c>
      <c r="I698" s="39">
        <v>695</v>
      </c>
      <c r="J698" s="39">
        <v>0</v>
      </c>
      <c r="K698" s="40"/>
      <c r="L698" s="40"/>
      <c r="M698" s="40"/>
      <c r="N698" s="40"/>
      <c r="O698" s="40"/>
      <c r="P698" s="40"/>
      <c r="Q698" s="40"/>
      <c r="R698" s="40"/>
      <c r="S698" s="40"/>
      <c r="T698" s="40"/>
    </row>
    <row r="699" spans="1:20" ht="15.75">
      <c r="A699" s="13">
        <v>62427</v>
      </c>
      <c r="B699" s="48">
        <f t="shared" si="1"/>
        <v>30</v>
      </c>
      <c r="C699" s="39">
        <v>122.58</v>
      </c>
      <c r="D699" s="39">
        <v>297.94099999999997</v>
      </c>
      <c r="E699" s="45">
        <v>729.47900000000004</v>
      </c>
      <c r="F699" s="39">
        <v>1150</v>
      </c>
      <c r="G699" s="39">
        <v>100</v>
      </c>
      <c r="H699" s="47">
        <v>600</v>
      </c>
      <c r="I699" s="39">
        <v>695</v>
      </c>
      <c r="J699" s="39">
        <v>50</v>
      </c>
      <c r="K699" s="40"/>
      <c r="L699" s="40"/>
      <c r="M699" s="40"/>
      <c r="N699" s="40"/>
      <c r="O699" s="40"/>
      <c r="P699" s="40"/>
      <c r="Q699" s="40"/>
      <c r="R699" s="40"/>
      <c r="S699" s="40"/>
      <c r="T699" s="40"/>
    </row>
    <row r="700" spans="1:20" ht="15.75">
      <c r="A700" s="13">
        <v>62458</v>
      </c>
      <c r="B700" s="48">
        <f t="shared" si="1"/>
        <v>31</v>
      </c>
      <c r="C700" s="39">
        <v>122.58</v>
      </c>
      <c r="D700" s="39">
        <v>297.94099999999997</v>
      </c>
      <c r="E700" s="45">
        <v>729.47900000000004</v>
      </c>
      <c r="F700" s="39">
        <v>1150</v>
      </c>
      <c r="G700" s="39">
        <v>100</v>
      </c>
      <c r="H700" s="47">
        <v>600</v>
      </c>
      <c r="I700" s="39">
        <v>695</v>
      </c>
      <c r="J700" s="39">
        <v>50</v>
      </c>
      <c r="K700" s="40"/>
      <c r="L700" s="40"/>
      <c r="M700" s="40"/>
      <c r="N700" s="40"/>
      <c r="O700" s="40"/>
      <c r="P700" s="40"/>
      <c r="Q700" s="40"/>
      <c r="R700" s="40"/>
      <c r="S700" s="40"/>
      <c r="T700" s="40"/>
    </row>
    <row r="701" spans="1:20" ht="15.75">
      <c r="A701" s="13">
        <v>62489</v>
      </c>
      <c r="B701" s="48">
        <f t="shared" si="1"/>
        <v>31</v>
      </c>
      <c r="C701" s="39">
        <v>122.58</v>
      </c>
      <c r="D701" s="39">
        <v>297.94099999999997</v>
      </c>
      <c r="E701" s="45">
        <v>729.47900000000004</v>
      </c>
      <c r="F701" s="39">
        <v>1150</v>
      </c>
      <c r="G701" s="39">
        <v>100</v>
      </c>
      <c r="H701" s="47">
        <v>600</v>
      </c>
      <c r="I701" s="39">
        <v>695</v>
      </c>
      <c r="J701" s="39">
        <v>50</v>
      </c>
      <c r="K701" s="40"/>
      <c r="L701" s="40"/>
      <c r="M701" s="40"/>
      <c r="N701" s="40"/>
      <c r="O701" s="40"/>
      <c r="P701" s="40"/>
      <c r="Q701" s="40"/>
      <c r="R701" s="40"/>
      <c r="S701" s="40"/>
      <c r="T701" s="40"/>
    </row>
    <row r="702" spans="1:20" ht="15.75">
      <c r="A702" s="13">
        <v>62517</v>
      </c>
      <c r="B702" s="48">
        <f t="shared" si="1"/>
        <v>28</v>
      </c>
      <c r="C702" s="39">
        <v>122.58</v>
      </c>
      <c r="D702" s="39">
        <v>297.94099999999997</v>
      </c>
      <c r="E702" s="45">
        <v>729.47900000000004</v>
      </c>
      <c r="F702" s="39">
        <v>1150</v>
      </c>
      <c r="G702" s="39">
        <v>100</v>
      </c>
      <c r="H702" s="47">
        <v>600</v>
      </c>
      <c r="I702" s="39">
        <v>695</v>
      </c>
      <c r="J702" s="39">
        <v>50</v>
      </c>
      <c r="K702" s="40"/>
      <c r="L702" s="40"/>
      <c r="M702" s="40"/>
      <c r="N702" s="40"/>
      <c r="O702" s="40"/>
      <c r="P702" s="40"/>
      <c r="Q702" s="40"/>
      <c r="R702" s="40"/>
      <c r="S702" s="40"/>
      <c r="T702" s="40"/>
    </row>
    <row r="703" spans="1:20" ht="15.75">
      <c r="A703" s="13">
        <v>62548</v>
      </c>
      <c r="B703" s="48">
        <f t="shared" si="1"/>
        <v>31</v>
      </c>
      <c r="C703" s="39">
        <v>122.58</v>
      </c>
      <c r="D703" s="39">
        <v>297.94099999999997</v>
      </c>
      <c r="E703" s="45">
        <v>729.47900000000004</v>
      </c>
      <c r="F703" s="39">
        <v>1150</v>
      </c>
      <c r="G703" s="39">
        <v>100</v>
      </c>
      <c r="H703" s="47">
        <v>600</v>
      </c>
      <c r="I703" s="39">
        <v>695</v>
      </c>
      <c r="J703" s="39">
        <v>50</v>
      </c>
      <c r="K703" s="40"/>
      <c r="L703" s="40"/>
      <c r="M703" s="40"/>
      <c r="N703" s="40"/>
      <c r="O703" s="40"/>
      <c r="P703" s="40"/>
      <c r="Q703" s="40"/>
      <c r="R703" s="40"/>
      <c r="S703" s="40"/>
      <c r="T703" s="40"/>
    </row>
    <row r="704" spans="1:20" ht="15.75">
      <c r="A704" s="13">
        <v>62578</v>
      </c>
      <c r="B704" s="48">
        <f t="shared" si="1"/>
        <v>30</v>
      </c>
      <c r="C704" s="39">
        <v>141.29300000000001</v>
      </c>
      <c r="D704" s="39">
        <v>267.99299999999999</v>
      </c>
      <c r="E704" s="45">
        <v>829.71400000000006</v>
      </c>
      <c r="F704" s="39">
        <v>1239</v>
      </c>
      <c r="G704" s="39">
        <v>100</v>
      </c>
      <c r="H704" s="47">
        <v>600</v>
      </c>
      <c r="I704" s="39">
        <v>695</v>
      </c>
      <c r="J704" s="39">
        <v>50</v>
      </c>
      <c r="K704" s="40"/>
      <c r="L704" s="40"/>
      <c r="M704" s="40"/>
      <c r="N704" s="40"/>
      <c r="O704" s="40"/>
      <c r="P704" s="40"/>
      <c r="Q704" s="40"/>
      <c r="R704" s="40"/>
      <c r="S704" s="40"/>
      <c r="T704" s="40"/>
    </row>
    <row r="705" spans="1:20" ht="15.75">
      <c r="A705" s="13">
        <v>62609</v>
      </c>
      <c r="B705" s="48">
        <f t="shared" si="1"/>
        <v>31</v>
      </c>
      <c r="C705" s="39">
        <v>194.20500000000001</v>
      </c>
      <c r="D705" s="39">
        <v>267.46600000000001</v>
      </c>
      <c r="E705" s="45">
        <v>812.32899999999995</v>
      </c>
      <c r="F705" s="39">
        <v>1274</v>
      </c>
      <c r="G705" s="39">
        <v>75</v>
      </c>
      <c r="H705" s="47">
        <v>600</v>
      </c>
      <c r="I705" s="39">
        <v>695</v>
      </c>
      <c r="J705" s="39">
        <v>50</v>
      </c>
      <c r="K705" s="40"/>
      <c r="L705" s="40"/>
      <c r="M705" s="40"/>
      <c r="N705" s="40"/>
      <c r="O705" s="40"/>
      <c r="P705" s="40"/>
      <c r="Q705" s="40"/>
      <c r="R705" s="40"/>
      <c r="S705" s="40"/>
      <c r="T705" s="40"/>
    </row>
    <row r="706" spans="1:20" ht="15.75">
      <c r="A706" s="13">
        <v>62639</v>
      </c>
      <c r="B706" s="48">
        <f t="shared" si="1"/>
        <v>30</v>
      </c>
      <c r="C706" s="39">
        <v>194.20500000000001</v>
      </c>
      <c r="D706" s="39">
        <v>267.46600000000001</v>
      </c>
      <c r="E706" s="45">
        <v>812.32899999999995</v>
      </c>
      <c r="F706" s="39">
        <v>1274</v>
      </c>
      <c r="G706" s="39">
        <v>50</v>
      </c>
      <c r="H706" s="47">
        <v>600</v>
      </c>
      <c r="I706" s="39">
        <v>695</v>
      </c>
      <c r="J706" s="39">
        <v>50</v>
      </c>
      <c r="K706" s="40"/>
      <c r="L706" s="40"/>
      <c r="M706" s="40"/>
      <c r="N706" s="40"/>
      <c r="O706" s="40"/>
      <c r="P706" s="40"/>
      <c r="Q706" s="40"/>
      <c r="R706" s="40"/>
      <c r="S706" s="40"/>
      <c r="T706" s="40"/>
    </row>
    <row r="707" spans="1:20" ht="15.75">
      <c r="A707" s="13">
        <v>62670</v>
      </c>
      <c r="B707" s="48">
        <f t="shared" si="1"/>
        <v>31</v>
      </c>
      <c r="C707" s="39">
        <v>194.20500000000001</v>
      </c>
      <c r="D707" s="39">
        <v>267.46600000000001</v>
      </c>
      <c r="E707" s="45">
        <v>812.32899999999995</v>
      </c>
      <c r="F707" s="39">
        <v>1274</v>
      </c>
      <c r="G707" s="39">
        <v>50</v>
      </c>
      <c r="H707" s="47">
        <v>600</v>
      </c>
      <c r="I707" s="39">
        <v>695</v>
      </c>
      <c r="J707" s="39">
        <v>0</v>
      </c>
      <c r="K707" s="40"/>
      <c r="L707" s="40"/>
      <c r="M707" s="40"/>
      <c r="N707" s="40"/>
      <c r="O707" s="40"/>
      <c r="P707" s="40"/>
      <c r="Q707" s="40"/>
      <c r="R707" s="40"/>
      <c r="S707" s="40"/>
      <c r="T707" s="40"/>
    </row>
    <row r="708" spans="1:20" ht="15.75">
      <c r="A708" s="13">
        <v>62701</v>
      </c>
      <c r="B708" s="48">
        <f t="shared" si="1"/>
        <v>31</v>
      </c>
      <c r="C708" s="39">
        <v>194.20500000000001</v>
      </c>
      <c r="D708" s="39">
        <v>267.46600000000001</v>
      </c>
      <c r="E708" s="45">
        <v>812.32899999999995</v>
      </c>
      <c r="F708" s="39">
        <v>1274</v>
      </c>
      <c r="G708" s="39">
        <v>50</v>
      </c>
      <c r="H708" s="47">
        <v>600</v>
      </c>
      <c r="I708" s="39">
        <v>695</v>
      </c>
      <c r="J708" s="39">
        <v>0</v>
      </c>
      <c r="K708" s="40"/>
      <c r="L708" s="40"/>
      <c r="M708" s="40"/>
      <c r="N708" s="40"/>
      <c r="O708" s="40"/>
      <c r="P708" s="40"/>
      <c r="Q708" s="40"/>
      <c r="R708" s="40"/>
      <c r="S708" s="40"/>
      <c r="T708" s="40"/>
    </row>
    <row r="709" spans="1:20" ht="15.75">
      <c r="A709" s="13">
        <v>62731</v>
      </c>
      <c r="B709" s="48">
        <f t="shared" si="1"/>
        <v>30</v>
      </c>
      <c r="C709" s="39">
        <v>194.20500000000001</v>
      </c>
      <c r="D709" s="39">
        <v>267.46600000000001</v>
      </c>
      <c r="E709" s="45">
        <v>812.32899999999995</v>
      </c>
      <c r="F709" s="39">
        <v>1274</v>
      </c>
      <c r="G709" s="39">
        <v>50</v>
      </c>
      <c r="H709" s="47">
        <v>600</v>
      </c>
      <c r="I709" s="39">
        <v>695</v>
      </c>
      <c r="J709" s="39">
        <v>0</v>
      </c>
      <c r="K709" s="40"/>
      <c r="L709" s="40"/>
      <c r="M709" s="40"/>
      <c r="N709" s="40"/>
      <c r="O709" s="40"/>
      <c r="P709" s="40"/>
      <c r="Q709" s="40"/>
      <c r="R709" s="40"/>
      <c r="S709" s="40"/>
      <c r="T709" s="40"/>
    </row>
    <row r="710" spans="1:20" ht="15.75">
      <c r="A710" s="13">
        <v>62762</v>
      </c>
      <c r="B710" s="48">
        <f t="shared" si="1"/>
        <v>31</v>
      </c>
      <c r="C710" s="39">
        <v>131.881</v>
      </c>
      <c r="D710" s="39">
        <v>277.16699999999997</v>
      </c>
      <c r="E710" s="45">
        <v>829.952</v>
      </c>
      <c r="F710" s="39">
        <v>1239</v>
      </c>
      <c r="G710" s="39">
        <v>75</v>
      </c>
      <c r="H710" s="47">
        <v>600</v>
      </c>
      <c r="I710" s="39">
        <v>695</v>
      </c>
      <c r="J710" s="39">
        <v>0</v>
      </c>
      <c r="K710" s="40"/>
      <c r="L710" s="40"/>
      <c r="M710" s="40"/>
      <c r="N710" s="40"/>
      <c r="O710" s="40"/>
      <c r="P710" s="40"/>
      <c r="Q710" s="40"/>
      <c r="R710" s="40"/>
      <c r="S710" s="40"/>
      <c r="T710" s="40"/>
    </row>
    <row r="711" spans="1:20" ht="15.75">
      <c r="A711" s="13">
        <v>62792</v>
      </c>
      <c r="B711" s="48">
        <f t="shared" si="1"/>
        <v>30</v>
      </c>
      <c r="C711" s="39">
        <v>122.58</v>
      </c>
      <c r="D711" s="39">
        <v>297.94099999999997</v>
      </c>
      <c r="E711" s="45">
        <v>729.47900000000004</v>
      </c>
      <c r="F711" s="39">
        <v>1150</v>
      </c>
      <c r="G711" s="39">
        <v>100</v>
      </c>
      <c r="H711" s="47">
        <v>600</v>
      </c>
      <c r="I711" s="39">
        <v>695</v>
      </c>
      <c r="J711" s="39">
        <v>50</v>
      </c>
      <c r="K711" s="40"/>
      <c r="L711" s="40"/>
      <c r="M711" s="40"/>
      <c r="N711" s="40"/>
      <c r="O711" s="40"/>
      <c r="P711" s="40"/>
      <c r="Q711" s="40"/>
      <c r="R711" s="40"/>
      <c r="S711" s="40"/>
      <c r="T711" s="40"/>
    </row>
    <row r="712" spans="1:20" ht="15.75">
      <c r="A712" s="13">
        <v>62823</v>
      </c>
      <c r="B712" s="48">
        <f t="shared" si="1"/>
        <v>31</v>
      </c>
      <c r="C712" s="39">
        <v>122.58</v>
      </c>
      <c r="D712" s="39">
        <v>297.94099999999997</v>
      </c>
      <c r="E712" s="45">
        <v>729.47900000000004</v>
      </c>
      <c r="F712" s="39">
        <v>1150</v>
      </c>
      <c r="G712" s="39">
        <v>100</v>
      </c>
      <c r="H712" s="47">
        <v>600</v>
      </c>
      <c r="I712" s="39">
        <v>695</v>
      </c>
      <c r="J712" s="39">
        <v>50</v>
      </c>
      <c r="K712" s="40"/>
      <c r="L712" s="40"/>
      <c r="M712" s="40"/>
      <c r="N712" s="40"/>
      <c r="O712" s="40"/>
      <c r="P712" s="40"/>
      <c r="Q712" s="40"/>
      <c r="R712" s="40"/>
      <c r="S712" s="40"/>
      <c r="T712" s="40"/>
    </row>
    <row r="713" spans="1:20" ht="15.75">
      <c r="A713" s="13">
        <v>62854</v>
      </c>
      <c r="B713" s="48">
        <f t="shared" si="1"/>
        <v>31</v>
      </c>
      <c r="C713" s="39">
        <v>122.58</v>
      </c>
      <c r="D713" s="39">
        <v>297.94099999999997</v>
      </c>
      <c r="E713" s="45">
        <v>729.47900000000004</v>
      </c>
      <c r="F713" s="39">
        <v>1150</v>
      </c>
      <c r="G713" s="39">
        <v>100</v>
      </c>
      <c r="H713" s="47">
        <v>600</v>
      </c>
      <c r="I713" s="39">
        <v>695</v>
      </c>
      <c r="J713" s="39">
        <v>50</v>
      </c>
      <c r="K713" s="40"/>
      <c r="L713" s="40"/>
      <c r="M713" s="40"/>
      <c r="N713" s="40"/>
      <c r="O713" s="40"/>
      <c r="P713" s="40"/>
      <c r="Q713" s="40"/>
      <c r="R713" s="40"/>
      <c r="S713" s="40"/>
      <c r="T713" s="40"/>
    </row>
    <row r="714" spans="1:20" ht="15.75">
      <c r="A714" s="13">
        <v>62883</v>
      </c>
      <c r="B714" s="48">
        <f t="shared" si="1"/>
        <v>29</v>
      </c>
      <c r="C714" s="39">
        <v>122.58</v>
      </c>
      <c r="D714" s="39">
        <v>297.94099999999997</v>
      </c>
      <c r="E714" s="45">
        <v>729.47900000000004</v>
      </c>
      <c r="F714" s="39">
        <v>1150</v>
      </c>
      <c r="G714" s="39">
        <v>100</v>
      </c>
      <c r="H714" s="47">
        <v>600</v>
      </c>
      <c r="I714" s="39">
        <v>695</v>
      </c>
      <c r="J714" s="39">
        <v>50</v>
      </c>
      <c r="K714" s="40"/>
      <c r="L714" s="40"/>
      <c r="M714" s="40"/>
      <c r="N714" s="40"/>
      <c r="O714" s="40"/>
      <c r="P714" s="40"/>
      <c r="Q714" s="40"/>
      <c r="R714" s="40"/>
      <c r="S714" s="40"/>
      <c r="T714" s="40"/>
    </row>
    <row r="715" spans="1:20" ht="15.75">
      <c r="A715" s="13">
        <v>62914</v>
      </c>
      <c r="B715" s="48">
        <f t="shared" si="1"/>
        <v>31</v>
      </c>
      <c r="C715" s="39">
        <v>122.58</v>
      </c>
      <c r="D715" s="39">
        <v>297.94099999999997</v>
      </c>
      <c r="E715" s="45">
        <v>729.47900000000004</v>
      </c>
      <c r="F715" s="39">
        <v>1150</v>
      </c>
      <c r="G715" s="39">
        <v>100</v>
      </c>
      <c r="H715" s="47">
        <v>600</v>
      </c>
      <c r="I715" s="39">
        <v>695</v>
      </c>
      <c r="J715" s="39">
        <v>50</v>
      </c>
      <c r="K715" s="40"/>
      <c r="L715" s="40"/>
      <c r="M715" s="40"/>
      <c r="N715" s="40"/>
      <c r="O715" s="40"/>
      <c r="P715" s="40"/>
      <c r="Q715" s="40"/>
      <c r="R715" s="40"/>
      <c r="S715" s="40"/>
      <c r="T715" s="40"/>
    </row>
    <row r="716" spans="1:20" ht="15.75">
      <c r="A716" s="13">
        <v>62944</v>
      </c>
      <c r="B716" s="48">
        <f t="shared" si="1"/>
        <v>30</v>
      </c>
      <c r="C716" s="39">
        <v>141.29300000000001</v>
      </c>
      <c r="D716" s="39">
        <v>267.99299999999999</v>
      </c>
      <c r="E716" s="45">
        <v>829.71400000000006</v>
      </c>
      <c r="F716" s="39">
        <v>1239</v>
      </c>
      <c r="G716" s="39">
        <v>100</v>
      </c>
      <c r="H716" s="47">
        <v>600</v>
      </c>
      <c r="I716" s="39">
        <v>695</v>
      </c>
      <c r="J716" s="39">
        <v>50</v>
      </c>
      <c r="K716" s="40"/>
      <c r="L716" s="40"/>
      <c r="M716" s="40"/>
      <c r="N716" s="40"/>
      <c r="O716" s="40"/>
      <c r="P716" s="40"/>
      <c r="Q716" s="40"/>
      <c r="R716" s="40"/>
      <c r="S716" s="40"/>
      <c r="T716" s="40"/>
    </row>
    <row r="717" spans="1:20" ht="15.75">
      <c r="A717" s="13">
        <v>62975</v>
      </c>
      <c r="B717" s="48">
        <f t="shared" si="1"/>
        <v>31</v>
      </c>
      <c r="C717" s="39">
        <v>194.20500000000001</v>
      </c>
      <c r="D717" s="39">
        <v>267.46600000000001</v>
      </c>
      <c r="E717" s="45">
        <v>812.32899999999995</v>
      </c>
      <c r="F717" s="39">
        <v>1274</v>
      </c>
      <c r="G717" s="39">
        <v>75</v>
      </c>
      <c r="H717" s="47">
        <v>600</v>
      </c>
      <c r="I717" s="39">
        <v>695</v>
      </c>
      <c r="J717" s="39">
        <v>50</v>
      </c>
      <c r="K717" s="40"/>
      <c r="L717" s="40"/>
      <c r="M717" s="40"/>
      <c r="N717" s="40"/>
      <c r="O717" s="40"/>
      <c r="P717" s="40"/>
      <c r="Q717" s="40"/>
      <c r="R717" s="40"/>
      <c r="S717" s="40"/>
      <c r="T717" s="40"/>
    </row>
    <row r="718" spans="1:20" ht="15.75">
      <c r="A718" s="13">
        <v>63005</v>
      </c>
      <c r="B718" s="48">
        <f t="shared" si="1"/>
        <v>30</v>
      </c>
      <c r="C718" s="39">
        <v>194.20500000000001</v>
      </c>
      <c r="D718" s="39">
        <v>267.46600000000001</v>
      </c>
      <c r="E718" s="45">
        <v>812.32899999999995</v>
      </c>
      <c r="F718" s="39">
        <v>1274</v>
      </c>
      <c r="G718" s="39">
        <v>50</v>
      </c>
      <c r="H718" s="47">
        <v>600</v>
      </c>
      <c r="I718" s="39">
        <v>695</v>
      </c>
      <c r="J718" s="39">
        <v>50</v>
      </c>
      <c r="K718" s="40"/>
      <c r="L718" s="40"/>
      <c r="M718" s="40"/>
      <c r="N718" s="40"/>
      <c r="O718" s="40"/>
      <c r="P718" s="40"/>
      <c r="Q718" s="40"/>
      <c r="R718" s="40"/>
      <c r="S718" s="40"/>
      <c r="T718" s="40"/>
    </row>
    <row r="719" spans="1:20" ht="15.75">
      <c r="A719" s="13">
        <v>63036</v>
      </c>
      <c r="B719" s="48">
        <f t="shared" si="1"/>
        <v>31</v>
      </c>
      <c r="C719" s="39">
        <v>194.20500000000001</v>
      </c>
      <c r="D719" s="39">
        <v>267.46600000000001</v>
      </c>
      <c r="E719" s="45">
        <v>812.32899999999995</v>
      </c>
      <c r="F719" s="39">
        <v>1274</v>
      </c>
      <c r="G719" s="39">
        <v>50</v>
      </c>
      <c r="H719" s="47">
        <v>600</v>
      </c>
      <c r="I719" s="39">
        <v>695</v>
      </c>
      <c r="J719" s="39">
        <v>0</v>
      </c>
      <c r="K719" s="40"/>
      <c r="L719" s="40"/>
      <c r="M719" s="40"/>
      <c r="N719" s="40"/>
      <c r="O719" s="40"/>
      <c r="P719" s="40"/>
      <c r="Q719" s="40"/>
      <c r="R719" s="40"/>
      <c r="S719" s="40"/>
      <c r="T719" s="40"/>
    </row>
    <row r="720" spans="1:20" ht="15.75">
      <c r="A720" s="13">
        <v>63067</v>
      </c>
      <c r="B720" s="48">
        <f t="shared" si="1"/>
        <v>31</v>
      </c>
      <c r="C720" s="39">
        <v>194.20500000000001</v>
      </c>
      <c r="D720" s="39">
        <v>267.46600000000001</v>
      </c>
      <c r="E720" s="45">
        <v>812.32899999999995</v>
      </c>
      <c r="F720" s="39">
        <v>1274</v>
      </c>
      <c r="G720" s="39">
        <v>50</v>
      </c>
      <c r="H720" s="47">
        <v>600</v>
      </c>
      <c r="I720" s="39">
        <v>695</v>
      </c>
      <c r="J720" s="39">
        <v>0</v>
      </c>
      <c r="K720" s="40"/>
      <c r="L720" s="40"/>
      <c r="M720" s="40"/>
      <c r="N720" s="40"/>
      <c r="O720" s="40"/>
      <c r="P720" s="40"/>
      <c r="Q720" s="40"/>
      <c r="R720" s="40"/>
      <c r="S720" s="40"/>
      <c r="T720" s="40"/>
    </row>
    <row r="721" spans="1:20" ht="15.75">
      <c r="A721" s="13">
        <v>63097</v>
      </c>
      <c r="B721" s="48">
        <f t="shared" ref="B721:B784" si="2">EOMONTH(A721,0)-EOMONTH(A721,-1)</f>
        <v>30</v>
      </c>
      <c r="C721" s="39">
        <v>194.20500000000001</v>
      </c>
      <c r="D721" s="39">
        <v>267.46600000000001</v>
      </c>
      <c r="E721" s="45">
        <v>812.32899999999995</v>
      </c>
      <c r="F721" s="39">
        <v>1274</v>
      </c>
      <c r="G721" s="39">
        <v>50</v>
      </c>
      <c r="H721" s="47">
        <v>600</v>
      </c>
      <c r="I721" s="39">
        <v>695</v>
      </c>
      <c r="J721" s="39">
        <v>0</v>
      </c>
      <c r="K721" s="40"/>
      <c r="L721" s="40"/>
      <c r="M721" s="40"/>
      <c r="N721" s="40"/>
      <c r="O721" s="40"/>
      <c r="P721" s="40"/>
      <c r="Q721" s="40"/>
      <c r="R721" s="40"/>
      <c r="S721" s="40"/>
      <c r="T721" s="40"/>
    </row>
    <row r="722" spans="1:20" ht="15.75">
      <c r="A722" s="13">
        <v>63128</v>
      </c>
      <c r="B722" s="48">
        <f t="shared" si="2"/>
        <v>31</v>
      </c>
      <c r="C722" s="39">
        <v>131.881</v>
      </c>
      <c r="D722" s="39">
        <v>277.16699999999997</v>
      </c>
      <c r="E722" s="45">
        <v>829.952</v>
      </c>
      <c r="F722" s="39">
        <v>1239</v>
      </c>
      <c r="G722" s="39">
        <v>75</v>
      </c>
      <c r="H722" s="47">
        <v>600</v>
      </c>
      <c r="I722" s="39">
        <v>695</v>
      </c>
      <c r="J722" s="39">
        <v>0</v>
      </c>
      <c r="K722" s="40"/>
      <c r="L722" s="40"/>
      <c r="M722" s="40"/>
      <c r="N722" s="40"/>
      <c r="O722" s="40"/>
      <c r="P722" s="40"/>
      <c r="Q722" s="40"/>
      <c r="R722" s="40"/>
      <c r="S722" s="40"/>
      <c r="T722" s="40"/>
    </row>
    <row r="723" spans="1:20" ht="15.75">
      <c r="A723" s="13">
        <v>63158</v>
      </c>
      <c r="B723" s="48">
        <f t="shared" si="2"/>
        <v>30</v>
      </c>
      <c r="C723" s="39">
        <v>122.58</v>
      </c>
      <c r="D723" s="39">
        <v>297.94099999999997</v>
      </c>
      <c r="E723" s="45">
        <v>729.47900000000004</v>
      </c>
      <c r="F723" s="39">
        <v>1150</v>
      </c>
      <c r="G723" s="39">
        <v>100</v>
      </c>
      <c r="H723" s="47">
        <v>600</v>
      </c>
      <c r="I723" s="39">
        <v>695</v>
      </c>
      <c r="J723" s="39">
        <v>50</v>
      </c>
      <c r="K723" s="40"/>
      <c r="L723" s="40"/>
      <c r="M723" s="40"/>
      <c r="N723" s="40"/>
      <c r="O723" s="40"/>
      <c r="P723" s="40"/>
      <c r="Q723" s="40"/>
      <c r="R723" s="40"/>
      <c r="S723" s="40"/>
      <c r="T723" s="40"/>
    </row>
    <row r="724" spans="1:20" ht="15.75">
      <c r="A724" s="13">
        <v>63189</v>
      </c>
      <c r="B724" s="48">
        <f t="shared" si="2"/>
        <v>31</v>
      </c>
      <c r="C724" s="39">
        <v>122.58</v>
      </c>
      <c r="D724" s="39">
        <v>297.94099999999997</v>
      </c>
      <c r="E724" s="45">
        <v>729.47900000000004</v>
      </c>
      <c r="F724" s="39">
        <v>1150</v>
      </c>
      <c r="G724" s="39">
        <v>100</v>
      </c>
      <c r="H724" s="47">
        <v>600</v>
      </c>
      <c r="I724" s="39">
        <v>695</v>
      </c>
      <c r="J724" s="39">
        <v>50</v>
      </c>
      <c r="K724" s="40"/>
      <c r="L724" s="40"/>
      <c r="M724" s="40"/>
      <c r="N724" s="40"/>
      <c r="O724" s="40"/>
      <c r="P724" s="40"/>
      <c r="Q724" s="40"/>
      <c r="R724" s="40"/>
      <c r="S724" s="40"/>
      <c r="T724" s="40"/>
    </row>
    <row r="725" spans="1:20" ht="15.75">
      <c r="A725" s="13">
        <v>63220</v>
      </c>
      <c r="B725" s="48">
        <f t="shared" si="2"/>
        <v>31</v>
      </c>
      <c r="C725" s="39">
        <v>122.58</v>
      </c>
      <c r="D725" s="39">
        <v>297.94099999999997</v>
      </c>
      <c r="E725" s="45">
        <v>729.47900000000004</v>
      </c>
      <c r="F725" s="39">
        <v>1150</v>
      </c>
      <c r="G725" s="39">
        <v>100</v>
      </c>
      <c r="H725" s="47">
        <v>600</v>
      </c>
      <c r="I725" s="39">
        <v>695</v>
      </c>
      <c r="J725" s="39">
        <v>50</v>
      </c>
      <c r="K725" s="40"/>
      <c r="L725" s="40"/>
      <c r="M725" s="40"/>
      <c r="N725" s="40"/>
      <c r="O725" s="40"/>
      <c r="P725" s="40"/>
      <c r="Q725" s="40"/>
      <c r="R725" s="40"/>
      <c r="S725" s="40"/>
      <c r="T725" s="40"/>
    </row>
    <row r="726" spans="1:20" ht="15.75">
      <c r="A726" s="13">
        <v>63248</v>
      </c>
      <c r="B726" s="48">
        <f t="shared" si="2"/>
        <v>28</v>
      </c>
      <c r="C726" s="39">
        <v>122.58</v>
      </c>
      <c r="D726" s="39">
        <v>297.94099999999997</v>
      </c>
      <c r="E726" s="45">
        <v>729.47900000000004</v>
      </c>
      <c r="F726" s="39">
        <v>1150</v>
      </c>
      <c r="G726" s="39">
        <v>100</v>
      </c>
      <c r="H726" s="47">
        <v>600</v>
      </c>
      <c r="I726" s="39">
        <v>695</v>
      </c>
      <c r="J726" s="39">
        <v>50</v>
      </c>
      <c r="K726" s="40"/>
      <c r="L726" s="40"/>
      <c r="M726" s="40"/>
      <c r="N726" s="40"/>
      <c r="O726" s="40"/>
      <c r="P726" s="40"/>
      <c r="Q726" s="40"/>
      <c r="R726" s="40"/>
      <c r="S726" s="40"/>
      <c r="T726" s="40"/>
    </row>
    <row r="727" spans="1:20" ht="15.75">
      <c r="A727" s="13">
        <v>63279</v>
      </c>
      <c r="B727" s="48">
        <f t="shared" si="2"/>
        <v>31</v>
      </c>
      <c r="C727" s="39">
        <v>122.58</v>
      </c>
      <c r="D727" s="39">
        <v>297.94099999999997</v>
      </c>
      <c r="E727" s="45">
        <v>729.47900000000004</v>
      </c>
      <c r="F727" s="39">
        <v>1150</v>
      </c>
      <c r="G727" s="39">
        <v>100</v>
      </c>
      <c r="H727" s="47">
        <v>600</v>
      </c>
      <c r="I727" s="39">
        <v>695</v>
      </c>
      <c r="J727" s="39">
        <v>50</v>
      </c>
      <c r="K727" s="40"/>
      <c r="L727" s="40"/>
      <c r="M727" s="40"/>
      <c r="N727" s="40"/>
      <c r="O727" s="40"/>
      <c r="P727" s="40"/>
      <c r="Q727" s="40"/>
      <c r="R727" s="40"/>
      <c r="S727" s="40"/>
      <c r="T727" s="40"/>
    </row>
    <row r="728" spans="1:20" ht="15.75">
      <c r="A728" s="13">
        <v>63309</v>
      </c>
      <c r="B728" s="48">
        <f t="shared" si="2"/>
        <v>30</v>
      </c>
      <c r="C728" s="39">
        <v>141.29300000000001</v>
      </c>
      <c r="D728" s="39">
        <v>267.99299999999999</v>
      </c>
      <c r="E728" s="45">
        <v>829.71400000000006</v>
      </c>
      <c r="F728" s="39">
        <v>1239</v>
      </c>
      <c r="G728" s="39">
        <v>100</v>
      </c>
      <c r="H728" s="47">
        <v>600</v>
      </c>
      <c r="I728" s="39">
        <v>695</v>
      </c>
      <c r="J728" s="39">
        <v>50</v>
      </c>
      <c r="K728" s="40"/>
      <c r="L728" s="40"/>
      <c r="M728" s="40"/>
      <c r="N728" s="40"/>
      <c r="O728" s="40"/>
      <c r="P728" s="40"/>
      <c r="Q728" s="40"/>
      <c r="R728" s="40"/>
      <c r="S728" s="40"/>
      <c r="T728" s="40"/>
    </row>
    <row r="729" spans="1:20" ht="15.75">
      <c r="A729" s="13">
        <v>63340</v>
      </c>
      <c r="B729" s="48">
        <f t="shared" si="2"/>
        <v>31</v>
      </c>
      <c r="C729" s="39">
        <v>194.20500000000001</v>
      </c>
      <c r="D729" s="39">
        <v>267.46600000000001</v>
      </c>
      <c r="E729" s="45">
        <v>812.32899999999995</v>
      </c>
      <c r="F729" s="39">
        <v>1274</v>
      </c>
      <c r="G729" s="39">
        <v>75</v>
      </c>
      <c r="H729" s="47">
        <v>600</v>
      </c>
      <c r="I729" s="39">
        <v>695</v>
      </c>
      <c r="J729" s="39">
        <v>50</v>
      </c>
      <c r="K729" s="40"/>
      <c r="L729" s="40"/>
      <c r="M729" s="40"/>
      <c r="N729" s="40"/>
      <c r="O729" s="40"/>
      <c r="P729" s="40"/>
      <c r="Q729" s="40"/>
      <c r="R729" s="40"/>
      <c r="S729" s="40"/>
      <c r="T729" s="40"/>
    </row>
    <row r="730" spans="1:20" ht="15.75">
      <c r="A730" s="13">
        <v>63370</v>
      </c>
      <c r="B730" s="48">
        <f t="shared" si="2"/>
        <v>30</v>
      </c>
      <c r="C730" s="39">
        <v>194.20500000000001</v>
      </c>
      <c r="D730" s="39">
        <v>267.46600000000001</v>
      </c>
      <c r="E730" s="45">
        <v>812.32899999999995</v>
      </c>
      <c r="F730" s="39">
        <v>1274</v>
      </c>
      <c r="G730" s="39">
        <v>50</v>
      </c>
      <c r="H730" s="47">
        <v>600</v>
      </c>
      <c r="I730" s="39">
        <v>695</v>
      </c>
      <c r="J730" s="39">
        <v>50</v>
      </c>
      <c r="K730" s="40"/>
      <c r="L730" s="40"/>
      <c r="M730" s="40"/>
      <c r="N730" s="40"/>
      <c r="O730" s="40"/>
      <c r="P730" s="40"/>
      <c r="Q730" s="40"/>
      <c r="R730" s="40"/>
      <c r="S730" s="40"/>
      <c r="T730" s="40"/>
    </row>
    <row r="731" spans="1:20" ht="15.75">
      <c r="A731" s="13">
        <v>63401</v>
      </c>
      <c r="B731" s="48">
        <f t="shared" si="2"/>
        <v>31</v>
      </c>
      <c r="C731" s="39">
        <v>194.20500000000001</v>
      </c>
      <c r="D731" s="39">
        <v>267.46600000000001</v>
      </c>
      <c r="E731" s="45">
        <v>812.32899999999995</v>
      </c>
      <c r="F731" s="39">
        <v>1274</v>
      </c>
      <c r="G731" s="39">
        <v>50</v>
      </c>
      <c r="H731" s="47">
        <v>600</v>
      </c>
      <c r="I731" s="39">
        <v>695</v>
      </c>
      <c r="J731" s="39">
        <v>0</v>
      </c>
      <c r="K731" s="40"/>
      <c r="L731" s="40"/>
      <c r="M731" s="40"/>
      <c r="N731" s="40"/>
      <c r="O731" s="40"/>
      <c r="P731" s="40"/>
      <c r="Q731" s="40"/>
      <c r="R731" s="40"/>
      <c r="S731" s="40"/>
      <c r="T731" s="40"/>
    </row>
    <row r="732" spans="1:20" ht="15.75">
      <c r="A732" s="13">
        <v>63432</v>
      </c>
      <c r="B732" s="48">
        <f t="shared" si="2"/>
        <v>31</v>
      </c>
      <c r="C732" s="39">
        <v>194.20500000000001</v>
      </c>
      <c r="D732" s="39">
        <v>267.46600000000001</v>
      </c>
      <c r="E732" s="45">
        <v>812.32899999999995</v>
      </c>
      <c r="F732" s="39">
        <v>1274</v>
      </c>
      <c r="G732" s="39">
        <v>50</v>
      </c>
      <c r="H732" s="47">
        <v>600</v>
      </c>
      <c r="I732" s="39">
        <v>695</v>
      </c>
      <c r="J732" s="39">
        <v>0</v>
      </c>
      <c r="K732" s="40"/>
      <c r="L732" s="40"/>
      <c r="M732" s="40"/>
      <c r="N732" s="40"/>
      <c r="O732" s="40"/>
      <c r="P732" s="40"/>
      <c r="Q732" s="40"/>
      <c r="R732" s="40"/>
      <c r="S732" s="40"/>
      <c r="T732" s="40"/>
    </row>
    <row r="733" spans="1:20" ht="15.75">
      <c r="A733" s="13">
        <v>63462</v>
      </c>
      <c r="B733" s="48">
        <f t="shared" si="2"/>
        <v>30</v>
      </c>
      <c r="C733" s="39">
        <v>194.20500000000001</v>
      </c>
      <c r="D733" s="39">
        <v>267.46600000000001</v>
      </c>
      <c r="E733" s="45">
        <v>812.32899999999995</v>
      </c>
      <c r="F733" s="39">
        <v>1274</v>
      </c>
      <c r="G733" s="39">
        <v>50</v>
      </c>
      <c r="H733" s="47">
        <v>600</v>
      </c>
      <c r="I733" s="39">
        <v>695</v>
      </c>
      <c r="J733" s="39">
        <v>0</v>
      </c>
      <c r="K733" s="40"/>
      <c r="L733" s="40"/>
      <c r="M733" s="40"/>
      <c r="N733" s="40"/>
      <c r="O733" s="40"/>
      <c r="P733" s="40"/>
      <c r="Q733" s="40"/>
      <c r="R733" s="40"/>
      <c r="S733" s="40"/>
      <c r="T733" s="40"/>
    </row>
    <row r="734" spans="1:20" ht="15.75">
      <c r="A734" s="13">
        <v>63493</v>
      </c>
      <c r="B734" s="48">
        <f t="shared" si="2"/>
        <v>31</v>
      </c>
      <c r="C734" s="39">
        <v>131.881</v>
      </c>
      <c r="D734" s="39">
        <v>277.16699999999997</v>
      </c>
      <c r="E734" s="45">
        <v>829.952</v>
      </c>
      <c r="F734" s="39">
        <v>1239</v>
      </c>
      <c r="G734" s="39">
        <v>75</v>
      </c>
      <c r="H734" s="47">
        <v>600</v>
      </c>
      <c r="I734" s="39">
        <v>695</v>
      </c>
      <c r="J734" s="39">
        <v>0</v>
      </c>
      <c r="K734" s="40"/>
      <c r="L734" s="40"/>
      <c r="M734" s="40"/>
      <c r="N734" s="40"/>
      <c r="O734" s="40"/>
      <c r="P734" s="40"/>
      <c r="Q734" s="40"/>
      <c r="R734" s="40"/>
      <c r="S734" s="40"/>
      <c r="T734" s="40"/>
    </row>
    <row r="735" spans="1:20" ht="15.75">
      <c r="A735" s="13">
        <v>63523</v>
      </c>
      <c r="B735" s="48">
        <f t="shared" si="2"/>
        <v>30</v>
      </c>
      <c r="C735" s="39">
        <v>122.58</v>
      </c>
      <c r="D735" s="39">
        <v>297.94099999999997</v>
      </c>
      <c r="E735" s="45">
        <v>729.47900000000004</v>
      </c>
      <c r="F735" s="39">
        <v>1150</v>
      </c>
      <c r="G735" s="39">
        <v>100</v>
      </c>
      <c r="H735" s="47">
        <v>600</v>
      </c>
      <c r="I735" s="39">
        <v>695</v>
      </c>
      <c r="J735" s="39">
        <v>50</v>
      </c>
      <c r="K735" s="40"/>
      <c r="L735" s="40"/>
      <c r="M735" s="40"/>
      <c r="N735" s="40"/>
      <c r="O735" s="40"/>
      <c r="P735" s="40"/>
      <c r="Q735" s="40"/>
      <c r="R735" s="40"/>
      <c r="S735" s="40"/>
      <c r="T735" s="40"/>
    </row>
    <row r="736" spans="1:20" ht="15.75">
      <c r="A736" s="13">
        <v>63554</v>
      </c>
      <c r="B736" s="48">
        <f t="shared" si="2"/>
        <v>31</v>
      </c>
      <c r="C736" s="39">
        <v>122.58</v>
      </c>
      <c r="D736" s="39">
        <v>297.94099999999997</v>
      </c>
      <c r="E736" s="45">
        <v>729.47900000000004</v>
      </c>
      <c r="F736" s="39">
        <v>1150</v>
      </c>
      <c r="G736" s="39">
        <v>100</v>
      </c>
      <c r="H736" s="47">
        <v>600</v>
      </c>
      <c r="I736" s="39">
        <v>695</v>
      </c>
      <c r="J736" s="39">
        <v>50</v>
      </c>
      <c r="K736" s="40"/>
      <c r="L736" s="40"/>
      <c r="M736" s="40"/>
      <c r="N736" s="40"/>
      <c r="O736" s="40"/>
      <c r="P736" s="40"/>
      <c r="Q736" s="40"/>
      <c r="R736" s="40"/>
      <c r="S736" s="40"/>
      <c r="T736" s="40"/>
    </row>
    <row r="737" spans="1:20" ht="15.75">
      <c r="A737" s="13">
        <v>63585</v>
      </c>
      <c r="B737" s="48">
        <f t="shared" si="2"/>
        <v>31</v>
      </c>
      <c r="C737" s="39">
        <v>122.58</v>
      </c>
      <c r="D737" s="39">
        <v>297.94099999999997</v>
      </c>
      <c r="E737" s="45">
        <v>729.47900000000004</v>
      </c>
      <c r="F737" s="39">
        <v>1150</v>
      </c>
      <c r="G737" s="39">
        <v>100</v>
      </c>
      <c r="H737" s="47">
        <v>600</v>
      </c>
      <c r="I737" s="39">
        <v>695</v>
      </c>
      <c r="J737" s="39">
        <v>50</v>
      </c>
      <c r="K737" s="40"/>
      <c r="L737" s="40"/>
      <c r="M737" s="40"/>
      <c r="N737" s="40"/>
      <c r="O737" s="40"/>
      <c r="P737" s="40"/>
      <c r="Q737" s="40"/>
      <c r="R737" s="40"/>
      <c r="S737" s="40"/>
      <c r="T737" s="40"/>
    </row>
    <row r="738" spans="1:20" ht="15.75">
      <c r="A738" s="13">
        <v>63613</v>
      </c>
      <c r="B738" s="48">
        <f t="shared" si="2"/>
        <v>28</v>
      </c>
      <c r="C738" s="39">
        <v>122.58</v>
      </c>
      <c r="D738" s="39">
        <v>297.94099999999997</v>
      </c>
      <c r="E738" s="45">
        <v>729.47900000000004</v>
      </c>
      <c r="F738" s="39">
        <v>1150</v>
      </c>
      <c r="G738" s="39">
        <v>100</v>
      </c>
      <c r="H738" s="47">
        <v>600</v>
      </c>
      <c r="I738" s="39">
        <v>695</v>
      </c>
      <c r="J738" s="39">
        <v>50</v>
      </c>
      <c r="K738" s="40"/>
      <c r="L738" s="40"/>
      <c r="M738" s="40"/>
      <c r="N738" s="40"/>
      <c r="O738" s="40"/>
      <c r="P738" s="40"/>
      <c r="Q738" s="40"/>
      <c r="R738" s="40"/>
      <c r="S738" s="40"/>
      <c r="T738" s="40"/>
    </row>
    <row r="739" spans="1:20" ht="15.75">
      <c r="A739" s="13">
        <v>63644</v>
      </c>
      <c r="B739" s="48">
        <f t="shared" si="2"/>
        <v>31</v>
      </c>
      <c r="C739" s="39">
        <v>122.58</v>
      </c>
      <c r="D739" s="39">
        <v>297.94099999999997</v>
      </c>
      <c r="E739" s="45">
        <v>729.47900000000004</v>
      </c>
      <c r="F739" s="39">
        <v>1150</v>
      </c>
      <c r="G739" s="39">
        <v>100</v>
      </c>
      <c r="H739" s="47">
        <v>600</v>
      </c>
      <c r="I739" s="39">
        <v>695</v>
      </c>
      <c r="J739" s="39">
        <v>50</v>
      </c>
      <c r="K739" s="40"/>
      <c r="L739" s="40"/>
      <c r="M739" s="40"/>
      <c r="N739" s="40"/>
      <c r="O739" s="40"/>
      <c r="P739" s="40"/>
      <c r="Q739" s="40"/>
      <c r="R739" s="40"/>
      <c r="S739" s="40"/>
      <c r="T739" s="40"/>
    </row>
    <row r="740" spans="1:20" ht="15.75">
      <c r="A740" s="13">
        <v>63674</v>
      </c>
      <c r="B740" s="48">
        <f t="shared" si="2"/>
        <v>30</v>
      </c>
      <c r="C740" s="39">
        <v>141.29300000000001</v>
      </c>
      <c r="D740" s="39">
        <v>267.99299999999999</v>
      </c>
      <c r="E740" s="45">
        <v>829.71400000000006</v>
      </c>
      <c r="F740" s="39">
        <v>1239</v>
      </c>
      <c r="G740" s="39">
        <v>100</v>
      </c>
      <c r="H740" s="47">
        <v>600</v>
      </c>
      <c r="I740" s="39">
        <v>695</v>
      </c>
      <c r="J740" s="39">
        <v>50</v>
      </c>
      <c r="K740" s="40"/>
      <c r="L740" s="40"/>
      <c r="M740" s="40"/>
      <c r="N740" s="40"/>
      <c r="O740" s="40"/>
      <c r="P740" s="40"/>
      <c r="Q740" s="40"/>
      <c r="R740" s="40"/>
      <c r="S740" s="40"/>
      <c r="T740" s="40"/>
    </row>
    <row r="741" spans="1:20" ht="15.75">
      <c r="A741" s="13">
        <v>63705</v>
      </c>
      <c r="B741" s="48">
        <f t="shared" si="2"/>
        <v>31</v>
      </c>
      <c r="C741" s="39">
        <v>194.20500000000001</v>
      </c>
      <c r="D741" s="39">
        <v>267.46600000000001</v>
      </c>
      <c r="E741" s="45">
        <v>812.32899999999995</v>
      </c>
      <c r="F741" s="39">
        <v>1274</v>
      </c>
      <c r="G741" s="39">
        <v>75</v>
      </c>
      <c r="H741" s="47">
        <v>600</v>
      </c>
      <c r="I741" s="39">
        <v>695</v>
      </c>
      <c r="J741" s="39">
        <v>50</v>
      </c>
      <c r="K741" s="40"/>
      <c r="L741" s="40"/>
      <c r="M741" s="40"/>
      <c r="N741" s="40"/>
      <c r="O741" s="40"/>
      <c r="P741" s="40"/>
      <c r="Q741" s="40"/>
      <c r="R741" s="40"/>
      <c r="S741" s="40"/>
      <c r="T741" s="40"/>
    </row>
    <row r="742" spans="1:20" ht="15.75">
      <c r="A742" s="13">
        <v>63735</v>
      </c>
      <c r="B742" s="48">
        <f t="shared" si="2"/>
        <v>30</v>
      </c>
      <c r="C742" s="39">
        <v>194.20500000000001</v>
      </c>
      <c r="D742" s="39">
        <v>267.46600000000001</v>
      </c>
      <c r="E742" s="45">
        <v>812.32899999999995</v>
      </c>
      <c r="F742" s="39">
        <v>1274</v>
      </c>
      <c r="G742" s="39">
        <v>50</v>
      </c>
      <c r="H742" s="47">
        <v>600</v>
      </c>
      <c r="I742" s="39">
        <v>695</v>
      </c>
      <c r="J742" s="39">
        <v>50</v>
      </c>
      <c r="K742" s="40"/>
      <c r="L742" s="40"/>
      <c r="M742" s="40"/>
      <c r="N742" s="40"/>
      <c r="O742" s="40"/>
      <c r="P742" s="40"/>
      <c r="Q742" s="40"/>
      <c r="R742" s="40"/>
      <c r="S742" s="40"/>
      <c r="T742" s="40"/>
    </row>
    <row r="743" spans="1:20" ht="15.75">
      <c r="A743" s="13">
        <v>63766</v>
      </c>
      <c r="B743" s="48">
        <f t="shared" si="2"/>
        <v>31</v>
      </c>
      <c r="C743" s="39">
        <v>194.20500000000001</v>
      </c>
      <c r="D743" s="39">
        <v>267.46600000000001</v>
      </c>
      <c r="E743" s="45">
        <v>812.32899999999995</v>
      </c>
      <c r="F743" s="39">
        <v>1274</v>
      </c>
      <c r="G743" s="39">
        <v>50</v>
      </c>
      <c r="H743" s="47">
        <v>600</v>
      </c>
      <c r="I743" s="39">
        <v>695</v>
      </c>
      <c r="J743" s="39">
        <v>0</v>
      </c>
      <c r="K743" s="40"/>
      <c r="L743" s="40"/>
      <c r="M743" s="40"/>
      <c r="N743" s="40"/>
      <c r="O743" s="40"/>
      <c r="P743" s="40"/>
      <c r="Q743" s="40"/>
      <c r="R743" s="40"/>
      <c r="S743" s="40"/>
      <c r="T743" s="40"/>
    </row>
    <row r="744" spans="1:20" ht="15.75">
      <c r="A744" s="13">
        <v>63797</v>
      </c>
      <c r="B744" s="48">
        <f t="shared" si="2"/>
        <v>31</v>
      </c>
      <c r="C744" s="39">
        <v>194.20500000000001</v>
      </c>
      <c r="D744" s="39">
        <v>267.46600000000001</v>
      </c>
      <c r="E744" s="45">
        <v>812.32899999999995</v>
      </c>
      <c r="F744" s="39">
        <v>1274</v>
      </c>
      <c r="G744" s="39">
        <v>50</v>
      </c>
      <c r="H744" s="47">
        <v>600</v>
      </c>
      <c r="I744" s="39">
        <v>695</v>
      </c>
      <c r="J744" s="39">
        <v>0</v>
      </c>
      <c r="K744" s="40"/>
      <c r="L744" s="40"/>
      <c r="M744" s="40"/>
      <c r="N744" s="40"/>
      <c r="O744" s="40"/>
      <c r="P744" s="40"/>
      <c r="Q744" s="40"/>
      <c r="R744" s="40"/>
      <c r="S744" s="40"/>
      <c r="T744" s="40"/>
    </row>
    <row r="745" spans="1:20" ht="15.75">
      <c r="A745" s="13">
        <v>63827</v>
      </c>
      <c r="B745" s="48">
        <f t="shared" si="2"/>
        <v>30</v>
      </c>
      <c r="C745" s="39">
        <v>194.20500000000001</v>
      </c>
      <c r="D745" s="39">
        <v>267.46600000000001</v>
      </c>
      <c r="E745" s="45">
        <v>812.32899999999995</v>
      </c>
      <c r="F745" s="39">
        <v>1274</v>
      </c>
      <c r="G745" s="39">
        <v>50</v>
      </c>
      <c r="H745" s="47">
        <v>600</v>
      </c>
      <c r="I745" s="39">
        <v>695</v>
      </c>
      <c r="J745" s="39">
        <v>0</v>
      </c>
      <c r="K745" s="40"/>
      <c r="L745" s="40"/>
      <c r="M745" s="40"/>
      <c r="N745" s="40"/>
      <c r="O745" s="40"/>
      <c r="P745" s="40"/>
      <c r="Q745" s="40"/>
      <c r="R745" s="40"/>
      <c r="S745" s="40"/>
      <c r="T745" s="40"/>
    </row>
    <row r="746" spans="1:20" ht="15.75">
      <c r="A746" s="13">
        <v>63858</v>
      </c>
      <c r="B746" s="48">
        <f t="shared" si="2"/>
        <v>31</v>
      </c>
      <c r="C746" s="39">
        <v>131.881</v>
      </c>
      <c r="D746" s="39">
        <v>277.16699999999997</v>
      </c>
      <c r="E746" s="45">
        <v>829.952</v>
      </c>
      <c r="F746" s="39">
        <v>1239</v>
      </c>
      <c r="G746" s="39">
        <v>75</v>
      </c>
      <c r="H746" s="47">
        <v>600</v>
      </c>
      <c r="I746" s="39">
        <v>695</v>
      </c>
      <c r="J746" s="39">
        <v>0</v>
      </c>
      <c r="K746" s="40"/>
      <c r="L746" s="40"/>
      <c r="M746" s="40"/>
      <c r="N746" s="40"/>
      <c r="O746" s="40"/>
      <c r="P746" s="40"/>
      <c r="Q746" s="40"/>
      <c r="R746" s="40"/>
      <c r="S746" s="40"/>
      <c r="T746" s="40"/>
    </row>
    <row r="747" spans="1:20" ht="15.75">
      <c r="A747" s="13">
        <v>63888</v>
      </c>
      <c r="B747" s="48">
        <f t="shared" si="2"/>
        <v>30</v>
      </c>
      <c r="C747" s="39">
        <v>122.58</v>
      </c>
      <c r="D747" s="39">
        <v>297.94099999999997</v>
      </c>
      <c r="E747" s="45">
        <v>729.47900000000004</v>
      </c>
      <c r="F747" s="39">
        <v>1150</v>
      </c>
      <c r="G747" s="39">
        <v>100</v>
      </c>
      <c r="H747" s="47">
        <v>600</v>
      </c>
      <c r="I747" s="39">
        <v>695</v>
      </c>
      <c r="J747" s="39">
        <v>50</v>
      </c>
      <c r="K747" s="40"/>
      <c r="L747" s="40"/>
      <c r="M747" s="40"/>
      <c r="N747" s="40"/>
      <c r="O747" s="40"/>
      <c r="P747" s="40"/>
      <c r="Q747" s="40"/>
      <c r="R747" s="40"/>
      <c r="S747" s="40"/>
      <c r="T747" s="40"/>
    </row>
    <row r="748" spans="1:20" ht="15.75">
      <c r="A748" s="13">
        <v>63919</v>
      </c>
      <c r="B748" s="48">
        <f t="shared" si="2"/>
        <v>31</v>
      </c>
      <c r="C748" s="39">
        <v>122.58</v>
      </c>
      <c r="D748" s="39">
        <v>297.94099999999997</v>
      </c>
      <c r="E748" s="45">
        <v>729.47900000000004</v>
      </c>
      <c r="F748" s="39">
        <v>1150</v>
      </c>
      <c r="G748" s="39">
        <v>100</v>
      </c>
      <c r="H748" s="47">
        <v>600</v>
      </c>
      <c r="I748" s="39">
        <v>695</v>
      </c>
      <c r="J748" s="39">
        <v>50</v>
      </c>
      <c r="K748" s="40"/>
      <c r="L748" s="40"/>
      <c r="M748" s="40"/>
      <c r="N748" s="40"/>
      <c r="O748" s="40"/>
      <c r="P748" s="40"/>
      <c r="Q748" s="40"/>
      <c r="R748" s="40"/>
      <c r="S748" s="40"/>
      <c r="T748" s="40"/>
    </row>
    <row r="749" spans="1:20" ht="15.75">
      <c r="A749" s="13">
        <v>63950</v>
      </c>
      <c r="B749" s="48">
        <f t="shared" si="2"/>
        <v>31</v>
      </c>
      <c r="C749" s="39">
        <v>122.58</v>
      </c>
      <c r="D749" s="39">
        <v>297.94099999999997</v>
      </c>
      <c r="E749" s="45">
        <v>729.47900000000004</v>
      </c>
      <c r="F749" s="39">
        <v>1150</v>
      </c>
      <c r="G749" s="39">
        <v>100</v>
      </c>
      <c r="H749" s="47">
        <v>600</v>
      </c>
      <c r="I749" s="39">
        <v>695</v>
      </c>
      <c r="J749" s="39">
        <v>50</v>
      </c>
      <c r="K749" s="40"/>
      <c r="L749" s="40"/>
      <c r="M749" s="40"/>
      <c r="N749" s="40"/>
      <c r="O749" s="40"/>
      <c r="P749" s="40"/>
      <c r="Q749" s="40"/>
      <c r="R749" s="40"/>
      <c r="S749" s="40"/>
      <c r="T749" s="40"/>
    </row>
    <row r="750" spans="1:20" ht="15.75">
      <c r="A750" s="13">
        <v>63978</v>
      </c>
      <c r="B750" s="48">
        <f t="shared" si="2"/>
        <v>28</v>
      </c>
      <c r="C750" s="39">
        <v>122.58</v>
      </c>
      <c r="D750" s="39">
        <v>297.94099999999997</v>
      </c>
      <c r="E750" s="45">
        <v>729.47900000000004</v>
      </c>
      <c r="F750" s="39">
        <v>1150</v>
      </c>
      <c r="G750" s="39">
        <v>100</v>
      </c>
      <c r="H750" s="47">
        <v>600</v>
      </c>
      <c r="I750" s="39">
        <v>695</v>
      </c>
      <c r="J750" s="39">
        <v>50</v>
      </c>
      <c r="K750" s="40"/>
      <c r="L750" s="40"/>
      <c r="M750" s="40"/>
      <c r="N750" s="40"/>
      <c r="O750" s="40"/>
      <c r="P750" s="40"/>
      <c r="Q750" s="40"/>
      <c r="R750" s="40"/>
      <c r="S750" s="40"/>
      <c r="T750" s="40"/>
    </row>
    <row r="751" spans="1:20" ht="15.75">
      <c r="A751" s="13">
        <v>64009</v>
      </c>
      <c r="B751" s="48">
        <f t="shared" si="2"/>
        <v>31</v>
      </c>
      <c r="C751" s="39">
        <v>122.58</v>
      </c>
      <c r="D751" s="39">
        <v>297.94099999999997</v>
      </c>
      <c r="E751" s="45">
        <v>729.47900000000004</v>
      </c>
      <c r="F751" s="39">
        <v>1150</v>
      </c>
      <c r="G751" s="39">
        <v>100</v>
      </c>
      <c r="H751" s="47">
        <v>600</v>
      </c>
      <c r="I751" s="39">
        <v>695</v>
      </c>
      <c r="J751" s="39">
        <v>50</v>
      </c>
      <c r="K751" s="40"/>
      <c r="L751" s="40"/>
      <c r="M751" s="40"/>
      <c r="N751" s="40"/>
      <c r="O751" s="40"/>
      <c r="P751" s="40"/>
      <c r="Q751" s="40"/>
      <c r="R751" s="40"/>
      <c r="S751" s="40"/>
      <c r="T751" s="40"/>
    </row>
    <row r="752" spans="1:20" ht="15.75">
      <c r="A752" s="13">
        <v>64039</v>
      </c>
      <c r="B752" s="48">
        <f t="shared" si="2"/>
        <v>30</v>
      </c>
      <c r="C752" s="39">
        <v>141.29300000000001</v>
      </c>
      <c r="D752" s="39">
        <v>267.99299999999999</v>
      </c>
      <c r="E752" s="45">
        <v>829.71400000000006</v>
      </c>
      <c r="F752" s="39">
        <v>1239</v>
      </c>
      <c r="G752" s="39">
        <v>100</v>
      </c>
      <c r="H752" s="47">
        <v>600</v>
      </c>
      <c r="I752" s="39">
        <v>695</v>
      </c>
      <c r="J752" s="39">
        <v>50</v>
      </c>
      <c r="K752" s="40"/>
      <c r="L752" s="40"/>
      <c r="M752" s="40"/>
      <c r="N752" s="40"/>
      <c r="O752" s="40"/>
      <c r="P752" s="40"/>
      <c r="Q752" s="40"/>
      <c r="R752" s="40"/>
      <c r="S752" s="40"/>
      <c r="T752" s="40"/>
    </row>
    <row r="753" spans="1:20" ht="15.75">
      <c r="A753" s="13">
        <v>64070</v>
      </c>
      <c r="B753" s="48">
        <f t="shared" si="2"/>
        <v>31</v>
      </c>
      <c r="C753" s="39">
        <v>194.20500000000001</v>
      </c>
      <c r="D753" s="39">
        <v>267.46600000000001</v>
      </c>
      <c r="E753" s="45">
        <v>812.32899999999995</v>
      </c>
      <c r="F753" s="39">
        <v>1274</v>
      </c>
      <c r="G753" s="39">
        <v>75</v>
      </c>
      <c r="H753" s="47">
        <v>600</v>
      </c>
      <c r="I753" s="39">
        <v>695</v>
      </c>
      <c r="J753" s="39">
        <v>50</v>
      </c>
      <c r="K753" s="40"/>
      <c r="L753" s="40"/>
      <c r="M753" s="40"/>
      <c r="N753" s="40"/>
      <c r="O753" s="40"/>
      <c r="P753" s="40"/>
      <c r="Q753" s="40"/>
      <c r="R753" s="40"/>
      <c r="S753" s="40"/>
      <c r="T753" s="40"/>
    </row>
    <row r="754" spans="1:20" ht="15.75">
      <c r="A754" s="13">
        <v>64100</v>
      </c>
      <c r="B754" s="48">
        <f t="shared" si="2"/>
        <v>30</v>
      </c>
      <c r="C754" s="39">
        <v>194.20500000000001</v>
      </c>
      <c r="D754" s="39">
        <v>267.46600000000001</v>
      </c>
      <c r="E754" s="45">
        <v>812.32899999999995</v>
      </c>
      <c r="F754" s="39">
        <v>1274</v>
      </c>
      <c r="G754" s="39">
        <v>50</v>
      </c>
      <c r="H754" s="47">
        <v>600</v>
      </c>
      <c r="I754" s="39">
        <v>695</v>
      </c>
      <c r="J754" s="39">
        <v>50</v>
      </c>
      <c r="K754" s="40"/>
      <c r="L754" s="40"/>
      <c r="M754" s="40"/>
      <c r="N754" s="40"/>
      <c r="O754" s="40"/>
      <c r="P754" s="40"/>
      <c r="Q754" s="40"/>
      <c r="R754" s="40"/>
      <c r="S754" s="40"/>
      <c r="T754" s="40"/>
    </row>
    <row r="755" spans="1:20" ht="15.75">
      <c r="A755" s="13">
        <v>64131</v>
      </c>
      <c r="B755" s="48">
        <f t="shared" si="2"/>
        <v>31</v>
      </c>
      <c r="C755" s="39">
        <v>194.20500000000001</v>
      </c>
      <c r="D755" s="39">
        <v>267.46600000000001</v>
      </c>
      <c r="E755" s="45">
        <v>812.32899999999995</v>
      </c>
      <c r="F755" s="39">
        <v>1274</v>
      </c>
      <c r="G755" s="39">
        <v>50</v>
      </c>
      <c r="H755" s="47">
        <v>600</v>
      </c>
      <c r="I755" s="39">
        <v>695</v>
      </c>
      <c r="J755" s="39">
        <v>0</v>
      </c>
      <c r="K755" s="40"/>
      <c r="L755" s="40"/>
      <c r="M755" s="40"/>
      <c r="N755" s="40"/>
      <c r="O755" s="40"/>
      <c r="P755" s="40"/>
      <c r="Q755" s="40"/>
      <c r="R755" s="40"/>
      <c r="S755" s="40"/>
      <c r="T755" s="40"/>
    </row>
    <row r="756" spans="1:20" ht="15.75">
      <c r="A756" s="13">
        <v>64162</v>
      </c>
      <c r="B756" s="48">
        <f t="shared" si="2"/>
        <v>31</v>
      </c>
      <c r="C756" s="39">
        <v>194.20500000000001</v>
      </c>
      <c r="D756" s="39">
        <v>267.46600000000001</v>
      </c>
      <c r="E756" s="45">
        <v>812.32899999999995</v>
      </c>
      <c r="F756" s="39">
        <v>1274</v>
      </c>
      <c r="G756" s="39">
        <v>50</v>
      </c>
      <c r="H756" s="47">
        <v>600</v>
      </c>
      <c r="I756" s="39">
        <v>695</v>
      </c>
      <c r="J756" s="39">
        <v>0</v>
      </c>
      <c r="K756" s="40"/>
      <c r="L756" s="40"/>
      <c r="M756" s="40"/>
      <c r="N756" s="40"/>
      <c r="O756" s="40"/>
      <c r="P756" s="40"/>
      <c r="Q756" s="40"/>
      <c r="R756" s="40"/>
      <c r="S756" s="40"/>
      <c r="T756" s="40"/>
    </row>
    <row r="757" spans="1:20" ht="15.75">
      <c r="A757" s="13">
        <v>64192</v>
      </c>
      <c r="B757" s="48">
        <f t="shared" si="2"/>
        <v>30</v>
      </c>
      <c r="C757" s="39">
        <v>194.20500000000001</v>
      </c>
      <c r="D757" s="39">
        <v>267.46600000000001</v>
      </c>
      <c r="E757" s="45">
        <v>812.32899999999995</v>
      </c>
      <c r="F757" s="39">
        <v>1274</v>
      </c>
      <c r="G757" s="39">
        <v>50</v>
      </c>
      <c r="H757" s="47">
        <v>600</v>
      </c>
      <c r="I757" s="39">
        <v>695</v>
      </c>
      <c r="J757" s="39">
        <v>0</v>
      </c>
      <c r="K757" s="40"/>
      <c r="L757" s="40"/>
      <c r="M757" s="40"/>
      <c r="N757" s="40"/>
      <c r="O757" s="40"/>
      <c r="P757" s="40"/>
      <c r="Q757" s="40"/>
      <c r="R757" s="40"/>
      <c r="S757" s="40"/>
      <c r="T757" s="40"/>
    </row>
    <row r="758" spans="1:20" ht="15.75">
      <c r="A758" s="13">
        <v>64223</v>
      </c>
      <c r="B758" s="48">
        <f t="shared" si="2"/>
        <v>31</v>
      </c>
      <c r="C758" s="39">
        <v>131.881</v>
      </c>
      <c r="D758" s="39">
        <v>277.16699999999997</v>
      </c>
      <c r="E758" s="45">
        <v>829.952</v>
      </c>
      <c r="F758" s="39">
        <v>1239</v>
      </c>
      <c r="G758" s="39">
        <v>75</v>
      </c>
      <c r="H758" s="47">
        <v>600</v>
      </c>
      <c r="I758" s="39">
        <v>695</v>
      </c>
      <c r="J758" s="39">
        <v>0</v>
      </c>
      <c r="K758" s="40"/>
      <c r="L758" s="40"/>
      <c r="M758" s="40"/>
      <c r="N758" s="40"/>
      <c r="O758" s="40"/>
      <c r="P758" s="40"/>
      <c r="Q758" s="40"/>
      <c r="R758" s="40"/>
      <c r="S758" s="40"/>
      <c r="T758" s="40"/>
    </row>
    <row r="759" spans="1:20" ht="15.75">
      <c r="A759" s="13">
        <v>64253</v>
      </c>
      <c r="B759" s="48">
        <f t="shared" si="2"/>
        <v>30</v>
      </c>
      <c r="C759" s="39">
        <v>122.58</v>
      </c>
      <c r="D759" s="39">
        <v>297.94099999999997</v>
      </c>
      <c r="E759" s="45">
        <v>729.47900000000004</v>
      </c>
      <c r="F759" s="39">
        <v>1150</v>
      </c>
      <c r="G759" s="39">
        <v>100</v>
      </c>
      <c r="H759" s="47">
        <v>600</v>
      </c>
      <c r="I759" s="39">
        <v>695</v>
      </c>
      <c r="J759" s="39">
        <v>50</v>
      </c>
      <c r="K759" s="40"/>
      <c r="L759" s="40"/>
      <c r="M759" s="40"/>
      <c r="N759" s="40"/>
      <c r="O759" s="40"/>
      <c r="P759" s="40"/>
      <c r="Q759" s="40"/>
      <c r="R759" s="40"/>
      <c r="S759" s="40"/>
      <c r="T759" s="40"/>
    </row>
    <row r="760" spans="1:20" ht="15.75">
      <c r="A760" s="13">
        <v>64284</v>
      </c>
      <c r="B760" s="48">
        <f t="shared" si="2"/>
        <v>31</v>
      </c>
      <c r="C760" s="39">
        <v>122.58</v>
      </c>
      <c r="D760" s="39">
        <v>297.94099999999997</v>
      </c>
      <c r="E760" s="45">
        <v>729.47900000000004</v>
      </c>
      <c r="F760" s="39">
        <v>1150</v>
      </c>
      <c r="G760" s="39">
        <v>100</v>
      </c>
      <c r="H760" s="47">
        <v>600</v>
      </c>
      <c r="I760" s="39">
        <v>695</v>
      </c>
      <c r="J760" s="39">
        <v>50</v>
      </c>
      <c r="K760" s="40"/>
      <c r="L760" s="40"/>
      <c r="M760" s="40"/>
      <c r="N760" s="40"/>
      <c r="O760" s="40"/>
      <c r="P760" s="40"/>
      <c r="Q760" s="40"/>
      <c r="R760" s="40"/>
      <c r="S760" s="40"/>
      <c r="T760" s="40"/>
    </row>
    <row r="761" spans="1:20" ht="15.75">
      <c r="A761" s="13">
        <v>64315</v>
      </c>
      <c r="B761" s="48">
        <f t="shared" si="2"/>
        <v>31</v>
      </c>
      <c r="C761" s="39">
        <v>122.58</v>
      </c>
      <c r="D761" s="39">
        <v>297.94099999999997</v>
      </c>
      <c r="E761" s="45">
        <v>729.47900000000004</v>
      </c>
      <c r="F761" s="39">
        <v>1150</v>
      </c>
      <c r="G761" s="39">
        <v>100</v>
      </c>
      <c r="H761" s="47">
        <v>600</v>
      </c>
      <c r="I761" s="39">
        <v>695</v>
      </c>
      <c r="J761" s="39">
        <v>50</v>
      </c>
      <c r="K761" s="40"/>
      <c r="L761" s="40"/>
      <c r="M761" s="40"/>
      <c r="N761" s="40"/>
      <c r="O761" s="40"/>
      <c r="P761" s="40"/>
      <c r="Q761" s="40"/>
      <c r="R761" s="40"/>
      <c r="S761" s="40"/>
      <c r="T761" s="40"/>
    </row>
    <row r="762" spans="1:20" ht="15.75">
      <c r="A762" s="13">
        <v>64344</v>
      </c>
      <c r="B762" s="48">
        <f t="shared" si="2"/>
        <v>29</v>
      </c>
      <c r="C762" s="39">
        <v>122.58</v>
      </c>
      <c r="D762" s="39">
        <v>297.94099999999997</v>
      </c>
      <c r="E762" s="45">
        <v>729.47900000000004</v>
      </c>
      <c r="F762" s="39">
        <v>1150</v>
      </c>
      <c r="G762" s="39">
        <v>100</v>
      </c>
      <c r="H762" s="47">
        <v>600</v>
      </c>
      <c r="I762" s="39">
        <v>695</v>
      </c>
      <c r="J762" s="39">
        <v>50</v>
      </c>
      <c r="K762" s="40"/>
      <c r="L762" s="40"/>
      <c r="M762" s="40"/>
      <c r="N762" s="40"/>
      <c r="O762" s="40"/>
      <c r="P762" s="40"/>
      <c r="Q762" s="40"/>
      <c r="R762" s="40"/>
      <c r="S762" s="40"/>
      <c r="T762" s="40"/>
    </row>
    <row r="763" spans="1:20" ht="15.75">
      <c r="A763" s="13">
        <v>64375</v>
      </c>
      <c r="B763" s="48">
        <f t="shared" si="2"/>
        <v>31</v>
      </c>
      <c r="C763" s="39">
        <v>122.58</v>
      </c>
      <c r="D763" s="39">
        <v>297.94099999999997</v>
      </c>
      <c r="E763" s="45">
        <v>729.47900000000004</v>
      </c>
      <c r="F763" s="39">
        <v>1150</v>
      </c>
      <c r="G763" s="39">
        <v>100</v>
      </c>
      <c r="H763" s="47">
        <v>600</v>
      </c>
      <c r="I763" s="39">
        <v>695</v>
      </c>
      <c r="J763" s="39">
        <v>50</v>
      </c>
      <c r="K763" s="40"/>
      <c r="L763" s="40"/>
      <c r="M763" s="40"/>
      <c r="N763" s="40"/>
      <c r="O763" s="40"/>
      <c r="P763" s="40"/>
      <c r="Q763" s="40"/>
      <c r="R763" s="40"/>
      <c r="S763" s="40"/>
      <c r="T763" s="40"/>
    </row>
    <row r="764" spans="1:20" ht="15.75">
      <c r="A764" s="13">
        <v>64405</v>
      </c>
      <c r="B764" s="48">
        <f t="shared" si="2"/>
        <v>30</v>
      </c>
      <c r="C764" s="39">
        <v>141.29300000000001</v>
      </c>
      <c r="D764" s="39">
        <v>267.99299999999999</v>
      </c>
      <c r="E764" s="45">
        <v>829.71400000000006</v>
      </c>
      <c r="F764" s="39">
        <v>1239</v>
      </c>
      <c r="G764" s="39">
        <v>100</v>
      </c>
      <c r="H764" s="47">
        <v>600</v>
      </c>
      <c r="I764" s="39">
        <v>695</v>
      </c>
      <c r="J764" s="39">
        <v>50</v>
      </c>
      <c r="K764" s="40"/>
      <c r="L764" s="40"/>
      <c r="M764" s="40"/>
      <c r="N764" s="40"/>
      <c r="O764" s="40"/>
      <c r="P764" s="40"/>
      <c r="Q764" s="40"/>
      <c r="R764" s="40"/>
      <c r="S764" s="40"/>
      <c r="T764" s="40"/>
    </row>
    <row r="765" spans="1:20" ht="15.75">
      <c r="A765" s="13">
        <v>64436</v>
      </c>
      <c r="B765" s="48">
        <f t="shared" si="2"/>
        <v>31</v>
      </c>
      <c r="C765" s="39">
        <v>194.20500000000001</v>
      </c>
      <c r="D765" s="39">
        <v>267.46600000000001</v>
      </c>
      <c r="E765" s="45">
        <v>812.32899999999995</v>
      </c>
      <c r="F765" s="39">
        <v>1274</v>
      </c>
      <c r="G765" s="39">
        <v>75</v>
      </c>
      <c r="H765" s="47">
        <v>600</v>
      </c>
      <c r="I765" s="39">
        <v>695</v>
      </c>
      <c r="J765" s="39">
        <v>50</v>
      </c>
      <c r="K765" s="40"/>
      <c r="L765" s="40"/>
      <c r="M765" s="40"/>
      <c r="N765" s="40"/>
      <c r="O765" s="40"/>
      <c r="P765" s="40"/>
      <c r="Q765" s="40"/>
      <c r="R765" s="40"/>
      <c r="S765" s="40"/>
      <c r="T765" s="40"/>
    </row>
    <row r="766" spans="1:20" ht="15.75">
      <c r="A766" s="13">
        <v>64466</v>
      </c>
      <c r="B766" s="48">
        <f t="shared" si="2"/>
        <v>30</v>
      </c>
      <c r="C766" s="39">
        <v>194.20500000000001</v>
      </c>
      <c r="D766" s="39">
        <v>267.46600000000001</v>
      </c>
      <c r="E766" s="45">
        <v>812.32899999999995</v>
      </c>
      <c r="F766" s="39">
        <v>1274</v>
      </c>
      <c r="G766" s="39">
        <v>50</v>
      </c>
      <c r="H766" s="47">
        <v>600</v>
      </c>
      <c r="I766" s="39">
        <v>695</v>
      </c>
      <c r="J766" s="39">
        <v>50</v>
      </c>
      <c r="K766" s="40"/>
      <c r="L766" s="40"/>
      <c r="M766" s="40"/>
      <c r="N766" s="40"/>
      <c r="O766" s="40"/>
      <c r="P766" s="40"/>
      <c r="Q766" s="40"/>
      <c r="R766" s="40"/>
      <c r="S766" s="40"/>
      <c r="T766" s="40"/>
    </row>
    <row r="767" spans="1:20" ht="15.75">
      <c r="A767" s="13">
        <v>64497</v>
      </c>
      <c r="B767" s="48">
        <f t="shared" si="2"/>
        <v>31</v>
      </c>
      <c r="C767" s="39">
        <v>194.20500000000001</v>
      </c>
      <c r="D767" s="39">
        <v>267.46600000000001</v>
      </c>
      <c r="E767" s="45">
        <v>812.32899999999995</v>
      </c>
      <c r="F767" s="39">
        <v>1274</v>
      </c>
      <c r="G767" s="39">
        <v>50</v>
      </c>
      <c r="H767" s="47">
        <v>600</v>
      </c>
      <c r="I767" s="39">
        <v>695</v>
      </c>
      <c r="J767" s="39">
        <v>0</v>
      </c>
      <c r="K767" s="40"/>
      <c r="L767" s="40"/>
      <c r="M767" s="40"/>
      <c r="N767" s="40"/>
      <c r="O767" s="40"/>
      <c r="P767" s="40"/>
      <c r="Q767" s="40"/>
      <c r="R767" s="40"/>
      <c r="S767" s="40"/>
      <c r="T767" s="40"/>
    </row>
    <row r="768" spans="1:20" ht="15.75">
      <c r="A768" s="13">
        <v>64528</v>
      </c>
      <c r="B768" s="48">
        <f t="shared" si="2"/>
        <v>31</v>
      </c>
      <c r="C768" s="39">
        <v>194.20500000000001</v>
      </c>
      <c r="D768" s="39">
        <v>267.46600000000001</v>
      </c>
      <c r="E768" s="45">
        <v>812.32899999999995</v>
      </c>
      <c r="F768" s="39">
        <v>1274</v>
      </c>
      <c r="G768" s="39">
        <v>50</v>
      </c>
      <c r="H768" s="47">
        <v>600</v>
      </c>
      <c r="I768" s="39">
        <v>695</v>
      </c>
      <c r="J768" s="39">
        <v>0</v>
      </c>
      <c r="K768" s="40"/>
      <c r="L768" s="40"/>
      <c r="M768" s="40"/>
      <c r="N768" s="40"/>
      <c r="O768" s="40"/>
      <c r="P768" s="40"/>
      <c r="Q768" s="40"/>
      <c r="R768" s="40"/>
      <c r="S768" s="40"/>
      <c r="T768" s="40"/>
    </row>
    <row r="769" spans="1:20" ht="15.75">
      <c r="A769" s="13">
        <v>64558</v>
      </c>
      <c r="B769" s="48">
        <f t="shared" si="2"/>
        <v>30</v>
      </c>
      <c r="C769" s="39">
        <v>194.20500000000001</v>
      </c>
      <c r="D769" s="39">
        <v>267.46600000000001</v>
      </c>
      <c r="E769" s="45">
        <v>812.32899999999995</v>
      </c>
      <c r="F769" s="39">
        <v>1274</v>
      </c>
      <c r="G769" s="39">
        <v>50</v>
      </c>
      <c r="H769" s="47">
        <v>600</v>
      </c>
      <c r="I769" s="39">
        <v>695</v>
      </c>
      <c r="J769" s="39">
        <v>0</v>
      </c>
      <c r="K769" s="40"/>
      <c r="L769" s="40"/>
      <c r="M769" s="40"/>
      <c r="N769" s="40"/>
      <c r="O769" s="40"/>
      <c r="P769" s="40"/>
      <c r="Q769" s="40"/>
      <c r="R769" s="40"/>
      <c r="S769" s="40"/>
      <c r="T769" s="40"/>
    </row>
    <row r="770" spans="1:20" ht="15.75">
      <c r="A770" s="13">
        <v>64589</v>
      </c>
      <c r="B770" s="48">
        <f t="shared" si="2"/>
        <v>31</v>
      </c>
      <c r="C770" s="39">
        <v>131.881</v>
      </c>
      <c r="D770" s="39">
        <v>277.16699999999997</v>
      </c>
      <c r="E770" s="45">
        <v>829.952</v>
      </c>
      <c r="F770" s="39">
        <v>1239</v>
      </c>
      <c r="G770" s="39">
        <v>75</v>
      </c>
      <c r="H770" s="47">
        <v>600</v>
      </c>
      <c r="I770" s="39">
        <v>695</v>
      </c>
      <c r="J770" s="39">
        <v>0</v>
      </c>
      <c r="K770" s="40"/>
      <c r="L770" s="40"/>
      <c r="M770" s="40"/>
      <c r="N770" s="40"/>
      <c r="O770" s="40"/>
      <c r="P770" s="40"/>
      <c r="Q770" s="40"/>
      <c r="R770" s="40"/>
      <c r="S770" s="40"/>
      <c r="T770" s="40"/>
    </row>
    <row r="771" spans="1:20" ht="15.75">
      <c r="A771" s="13">
        <v>64619</v>
      </c>
      <c r="B771" s="48">
        <f t="shared" si="2"/>
        <v>30</v>
      </c>
      <c r="C771" s="39">
        <v>122.58</v>
      </c>
      <c r="D771" s="39">
        <v>297.94099999999997</v>
      </c>
      <c r="E771" s="45">
        <v>729.47900000000004</v>
      </c>
      <c r="F771" s="39">
        <v>1150</v>
      </c>
      <c r="G771" s="39">
        <v>100</v>
      </c>
      <c r="H771" s="47">
        <v>600</v>
      </c>
      <c r="I771" s="39">
        <v>695</v>
      </c>
      <c r="J771" s="39">
        <v>50</v>
      </c>
      <c r="K771" s="40"/>
      <c r="L771" s="40"/>
      <c r="M771" s="40"/>
      <c r="N771" s="40"/>
      <c r="O771" s="40"/>
      <c r="P771" s="40"/>
      <c r="Q771" s="40"/>
      <c r="R771" s="40"/>
      <c r="S771" s="40"/>
      <c r="T771" s="40"/>
    </row>
    <row r="772" spans="1:20" ht="15.75">
      <c r="A772" s="13">
        <v>64650</v>
      </c>
      <c r="B772" s="48">
        <f t="shared" si="2"/>
        <v>31</v>
      </c>
      <c r="C772" s="39">
        <v>122.58</v>
      </c>
      <c r="D772" s="39">
        <v>297.94099999999997</v>
      </c>
      <c r="E772" s="45">
        <v>729.47900000000004</v>
      </c>
      <c r="F772" s="39">
        <v>1150</v>
      </c>
      <c r="G772" s="39">
        <v>100</v>
      </c>
      <c r="H772" s="47">
        <v>600</v>
      </c>
      <c r="I772" s="39">
        <v>695</v>
      </c>
      <c r="J772" s="39">
        <v>50</v>
      </c>
      <c r="K772" s="40"/>
      <c r="L772" s="40"/>
      <c r="M772" s="40"/>
      <c r="N772" s="40"/>
      <c r="O772" s="40"/>
      <c r="P772" s="40"/>
      <c r="Q772" s="40"/>
      <c r="R772" s="40"/>
      <c r="S772" s="40"/>
      <c r="T772" s="40"/>
    </row>
    <row r="773" spans="1:20" ht="15.75">
      <c r="A773" s="13">
        <v>64681</v>
      </c>
      <c r="B773" s="48">
        <f t="shared" si="2"/>
        <v>31</v>
      </c>
      <c r="C773" s="39">
        <v>122.58</v>
      </c>
      <c r="D773" s="39">
        <v>297.94099999999997</v>
      </c>
      <c r="E773" s="45">
        <v>729.47900000000004</v>
      </c>
      <c r="F773" s="39">
        <v>1150</v>
      </c>
      <c r="G773" s="39">
        <v>100</v>
      </c>
      <c r="H773" s="47">
        <v>600</v>
      </c>
      <c r="I773" s="39">
        <v>695</v>
      </c>
      <c r="J773" s="39">
        <v>50</v>
      </c>
      <c r="K773" s="40"/>
      <c r="L773" s="40"/>
      <c r="M773" s="40"/>
      <c r="N773" s="40"/>
      <c r="O773" s="40"/>
      <c r="P773" s="40"/>
      <c r="Q773" s="40"/>
      <c r="R773" s="40"/>
      <c r="S773" s="40"/>
      <c r="T773" s="40"/>
    </row>
    <row r="774" spans="1:20" ht="15.75">
      <c r="A774" s="13">
        <v>64709</v>
      </c>
      <c r="B774" s="48">
        <f t="shared" si="2"/>
        <v>28</v>
      </c>
      <c r="C774" s="39">
        <v>122.58</v>
      </c>
      <c r="D774" s="39">
        <v>297.94099999999997</v>
      </c>
      <c r="E774" s="45">
        <v>729.47900000000004</v>
      </c>
      <c r="F774" s="39">
        <v>1150</v>
      </c>
      <c r="G774" s="39">
        <v>100</v>
      </c>
      <c r="H774" s="47">
        <v>600</v>
      </c>
      <c r="I774" s="39">
        <v>695</v>
      </c>
      <c r="J774" s="39">
        <v>50</v>
      </c>
      <c r="K774" s="40"/>
      <c r="L774" s="40"/>
      <c r="M774" s="40"/>
      <c r="N774" s="40"/>
      <c r="O774" s="40"/>
      <c r="P774" s="40"/>
      <c r="Q774" s="40"/>
      <c r="R774" s="40"/>
      <c r="S774" s="40"/>
      <c r="T774" s="40"/>
    </row>
    <row r="775" spans="1:20" ht="15.75">
      <c r="A775" s="13">
        <v>64740</v>
      </c>
      <c r="B775" s="48">
        <f t="shared" si="2"/>
        <v>31</v>
      </c>
      <c r="C775" s="39">
        <v>122.58</v>
      </c>
      <c r="D775" s="39">
        <v>297.94099999999997</v>
      </c>
      <c r="E775" s="45">
        <v>729.47900000000004</v>
      </c>
      <c r="F775" s="39">
        <v>1150</v>
      </c>
      <c r="G775" s="39">
        <v>100</v>
      </c>
      <c r="H775" s="47">
        <v>600</v>
      </c>
      <c r="I775" s="39">
        <v>695</v>
      </c>
      <c r="J775" s="39">
        <v>50</v>
      </c>
      <c r="K775" s="40"/>
      <c r="L775" s="40"/>
      <c r="M775" s="40"/>
      <c r="N775" s="40"/>
      <c r="O775" s="40"/>
      <c r="P775" s="40"/>
      <c r="Q775" s="40"/>
      <c r="R775" s="40"/>
      <c r="S775" s="40"/>
      <c r="T775" s="40"/>
    </row>
    <row r="776" spans="1:20" ht="15.75">
      <c r="A776" s="13">
        <v>64770</v>
      </c>
      <c r="B776" s="48">
        <f t="shared" si="2"/>
        <v>30</v>
      </c>
      <c r="C776" s="39">
        <v>141.29300000000001</v>
      </c>
      <c r="D776" s="39">
        <v>267.99299999999999</v>
      </c>
      <c r="E776" s="45">
        <v>829.71400000000006</v>
      </c>
      <c r="F776" s="39">
        <v>1239</v>
      </c>
      <c r="G776" s="39">
        <v>100</v>
      </c>
      <c r="H776" s="47">
        <v>600</v>
      </c>
      <c r="I776" s="39">
        <v>695</v>
      </c>
      <c r="J776" s="39">
        <v>50</v>
      </c>
      <c r="K776" s="40"/>
      <c r="L776" s="40"/>
      <c r="M776" s="40"/>
      <c r="N776" s="40"/>
      <c r="O776" s="40"/>
      <c r="P776" s="40"/>
      <c r="Q776" s="40"/>
      <c r="R776" s="40"/>
      <c r="S776" s="40"/>
      <c r="T776" s="40"/>
    </row>
    <row r="777" spans="1:20" ht="15.75">
      <c r="A777" s="13">
        <v>64801</v>
      </c>
      <c r="B777" s="48">
        <f t="shared" si="2"/>
        <v>31</v>
      </c>
      <c r="C777" s="39">
        <v>194.20500000000001</v>
      </c>
      <c r="D777" s="39">
        <v>267.46600000000001</v>
      </c>
      <c r="E777" s="45">
        <v>812.32899999999995</v>
      </c>
      <c r="F777" s="39">
        <v>1274</v>
      </c>
      <c r="G777" s="39">
        <v>75</v>
      </c>
      <c r="H777" s="47">
        <v>600</v>
      </c>
      <c r="I777" s="39">
        <v>695</v>
      </c>
      <c r="J777" s="39">
        <v>50</v>
      </c>
      <c r="K777" s="40"/>
      <c r="L777" s="40"/>
      <c r="M777" s="40"/>
      <c r="N777" s="40"/>
      <c r="O777" s="40"/>
      <c r="P777" s="40"/>
      <c r="Q777" s="40"/>
      <c r="R777" s="40"/>
      <c r="S777" s="40"/>
      <c r="T777" s="40"/>
    </row>
    <row r="778" spans="1:20" ht="15.75">
      <c r="A778" s="13">
        <v>64831</v>
      </c>
      <c r="B778" s="48">
        <f t="shared" si="2"/>
        <v>30</v>
      </c>
      <c r="C778" s="39">
        <v>194.20500000000001</v>
      </c>
      <c r="D778" s="39">
        <v>267.46600000000001</v>
      </c>
      <c r="E778" s="45">
        <v>812.32899999999995</v>
      </c>
      <c r="F778" s="39">
        <v>1274</v>
      </c>
      <c r="G778" s="39">
        <v>50</v>
      </c>
      <c r="H778" s="47">
        <v>600</v>
      </c>
      <c r="I778" s="39">
        <v>695</v>
      </c>
      <c r="J778" s="39">
        <v>50</v>
      </c>
      <c r="K778" s="40"/>
      <c r="L778" s="40"/>
      <c r="M778" s="40"/>
      <c r="N778" s="40"/>
      <c r="O778" s="40"/>
      <c r="P778" s="40"/>
      <c r="Q778" s="40"/>
      <c r="R778" s="40"/>
      <c r="S778" s="40"/>
      <c r="T778" s="40"/>
    </row>
    <row r="779" spans="1:20" ht="15.75">
      <c r="A779" s="13">
        <v>64862</v>
      </c>
      <c r="B779" s="48">
        <f t="shared" si="2"/>
        <v>31</v>
      </c>
      <c r="C779" s="39">
        <v>194.20500000000001</v>
      </c>
      <c r="D779" s="39">
        <v>267.46600000000001</v>
      </c>
      <c r="E779" s="45">
        <v>812.32899999999995</v>
      </c>
      <c r="F779" s="39">
        <v>1274</v>
      </c>
      <c r="G779" s="39">
        <v>50</v>
      </c>
      <c r="H779" s="47">
        <v>600</v>
      </c>
      <c r="I779" s="39">
        <v>695</v>
      </c>
      <c r="J779" s="39">
        <v>0</v>
      </c>
      <c r="K779" s="40"/>
      <c r="L779" s="40"/>
      <c r="M779" s="40"/>
      <c r="N779" s="40"/>
      <c r="O779" s="40"/>
      <c r="P779" s="40"/>
      <c r="Q779" s="40"/>
      <c r="R779" s="40"/>
      <c r="S779" s="40"/>
      <c r="T779" s="40"/>
    </row>
    <row r="780" spans="1:20" ht="15.75">
      <c r="A780" s="13">
        <v>64893</v>
      </c>
      <c r="B780" s="48">
        <f t="shared" si="2"/>
        <v>31</v>
      </c>
      <c r="C780" s="39">
        <v>194.20500000000001</v>
      </c>
      <c r="D780" s="39">
        <v>267.46600000000001</v>
      </c>
      <c r="E780" s="45">
        <v>812.32899999999995</v>
      </c>
      <c r="F780" s="39">
        <v>1274</v>
      </c>
      <c r="G780" s="39">
        <v>50</v>
      </c>
      <c r="H780" s="47">
        <v>600</v>
      </c>
      <c r="I780" s="39">
        <v>695</v>
      </c>
      <c r="J780" s="39">
        <v>0</v>
      </c>
      <c r="K780" s="40"/>
      <c r="L780" s="40"/>
      <c r="M780" s="40"/>
      <c r="N780" s="40"/>
      <c r="O780" s="40"/>
      <c r="P780" s="40"/>
      <c r="Q780" s="40"/>
      <c r="R780" s="40"/>
      <c r="S780" s="40"/>
      <c r="T780" s="40"/>
    </row>
    <row r="781" spans="1:20" ht="15.75">
      <c r="A781" s="13">
        <v>64923</v>
      </c>
      <c r="B781" s="48">
        <f t="shared" si="2"/>
        <v>30</v>
      </c>
      <c r="C781" s="39">
        <v>194.20500000000001</v>
      </c>
      <c r="D781" s="39">
        <v>267.46600000000001</v>
      </c>
      <c r="E781" s="45">
        <v>812.32899999999995</v>
      </c>
      <c r="F781" s="39">
        <v>1274</v>
      </c>
      <c r="G781" s="39">
        <v>50</v>
      </c>
      <c r="H781" s="47">
        <v>600</v>
      </c>
      <c r="I781" s="39">
        <v>695</v>
      </c>
      <c r="J781" s="39">
        <v>0</v>
      </c>
      <c r="K781" s="40"/>
      <c r="L781" s="40"/>
      <c r="M781" s="40"/>
      <c r="N781" s="40"/>
      <c r="O781" s="40"/>
      <c r="P781" s="40"/>
      <c r="Q781" s="40"/>
      <c r="R781" s="40"/>
      <c r="S781" s="40"/>
      <c r="T781" s="40"/>
    </row>
    <row r="782" spans="1:20" ht="15.75">
      <c r="A782" s="13">
        <v>64954</v>
      </c>
      <c r="B782" s="48">
        <f t="shared" si="2"/>
        <v>31</v>
      </c>
      <c r="C782" s="39">
        <v>131.881</v>
      </c>
      <c r="D782" s="39">
        <v>277.16699999999997</v>
      </c>
      <c r="E782" s="45">
        <v>829.952</v>
      </c>
      <c r="F782" s="39">
        <v>1239</v>
      </c>
      <c r="G782" s="39">
        <v>75</v>
      </c>
      <c r="H782" s="47">
        <v>600</v>
      </c>
      <c r="I782" s="39">
        <v>695</v>
      </c>
      <c r="J782" s="39">
        <v>0</v>
      </c>
      <c r="K782" s="40"/>
      <c r="L782" s="40"/>
      <c r="M782" s="40"/>
      <c r="N782" s="40"/>
      <c r="O782" s="40"/>
      <c r="P782" s="40"/>
      <c r="Q782" s="40"/>
      <c r="R782" s="40"/>
      <c r="S782" s="40"/>
      <c r="T782" s="40"/>
    </row>
    <row r="783" spans="1:20" ht="15.75">
      <c r="A783" s="13">
        <v>64984</v>
      </c>
      <c r="B783" s="48">
        <f t="shared" si="2"/>
        <v>30</v>
      </c>
      <c r="C783" s="39">
        <v>122.58</v>
      </c>
      <c r="D783" s="39">
        <v>297.94099999999997</v>
      </c>
      <c r="E783" s="45">
        <v>729.47900000000004</v>
      </c>
      <c r="F783" s="39">
        <v>1150</v>
      </c>
      <c r="G783" s="39">
        <v>100</v>
      </c>
      <c r="H783" s="47">
        <v>600</v>
      </c>
      <c r="I783" s="39">
        <v>695</v>
      </c>
      <c r="J783" s="39">
        <v>50</v>
      </c>
      <c r="K783" s="40"/>
      <c r="L783" s="40"/>
      <c r="M783" s="40"/>
      <c r="N783" s="40"/>
      <c r="O783" s="40"/>
      <c r="P783" s="40"/>
      <c r="Q783" s="40"/>
      <c r="R783" s="40"/>
      <c r="S783" s="40"/>
      <c r="T783" s="40"/>
    </row>
    <row r="784" spans="1:20" ht="15.75">
      <c r="A784" s="13">
        <v>65015</v>
      </c>
      <c r="B784" s="48">
        <f t="shared" si="2"/>
        <v>31</v>
      </c>
      <c r="C784" s="39">
        <v>122.58</v>
      </c>
      <c r="D784" s="39">
        <v>297.94099999999997</v>
      </c>
      <c r="E784" s="45">
        <v>729.47900000000004</v>
      </c>
      <c r="F784" s="39">
        <v>1150</v>
      </c>
      <c r="G784" s="39">
        <v>100</v>
      </c>
      <c r="H784" s="47">
        <v>600</v>
      </c>
      <c r="I784" s="39">
        <v>695</v>
      </c>
      <c r="J784" s="39">
        <v>50</v>
      </c>
      <c r="K784" s="40"/>
      <c r="L784" s="40"/>
      <c r="M784" s="40"/>
      <c r="N784" s="40"/>
      <c r="O784" s="40"/>
      <c r="P784" s="40"/>
      <c r="Q784" s="40"/>
      <c r="R784" s="40"/>
      <c r="S784" s="40"/>
      <c r="T784" s="40"/>
    </row>
    <row r="785" spans="1:20" ht="15.75">
      <c r="A785" s="13">
        <v>65046</v>
      </c>
      <c r="B785" s="48">
        <f t="shared" ref="B785:B848" si="3">EOMONTH(A785,0)-EOMONTH(A785,-1)</f>
        <v>31</v>
      </c>
      <c r="C785" s="39">
        <v>122.58</v>
      </c>
      <c r="D785" s="39">
        <v>297.94099999999997</v>
      </c>
      <c r="E785" s="45">
        <v>729.47900000000004</v>
      </c>
      <c r="F785" s="39">
        <v>1150</v>
      </c>
      <c r="G785" s="39">
        <v>100</v>
      </c>
      <c r="H785" s="47">
        <v>600</v>
      </c>
      <c r="I785" s="39">
        <v>695</v>
      </c>
      <c r="J785" s="39">
        <v>50</v>
      </c>
      <c r="K785" s="40"/>
      <c r="L785" s="40"/>
      <c r="M785" s="40"/>
      <c r="N785" s="40"/>
      <c r="O785" s="40"/>
      <c r="P785" s="40"/>
      <c r="Q785" s="40"/>
      <c r="R785" s="40"/>
      <c r="S785" s="40"/>
      <c r="T785" s="40"/>
    </row>
    <row r="786" spans="1:20" ht="15.75">
      <c r="A786" s="13">
        <v>65074</v>
      </c>
      <c r="B786" s="48">
        <f t="shared" si="3"/>
        <v>28</v>
      </c>
      <c r="C786" s="39">
        <v>122.58</v>
      </c>
      <c r="D786" s="39">
        <v>297.94099999999997</v>
      </c>
      <c r="E786" s="45">
        <v>729.47900000000004</v>
      </c>
      <c r="F786" s="39">
        <v>1150</v>
      </c>
      <c r="G786" s="39">
        <v>100</v>
      </c>
      <c r="H786" s="47">
        <v>600</v>
      </c>
      <c r="I786" s="39">
        <v>695</v>
      </c>
      <c r="J786" s="39">
        <v>50</v>
      </c>
      <c r="K786" s="40"/>
      <c r="L786" s="40"/>
      <c r="M786" s="40"/>
      <c r="N786" s="40"/>
      <c r="O786" s="40"/>
      <c r="P786" s="40"/>
      <c r="Q786" s="40"/>
      <c r="R786" s="40"/>
      <c r="S786" s="40"/>
      <c r="T786" s="40"/>
    </row>
    <row r="787" spans="1:20" ht="15.75">
      <c r="A787" s="13">
        <v>65105</v>
      </c>
      <c r="B787" s="48">
        <f t="shared" si="3"/>
        <v>31</v>
      </c>
      <c r="C787" s="39">
        <v>122.58</v>
      </c>
      <c r="D787" s="39">
        <v>297.94099999999997</v>
      </c>
      <c r="E787" s="45">
        <v>729.47900000000004</v>
      </c>
      <c r="F787" s="39">
        <v>1150</v>
      </c>
      <c r="G787" s="39">
        <v>100</v>
      </c>
      <c r="H787" s="47">
        <v>600</v>
      </c>
      <c r="I787" s="39">
        <v>695</v>
      </c>
      <c r="J787" s="39">
        <v>50</v>
      </c>
      <c r="K787" s="40"/>
      <c r="L787" s="40"/>
      <c r="M787" s="40"/>
      <c r="N787" s="40"/>
      <c r="O787" s="40"/>
      <c r="P787" s="40"/>
      <c r="Q787" s="40"/>
      <c r="R787" s="40"/>
      <c r="S787" s="40"/>
      <c r="T787" s="40"/>
    </row>
    <row r="788" spans="1:20" ht="15.75">
      <c r="A788" s="13">
        <v>65135</v>
      </c>
      <c r="B788" s="48">
        <f t="shared" si="3"/>
        <v>30</v>
      </c>
      <c r="C788" s="39">
        <v>141.29300000000001</v>
      </c>
      <c r="D788" s="39">
        <v>267.99299999999999</v>
      </c>
      <c r="E788" s="45">
        <v>829.71400000000006</v>
      </c>
      <c r="F788" s="39">
        <v>1239</v>
      </c>
      <c r="G788" s="39">
        <v>100</v>
      </c>
      <c r="H788" s="47">
        <v>600</v>
      </c>
      <c r="I788" s="39">
        <v>695</v>
      </c>
      <c r="J788" s="39">
        <v>50</v>
      </c>
      <c r="K788" s="40"/>
      <c r="L788" s="40"/>
      <c r="M788" s="40"/>
      <c r="N788" s="40"/>
      <c r="O788" s="40"/>
      <c r="P788" s="40"/>
      <c r="Q788" s="40"/>
      <c r="R788" s="40"/>
      <c r="S788" s="40"/>
      <c r="T788" s="40"/>
    </row>
    <row r="789" spans="1:20" ht="15.75">
      <c r="A789" s="13">
        <v>65166</v>
      </c>
      <c r="B789" s="48">
        <f t="shared" si="3"/>
        <v>31</v>
      </c>
      <c r="C789" s="39">
        <v>194.20500000000001</v>
      </c>
      <c r="D789" s="39">
        <v>267.46600000000001</v>
      </c>
      <c r="E789" s="45">
        <v>812.32899999999995</v>
      </c>
      <c r="F789" s="39">
        <v>1274</v>
      </c>
      <c r="G789" s="39">
        <v>75</v>
      </c>
      <c r="H789" s="47">
        <v>600</v>
      </c>
      <c r="I789" s="39">
        <v>695</v>
      </c>
      <c r="J789" s="39">
        <v>50</v>
      </c>
      <c r="K789" s="40"/>
      <c r="L789" s="40"/>
      <c r="M789" s="40"/>
      <c r="N789" s="40"/>
      <c r="O789" s="40"/>
      <c r="P789" s="40"/>
      <c r="Q789" s="40"/>
      <c r="R789" s="40"/>
      <c r="S789" s="40"/>
      <c r="T789" s="40"/>
    </row>
    <row r="790" spans="1:20" ht="15.75">
      <c r="A790" s="13">
        <v>65196</v>
      </c>
      <c r="B790" s="48">
        <f t="shared" si="3"/>
        <v>30</v>
      </c>
      <c r="C790" s="39">
        <v>194.20500000000001</v>
      </c>
      <c r="D790" s="39">
        <v>267.46600000000001</v>
      </c>
      <c r="E790" s="45">
        <v>812.32899999999995</v>
      </c>
      <c r="F790" s="39">
        <v>1274</v>
      </c>
      <c r="G790" s="39">
        <v>50</v>
      </c>
      <c r="H790" s="47">
        <v>600</v>
      </c>
      <c r="I790" s="39">
        <v>695</v>
      </c>
      <c r="J790" s="39">
        <v>50</v>
      </c>
      <c r="K790" s="40"/>
      <c r="L790" s="40"/>
      <c r="M790" s="40"/>
      <c r="N790" s="40"/>
      <c r="O790" s="40"/>
      <c r="P790" s="40"/>
      <c r="Q790" s="40"/>
      <c r="R790" s="40"/>
      <c r="S790" s="40"/>
      <c r="T790" s="40"/>
    </row>
    <row r="791" spans="1:20" ht="15.75">
      <c r="A791" s="13">
        <v>65227</v>
      </c>
      <c r="B791" s="48">
        <f t="shared" si="3"/>
        <v>31</v>
      </c>
      <c r="C791" s="39">
        <v>194.20500000000001</v>
      </c>
      <c r="D791" s="39">
        <v>267.46600000000001</v>
      </c>
      <c r="E791" s="45">
        <v>812.32899999999995</v>
      </c>
      <c r="F791" s="39">
        <v>1274</v>
      </c>
      <c r="G791" s="39">
        <v>50</v>
      </c>
      <c r="H791" s="47">
        <v>600</v>
      </c>
      <c r="I791" s="39">
        <v>695</v>
      </c>
      <c r="J791" s="39">
        <v>0</v>
      </c>
      <c r="K791" s="40"/>
      <c r="L791" s="40"/>
      <c r="M791" s="40"/>
      <c r="N791" s="40"/>
      <c r="O791" s="40"/>
      <c r="P791" s="40"/>
      <c r="Q791" s="40"/>
      <c r="R791" s="40"/>
      <c r="S791" s="40"/>
      <c r="T791" s="40"/>
    </row>
    <row r="792" spans="1:20" ht="15.75">
      <c r="A792" s="13">
        <v>65258</v>
      </c>
      <c r="B792" s="48">
        <f t="shared" si="3"/>
        <v>31</v>
      </c>
      <c r="C792" s="39">
        <v>194.20500000000001</v>
      </c>
      <c r="D792" s="39">
        <v>267.46600000000001</v>
      </c>
      <c r="E792" s="45">
        <v>812.32899999999995</v>
      </c>
      <c r="F792" s="39">
        <v>1274</v>
      </c>
      <c r="G792" s="39">
        <v>50</v>
      </c>
      <c r="H792" s="47">
        <v>600</v>
      </c>
      <c r="I792" s="39">
        <v>695</v>
      </c>
      <c r="J792" s="39">
        <v>0</v>
      </c>
      <c r="K792" s="40"/>
      <c r="L792" s="40"/>
      <c r="M792" s="40"/>
      <c r="N792" s="40"/>
      <c r="O792" s="40"/>
      <c r="P792" s="40"/>
      <c r="Q792" s="40"/>
      <c r="R792" s="40"/>
      <c r="S792" s="40"/>
      <c r="T792" s="40"/>
    </row>
    <row r="793" spans="1:20" ht="15.75">
      <c r="A793" s="13">
        <v>65288</v>
      </c>
      <c r="B793" s="48">
        <f t="shared" si="3"/>
        <v>30</v>
      </c>
      <c r="C793" s="39">
        <v>194.20500000000001</v>
      </c>
      <c r="D793" s="39">
        <v>267.46600000000001</v>
      </c>
      <c r="E793" s="45">
        <v>812.32899999999995</v>
      </c>
      <c r="F793" s="39">
        <v>1274</v>
      </c>
      <c r="G793" s="39">
        <v>50</v>
      </c>
      <c r="H793" s="47">
        <v>600</v>
      </c>
      <c r="I793" s="39">
        <v>695</v>
      </c>
      <c r="J793" s="39">
        <v>0</v>
      </c>
      <c r="K793" s="40"/>
      <c r="L793" s="40"/>
      <c r="M793" s="40"/>
      <c r="N793" s="40"/>
      <c r="O793" s="40"/>
      <c r="P793" s="40"/>
      <c r="Q793" s="40"/>
      <c r="R793" s="40"/>
      <c r="S793" s="40"/>
      <c r="T793" s="40"/>
    </row>
    <row r="794" spans="1:20" ht="15.75">
      <c r="A794" s="13">
        <v>65319</v>
      </c>
      <c r="B794" s="48">
        <f t="shared" si="3"/>
        <v>31</v>
      </c>
      <c r="C794" s="39">
        <v>131.881</v>
      </c>
      <c r="D794" s="39">
        <v>277.16699999999997</v>
      </c>
      <c r="E794" s="45">
        <v>829.952</v>
      </c>
      <c r="F794" s="39">
        <v>1239</v>
      </c>
      <c r="G794" s="39">
        <v>75</v>
      </c>
      <c r="H794" s="47">
        <v>600</v>
      </c>
      <c r="I794" s="39">
        <v>695</v>
      </c>
      <c r="J794" s="39">
        <v>0</v>
      </c>
      <c r="K794" s="40"/>
      <c r="L794" s="40"/>
      <c r="M794" s="40"/>
      <c r="N794" s="40"/>
      <c r="O794" s="40"/>
      <c r="P794" s="40"/>
      <c r="Q794" s="40"/>
      <c r="R794" s="40"/>
      <c r="S794" s="40"/>
      <c r="T794" s="40"/>
    </row>
    <row r="795" spans="1:20" ht="15.75">
      <c r="A795" s="13">
        <v>65349</v>
      </c>
      <c r="B795" s="48">
        <f t="shared" si="3"/>
        <v>30</v>
      </c>
      <c r="C795" s="39">
        <v>122.58</v>
      </c>
      <c r="D795" s="39">
        <v>297.94099999999997</v>
      </c>
      <c r="E795" s="45">
        <v>729.47900000000004</v>
      </c>
      <c r="F795" s="39">
        <v>1150</v>
      </c>
      <c r="G795" s="39">
        <v>100</v>
      </c>
      <c r="H795" s="47">
        <v>600</v>
      </c>
      <c r="I795" s="39">
        <v>695</v>
      </c>
      <c r="J795" s="39">
        <v>50</v>
      </c>
      <c r="K795" s="40"/>
      <c r="L795" s="40"/>
      <c r="M795" s="40"/>
      <c r="N795" s="40"/>
      <c r="O795" s="40"/>
      <c r="P795" s="40"/>
      <c r="Q795" s="40"/>
      <c r="R795" s="40"/>
      <c r="S795" s="40"/>
      <c r="T795" s="40"/>
    </row>
    <row r="796" spans="1:20" ht="15.75">
      <c r="A796" s="13">
        <v>65380</v>
      </c>
      <c r="B796" s="48">
        <f t="shared" si="3"/>
        <v>31</v>
      </c>
      <c r="C796" s="39">
        <v>122.58</v>
      </c>
      <c r="D796" s="39">
        <v>297.94099999999997</v>
      </c>
      <c r="E796" s="45">
        <v>729.47900000000004</v>
      </c>
      <c r="F796" s="39">
        <v>1150</v>
      </c>
      <c r="G796" s="39">
        <v>100</v>
      </c>
      <c r="H796" s="47">
        <v>600</v>
      </c>
      <c r="I796" s="39">
        <v>695</v>
      </c>
      <c r="J796" s="39">
        <v>50</v>
      </c>
      <c r="K796" s="40"/>
      <c r="L796" s="40"/>
      <c r="M796" s="40"/>
      <c r="N796" s="40"/>
      <c r="O796" s="40"/>
      <c r="P796" s="40"/>
      <c r="Q796" s="40"/>
      <c r="R796" s="40"/>
      <c r="S796" s="40"/>
      <c r="T796" s="40"/>
    </row>
    <row r="797" spans="1:20" ht="15.75">
      <c r="A797" s="13">
        <v>65411</v>
      </c>
      <c r="B797" s="48">
        <f t="shared" si="3"/>
        <v>31</v>
      </c>
      <c r="C797" s="39">
        <v>122.58</v>
      </c>
      <c r="D797" s="39">
        <v>297.94099999999997</v>
      </c>
      <c r="E797" s="45">
        <v>729.47900000000004</v>
      </c>
      <c r="F797" s="39">
        <v>1150</v>
      </c>
      <c r="G797" s="39">
        <v>100</v>
      </c>
      <c r="H797" s="47">
        <v>600</v>
      </c>
      <c r="I797" s="39">
        <v>695</v>
      </c>
      <c r="J797" s="39">
        <v>50</v>
      </c>
      <c r="K797" s="40"/>
      <c r="L797" s="40"/>
      <c r="M797" s="40"/>
      <c r="N797" s="40"/>
      <c r="O797" s="40"/>
      <c r="P797" s="40"/>
      <c r="Q797" s="40"/>
      <c r="R797" s="40"/>
      <c r="S797" s="40"/>
      <c r="T797" s="40"/>
    </row>
    <row r="798" spans="1:20" ht="15.75">
      <c r="A798" s="13">
        <v>65439</v>
      </c>
      <c r="B798" s="48">
        <f t="shared" si="3"/>
        <v>28</v>
      </c>
      <c r="C798" s="39">
        <v>122.58</v>
      </c>
      <c r="D798" s="39">
        <v>297.94099999999997</v>
      </c>
      <c r="E798" s="45">
        <v>729.47900000000004</v>
      </c>
      <c r="F798" s="39">
        <v>1150</v>
      </c>
      <c r="G798" s="39">
        <v>100</v>
      </c>
      <c r="H798" s="47">
        <v>600</v>
      </c>
      <c r="I798" s="39">
        <v>695</v>
      </c>
      <c r="J798" s="39">
        <v>50</v>
      </c>
      <c r="K798" s="40"/>
      <c r="L798" s="40"/>
      <c r="M798" s="40"/>
      <c r="N798" s="40"/>
      <c r="O798" s="40"/>
      <c r="P798" s="40"/>
      <c r="Q798" s="40"/>
      <c r="R798" s="40"/>
      <c r="S798" s="40"/>
      <c r="T798" s="40"/>
    </row>
    <row r="799" spans="1:20" ht="15.75">
      <c r="A799" s="13">
        <v>65470</v>
      </c>
      <c r="B799" s="48">
        <f t="shared" si="3"/>
        <v>31</v>
      </c>
      <c r="C799" s="39">
        <v>122.58</v>
      </c>
      <c r="D799" s="39">
        <v>297.94099999999997</v>
      </c>
      <c r="E799" s="45">
        <v>729.47900000000004</v>
      </c>
      <c r="F799" s="39">
        <v>1150</v>
      </c>
      <c r="G799" s="39">
        <v>100</v>
      </c>
      <c r="H799" s="47">
        <v>600</v>
      </c>
      <c r="I799" s="39">
        <v>695</v>
      </c>
      <c r="J799" s="39">
        <v>50</v>
      </c>
      <c r="K799" s="40"/>
      <c r="L799" s="40"/>
      <c r="M799" s="40"/>
      <c r="N799" s="40"/>
      <c r="O799" s="40"/>
      <c r="P799" s="40"/>
      <c r="Q799" s="40"/>
      <c r="R799" s="40"/>
      <c r="S799" s="40"/>
      <c r="T799" s="40"/>
    </row>
    <row r="800" spans="1:20" ht="15.75">
      <c r="A800" s="13">
        <v>65500</v>
      </c>
      <c r="B800" s="48">
        <f t="shared" si="3"/>
        <v>30</v>
      </c>
      <c r="C800" s="39">
        <v>141.29300000000001</v>
      </c>
      <c r="D800" s="39">
        <v>267.99299999999999</v>
      </c>
      <c r="E800" s="45">
        <v>829.71400000000006</v>
      </c>
      <c r="F800" s="39">
        <v>1239</v>
      </c>
      <c r="G800" s="39">
        <v>100</v>
      </c>
      <c r="H800" s="47">
        <v>600</v>
      </c>
      <c r="I800" s="39">
        <v>695</v>
      </c>
      <c r="J800" s="39">
        <v>50</v>
      </c>
      <c r="K800" s="40"/>
      <c r="L800" s="40"/>
      <c r="M800" s="40"/>
      <c r="N800" s="40"/>
      <c r="O800" s="40"/>
      <c r="P800" s="40"/>
      <c r="Q800" s="40"/>
      <c r="R800" s="40"/>
      <c r="S800" s="40"/>
      <c r="T800" s="40"/>
    </row>
    <row r="801" spans="1:20" ht="15.75">
      <c r="A801" s="13">
        <v>65531</v>
      </c>
      <c r="B801" s="48">
        <f t="shared" si="3"/>
        <v>31</v>
      </c>
      <c r="C801" s="39">
        <v>194.20500000000001</v>
      </c>
      <c r="D801" s="39">
        <v>267.46600000000001</v>
      </c>
      <c r="E801" s="45">
        <v>812.32899999999995</v>
      </c>
      <c r="F801" s="39">
        <v>1274</v>
      </c>
      <c r="G801" s="39">
        <v>75</v>
      </c>
      <c r="H801" s="47">
        <v>600</v>
      </c>
      <c r="I801" s="39">
        <v>695</v>
      </c>
      <c r="J801" s="39">
        <v>50</v>
      </c>
      <c r="K801" s="40"/>
      <c r="L801" s="40"/>
      <c r="M801" s="40"/>
      <c r="N801" s="40"/>
      <c r="O801" s="40"/>
      <c r="P801" s="40"/>
      <c r="Q801" s="40"/>
      <c r="R801" s="40"/>
      <c r="S801" s="40"/>
      <c r="T801" s="40"/>
    </row>
    <row r="802" spans="1:20" ht="15.75">
      <c r="A802" s="13">
        <v>65561</v>
      </c>
      <c r="B802" s="48">
        <f t="shared" si="3"/>
        <v>30</v>
      </c>
      <c r="C802" s="39">
        <v>194.20500000000001</v>
      </c>
      <c r="D802" s="39">
        <v>267.46600000000001</v>
      </c>
      <c r="E802" s="45">
        <v>812.32899999999995</v>
      </c>
      <c r="F802" s="39">
        <v>1274</v>
      </c>
      <c r="G802" s="39">
        <v>50</v>
      </c>
      <c r="H802" s="47">
        <v>600</v>
      </c>
      <c r="I802" s="39">
        <v>695</v>
      </c>
      <c r="J802" s="39">
        <v>50</v>
      </c>
      <c r="K802" s="40"/>
      <c r="L802" s="40"/>
      <c r="M802" s="40"/>
      <c r="N802" s="40"/>
      <c r="O802" s="40"/>
      <c r="P802" s="40"/>
      <c r="Q802" s="40"/>
      <c r="R802" s="40"/>
      <c r="S802" s="40"/>
      <c r="T802" s="40"/>
    </row>
    <row r="803" spans="1:20" ht="15.75">
      <c r="A803" s="13">
        <v>65592</v>
      </c>
      <c r="B803" s="48">
        <f t="shared" si="3"/>
        <v>31</v>
      </c>
      <c r="C803" s="39">
        <v>194.20500000000001</v>
      </c>
      <c r="D803" s="39">
        <v>267.46600000000001</v>
      </c>
      <c r="E803" s="45">
        <v>812.32899999999995</v>
      </c>
      <c r="F803" s="39">
        <v>1274</v>
      </c>
      <c r="G803" s="39">
        <v>50</v>
      </c>
      <c r="H803" s="47">
        <v>600</v>
      </c>
      <c r="I803" s="39">
        <v>695</v>
      </c>
      <c r="J803" s="39">
        <v>0</v>
      </c>
      <c r="K803" s="40"/>
      <c r="L803" s="40"/>
      <c r="M803" s="40"/>
      <c r="N803" s="40"/>
      <c r="O803" s="40"/>
      <c r="P803" s="40"/>
      <c r="Q803" s="40"/>
      <c r="R803" s="40"/>
      <c r="S803" s="40"/>
      <c r="T803" s="40"/>
    </row>
    <row r="804" spans="1:20" ht="15.75">
      <c r="A804" s="13">
        <v>65623</v>
      </c>
      <c r="B804" s="48">
        <f t="shared" si="3"/>
        <v>31</v>
      </c>
      <c r="C804" s="39">
        <v>194.20500000000001</v>
      </c>
      <c r="D804" s="39">
        <v>267.46600000000001</v>
      </c>
      <c r="E804" s="45">
        <v>812.32899999999995</v>
      </c>
      <c r="F804" s="39">
        <v>1274</v>
      </c>
      <c r="G804" s="39">
        <v>50</v>
      </c>
      <c r="H804" s="47">
        <v>600</v>
      </c>
      <c r="I804" s="39">
        <v>695</v>
      </c>
      <c r="J804" s="39">
        <v>0</v>
      </c>
      <c r="K804" s="40"/>
      <c r="L804" s="40"/>
      <c r="M804" s="40"/>
      <c r="N804" s="40"/>
      <c r="O804" s="40"/>
      <c r="P804" s="40"/>
      <c r="Q804" s="40"/>
      <c r="R804" s="40"/>
      <c r="S804" s="40"/>
      <c r="T804" s="40"/>
    </row>
    <row r="805" spans="1:20" ht="15.75">
      <c r="A805" s="13">
        <v>65653</v>
      </c>
      <c r="B805" s="48">
        <f t="shared" si="3"/>
        <v>30</v>
      </c>
      <c r="C805" s="39">
        <v>194.20500000000001</v>
      </c>
      <c r="D805" s="39">
        <v>267.46600000000001</v>
      </c>
      <c r="E805" s="45">
        <v>812.32899999999995</v>
      </c>
      <c r="F805" s="39">
        <v>1274</v>
      </c>
      <c r="G805" s="39">
        <v>50</v>
      </c>
      <c r="H805" s="47">
        <v>600</v>
      </c>
      <c r="I805" s="39">
        <v>695</v>
      </c>
      <c r="J805" s="39">
        <v>0</v>
      </c>
      <c r="K805" s="40"/>
      <c r="L805" s="40"/>
      <c r="M805" s="40"/>
      <c r="N805" s="40"/>
      <c r="O805" s="40"/>
      <c r="P805" s="40"/>
      <c r="Q805" s="40"/>
      <c r="R805" s="40"/>
      <c r="S805" s="40"/>
      <c r="T805" s="40"/>
    </row>
    <row r="806" spans="1:20" ht="15.75">
      <c r="A806" s="13">
        <v>65684</v>
      </c>
      <c r="B806" s="48">
        <f t="shared" si="3"/>
        <v>31</v>
      </c>
      <c r="C806" s="39">
        <v>131.881</v>
      </c>
      <c r="D806" s="39">
        <v>277.16699999999997</v>
      </c>
      <c r="E806" s="45">
        <v>829.952</v>
      </c>
      <c r="F806" s="39">
        <v>1239</v>
      </c>
      <c r="G806" s="39">
        <v>75</v>
      </c>
      <c r="H806" s="47">
        <v>600</v>
      </c>
      <c r="I806" s="39">
        <v>695</v>
      </c>
      <c r="J806" s="39">
        <v>0</v>
      </c>
      <c r="K806" s="40"/>
      <c r="L806" s="40"/>
      <c r="M806" s="40"/>
      <c r="N806" s="40"/>
      <c r="O806" s="40"/>
      <c r="P806" s="40"/>
      <c r="Q806" s="40"/>
      <c r="R806" s="40"/>
      <c r="S806" s="40"/>
      <c r="T806" s="40"/>
    </row>
    <row r="807" spans="1:20" ht="15.75">
      <c r="A807" s="13">
        <v>65714</v>
      </c>
      <c r="B807" s="48">
        <f t="shared" si="3"/>
        <v>30</v>
      </c>
      <c r="C807" s="39">
        <v>122.58</v>
      </c>
      <c r="D807" s="39">
        <v>297.94099999999997</v>
      </c>
      <c r="E807" s="45">
        <v>729.47900000000004</v>
      </c>
      <c r="F807" s="39">
        <v>1150</v>
      </c>
      <c r="G807" s="39">
        <v>100</v>
      </c>
      <c r="H807" s="47">
        <v>600</v>
      </c>
      <c r="I807" s="39">
        <v>695</v>
      </c>
      <c r="J807" s="39">
        <v>50</v>
      </c>
      <c r="K807" s="40"/>
      <c r="L807" s="40"/>
      <c r="M807" s="40"/>
      <c r="N807" s="40"/>
      <c r="O807" s="40"/>
      <c r="P807" s="40"/>
      <c r="Q807" s="40"/>
      <c r="R807" s="40"/>
      <c r="S807" s="40"/>
      <c r="T807" s="40"/>
    </row>
    <row r="808" spans="1:20" ht="15.75">
      <c r="A808" s="13">
        <v>65745</v>
      </c>
      <c r="B808" s="48">
        <f t="shared" si="3"/>
        <v>31</v>
      </c>
      <c r="C808" s="39">
        <v>122.58</v>
      </c>
      <c r="D808" s="39">
        <v>297.94099999999997</v>
      </c>
      <c r="E808" s="45">
        <v>729.47900000000004</v>
      </c>
      <c r="F808" s="39">
        <v>1150</v>
      </c>
      <c r="G808" s="39">
        <v>100</v>
      </c>
      <c r="H808" s="47">
        <v>600</v>
      </c>
      <c r="I808" s="39">
        <v>695</v>
      </c>
      <c r="J808" s="39">
        <v>50</v>
      </c>
      <c r="K808" s="40"/>
      <c r="L808" s="40"/>
      <c r="M808" s="40"/>
      <c r="N808" s="40"/>
      <c r="O808" s="40"/>
      <c r="P808" s="40"/>
      <c r="Q808" s="40"/>
      <c r="R808" s="40"/>
      <c r="S808" s="40"/>
      <c r="T808" s="40"/>
    </row>
    <row r="809" spans="1:20" ht="15.75">
      <c r="A809" s="13">
        <v>65776</v>
      </c>
      <c r="B809" s="48">
        <f t="shared" si="3"/>
        <v>31</v>
      </c>
      <c r="C809" s="39">
        <v>122.58</v>
      </c>
      <c r="D809" s="39">
        <v>297.94099999999997</v>
      </c>
      <c r="E809" s="45">
        <v>729.47900000000004</v>
      </c>
      <c r="F809" s="39">
        <v>1150</v>
      </c>
      <c r="G809" s="39">
        <v>100</v>
      </c>
      <c r="H809" s="47">
        <v>600</v>
      </c>
      <c r="I809" s="39">
        <v>695</v>
      </c>
      <c r="J809" s="39">
        <v>50</v>
      </c>
      <c r="K809" s="40"/>
      <c r="L809" s="40"/>
      <c r="M809" s="40"/>
      <c r="N809" s="40"/>
      <c r="O809" s="40"/>
      <c r="P809" s="40"/>
      <c r="Q809" s="40"/>
      <c r="R809" s="40"/>
      <c r="S809" s="40"/>
      <c r="T809" s="40"/>
    </row>
    <row r="810" spans="1:20" ht="15.75">
      <c r="A810" s="13">
        <v>65805</v>
      </c>
      <c r="B810" s="48">
        <f t="shared" si="3"/>
        <v>29</v>
      </c>
      <c r="C810" s="39">
        <v>122.58</v>
      </c>
      <c r="D810" s="39">
        <v>297.94099999999997</v>
      </c>
      <c r="E810" s="45">
        <v>729.47900000000004</v>
      </c>
      <c r="F810" s="39">
        <v>1150</v>
      </c>
      <c r="G810" s="39">
        <v>100</v>
      </c>
      <c r="H810" s="47">
        <v>600</v>
      </c>
      <c r="I810" s="39">
        <v>695</v>
      </c>
      <c r="J810" s="39">
        <v>50</v>
      </c>
      <c r="K810" s="40"/>
      <c r="L810" s="40"/>
      <c r="M810" s="40"/>
      <c r="N810" s="40"/>
      <c r="O810" s="40"/>
      <c r="P810" s="40"/>
      <c r="Q810" s="40"/>
      <c r="R810" s="40"/>
      <c r="S810" s="40"/>
      <c r="T810" s="40"/>
    </row>
    <row r="811" spans="1:20" ht="15.75">
      <c r="A811" s="13">
        <v>65836</v>
      </c>
      <c r="B811" s="48">
        <f t="shared" si="3"/>
        <v>31</v>
      </c>
      <c r="C811" s="39">
        <v>122.58</v>
      </c>
      <c r="D811" s="39">
        <v>297.94099999999997</v>
      </c>
      <c r="E811" s="45">
        <v>729.47900000000004</v>
      </c>
      <c r="F811" s="39">
        <v>1150</v>
      </c>
      <c r="G811" s="39">
        <v>100</v>
      </c>
      <c r="H811" s="47">
        <v>600</v>
      </c>
      <c r="I811" s="39">
        <v>695</v>
      </c>
      <c r="J811" s="39">
        <v>50</v>
      </c>
      <c r="K811" s="40"/>
      <c r="L811" s="40"/>
      <c r="M811" s="40"/>
      <c r="N811" s="40"/>
      <c r="O811" s="40"/>
      <c r="P811" s="40"/>
      <c r="Q811" s="40"/>
      <c r="R811" s="40"/>
      <c r="S811" s="40"/>
      <c r="T811" s="40"/>
    </row>
    <row r="812" spans="1:20" ht="15.75">
      <c r="A812" s="13">
        <v>65866</v>
      </c>
      <c r="B812" s="48">
        <f t="shared" si="3"/>
        <v>30</v>
      </c>
      <c r="C812" s="39">
        <v>141.29300000000001</v>
      </c>
      <c r="D812" s="39">
        <v>267.99299999999999</v>
      </c>
      <c r="E812" s="45">
        <v>829.71400000000006</v>
      </c>
      <c r="F812" s="39">
        <v>1239</v>
      </c>
      <c r="G812" s="39">
        <v>100</v>
      </c>
      <c r="H812" s="47">
        <v>600</v>
      </c>
      <c r="I812" s="39">
        <v>695</v>
      </c>
      <c r="J812" s="39">
        <v>50</v>
      </c>
      <c r="K812" s="40"/>
      <c r="L812" s="40"/>
      <c r="M812" s="40"/>
      <c r="N812" s="40"/>
      <c r="O812" s="40"/>
      <c r="P812" s="40"/>
      <c r="Q812" s="40"/>
      <c r="R812" s="40"/>
      <c r="S812" s="40"/>
      <c r="T812" s="40"/>
    </row>
    <row r="813" spans="1:20" ht="15.75">
      <c r="A813" s="13">
        <v>65897</v>
      </c>
      <c r="B813" s="48">
        <f t="shared" si="3"/>
        <v>31</v>
      </c>
      <c r="C813" s="39">
        <v>194.20500000000001</v>
      </c>
      <c r="D813" s="39">
        <v>267.46600000000001</v>
      </c>
      <c r="E813" s="45">
        <v>812.32899999999995</v>
      </c>
      <c r="F813" s="39">
        <v>1274</v>
      </c>
      <c r="G813" s="39">
        <v>75</v>
      </c>
      <c r="H813" s="47">
        <v>600</v>
      </c>
      <c r="I813" s="39">
        <v>695</v>
      </c>
      <c r="J813" s="39">
        <v>50</v>
      </c>
      <c r="K813" s="40"/>
      <c r="L813" s="40"/>
      <c r="M813" s="40"/>
      <c r="N813" s="40"/>
      <c r="O813" s="40"/>
      <c r="P813" s="40"/>
      <c r="Q813" s="40"/>
      <c r="R813" s="40"/>
      <c r="S813" s="40"/>
      <c r="T813" s="40"/>
    </row>
    <row r="814" spans="1:20" ht="15.75">
      <c r="A814" s="13">
        <v>65927</v>
      </c>
      <c r="B814" s="48">
        <f t="shared" si="3"/>
        <v>30</v>
      </c>
      <c r="C814" s="39">
        <v>194.20500000000001</v>
      </c>
      <c r="D814" s="39">
        <v>267.46600000000001</v>
      </c>
      <c r="E814" s="45">
        <v>812.32899999999995</v>
      </c>
      <c r="F814" s="39">
        <v>1274</v>
      </c>
      <c r="G814" s="39">
        <v>50</v>
      </c>
      <c r="H814" s="47">
        <v>600</v>
      </c>
      <c r="I814" s="39">
        <v>695</v>
      </c>
      <c r="J814" s="39">
        <v>50</v>
      </c>
      <c r="K814" s="40"/>
      <c r="L814" s="40"/>
      <c r="M814" s="40"/>
      <c r="N814" s="40"/>
      <c r="O814" s="40"/>
      <c r="P814" s="40"/>
      <c r="Q814" s="40"/>
      <c r="R814" s="40"/>
      <c r="S814" s="40"/>
      <c r="T814" s="40"/>
    </row>
    <row r="815" spans="1:20" ht="15.75">
      <c r="A815" s="13">
        <v>65958</v>
      </c>
      <c r="B815" s="48">
        <f t="shared" si="3"/>
        <v>31</v>
      </c>
      <c r="C815" s="39">
        <v>194.20500000000001</v>
      </c>
      <c r="D815" s="39">
        <v>267.46600000000001</v>
      </c>
      <c r="E815" s="45">
        <v>812.32899999999995</v>
      </c>
      <c r="F815" s="39">
        <v>1274</v>
      </c>
      <c r="G815" s="39">
        <v>50</v>
      </c>
      <c r="H815" s="47">
        <v>600</v>
      </c>
      <c r="I815" s="39">
        <v>695</v>
      </c>
      <c r="J815" s="39">
        <v>0</v>
      </c>
      <c r="K815" s="40"/>
      <c r="L815" s="40"/>
      <c r="M815" s="40"/>
      <c r="N815" s="40"/>
      <c r="O815" s="40"/>
      <c r="P815" s="40"/>
      <c r="Q815" s="40"/>
      <c r="R815" s="40"/>
      <c r="S815" s="40"/>
      <c r="T815" s="40"/>
    </row>
    <row r="816" spans="1:20" ht="15.75">
      <c r="A816" s="13">
        <v>65989</v>
      </c>
      <c r="B816" s="48">
        <f t="shared" si="3"/>
        <v>31</v>
      </c>
      <c r="C816" s="39">
        <v>194.20500000000001</v>
      </c>
      <c r="D816" s="39">
        <v>267.46600000000001</v>
      </c>
      <c r="E816" s="45">
        <v>812.32899999999995</v>
      </c>
      <c r="F816" s="39">
        <v>1274</v>
      </c>
      <c r="G816" s="39">
        <v>50</v>
      </c>
      <c r="H816" s="47">
        <v>600</v>
      </c>
      <c r="I816" s="39">
        <v>695</v>
      </c>
      <c r="J816" s="39">
        <v>0</v>
      </c>
      <c r="K816" s="40"/>
      <c r="L816" s="40"/>
      <c r="M816" s="40"/>
      <c r="N816" s="40"/>
      <c r="O816" s="40"/>
      <c r="P816" s="40"/>
      <c r="Q816" s="40"/>
      <c r="R816" s="40"/>
      <c r="S816" s="40"/>
      <c r="T816" s="40"/>
    </row>
    <row r="817" spans="1:20" ht="15.75">
      <c r="A817" s="13">
        <v>66019</v>
      </c>
      <c r="B817" s="48">
        <f t="shared" si="3"/>
        <v>30</v>
      </c>
      <c r="C817" s="39">
        <v>194.20500000000001</v>
      </c>
      <c r="D817" s="39">
        <v>267.46600000000001</v>
      </c>
      <c r="E817" s="45">
        <v>812.32899999999995</v>
      </c>
      <c r="F817" s="39">
        <v>1274</v>
      </c>
      <c r="G817" s="39">
        <v>50</v>
      </c>
      <c r="H817" s="47">
        <v>600</v>
      </c>
      <c r="I817" s="39">
        <v>695</v>
      </c>
      <c r="J817" s="39">
        <v>0</v>
      </c>
      <c r="K817" s="40"/>
      <c r="L817" s="40"/>
      <c r="M817" s="40"/>
      <c r="N817" s="40"/>
      <c r="O817" s="40"/>
      <c r="P817" s="40"/>
      <c r="Q817" s="40"/>
      <c r="R817" s="40"/>
      <c r="S817" s="40"/>
      <c r="T817" s="40"/>
    </row>
    <row r="818" spans="1:20" ht="15.75">
      <c r="A818" s="13">
        <v>66050</v>
      </c>
      <c r="B818" s="48">
        <f t="shared" si="3"/>
        <v>31</v>
      </c>
      <c r="C818" s="39">
        <v>131.881</v>
      </c>
      <c r="D818" s="39">
        <v>277.16699999999997</v>
      </c>
      <c r="E818" s="45">
        <v>829.952</v>
      </c>
      <c r="F818" s="39">
        <v>1239</v>
      </c>
      <c r="G818" s="39">
        <v>75</v>
      </c>
      <c r="H818" s="47">
        <v>600</v>
      </c>
      <c r="I818" s="39">
        <v>695</v>
      </c>
      <c r="J818" s="39">
        <v>0</v>
      </c>
      <c r="K818" s="40"/>
      <c r="L818" s="40"/>
      <c r="M818" s="40"/>
      <c r="N818" s="40"/>
      <c r="O818" s="40"/>
      <c r="P818" s="40"/>
      <c r="Q818" s="40"/>
      <c r="R818" s="40"/>
      <c r="S818" s="40"/>
      <c r="T818" s="40"/>
    </row>
    <row r="819" spans="1:20" ht="15.75">
      <c r="A819" s="13">
        <v>66080</v>
      </c>
      <c r="B819" s="48">
        <f t="shared" si="3"/>
        <v>30</v>
      </c>
      <c r="C819" s="39">
        <v>122.58</v>
      </c>
      <c r="D819" s="39">
        <v>297.94099999999997</v>
      </c>
      <c r="E819" s="45">
        <v>729.47900000000004</v>
      </c>
      <c r="F819" s="39">
        <v>1150</v>
      </c>
      <c r="G819" s="39">
        <v>100</v>
      </c>
      <c r="H819" s="47">
        <v>600</v>
      </c>
      <c r="I819" s="39">
        <v>695</v>
      </c>
      <c r="J819" s="39">
        <v>50</v>
      </c>
      <c r="K819" s="40"/>
      <c r="L819" s="40"/>
      <c r="M819" s="40"/>
      <c r="N819" s="40"/>
      <c r="O819" s="40"/>
      <c r="P819" s="40"/>
      <c r="Q819" s="40"/>
      <c r="R819" s="40"/>
      <c r="S819" s="40"/>
      <c r="T819" s="40"/>
    </row>
    <row r="820" spans="1:20" ht="15.75">
      <c r="A820" s="13">
        <v>66111</v>
      </c>
      <c r="B820" s="48">
        <f t="shared" si="3"/>
        <v>31</v>
      </c>
      <c r="C820" s="39">
        <v>122.58</v>
      </c>
      <c r="D820" s="39">
        <v>297.94099999999997</v>
      </c>
      <c r="E820" s="45">
        <v>729.47900000000004</v>
      </c>
      <c r="F820" s="39">
        <v>1150</v>
      </c>
      <c r="G820" s="39">
        <v>100</v>
      </c>
      <c r="H820" s="47">
        <v>600</v>
      </c>
      <c r="I820" s="39">
        <v>695</v>
      </c>
      <c r="J820" s="39">
        <v>50</v>
      </c>
      <c r="K820" s="40"/>
      <c r="L820" s="40"/>
      <c r="M820" s="40"/>
      <c r="N820" s="40"/>
      <c r="O820" s="40"/>
      <c r="P820" s="40"/>
      <c r="Q820" s="40"/>
      <c r="R820" s="40"/>
      <c r="S820" s="40"/>
      <c r="T820" s="40"/>
    </row>
    <row r="821" spans="1:20" ht="15.75">
      <c r="A821" s="13">
        <v>66142</v>
      </c>
      <c r="B821" s="48">
        <f t="shared" si="3"/>
        <v>31</v>
      </c>
      <c r="C821" s="39">
        <v>122.58</v>
      </c>
      <c r="D821" s="39">
        <v>297.94099999999997</v>
      </c>
      <c r="E821" s="45">
        <v>729.47900000000004</v>
      </c>
      <c r="F821" s="39">
        <v>1150</v>
      </c>
      <c r="G821" s="39">
        <v>100</v>
      </c>
      <c r="H821" s="47">
        <v>600</v>
      </c>
      <c r="I821" s="39">
        <v>695</v>
      </c>
      <c r="J821" s="39">
        <v>50</v>
      </c>
      <c r="K821" s="40"/>
      <c r="L821" s="40"/>
      <c r="M821" s="40"/>
      <c r="N821" s="40"/>
      <c r="O821" s="40"/>
      <c r="P821" s="40"/>
      <c r="Q821" s="40"/>
      <c r="R821" s="40"/>
      <c r="S821" s="40"/>
      <c r="T821" s="40"/>
    </row>
    <row r="822" spans="1:20" ht="15.75">
      <c r="A822" s="13">
        <v>66170</v>
      </c>
      <c r="B822" s="48">
        <f t="shared" si="3"/>
        <v>28</v>
      </c>
      <c r="C822" s="39">
        <v>122.58</v>
      </c>
      <c r="D822" s="39">
        <v>297.94099999999997</v>
      </c>
      <c r="E822" s="45">
        <v>729.47900000000004</v>
      </c>
      <c r="F822" s="39">
        <v>1150</v>
      </c>
      <c r="G822" s="39">
        <v>100</v>
      </c>
      <c r="H822" s="47">
        <v>600</v>
      </c>
      <c r="I822" s="39">
        <v>695</v>
      </c>
      <c r="J822" s="39">
        <v>50</v>
      </c>
      <c r="K822" s="40"/>
      <c r="L822" s="40"/>
      <c r="M822" s="40"/>
      <c r="N822" s="40"/>
      <c r="O822" s="40"/>
      <c r="P822" s="40"/>
      <c r="Q822" s="40"/>
      <c r="R822" s="40"/>
      <c r="S822" s="40"/>
      <c r="T822" s="40"/>
    </row>
    <row r="823" spans="1:20" ht="15.75">
      <c r="A823" s="13">
        <v>66201</v>
      </c>
      <c r="B823" s="48">
        <f t="shared" si="3"/>
        <v>31</v>
      </c>
      <c r="C823" s="39">
        <v>122.58</v>
      </c>
      <c r="D823" s="39">
        <v>297.94099999999997</v>
      </c>
      <c r="E823" s="45">
        <v>729.47900000000004</v>
      </c>
      <c r="F823" s="39">
        <v>1150</v>
      </c>
      <c r="G823" s="39">
        <v>100</v>
      </c>
      <c r="H823" s="47">
        <v>600</v>
      </c>
      <c r="I823" s="39">
        <v>695</v>
      </c>
      <c r="J823" s="39">
        <v>50</v>
      </c>
      <c r="K823" s="40"/>
      <c r="L823" s="40"/>
      <c r="M823" s="40"/>
      <c r="N823" s="40"/>
      <c r="O823" s="40"/>
      <c r="P823" s="40"/>
      <c r="Q823" s="40"/>
      <c r="R823" s="40"/>
      <c r="S823" s="40"/>
      <c r="T823" s="40"/>
    </row>
    <row r="824" spans="1:20" ht="15.75">
      <c r="A824" s="13">
        <v>66231</v>
      </c>
      <c r="B824" s="48">
        <f t="shared" si="3"/>
        <v>30</v>
      </c>
      <c r="C824" s="39">
        <v>141.29300000000001</v>
      </c>
      <c r="D824" s="39">
        <v>267.99299999999999</v>
      </c>
      <c r="E824" s="45">
        <v>829.71400000000006</v>
      </c>
      <c r="F824" s="39">
        <v>1239</v>
      </c>
      <c r="G824" s="39">
        <v>100</v>
      </c>
      <c r="H824" s="47">
        <v>600</v>
      </c>
      <c r="I824" s="39">
        <v>695</v>
      </c>
      <c r="J824" s="39">
        <v>50</v>
      </c>
      <c r="K824" s="40"/>
      <c r="L824" s="40"/>
      <c r="M824" s="40"/>
      <c r="N824" s="40"/>
      <c r="O824" s="40"/>
      <c r="P824" s="40"/>
      <c r="Q824" s="40"/>
      <c r="R824" s="40"/>
      <c r="S824" s="40"/>
      <c r="T824" s="40"/>
    </row>
    <row r="825" spans="1:20" ht="15.75">
      <c r="A825" s="13">
        <v>66262</v>
      </c>
      <c r="B825" s="48">
        <f t="shared" si="3"/>
        <v>31</v>
      </c>
      <c r="C825" s="39">
        <v>194.20500000000001</v>
      </c>
      <c r="D825" s="39">
        <v>267.46600000000001</v>
      </c>
      <c r="E825" s="45">
        <v>812.32899999999995</v>
      </c>
      <c r="F825" s="39">
        <v>1274</v>
      </c>
      <c r="G825" s="39">
        <v>75</v>
      </c>
      <c r="H825" s="47">
        <v>600</v>
      </c>
      <c r="I825" s="39">
        <v>695</v>
      </c>
      <c r="J825" s="39">
        <v>50</v>
      </c>
      <c r="K825" s="40"/>
      <c r="L825" s="40"/>
      <c r="M825" s="40"/>
      <c r="N825" s="40"/>
      <c r="O825" s="40"/>
      <c r="P825" s="40"/>
      <c r="Q825" s="40"/>
      <c r="R825" s="40"/>
      <c r="S825" s="40"/>
      <c r="T825" s="40"/>
    </row>
    <row r="826" spans="1:20" ht="15.75">
      <c r="A826" s="13">
        <v>66292</v>
      </c>
      <c r="B826" s="48">
        <f t="shared" si="3"/>
        <v>30</v>
      </c>
      <c r="C826" s="39">
        <v>194.20500000000001</v>
      </c>
      <c r="D826" s="39">
        <v>267.46600000000001</v>
      </c>
      <c r="E826" s="45">
        <v>812.32899999999995</v>
      </c>
      <c r="F826" s="39">
        <v>1274</v>
      </c>
      <c r="G826" s="39">
        <v>50</v>
      </c>
      <c r="H826" s="47">
        <v>600</v>
      </c>
      <c r="I826" s="39">
        <v>695</v>
      </c>
      <c r="J826" s="39">
        <v>50</v>
      </c>
      <c r="K826" s="40"/>
      <c r="L826" s="40"/>
      <c r="M826" s="40"/>
      <c r="N826" s="40"/>
      <c r="O826" s="40"/>
      <c r="P826" s="40"/>
      <c r="Q826" s="40"/>
      <c r="R826" s="40"/>
      <c r="S826" s="40"/>
      <c r="T826" s="40"/>
    </row>
    <row r="827" spans="1:20" ht="15.75">
      <c r="A827" s="13">
        <v>66323</v>
      </c>
      <c r="B827" s="48">
        <f t="shared" si="3"/>
        <v>31</v>
      </c>
      <c r="C827" s="39">
        <v>194.20500000000001</v>
      </c>
      <c r="D827" s="39">
        <v>267.46600000000001</v>
      </c>
      <c r="E827" s="45">
        <v>812.32899999999995</v>
      </c>
      <c r="F827" s="39">
        <v>1274</v>
      </c>
      <c r="G827" s="39">
        <v>50</v>
      </c>
      <c r="H827" s="47">
        <v>600</v>
      </c>
      <c r="I827" s="39">
        <v>695</v>
      </c>
      <c r="J827" s="39">
        <v>0</v>
      </c>
      <c r="K827" s="40"/>
      <c r="L827" s="40"/>
      <c r="M827" s="40"/>
      <c r="N827" s="40"/>
      <c r="O827" s="40"/>
      <c r="P827" s="40"/>
      <c r="Q827" s="40"/>
      <c r="R827" s="40"/>
      <c r="S827" s="40"/>
      <c r="T827" s="40"/>
    </row>
    <row r="828" spans="1:20" ht="15.75">
      <c r="A828" s="13">
        <v>66354</v>
      </c>
      <c r="B828" s="48">
        <f t="shared" si="3"/>
        <v>31</v>
      </c>
      <c r="C828" s="39">
        <v>194.20500000000001</v>
      </c>
      <c r="D828" s="39">
        <v>267.46600000000001</v>
      </c>
      <c r="E828" s="45">
        <v>812.32899999999995</v>
      </c>
      <c r="F828" s="39">
        <v>1274</v>
      </c>
      <c r="G828" s="39">
        <v>50</v>
      </c>
      <c r="H828" s="47">
        <v>600</v>
      </c>
      <c r="I828" s="39">
        <v>695</v>
      </c>
      <c r="J828" s="39">
        <v>0</v>
      </c>
      <c r="K828" s="40"/>
      <c r="L828" s="40"/>
      <c r="M828" s="40"/>
      <c r="N828" s="40"/>
      <c r="O828" s="40"/>
      <c r="P828" s="40"/>
      <c r="Q828" s="40"/>
      <c r="R828" s="40"/>
      <c r="S828" s="40"/>
      <c r="T828" s="40"/>
    </row>
    <row r="829" spans="1:20" ht="15.75">
      <c r="A829" s="13">
        <v>66384</v>
      </c>
      <c r="B829" s="48">
        <f t="shared" si="3"/>
        <v>30</v>
      </c>
      <c r="C829" s="39">
        <v>194.20500000000001</v>
      </c>
      <c r="D829" s="39">
        <v>267.46600000000001</v>
      </c>
      <c r="E829" s="45">
        <v>812.32899999999995</v>
      </c>
      <c r="F829" s="39">
        <v>1274</v>
      </c>
      <c r="G829" s="39">
        <v>50</v>
      </c>
      <c r="H829" s="47">
        <v>600</v>
      </c>
      <c r="I829" s="39">
        <v>695</v>
      </c>
      <c r="J829" s="39">
        <v>0</v>
      </c>
      <c r="K829" s="40"/>
      <c r="L829" s="40"/>
      <c r="M829" s="40"/>
      <c r="N829" s="40"/>
      <c r="O829" s="40"/>
      <c r="P829" s="40"/>
      <c r="Q829" s="40"/>
      <c r="R829" s="40"/>
      <c r="S829" s="40"/>
      <c r="T829" s="40"/>
    </row>
    <row r="830" spans="1:20" ht="15.75">
      <c r="A830" s="13">
        <v>66415</v>
      </c>
      <c r="B830" s="48">
        <f t="shared" si="3"/>
        <v>31</v>
      </c>
      <c r="C830" s="39">
        <v>131.881</v>
      </c>
      <c r="D830" s="39">
        <v>277.16699999999997</v>
      </c>
      <c r="E830" s="45">
        <v>829.952</v>
      </c>
      <c r="F830" s="39">
        <v>1239</v>
      </c>
      <c r="G830" s="39">
        <v>75</v>
      </c>
      <c r="H830" s="47">
        <v>600</v>
      </c>
      <c r="I830" s="39">
        <v>695</v>
      </c>
      <c r="J830" s="39">
        <v>0</v>
      </c>
      <c r="K830" s="40"/>
      <c r="L830" s="40"/>
      <c r="M830" s="40"/>
      <c r="N830" s="40"/>
      <c r="O830" s="40"/>
      <c r="P830" s="40"/>
      <c r="Q830" s="40"/>
      <c r="R830" s="40"/>
      <c r="S830" s="40"/>
      <c r="T830" s="40"/>
    </row>
    <row r="831" spans="1:20" ht="15.75">
      <c r="A831" s="13">
        <v>66445</v>
      </c>
      <c r="B831" s="48">
        <f t="shared" si="3"/>
        <v>30</v>
      </c>
      <c r="C831" s="39">
        <v>122.58</v>
      </c>
      <c r="D831" s="39">
        <v>297.94099999999997</v>
      </c>
      <c r="E831" s="45">
        <v>729.47900000000004</v>
      </c>
      <c r="F831" s="39">
        <v>1150</v>
      </c>
      <c r="G831" s="39">
        <v>100</v>
      </c>
      <c r="H831" s="47">
        <v>600</v>
      </c>
      <c r="I831" s="39">
        <v>695</v>
      </c>
      <c r="J831" s="39">
        <v>50</v>
      </c>
      <c r="K831" s="40"/>
      <c r="L831" s="40"/>
      <c r="M831" s="40"/>
      <c r="N831" s="40"/>
      <c r="O831" s="40"/>
      <c r="P831" s="40"/>
      <c r="Q831" s="40"/>
      <c r="R831" s="40"/>
      <c r="S831" s="40"/>
      <c r="T831" s="40"/>
    </row>
    <row r="832" spans="1:20" ht="15.75">
      <c r="A832" s="13">
        <v>66476</v>
      </c>
      <c r="B832" s="48">
        <f t="shared" si="3"/>
        <v>31</v>
      </c>
      <c r="C832" s="39">
        <v>122.58</v>
      </c>
      <c r="D832" s="39">
        <v>297.94099999999997</v>
      </c>
      <c r="E832" s="45">
        <v>729.47900000000004</v>
      </c>
      <c r="F832" s="39">
        <v>1150</v>
      </c>
      <c r="G832" s="39">
        <v>100</v>
      </c>
      <c r="H832" s="47">
        <v>600</v>
      </c>
      <c r="I832" s="39">
        <v>695</v>
      </c>
      <c r="J832" s="39">
        <v>50</v>
      </c>
      <c r="K832" s="40"/>
      <c r="L832" s="40"/>
      <c r="M832" s="40"/>
      <c r="N832" s="40"/>
      <c r="O832" s="40"/>
      <c r="P832" s="40"/>
      <c r="Q832" s="40"/>
      <c r="R832" s="40"/>
      <c r="S832" s="40"/>
      <c r="T832" s="40"/>
    </row>
    <row r="833" spans="1:20" ht="15.75">
      <c r="A833" s="13">
        <v>66507</v>
      </c>
      <c r="B833" s="48">
        <f t="shared" si="3"/>
        <v>31</v>
      </c>
      <c r="C833" s="39">
        <v>122.58</v>
      </c>
      <c r="D833" s="39">
        <v>297.94099999999997</v>
      </c>
      <c r="E833" s="45">
        <v>729.47900000000004</v>
      </c>
      <c r="F833" s="39">
        <v>1150</v>
      </c>
      <c r="G833" s="39">
        <v>100</v>
      </c>
      <c r="H833" s="47">
        <v>600</v>
      </c>
      <c r="I833" s="39">
        <v>695</v>
      </c>
      <c r="J833" s="39">
        <v>50</v>
      </c>
      <c r="K833" s="40"/>
      <c r="L833" s="40"/>
      <c r="M833" s="40"/>
      <c r="N833" s="40"/>
      <c r="O833" s="40"/>
      <c r="P833" s="40"/>
      <c r="Q833" s="40"/>
      <c r="R833" s="40"/>
      <c r="S833" s="40"/>
      <c r="T833" s="40"/>
    </row>
    <row r="834" spans="1:20" ht="15.75">
      <c r="A834" s="13">
        <v>66535</v>
      </c>
      <c r="B834" s="48">
        <f t="shared" si="3"/>
        <v>28</v>
      </c>
      <c r="C834" s="39">
        <v>122.58</v>
      </c>
      <c r="D834" s="39">
        <v>297.94099999999997</v>
      </c>
      <c r="E834" s="45">
        <v>729.47900000000004</v>
      </c>
      <c r="F834" s="39">
        <v>1150</v>
      </c>
      <c r="G834" s="39">
        <v>100</v>
      </c>
      <c r="H834" s="47">
        <v>600</v>
      </c>
      <c r="I834" s="39">
        <v>695</v>
      </c>
      <c r="J834" s="39">
        <v>50</v>
      </c>
      <c r="K834" s="40"/>
      <c r="L834" s="40"/>
      <c r="M834" s="40"/>
      <c r="N834" s="40"/>
      <c r="O834" s="40"/>
      <c r="P834" s="40"/>
      <c r="Q834" s="40"/>
      <c r="R834" s="40"/>
      <c r="S834" s="40"/>
      <c r="T834" s="40"/>
    </row>
    <row r="835" spans="1:20" ht="15.75">
      <c r="A835" s="13">
        <v>66566</v>
      </c>
      <c r="B835" s="48">
        <f t="shared" si="3"/>
        <v>31</v>
      </c>
      <c r="C835" s="39">
        <v>122.58</v>
      </c>
      <c r="D835" s="39">
        <v>297.94099999999997</v>
      </c>
      <c r="E835" s="45">
        <v>729.47900000000004</v>
      </c>
      <c r="F835" s="39">
        <v>1150</v>
      </c>
      <c r="G835" s="39">
        <v>100</v>
      </c>
      <c r="H835" s="47">
        <v>600</v>
      </c>
      <c r="I835" s="39">
        <v>695</v>
      </c>
      <c r="J835" s="39">
        <v>50</v>
      </c>
      <c r="K835" s="40"/>
      <c r="L835" s="40"/>
      <c r="M835" s="40"/>
      <c r="N835" s="40"/>
      <c r="O835" s="40"/>
      <c r="P835" s="40"/>
      <c r="Q835" s="40"/>
      <c r="R835" s="40"/>
      <c r="S835" s="40"/>
      <c r="T835" s="40"/>
    </row>
    <row r="836" spans="1:20" ht="15.75">
      <c r="A836" s="13">
        <v>66596</v>
      </c>
      <c r="B836" s="48">
        <f t="shared" si="3"/>
        <v>30</v>
      </c>
      <c r="C836" s="39">
        <v>141.29300000000001</v>
      </c>
      <c r="D836" s="39">
        <v>267.99299999999999</v>
      </c>
      <c r="E836" s="45">
        <v>829.71400000000006</v>
      </c>
      <c r="F836" s="39">
        <v>1239</v>
      </c>
      <c r="G836" s="39">
        <v>100</v>
      </c>
      <c r="H836" s="47">
        <v>600</v>
      </c>
      <c r="I836" s="39">
        <v>695</v>
      </c>
      <c r="J836" s="39">
        <v>50</v>
      </c>
      <c r="K836" s="40"/>
      <c r="L836" s="40"/>
      <c r="M836" s="40"/>
      <c r="N836" s="40"/>
      <c r="O836" s="40"/>
      <c r="P836" s="40"/>
      <c r="Q836" s="40"/>
      <c r="R836" s="40"/>
      <c r="S836" s="40"/>
      <c r="T836" s="40"/>
    </row>
    <row r="837" spans="1:20" ht="15.75">
      <c r="A837" s="13">
        <v>66627</v>
      </c>
      <c r="B837" s="48">
        <f t="shared" si="3"/>
        <v>31</v>
      </c>
      <c r="C837" s="39">
        <v>194.20500000000001</v>
      </c>
      <c r="D837" s="39">
        <v>267.46600000000001</v>
      </c>
      <c r="E837" s="45">
        <v>812.32899999999995</v>
      </c>
      <c r="F837" s="39">
        <v>1274</v>
      </c>
      <c r="G837" s="39">
        <v>75</v>
      </c>
      <c r="H837" s="47">
        <v>600</v>
      </c>
      <c r="I837" s="39">
        <v>695</v>
      </c>
      <c r="J837" s="39">
        <v>50</v>
      </c>
      <c r="K837" s="40"/>
      <c r="L837" s="40"/>
      <c r="M837" s="40"/>
      <c r="N837" s="40"/>
      <c r="O837" s="40"/>
      <c r="P837" s="40"/>
      <c r="Q837" s="40"/>
      <c r="R837" s="40"/>
      <c r="S837" s="40"/>
      <c r="T837" s="40"/>
    </row>
    <row r="838" spans="1:20" ht="15.75">
      <c r="A838" s="13">
        <v>66657</v>
      </c>
      <c r="B838" s="48">
        <f t="shared" si="3"/>
        <v>30</v>
      </c>
      <c r="C838" s="39">
        <v>194.20500000000001</v>
      </c>
      <c r="D838" s="39">
        <v>267.46600000000001</v>
      </c>
      <c r="E838" s="45">
        <v>812.32899999999995</v>
      </c>
      <c r="F838" s="39">
        <v>1274</v>
      </c>
      <c r="G838" s="39">
        <v>50</v>
      </c>
      <c r="H838" s="47">
        <v>600</v>
      </c>
      <c r="I838" s="39">
        <v>695</v>
      </c>
      <c r="J838" s="39">
        <v>50</v>
      </c>
      <c r="K838" s="40"/>
      <c r="L838" s="40"/>
      <c r="M838" s="40"/>
      <c r="N838" s="40"/>
      <c r="O838" s="40"/>
      <c r="P838" s="40"/>
      <c r="Q838" s="40"/>
      <c r="R838" s="40"/>
      <c r="S838" s="40"/>
      <c r="T838" s="40"/>
    </row>
    <row r="839" spans="1:20" ht="15.75">
      <c r="A839" s="13">
        <v>66688</v>
      </c>
      <c r="B839" s="48">
        <f t="shared" si="3"/>
        <v>31</v>
      </c>
      <c r="C839" s="39">
        <v>194.20500000000001</v>
      </c>
      <c r="D839" s="39">
        <v>267.46600000000001</v>
      </c>
      <c r="E839" s="45">
        <v>812.32899999999995</v>
      </c>
      <c r="F839" s="39">
        <v>1274</v>
      </c>
      <c r="G839" s="39">
        <v>50</v>
      </c>
      <c r="H839" s="47">
        <v>600</v>
      </c>
      <c r="I839" s="39">
        <v>695</v>
      </c>
      <c r="J839" s="39">
        <v>0</v>
      </c>
      <c r="K839" s="40"/>
      <c r="L839" s="40"/>
      <c r="M839" s="40"/>
      <c r="N839" s="40"/>
      <c r="O839" s="40"/>
      <c r="P839" s="40"/>
      <c r="Q839" s="40"/>
      <c r="R839" s="40"/>
      <c r="S839" s="40"/>
      <c r="T839" s="40"/>
    </row>
    <row r="840" spans="1:20" ht="15.75">
      <c r="A840" s="13">
        <v>66719</v>
      </c>
      <c r="B840" s="48">
        <f t="shared" si="3"/>
        <v>31</v>
      </c>
      <c r="C840" s="39">
        <v>194.20500000000001</v>
      </c>
      <c r="D840" s="39">
        <v>267.46600000000001</v>
      </c>
      <c r="E840" s="45">
        <v>812.32899999999995</v>
      </c>
      <c r="F840" s="39">
        <v>1274</v>
      </c>
      <c r="G840" s="39">
        <v>50</v>
      </c>
      <c r="H840" s="47">
        <v>600</v>
      </c>
      <c r="I840" s="39">
        <v>695</v>
      </c>
      <c r="J840" s="39">
        <v>0</v>
      </c>
      <c r="K840" s="40"/>
      <c r="L840" s="40"/>
      <c r="M840" s="40"/>
      <c r="N840" s="40"/>
      <c r="O840" s="40"/>
      <c r="P840" s="40"/>
      <c r="Q840" s="40"/>
      <c r="R840" s="40"/>
      <c r="S840" s="40"/>
      <c r="T840" s="40"/>
    </row>
    <row r="841" spans="1:20" ht="15.75">
      <c r="A841" s="13">
        <v>66749</v>
      </c>
      <c r="B841" s="48">
        <f t="shared" si="3"/>
        <v>30</v>
      </c>
      <c r="C841" s="39">
        <v>194.20500000000001</v>
      </c>
      <c r="D841" s="39">
        <v>267.46600000000001</v>
      </c>
      <c r="E841" s="45">
        <v>812.32899999999995</v>
      </c>
      <c r="F841" s="39">
        <v>1274</v>
      </c>
      <c r="G841" s="39">
        <v>50</v>
      </c>
      <c r="H841" s="47">
        <v>600</v>
      </c>
      <c r="I841" s="39">
        <v>695</v>
      </c>
      <c r="J841" s="39">
        <v>0</v>
      </c>
      <c r="K841" s="40"/>
      <c r="L841" s="40"/>
      <c r="M841" s="40"/>
      <c r="N841" s="40"/>
      <c r="O841" s="40"/>
      <c r="P841" s="40"/>
      <c r="Q841" s="40"/>
      <c r="R841" s="40"/>
      <c r="S841" s="40"/>
      <c r="T841" s="40"/>
    </row>
    <row r="842" spans="1:20" ht="15.75">
      <c r="A842" s="13">
        <v>66780</v>
      </c>
      <c r="B842" s="48">
        <f t="shared" si="3"/>
        <v>31</v>
      </c>
      <c r="C842" s="39">
        <v>131.881</v>
      </c>
      <c r="D842" s="39">
        <v>277.16699999999997</v>
      </c>
      <c r="E842" s="45">
        <v>829.952</v>
      </c>
      <c r="F842" s="39">
        <v>1239</v>
      </c>
      <c r="G842" s="39">
        <v>75</v>
      </c>
      <c r="H842" s="47">
        <v>600</v>
      </c>
      <c r="I842" s="39">
        <v>695</v>
      </c>
      <c r="J842" s="39">
        <v>0</v>
      </c>
      <c r="K842" s="40"/>
      <c r="L842" s="40"/>
      <c r="M842" s="40"/>
      <c r="N842" s="40"/>
      <c r="O842" s="40"/>
      <c r="P842" s="40"/>
      <c r="Q842" s="40"/>
      <c r="R842" s="40"/>
      <c r="S842" s="40"/>
      <c r="T842" s="40"/>
    </row>
    <row r="843" spans="1:20" ht="15.75">
      <c r="A843" s="13">
        <v>66810</v>
      </c>
      <c r="B843" s="48">
        <f t="shared" si="3"/>
        <v>30</v>
      </c>
      <c r="C843" s="39">
        <v>122.58</v>
      </c>
      <c r="D843" s="39">
        <v>297.94099999999997</v>
      </c>
      <c r="E843" s="45">
        <v>729.47900000000004</v>
      </c>
      <c r="F843" s="39">
        <v>1150</v>
      </c>
      <c r="G843" s="39">
        <v>100</v>
      </c>
      <c r="H843" s="47">
        <v>600</v>
      </c>
      <c r="I843" s="39">
        <v>695</v>
      </c>
      <c r="J843" s="39">
        <v>50</v>
      </c>
      <c r="K843" s="40"/>
      <c r="L843" s="40"/>
      <c r="M843" s="40"/>
      <c r="N843" s="40"/>
      <c r="O843" s="40"/>
      <c r="P843" s="40"/>
      <c r="Q843" s="40"/>
      <c r="R843" s="40"/>
      <c r="S843" s="40"/>
      <c r="T843" s="40"/>
    </row>
    <row r="844" spans="1:20" ht="15.75">
      <c r="A844" s="13">
        <v>66841</v>
      </c>
      <c r="B844" s="48">
        <f t="shared" si="3"/>
        <v>31</v>
      </c>
      <c r="C844" s="39">
        <v>122.58</v>
      </c>
      <c r="D844" s="39">
        <v>297.94099999999997</v>
      </c>
      <c r="E844" s="45">
        <v>729.47900000000004</v>
      </c>
      <c r="F844" s="39">
        <v>1150</v>
      </c>
      <c r="G844" s="39">
        <v>100</v>
      </c>
      <c r="H844" s="47">
        <v>600</v>
      </c>
      <c r="I844" s="39">
        <v>695</v>
      </c>
      <c r="J844" s="39">
        <v>50</v>
      </c>
      <c r="K844" s="40"/>
      <c r="L844" s="40"/>
      <c r="M844" s="40"/>
      <c r="N844" s="40"/>
      <c r="O844" s="40"/>
      <c r="P844" s="40"/>
      <c r="Q844" s="40"/>
      <c r="R844" s="40"/>
      <c r="S844" s="40"/>
      <c r="T844" s="40"/>
    </row>
    <row r="845" spans="1:20" ht="15.75">
      <c r="A845" s="13">
        <v>66872</v>
      </c>
      <c r="B845" s="48">
        <f t="shared" si="3"/>
        <v>31</v>
      </c>
      <c r="C845" s="39">
        <v>122.58</v>
      </c>
      <c r="D845" s="39">
        <v>297.94099999999997</v>
      </c>
      <c r="E845" s="45">
        <v>729.47900000000004</v>
      </c>
      <c r="F845" s="39">
        <v>1150</v>
      </c>
      <c r="G845" s="39">
        <v>100</v>
      </c>
      <c r="H845" s="47">
        <v>600</v>
      </c>
      <c r="I845" s="39">
        <v>695</v>
      </c>
      <c r="J845" s="39">
        <v>50</v>
      </c>
      <c r="K845" s="40"/>
      <c r="L845" s="40"/>
      <c r="M845" s="40"/>
      <c r="N845" s="40"/>
      <c r="O845" s="40"/>
      <c r="P845" s="40"/>
      <c r="Q845" s="40"/>
      <c r="R845" s="40"/>
      <c r="S845" s="40"/>
      <c r="T845" s="40"/>
    </row>
    <row r="846" spans="1:20" ht="15.75">
      <c r="A846" s="13">
        <v>66900</v>
      </c>
      <c r="B846" s="48">
        <f t="shared" si="3"/>
        <v>28</v>
      </c>
      <c r="C846" s="39">
        <v>122.58</v>
      </c>
      <c r="D846" s="39">
        <v>297.94099999999997</v>
      </c>
      <c r="E846" s="45">
        <v>729.47900000000004</v>
      </c>
      <c r="F846" s="39">
        <v>1150</v>
      </c>
      <c r="G846" s="39">
        <v>100</v>
      </c>
      <c r="H846" s="47">
        <v>600</v>
      </c>
      <c r="I846" s="39">
        <v>695</v>
      </c>
      <c r="J846" s="39">
        <v>50</v>
      </c>
      <c r="K846" s="40"/>
      <c r="L846" s="40"/>
      <c r="M846" s="40"/>
      <c r="N846" s="40"/>
      <c r="O846" s="40"/>
      <c r="P846" s="40"/>
      <c r="Q846" s="40"/>
      <c r="R846" s="40"/>
      <c r="S846" s="40"/>
      <c r="T846" s="40"/>
    </row>
    <row r="847" spans="1:20" ht="15.75">
      <c r="A847" s="13">
        <v>66931</v>
      </c>
      <c r="B847" s="48">
        <f t="shared" si="3"/>
        <v>31</v>
      </c>
      <c r="C847" s="39">
        <v>122.58</v>
      </c>
      <c r="D847" s="39">
        <v>297.94099999999997</v>
      </c>
      <c r="E847" s="45">
        <v>729.47900000000004</v>
      </c>
      <c r="F847" s="39">
        <v>1150</v>
      </c>
      <c r="G847" s="39">
        <v>100</v>
      </c>
      <c r="H847" s="47">
        <v>600</v>
      </c>
      <c r="I847" s="39">
        <v>695</v>
      </c>
      <c r="J847" s="39">
        <v>50</v>
      </c>
      <c r="K847" s="40"/>
      <c r="L847" s="40"/>
      <c r="M847" s="40"/>
      <c r="N847" s="40"/>
      <c r="O847" s="40"/>
      <c r="P847" s="40"/>
      <c r="Q847" s="40"/>
      <c r="R847" s="40"/>
      <c r="S847" s="40"/>
      <c r="T847" s="40"/>
    </row>
    <row r="848" spans="1:20" ht="15.75">
      <c r="A848" s="13">
        <v>66961</v>
      </c>
      <c r="B848" s="48">
        <f t="shared" si="3"/>
        <v>30</v>
      </c>
      <c r="C848" s="39">
        <v>141.29300000000001</v>
      </c>
      <c r="D848" s="39">
        <v>267.99299999999999</v>
      </c>
      <c r="E848" s="45">
        <v>829.71400000000006</v>
      </c>
      <c r="F848" s="39">
        <v>1239</v>
      </c>
      <c r="G848" s="39">
        <v>100</v>
      </c>
      <c r="H848" s="47">
        <v>600</v>
      </c>
      <c r="I848" s="39">
        <v>695</v>
      </c>
      <c r="J848" s="39">
        <v>50</v>
      </c>
      <c r="K848" s="40"/>
      <c r="L848" s="40"/>
      <c r="M848" s="40"/>
      <c r="N848" s="40"/>
      <c r="O848" s="40"/>
      <c r="P848" s="40"/>
      <c r="Q848" s="40"/>
      <c r="R848" s="40"/>
      <c r="S848" s="40"/>
      <c r="T848" s="40"/>
    </row>
    <row r="849" spans="1:20" ht="15.75">
      <c r="A849" s="13">
        <v>66992</v>
      </c>
      <c r="B849" s="48">
        <f t="shared" ref="B849:B912" si="4">EOMONTH(A849,0)-EOMONTH(A849,-1)</f>
        <v>31</v>
      </c>
      <c r="C849" s="39">
        <v>194.20500000000001</v>
      </c>
      <c r="D849" s="39">
        <v>267.46600000000001</v>
      </c>
      <c r="E849" s="45">
        <v>812.32899999999995</v>
      </c>
      <c r="F849" s="39">
        <v>1274</v>
      </c>
      <c r="G849" s="39">
        <v>75</v>
      </c>
      <c r="H849" s="47">
        <v>600</v>
      </c>
      <c r="I849" s="39">
        <v>695</v>
      </c>
      <c r="J849" s="39">
        <v>50</v>
      </c>
      <c r="K849" s="40"/>
      <c r="L849" s="40"/>
      <c r="M849" s="40"/>
      <c r="N849" s="40"/>
      <c r="O849" s="40"/>
      <c r="P849" s="40"/>
      <c r="Q849" s="40"/>
      <c r="R849" s="40"/>
      <c r="S849" s="40"/>
      <c r="T849" s="40"/>
    </row>
    <row r="850" spans="1:20" ht="15.75">
      <c r="A850" s="13">
        <v>67022</v>
      </c>
      <c r="B850" s="48">
        <f t="shared" si="4"/>
        <v>30</v>
      </c>
      <c r="C850" s="39">
        <v>194.20500000000001</v>
      </c>
      <c r="D850" s="39">
        <v>267.46600000000001</v>
      </c>
      <c r="E850" s="45">
        <v>812.32899999999995</v>
      </c>
      <c r="F850" s="39">
        <v>1274</v>
      </c>
      <c r="G850" s="39">
        <v>50</v>
      </c>
      <c r="H850" s="47">
        <v>600</v>
      </c>
      <c r="I850" s="39">
        <v>695</v>
      </c>
      <c r="J850" s="39">
        <v>50</v>
      </c>
      <c r="K850" s="40"/>
      <c r="L850" s="40"/>
      <c r="M850" s="40"/>
      <c r="N850" s="40"/>
      <c r="O850" s="40"/>
      <c r="P850" s="40"/>
      <c r="Q850" s="40"/>
      <c r="R850" s="40"/>
      <c r="S850" s="40"/>
      <c r="T850" s="40"/>
    </row>
    <row r="851" spans="1:20" ht="15.75">
      <c r="A851" s="13">
        <v>67053</v>
      </c>
      <c r="B851" s="48">
        <f t="shared" si="4"/>
        <v>31</v>
      </c>
      <c r="C851" s="39">
        <v>194.20500000000001</v>
      </c>
      <c r="D851" s="39">
        <v>267.46600000000001</v>
      </c>
      <c r="E851" s="45">
        <v>812.32899999999995</v>
      </c>
      <c r="F851" s="39">
        <v>1274</v>
      </c>
      <c r="G851" s="39">
        <v>50</v>
      </c>
      <c r="H851" s="47">
        <v>600</v>
      </c>
      <c r="I851" s="39">
        <v>695</v>
      </c>
      <c r="J851" s="39">
        <v>0</v>
      </c>
      <c r="K851" s="40"/>
      <c r="L851" s="40"/>
      <c r="M851" s="40"/>
      <c r="N851" s="40"/>
      <c r="O851" s="40"/>
      <c r="P851" s="40"/>
      <c r="Q851" s="40"/>
      <c r="R851" s="40"/>
      <c r="S851" s="40"/>
      <c r="T851" s="40"/>
    </row>
    <row r="852" spans="1:20" ht="15.75">
      <c r="A852" s="13">
        <v>67084</v>
      </c>
      <c r="B852" s="48">
        <f t="shared" si="4"/>
        <v>31</v>
      </c>
      <c r="C852" s="39">
        <v>194.20500000000001</v>
      </c>
      <c r="D852" s="39">
        <v>267.46600000000001</v>
      </c>
      <c r="E852" s="45">
        <v>812.32899999999995</v>
      </c>
      <c r="F852" s="39">
        <v>1274</v>
      </c>
      <c r="G852" s="39">
        <v>50</v>
      </c>
      <c r="H852" s="47">
        <v>600</v>
      </c>
      <c r="I852" s="39">
        <v>695</v>
      </c>
      <c r="J852" s="39">
        <v>0</v>
      </c>
      <c r="K852" s="40"/>
      <c r="L852" s="40"/>
      <c r="M852" s="40"/>
      <c r="N852" s="40"/>
      <c r="O852" s="40"/>
      <c r="P852" s="40"/>
      <c r="Q852" s="40"/>
      <c r="R852" s="40"/>
      <c r="S852" s="40"/>
      <c r="T852" s="40"/>
    </row>
    <row r="853" spans="1:20" ht="15.75">
      <c r="A853" s="13">
        <v>67114</v>
      </c>
      <c r="B853" s="48">
        <f t="shared" si="4"/>
        <v>30</v>
      </c>
      <c r="C853" s="39">
        <v>194.20500000000001</v>
      </c>
      <c r="D853" s="39">
        <v>267.46600000000001</v>
      </c>
      <c r="E853" s="45">
        <v>812.32899999999995</v>
      </c>
      <c r="F853" s="39">
        <v>1274</v>
      </c>
      <c r="G853" s="39">
        <v>50</v>
      </c>
      <c r="H853" s="47">
        <v>600</v>
      </c>
      <c r="I853" s="39">
        <v>695</v>
      </c>
      <c r="J853" s="39">
        <v>0</v>
      </c>
      <c r="K853" s="40"/>
      <c r="L853" s="40"/>
      <c r="M853" s="40"/>
      <c r="N853" s="40"/>
      <c r="O853" s="40"/>
      <c r="P853" s="40"/>
      <c r="Q853" s="40"/>
      <c r="R853" s="40"/>
      <c r="S853" s="40"/>
      <c r="T853" s="40"/>
    </row>
    <row r="854" spans="1:20" ht="15.75">
      <c r="A854" s="13">
        <v>67145</v>
      </c>
      <c r="B854" s="48">
        <f t="shared" si="4"/>
        <v>31</v>
      </c>
      <c r="C854" s="39">
        <v>131.881</v>
      </c>
      <c r="D854" s="39">
        <v>277.16699999999997</v>
      </c>
      <c r="E854" s="45">
        <v>829.952</v>
      </c>
      <c r="F854" s="39">
        <v>1239</v>
      </c>
      <c r="G854" s="39">
        <v>75</v>
      </c>
      <c r="H854" s="47">
        <v>600</v>
      </c>
      <c r="I854" s="39">
        <v>695</v>
      </c>
      <c r="J854" s="39">
        <v>0</v>
      </c>
      <c r="K854" s="40"/>
      <c r="L854" s="40"/>
      <c r="M854" s="40"/>
      <c r="N854" s="40"/>
      <c r="O854" s="40"/>
      <c r="P854" s="40"/>
      <c r="Q854" s="40"/>
      <c r="R854" s="40"/>
      <c r="S854" s="40"/>
      <c r="T854" s="40"/>
    </row>
    <row r="855" spans="1:20" ht="15.75">
      <c r="A855" s="13">
        <v>67175</v>
      </c>
      <c r="B855" s="48">
        <f t="shared" si="4"/>
        <v>30</v>
      </c>
      <c r="C855" s="39">
        <v>122.58</v>
      </c>
      <c r="D855" s="39">
        <v>297.94099999999997</v>
      </c>
      <c r="E855" s="45">
        <v>729.47900000000004</v>
      </c>
      <c r="F855" s="39">
        <v>1150</v>
      </c>
      <c r="G855" s="39">
        <v>100</v>
      </c>
      <c r="H855" s="47">
        <v>600</v>
      </c>
      <c r="I855" s="39">
        <v>695</v>
      </c>
      <c r="J855" s="39">
        <v>50</v>
      </c>
      <c r="K855" s="40"/>
      <c r="L855" s="40"/>
      <c r="M855" s="40"/>
      <c r="N855" s="40"/>
      <c r="O855" s="40"/>
      <c r="P855" s="40"/>
      <c r="Q855" s="40"/>
      <c r="R855" s="40"/>
      <c r="S855" s="40"/>
      <c r="T855" s="40"/>
    </row>
    <row r="856" spans="1:20" ht="15.75">
      <c r="A856" s="13">
        <v>67206</v>
      </c>
      <c r="B856" s="48">
        <f t="shared" si="4"/>
        <v>31</v>
      </c>
      <c r="C856" s="39">
        <v>122.58</v>
      </c>
      <c r="D856" s="39">
        <v>297.94099999999997</v>
      </c>
      <c r="E856" s="45">
        <v>729.47900000000004</v>
      </c>
      <c r="F856" s="39">
        <v>1150</v>
      </c>
      <c r="G856" s="39">
        <v>100</v>
      </c>
      <c r="H856" s="47">
        <v>600</v>
      </c>
      <c r="I856" s="39">
        <v>695</v>
      </c>
      <c r="J856" s="39">
        <v>50</v>
      </c>
      <c r="K856" s="40"/>
      <c r="L856" s="40"/>
      <c r="M856" s="40"/>
      <c r="N856" s="40"/>
      <c r="O856" s="40"/>
      <c r="P856" s="40"/>
      <c r="Q856" s="40"/>
      <c r="R856" s="40"/>
      <c r="S856" s="40"/>
      <c r="T856" s="40"/>
    </row>
    <row r="857" spans="1:20" ht="15.75">
      <c r="A857" s="13">
        <v>67237</v>
      </c>
      <c r="B857" s="48">
        <f t="shared" si="4"/>
        <v>31</v>
      </c>
      <c r="C857" s="39">
        <v>122.58</v>
      </c>
      <c r="D857" s="39">
        <v>297.94099999999997</v>
      </c>
      <c r="E857" s="45">
        <v>729.47900000000004</v>
      </c>
      <c r="F857" s="39">
        <v>1150</v>
      </c>
      <c r="G857" s="39">
        <v>100</v>
      </c>
      <c r="H857" s="47">
        <v>600</v>
      </c>
      <c r="I857" s="39">
        <v>695</v>
      </c>
      <c r="J857" s="39">
        <v>50</v>
      </c>
      <c r="K857" s="40"/>
      <c r="L857" s="40"/>
      <c r="M857" s="40"/>
      <c r="N857" s="40"/>
      <c r="O857" s="40"/>
      <c r="P857" s="40"/>
      <c r="Q857" s="40"/>
      <c r="R857" s="40"/>
      <c r="S857" s="40"/>
      <c r="T857" s="40"/>
    </row>
    <row r="858" spans="1:20" ht="15.75">
      <c r="A858" s="13">
        <v>67266</v>
      </c>
      <c r="B858" s="48">
        <f t="shared" si="4"/>
        <v>29</v>
      </c>
      <c r="C858" s="39">
        <v>122.58</v>
      </c>
      <c r="D858" s="39">
        <v>297.94099999999997</v>
      </c>
      <c r="E858" s="45">
        <v>729.47900000000004</v>
      </c>
      <c r="F858" s="39">
        <v>1150</v>
      </c>
      <c r="G858" s="39">
        <v>100</v>
      </c>
      <c r="H858" s="47">
        <v>600</v>
      </c>
      <c r="I858" s="39">
        <v>695</v>
      </c>
      <c r="J858" s="39">
        <v>50</v>
      </c>
      <c r="K858" s="40"/>
      <c r="L858" s="40"/>
      <c r="M858" s="40"/>
      <c r="N858" s="40"/>
      <c r="O858" s="40"/>
      <c r="P858" s="40"/>
      <c r="Q858" s="40"/>
      <c r="R858" s="40"/>
      <c r="S858" s="40"/>
      <c r="T858" s="40"/>
    </row>
    <row r="859" spans="1:20" ht="15.75">
      <c r="A859" s="13">
        <v>67297</v>
      </c>
      <c r="B859" s="48">
        <f t="shared" si="4"/>
        <v>31</v>
      </c>
      <c r="C859" s="39">
        <v>122.58</v>
      </c>
      <c r="D859" s="39">
        <v>297.94099999999997</v>
      </c>
      <c r="E859" s="45">
        <v>729.47900000000004</v>
      </c>
      <c r="F859" s="39">
        <v>1150</v>
      </c>
      <c r="G859" s="39">
        <v>100</v>
      </c>
      <c r="H859" s="47">
        <v>600</v>
      </c>
      <c r="I859" s="39">
        <v>695</v>
      </c>
      <c r="J859" s="39">
        <v>50</v>
      </c>
      <c r="K859" s="40"/>
      <c r="L859" s="40"/>
      <c r="M859" s="40"/>
      <c r="N859" s="40"/>
      <c r="O859" s="40"/>
      <c r="P859" s="40"/>
      <c r="Q859" s="40"/>
      <c r="R859" s="40"/>
      <c r="S859" s="40"/>
      <c r="T859" s="40"/>
    </row>
    <row r="860" spans="1:20" ht="15.75">
      <c r="A860" s="13">
        <v>67327</v>
      </c>
      <c r="B860" s="48">
        <f t="shared" si="4"/>
        <v>30</v>
      </c>
      <c r="C860" s="39">
        <v>141.29300000000001</v>
      </c>
      <c r="D860" s="39">
        <v>267.99299999999999</v>
      </c>
      <c r="E860" s="45">
        <v>829.71400000000006</v>
      </c>
      <c r="F860" s="39">
        <v>1239</v>
      </c>
      <c r="G860" s="39">
        <v>100</v>
      </c>
      <c r="H860" s="47">
        <v>600</v>
      </c>
      <c r="I860" s="39">
        <v>695</v>
      </c>
      <c r="J860" s="39">
        <v>50</v>
      </c>
      <c r="K860" s="40"/>
      <c r="L860" s="40"/>
      <c r="M860" s="40"/>
      <c r="N860" s="40"/>
      <c r="O860" s="40"/>
      <c r="P860" s="40"/>
      <c r="Q860" s="40"/>
      <c r="R860" s="40"/>
      <c r="S860" s="40"/>
      <c r="T860" s="40"/>
    </row>
    <row r="861" spans="1:20" ht="15.75">
      <c r="A861" s="13">
        <v>67358</v>
      </c>
      <c r="B861" s="48">
        <f t="shared" si="4"/>
        <v>31</v>
      </c>
      <c r="C861" s="39">
        <v>194.20500000000001</v>
      </c>
      <c r="D861" s="39">
        <v>267.46600000000001</v>
      </c>
      <c r="E861" s="45">
        <v>812.32899999999995</v>
      </c>
      <c r="F861" s="39">
        <v>1274</v>
      </c>
      <c r="G861" s="39">
        <v>75</v>
      </c>
      <c r="H861" s="47">
        <v>600</v>
      </c>
      <c r="I861" s="39">
        <v>695</v>
      </c>
      <c r="J861" s="39">
        <v>50</v>
      </c>
      <c r="K861" s="40"/>
      <c r="L861" s="40"/>
      <c r="M861" s="40"/>
      <c r="N861" s="40"/>
      <c r="O861" s="40"/>
      <c r="P861" s="40"/>
      <c r="Q861" s="40"/>
      <c r="R861" s="40"/>
      <c r="S861" s="40"/>
      <c r="T861" s="40"/>
    </row>
    <row r="862" spans="1:20" ht="15.75">
      <c r="A862" s="13">
        <v>67388</v>
      </c>
      <c r="B862" s="48">
        <f t="shared" si="4"/>
        <v>30</v>
      </c>
      <c r="C862" s="39">
        <v>194.20500000000001</v>
      </c>
      <c r="D862" s="39">
        <v>267.46600000000001</v>
      </c>
      <c r="E862" s="45">
        <v>812.32899999999995</v>
      </c>
      <c r="F862" s="39">
        <v>1274</v>
      </c>
      <c r="G862" s="39">
        <v>50</v>
      </c>
      <c r="H862" s="47">
        <v>600</v>
      </c>
      <c r="I862" s="39">
        <v>695</v>
      </c>
      <c r="J862" s="39">
        <v>50</v>
      </c>
      <c r="K862" s="40"/>
      <c r="L862" s="40"/>
      <c r="M862" s="40"/>
      <c r="N862" s="40"/>
      <c r="O862" s="40"/>
      <c r="P862" s="40"/>
      <c r="Q862" s="40"/>
      <c r="R862" s="40"/>
      <c r="S862" s="40"/>
      <c r="T862" s="40"/>
    </row>
    <row r="863" spans="1:20" ht="15.75">
      <c r="A863" s="13">
        <v>67419</v>
      </c>
      <c r="B863" s="48">
        <f t="shared" si="4"/>
        <v>31</v>
      </c>
      <c r="C863" s="39">
        <v>194.20500000000001</v>
      </c>
      <c r="D863" s="39">
        <v>267.46600000000001</v>
      </c>
      <c r="E863" s="45">
        <v>812.32899999999995</v>
      </c>
      <c r="F863" s="39">
        <v>1274</v>
      </c>
      <c r="G863" s="39">
        <v>50</v>
      </c>
      <c r="H863" s="47">
        <v>600</v>
      </c>
      <c r="I863" s="39">
        <v>695</v>
      </c>
      <c r="J863" s="39">
        <v>0</v>
      </c>
      <c r="K863" s="40"/>
      <c r="L863" s="40"/>
      <c r="M863" s="40"/>
      <c r="N863" s="40"/>
      <c r="O863" s="40"/>
      <c r="P863" s="40"/>
      <c r="Q863" s="40"/>
      <c r="R863" s="40"/>
      <c r="S863" s="40"/>
      <c r="T863" s="40"/>
    </row>
    <row r="864" spans="1:20" ht="15.75">
      <c r="A864" s="13">
        <v>67450</v>
      </c>
      <c r="B864" s="48">
        <f t="shared" si="4"/>
        <v>31</v>
      </c>
      <c r="C864" s="39">
        <v>194.20500000000001</v>
      </c>
      <c r="D864" s="39">
        <v>267.46600000000001</v>
      </c>
      <c r="E864" s="45">
        <v>812.32899999999995</v>
      </c>
      <c r="F864" s="39">
        <v>1274</v>
      </c>
      <c r="G864" s="39">
        <v>50</v>
      </c>
      <c r="H864" s="47">
        <v>600</v>
      </c>
      <c r="I864" s="39">
        <v>695</v>
      </c>
      <c r="J864" s="39">
        <v>0</v>
      </c>
      <c r="K864" s="40"/>
      <c r="L864" s="40"/>
      <c r="M864" s="40"/>
      <c r="N864" s="40"/>
      <c r="O864" s="40"/>
      <c r="P864" s="40"/>
      <c r="Q864" s="40"/>
      <c r="R864" s="40"/>
      <c r="S864" s="40"/>
      <c r="T864" s="40"/>
    </row>
    <row r="865" spans="1:20" ht="15.75">
      <c r="A865" s="13">
        <v>67480</v>
      </c>
      <c r="B865" s="48">
        <f t="shared" si="4"/>
        <v>30</v>
      </c>
      <c r="C865" s="39">
        <v>194.20500000000001</v>
      </c>
      <c r="D865" s="39">
        <v>267.46600000000001</v>
      </c>
      <c r="E865" s="45">
        <v>812.32899999999995</v>
      </c>
      <c r="F865" s="39">
        <v>1274</v>
      </c>
      <c r="G865" s="39">
        <v>50</v>
      </c>
      <c r="H865" s="47">
        <v>600</v>
      </c>
      <c r="I865" s="39">
        <v>695</v>
      </c>
      <c r="J865" s="39">
        <v>0</v>
      </c>
      <c r="K865" s="40"/>
      <c r="L865" s="40"/>
      <c r="M865" s="40"/>
      <c r="N865" s="40"/>
      <c r="O865" s="40"/>
      <c r="P865" s="40"/>
      <c r="Q865" s="40"/>
      <c r="R865" s="40"/>
      <c r="S865" s="40"/>
      <c r="T865" s="40"/>
    </row>
    <row r="866" spans="1:20" ht="15.75">
      <c r="A866" s="13">
        <v>67511</v>
      </c>
      <c r="B866" s="48">
        <f t="shared" si="4"/>
        <v>31</v>
      </c>
      <c r="C866" s="39">
        <v>131.881</v>
      </c>
      <c r="D866" s="39">
        <v>277.16699999999997</v>
      </c>
      <c r="E866" s="45">
        <v>829.952</v>
      </c>
      <c r="F866" s="39">
        <v>1239</v>
      </c>
      <c r="G866" s="39">
        <v>75</v>
      </c>
      <c r="H866" s="47">
        <v>600</v>
      </c>
      <c r="I866" s="39">
        <v>695</v>
      </c>
      <c r="J866" s="39">
        <v>0</v>
      </c>
      <c r="K866" s="40"/>
      <c r="L866" s="40"/>
      <c r="M866" s="40"/>
      <c r="N866" s="40"/>
      <c r="O866" s="40"/>
      <c r="P866" s="40"/>
      <c r="Q866" s="40"/>
      <c r="R866" s="40"/>
      <c r="S866" s="40"/>
      <c r="T866" s="40"/>
    </row>
    <row r="867" spans="1:20" ht="15.75">
      <c r="A867" s="13">
        <v>67541</v>
      </c>
      <c r="B867" s="48">
        <f t="shared" si="4"/>
        <v>30</v>
      </c>
      <c r="C867" s="39">
        <v>122.58</v>
      </c>
      <c r="D867" s="39">
        <v>297.94099999999997</v>
      </c>
      <c r="E867" s="45">
        <v>729.47900000000004</v>
      </c>
      <c r="F867" s="39">
        <v>1150</v>
      </c>
      <c r="G867" s="39">
        <v>100</v>
      </c>
      <c r="H867" s="47">
        <v>600</v>
      </c>
      <c r="I867" s="39">
        <v>695</v>
      </c>
      <c r="J867" s="39">
        <v>50</v>
      </c>
      <c r="K867" s="40"/>
      <c r="L867" s="40"/>
      <c r="M867" s="40"/>
      <c r="N867" s="40"/>
      <c r="O867" s="40"/>
      <c r="P867" s="40"/>
      <c r="Q867" s="40"/>
      <c r="R867" s="40"/>
      <c r="S867" s="40"/>
      <c r="T867" s="40"/>
    </row>
    <row r="868" spans="1:20" ht="15.75">
      <c r="A868" s="13">
        <v>67572</v>
      </c>
      <c r="B868" s="48">
        <f t="shared" si="4"/>
        <v>31</v>
      </c>
      <c r="C868" s="39">
        <v>122.58</v>
      </c>
      <c r="D868" s="39">
        <v>297.94099999999997</v>
      </c>
      <c r="E868" s="45">
        <v>729.47900000000004</v>
      </c>
      <c r="F868" s="39">
        <v>1150</v>
      </c>
      <c r="G868" s="39">
        <v>100</v>
      </c>
      <c r="H868" s="47">
        <v>600</v>
      </c>
      <c r="I868" s="39">
        <v>695</v>
      </c>
      <c r="J868" s="39">
        <v>50</v>
      </c>
      <c r="K868" s="40"/>
      <c r="L868" s="40"/>
      <c r="M868" s="40"/>
      <c r="N868" s="40"/>
      <c r="O868" s="40"/>
      <c r="P868" s="40"/>
      <c r="Q868" s="40"/>
      <c r="R868" s="40"/>
      <c r="S868" s="40"/>
      <c r="T868" s="40"/>
    </row>
    <row r="869" spans="1:20" ht="15.75">
      <c r="A869" s="13">
        <v>67603</v>
      </c>
      <c r="B869" s="48">
        <f t="shared" si="4"/>
        <v>31</v>
      </c>
      <c r="C869" s="39">
        <v>122.58</v>
      </c>
      <c r="D869" s="39">
        <v>297.94099999999997</v>
      </c>
      <c r="E869" s="45">
        <v>729.47900000000004</v>
      </c>
      <c r="F869" s="39">
        <v>1150</v>
      </c>
      <c r="G869" s="39">
        <v>100</v>
      </c>
      <c r="H869" s="47">
        <v>600</v>
      </c>
      <c r="I869" s="39">
        <v>695</v>
      </c>
      <c r="J869" s="39">
        <v>50</v>
      </c>
      <c r="K869" s="40"/>
      <c r="L869" s="40"/>
      <c r="M869" s="40"/>
      <c r="N869" s="40"/>
      <c r="O869" s="40"/>
      <c r="P869" s="40"/>
      <c r="Q869" s="40"/>
      <c r="R869" s="40"/>
      <c r="S869" s="40"/>
      <c r="T869" s="40"/>
    </row>
    <row r="870" spans="1:20" ht="15.75">
      <c r="A870" s="13">
        <v>67631</v>
      </c>
      <c r="B870" s="48">
        <f t="shared" si="4"/>
        <v>28</v>
      </c>
      <c r="C870" s="39">
        <v>122.58</v>
      </c>
      <c r="D870" s="39">
        <v>297.94099999999997</v>
      </c>
      <c r="E870" s="45">
        <v>729.47900000000004</v>
      </c>
      <c r="F870" s="39">
        <v>1150</v>
      </c>
      <c r="G870" s="39">
        <v>100</v>
      </c>
      <c r="H870" s="47">
        <v>600</v>
      </c>
      <c r="I870" s="39">
        <v>695</v>
      </c>
      <c r="J870" s="39">
        <v>50</v>
      </c>
      <c r="K870" s="40"/>
      <c r="L870" s="40"/>
      <c r="M870" s="40"/>
      <c r="N870" s="40"/>
      <c r="O870" s="40"/>
      <c r="P870" s="40"/>
      <c r="Q870" s="40"/>
      <c r="R870" s="40"/>
      <c r="S870" s="40"/>
      <c r="T870" s="40"/>
    </row>
    <row r="871" spans="1:20" ht="15.75">
      <c r="A871" s="13">
        <v>67662</v>
      </c>
      <c r="B871" s="48">
        <f t="shared" si="4"/>
        <v>31</v>
      </c>
      <c r="C871" s="39">
        <v>122.58</v>
      </c>
      <c r="D871" s="39">
        <v>297.94099999999997</v>
      </c>
      <c r="E871" s="45">
        <v>729.47900000000004</v>
      </c>
      <c r="F871" s="39">
        <v>1150</v>
      </c>
      <c r="G871" s="39">
        <v>100</v>
      </c>
      <c r="H871" s="47">
        <v>600</v>
      </c>
      <c r="I871" s="39">
        <v>695</v>
      </c>
      <c r="J871" s="39">
        <v>50</v>
      </c>
      <c r="K871" s="40"/>
      <c r="L871" s="40"/>
      <c r="M871" s="40"/>
      <c r="N871" s="40"/>
      <c r="O871" s="40"/>
      <c r="P871" s="40"/>
      <c r="Q871" s="40"/>
      <c r="R871" s="40"/>
      <c r="S871" s="40"/>
      <c r="T871" s="40"/>
    </row>
    <row r="872" spans="1:20" ht="15.75">
      <c r="A872" s="13">
        <v>67692</v>
      </c>
      <c r="B872" s="48">
        <f t="shared" si="4"/>
        <v>30</v>
      </c>
      <c r="C872" s="39">
        <v>141.29300000000001</v>
      </c>
      <c r="D872" s="39">
        <v>267.99299999999999</v>
      </c>
      <c r="E872" s="45">
        <v>829.71400000000006</v>
      </c>
      <c r="F872" s="39">
        <v>1239</v>
      </c>
      <c r="G872" s="39">
        <v>100</v>
      </c>
      <c r="H872" s="47">
        <v>600</v>
      </c>
      <c r="I872" s="39">
        <v>695</v>
      </c>
      <c r="J872" s="39">
        <v>50</v>
      </c>
      <c r="K872" s="40"/>
      <c r="L872" s="40"/>
      <c r="M872" s="40"/>
      <c r="N872" s="40"/>
      <c r="O872" s="40"/>
      <c r="P872" s="40"/>
      <c r="Q872" s="40"/>
      <c r="R872" s="40"/>
      <c r="S872" s="40"/>
      <c r="T872" s="40"/>
    </row>
    <row r="873" spans="1:20" ht="15.75">
      <c r="A873" s="13">
        <v>67723</v>
      </c>
      <c r="B873" s="48">
        <f t="shared" si="4"/>
        <v>31</v>
      </c>
      <c r="C873" s="39">
        <v>194.20500000000001</v>
      </c>
      <c r="D873" s="39">
        <v>267.46600000000001</v>
      </c>
      <c r="E873" s="45">
        <v>812.32899999999995</v>
      </c>
      <c r="F873" s="39">
        <v>1274</v>
      </c>
      <c r="G873" s="39">
        <v>75</v>
      </c>
      <c r="H873" s="47">
        <v>600</v>
      </c>
      <c r="I873" s="39">
        <v>695</v>
      </c>
      <c r="J873" s="39">
        <v>50</v>
      </c>
      <c r="K873" s="40"/>
      <c r="L873" s="40"/>
      <c r="M873" s="40"/>
      <c r="N873" s="40"/>
      <c r="O873" s="40"/>
      <c r="P873" s="40"/>
      <c r="Q873" s="40"/>
      <c r="R873" s="40"/>
      <c r="S873" s="40"/>
      <c r="T873" s="40"/>
    </row>
    <row r="874" spans="1:20" ht="15.75">
      <c r="A874" s="13">
        <v>67753</v>
      </c>
      <c r="B874" s="48">
        <f t="shared" si="4"/>
        <v>30</v>
      </c>
      <c r="C874" s="39">
        <v>194.20500000000001</v>
      </c>
      <c r="D874" s="39">
        <v>267.46600000000001</v>
      </c>
      <c r="E874" s="45">
        <v>812.32899999999995</v>
      </c>
      <c r="F874" s="39">
        <v>1274</v>
      </c>
      <c r="G874" s="39">
        <v>50</v>
      </c>
      <c r="H874" s="47">
        <v>600</v>
      </c>
      <c r="I874" s="39">
        <v>695</v>
      </c>
      <c r="J874" s="39">
        <v>50</v>
      </c>
      <c r="K874" s="40"/>
      <c r="L874" s="40"/>
      <c r="M874" s="40"/>
      <c r="N874" s="40"/>
      <c r="O874" s="40"/>
      <c r="P874" s="40"/>
      <c r="Q874" s="40"/>
      <c r="R874" s="40"/>
      <c r="S874" s="40"/>
      <c r="T874" s="40"/>
    </row>
    <row r="875" spans="1:20" ht="15.75">
      <c r="A875" s="13">
        <v>67784</v>
      </c>
      <c r="B875" s="48">
        <f t="shared" si="4"/>
        <v>31</v>
      </c>
      <c r="C875" s="39">
        <v>194.20500000000001</v>
      </c>
      <c r="D875" s="39">
        <v>267.46600000000001</v>
      </c>
      <c r="E875" s="45">
        <v>812.32899999999995</v>
      </c>
      <c r="F875" s="39">
        <v>1274</v>
      </c>
      <c r="G875" s="39">
        <v>50</v>
      </c>
      <c r="H875" s="47">
        <v>600</v>
      </c>
      <c r="I875" s="39">
        <v>695</v>
      </c>
      <c r="J875" s="39">
        <v>0</v>
      </c>
      <c r="K875" s="40"/>
      <c r="L875" s="40"/>
      <c r="M875" s="40"/>
      <c r="N875" s="40"/>
      <c r="O875" s="40"/>
      <c r="P875" s="40"/>
      <c r="Q875" s="40"/>
      <c r="R875" s="40"/>
      <c r="S875" s="40"/>
      <c r="T875" s="40"/>
    </row>
    <row r="876" spans="1:20" ht="15.75">
      <c r="A876" s="13">
        <v>67815</v>
      </c>
      <c r="B876" s="48">
        <f t="shared" si="4"/>
        <v>31</v>
      </c>
      <c r="C876" s="39">
        <v>194.20500000000001</v>
      </c>
      <c r="D876" s="39">
        <v>267.46600000000001</v>
      </c>
      <c r="E876" s="45">
        <v>812.32899999999995</v>
      </c>
      <c r="F876" s="39">
        <v>1274</v>
      </c>
      <c r="G876" s="39">
        <v>50</v>
      </c>
      <c r="H876" s="47">
        <v>600</v>
      </c>
      <c r="I876" s="39">
        <v>695</v>
      </c>
      <c r="J876" s="39">
        <v>0</v>
      </c>
      <c r="K876" s="40"/>
      <c r="L876" s="40"/>
      <c r="M876" s="40"/>
      <c r="N876" s="40"/>
      <c r="O876" s="40"/>
      <c r="P876" s="40"/>
      <c r="Q876" s="40"/>
      <c r="R876" s="40"/>
      <c r="S876" s="40"/>
      <c r="T876" s="40"/>
    </row>
    <row r="877" spans="1:20" ht="15.75">
      <c r="A877" s="13">
        <v>67845</v>
      </c>
      <c r="B877" s="48">
        <f t="shared" si="4"/>
        <v>30</v>
      </c>
      <c r="C877" s="39">
        <v>194.20500000000001</v>
      </c>
      <c r="D877" s="39">
        <v>267.46600000000001</v>
      </c>
      <c r="E877" s="45">
        <v>812.32899999999995</v>
      </c>
      <c r="F877" s="39">
        <v>1274</v>
      </c>
      <c r="G877" s="39">
        <v>50</v>
      </c>
      <c r="H877" s="47">
        <v>600</v>
      </c>
      <c r="I877" s="39">
        <v>695</v>
      </c>
      <c r="J877" s="39">
        <v>0</v>
      </c>
      <c r="K877" s="40"/>
      <c r="L877" s="40"/>
      <c r="M877" s="40"/>
      <c r="N877" s="40"/>
      <c r="O877" s="40"/>
      <c r="P877" s="40"/>
      <c r="Q877" s="40"/>
      <c r="R877" s="40"/>
      <c r="S877" s="40"/>
      <c r="T877" s="40"/>
    </row>
    <row r="878" spans="1:20" ht="15.75">
      <c r="A878" s="13">
        <v>67876</v>
      </c>
      <c r="B878" s="48">
        <f t="shared" si="4"/>
        <v>31</v>
      </c>
      <c r="C878" s="39">
        <v>131.881</v>
      </c>
      <c r="D878" s="39">
        <v>277.16699999999997</v>
      </c>
      <c r="E878" s="45">
        <v>829.952</v>
      </c>
      <c r="F878" s="39">
        <v>1239</v>
      </c>
      <c r="G878" s="39">
        <v>75</v>
      </c>
      <c r="H878" s="47">
        <v>600</v>
      </c>
      <c r="I878" s="39">
        <v>695</v>
      </c>
      <c r="J878" s="39">
        <v>0</v>
      </c>
      <c r="K878" s="40"/>
      <c r="L878" s="40"/>
      <c r="M878" s="40"/>
      <c r="N878" s="40"/>
      <c r="O878" s="40"/>
      <c r="P878" s="40"/>
      <c r="Q878" s="40"/>
      <c r="R878" s="40"/>
      <c r="S878" s="40"/>
      <c r="T878" s="40"/>
    </row>
    <row r="879" spans="1:20" ht="15.75">
      <c r="A879" s="13">
        <v>67906</v>
      </c>
      <c r="B879" s="48">
        <f t="shared" si="4"/>
        <v>30</v>
      </c>
      <c r="C879" s="39">
        <v>122.58</v>
      </c>
      <c r="D879" s="39">
        <v>297.94099999999997</v>
      </c>
      <c r="E879" s="45">
        <v>729.47900000000004</v>
      </c>
      <c r="F879" s="39">
        <v>1150</v>
      </c>
      <c r="G879" s="39">
        <v>100</v>
      </c>
      <c r="H879" s="47">
        <v>600</v>
      </c>
      <c r="I879" s="39">
        <v>695</v>
      </c>
      <c r="J879" s="39">
        <v>50</v>
      </c>
      <c r="K879" s="40"/>
      <c r="L879" s="40"/>
      <c r="M879" s="40"/>
      <c r="N879" s="40"/>
      <c r="O879" s="40"/>
      <c r="P879" s="40"/>
      <c r="Q879" s="40"/>
      <c r="R879" s="40"/>
      <c r="S879" s="40"/>
      <c r="T879" s="40"/>
    </row>
    <row r="880" spans="1:20" ht="15.75">
      <c r="A880" s="13">
        <v>67937</v>
      </c>
      <c r="B880" s="48">
        <f t="shared" si="4"/>
        <v>31</v>
      </c>
      <c r="C880" s="39">
        <v>122.58</v>
      </c>
      <c r="D880" s="39">
        <v>297.94099999999997</v>
      </c>
      <c r="E880" s="45">
        <v>729.47900000000004</v>
      </c>
      <c r="F880" s="39">
        <v>1150</v>
      </c>
      <c r="G880" s="39">
        <v>100</v>
      </c>
      <c r="H880" s="47">
        <v>600</v>
      </c>
      <c r="I880" s="39">
        <v>695</v>
      </c>
      <c r="J880" s="39">
        <v>50</v>
      </c>
      <c r="K880" s="40"/>
      <c r="L880" s="40"/>
      <c r="M880" s="40"/>
      <c r="N880" s="40"/>
      <c r="O880" s="40"/>
      <c r="P880" s="40"/>
      <c r="Q880" s="40"/>
      <c r="R880" s="40"/>
      <c r="S880" s="40"/>
      <c r="T880" s="40"/>
    </row>
    <row r="881" spans="1:20" ht="15.75">
      <c r="A881" s="13">
        <v>67968</v>
      </c>
      <c r="B881" s="48">
        <f t="shared" si="4"/>
        <v>31</v>
      </c>
      <c r="C881" s="39">
        <v>122.58</v>
      </c>
      <c r="D881" s="39">
        <v>297.94099999999997</v>
      </c>
      <c r="E881" s="45">
        <v>729.47900000000004</v>
      </c>
      <c r="F881" s="39">
        <v>1150</v>
      </c>
      <c r="G881" s="39">
        <v>100</v>
      </c>
      <c r="H881" s="47">
        <v>600</v>
      </c>
      <c r="I881" s="39">
        <v>695</v>
      </c>
      <c r="J881" s="39">
        <v>50</v>
      </c>
      <c r="K881" s="40"/>
      <c r="L881" s="40"/>
      <c r="M881" s="40"/>
      <c r="N881" s="40"/>
      <c r="O881" s="40"/>
      <c r="P881" s="40"/>
      <c r="Q881" s="40"/>
      <c r="R881" s="40"/>
      <c r="S881" s="40"/>
      <c r="T881" s="40"/>
    </row>
    <row r="882" spans="1:20" ht="15.75">
      <c r="A882" s="13">
        <v>67996</v>
      </c>
      <c r="B882" s="48">
        <f t="shared" si="4"/>
        <v>28</v>
      </c>
      <c r="C882" s="39">
        <v>122.58</v>
      </c>
      <c r="D882" s="39">
        <v>297.94099999999997</v>
      </c>
      <c r="E882" s="45">
        <v>729.47900000000004</v>
      </c>
      <c r="F882" s="39">
        <v>1150</v>
      </c>
      <c r="G882" s="39">
        <v>100</v>
      </c>
      <c r="H882" s="47">
        <v>600</v>
      </c>
      <c r="I882" s="39">
        <v>695</v>
      </c>
      <c r="J882" s="39">
        <v>50</v>
      </c>
      <c r="K882" s="40"/>
      <c r="L882" s="40"/>
      <c r="M882" s="40"/>
      <c r="N882" s="40"/>
      <c r="O882" s="40"/>
      <c r="P882" s="40"/>
      <c r="Q882" s="40"/>
      <c r="R882" s="40"/>
      <c r="S882" s="40"/>
      <c r="T882" s="40"/>
    </row>
    <row r="883" spans="1:20" ht="15.75">
      <c r="A883" s="13">
        <v>68027</v>
      </c>
      <c r="B883" s="48">
        <f t="shared" si="4"/>
        <v>31</v>
      </c>
      <c r="C883" s="39">
        <v>122.58</v>
      </c>
      <c r="D883" s="39">
        <v>297.94099999999997</v>
      </c>
      <c r="E883" s="45">
        <v>729.47900000000004</v>
      </c>
      <c r="F883" s="39">
        <v>1150</v>
      </c>
      <c r="G883" s="39">
        <v>100</v>
      </c>
      <c r="H883" s="47">
        <v>600</v>
      </c>
      <c r="I883" s="39">
        <v>695</v>
      </c>
      <c r="J883" s="39">
        <v>50</v>
      </c>
      <c r="K883" s="40"/>
      <c r="L883" s="40"/>
      <c r="M883" s="40"/>
      <c r="N883" s="40"/>
      <c r="O883" s="40"/>
      <c r="P883" s="40"/>
      <c r="Q883" s="40"/>
      <c r="R883" s="40"/>
      <c r="S883" s="40"/>
      <c r="T883" s="40"/>
    </row>
    <row r="884" spans="1:20" ht="15.75">
      <c r="A884" s="13">
        <v>68057</v>
      </c>
      <c r="B884" s="48">
        <f t="shared" si="4"/>
        <v>30</v>
      </c>
      <c r="C884" s="39">
        <v>141.29300000000001</v>
      </c>
      <c r="D884" s="39">
        <v>267.99299999999999</v>
      </c>
      <c r="E884" s="45">
        <v>829.71400000000006</v>
      </c>
      <c r="F884" s="39">
        <v>1239</v>
      </c>
      <c r="G884" s="39">
        <v>100</v>
      </c>
      <c r="H884" s="47">
        <v>600</v>
      </c>
      <c r="I884" s="39">
        <v>695</v>
      </c>
      <c r="J884" s="39">
        <v>50</v>
      </c>
      <c r="K884" s="40"/>
      <c r="L884" s="40"/>
      <c r="M884" s="40"/>
      <c r="N884" s="40"/>
      <c r="O884" s="40"/>
      <c r="P884" s="40"/>
      <c r="Q884" s="40"/>
      <c r="R884" s="40"/>
      <c r="S884" s="40"/>
      <c r="T884" s="40"/>
    </row>
    <row r="885" spans="1:20" ht="15.75">
      <c r="A885" s="13">
        <v>68088</v>
      </c>
      <c r="B885" s="48">
        <f t="shared" si="4"/>
        <v>31</v>
      </c>
      <c r="C885" s="39">
        <v>194.20500000000001</v>
      </c>
      <c r="D885" s="39">
        <v>267.46600000000001</v>
      </c>
      <c r="E885" s="45">
        <v>812.32899999999995</v>
      </c>
      <c r="F885" s="39">
        <v>1274</v>
      </c>
      <c r="G885" s="39">
        <v>75</v>
      </c>
      <c r="H885" s="47">
        <v>600</v>
      </c>
      <c r="I885" s="39">
        <v>695</v>
      </c>
      <c r="J885" s="39">
        <v>50</v>
      </c>
      <c r="K885" s="40"/>
      <c r="L885" s="40"/>
      <c r="M885" s="40"/>
      <c r="N885" s="40"/>
      <c r="O885" s="40"/>
      <c r="P885" s="40"/>
      <c r="Q885" s="40"/>
      <c r="R885" s="40"/>
      <c r="S885" s="40"/>
      <c r="T885" s="40"/>
    </row>
    <row r="886" spans="1:20" ht="15.75">
      <c r="A886" s="13">
        <v>68118</v>
      </c>
      <c r="B886" s="48">
        <f t="shared" si="4"/>
        <v>30</v>
      </c>
      <c r="C886" s="39">
        <v>194.20500000000001</v>
      </c>
      <c r="D886" s="39">
        <v>267.46600000000001</v>
      </c>
      <c r="E886" s="45">
        <v>812.32899999999995</v>
      </c>
      <c r="F886" s="39">
        <v>1274</v>
      </c>
      <c r="G886" s="39">
        <v>50</v>
      </c>
      <c r="H886" s="47">
        <v>600</v>
      </c>
      <c r="I886" s="39">
        <v>695</v>
      </c>
      <c r="J886" s="39">
        <v>50</v>
      </c>
      <c r="K886" s="40"/>
      <c r="L886" s="40"/>
      <c r="M886" s="40"/>
      <c r="N886" s="40"/>
      <c r="O886" s="40"/>
      <c r="P886" s="40"/>
      <c r="Q886" s="40"/>
      <c r="R886" s="40"/>
      <c r="S886" s="40"/>
      <c r="T886" s="40"/>
    </row>
    <row r="887" spans="1:20" ht="15.75">
      <c r="A887" s="13">
        <v>68149</v>
      </c>
      <c r="B887" s="48">
        <f t="shared" si="4"/>
        <v>31</v>
      </c>
      <c r="C887" s="39">
        <v>194.20500000000001</v>
      </c>
      <c r="D887" s="39">
        <v>267.46600000000001</v>
      </c>
      <c r="E887" s="45">
        <v>812.32899999999995</v>
      </c>
      <c r="F887" s="39">
        <v>1274</v>
      </c>
      <c r="G887" s="39">
        <v>50</v>
      </c>
      <c r="H887" s="47">
        <v>600</v>
      </c>
      <c r="I887" s="39">
        <v>695</v>
      </c>
      <c r="J887" s="39">
        <v>0</v>
      </c>
      <c r="K887" s="40"/>
      <c r="L887" s="40"/>
      <c r="M887" s="40"/>
      <c r="N887" s="40"/>
      <c r="O887" s="40"/>
      <c r="P887" s="40"/>
      <c r="Q887" s="40"/>
      <c r="R887" s="40"/>
      <c r="S887" s="40"/>
      <c r="T887" s="40"/>
    </row>
    <row r="888" spans="1:20" ht="15.75">
      <c r="A888" s="13">
        <v>68180</v>
      </c>
      <c r="B888" s="48">
        <f t="shared" si="4"/>
        <v>31</v>
      </c>
      <c r="C888" s="39">
        <v>194.20500000000001</v>
      </c>
      <c r="D888" s="39">
        <v>267.46600000000001</v>
      </c>
      <c r="E888" s="45">
        <v>812.32899999999995</v>
      </c>
      <c r="F888" s="39">
        <v>1274</v>
      </c>
      <c r="G888" s="39">
        <v>50</v>
      </c>
      <c r="H888" s="47">
        <v>600</v>
      </c>
      <c r="I888" s="39">
        <v>695</v>
      </c>
      <c r="J888" s="39">
        <v>0</v>
      </c>
      <c r="K888" s="40"/>
      <c r="L888" s="40"/>
      <c r="M888" s="40"/>
      <c r="N888" s="40"/>
      <c r="O888" s="40"/>
      <c r="P888" s="40"/>
      <c r="Q888" s="40"/>
      <c r="R888" s="40"/>
      <c r="S888" s="40"/>
      <c r="T888" s="40"/>
    </row>
    <row r="889" spans="1:20" ht="15.75">
      <c r="A889" s="13">
        <v>68210</v>
      </c>
      <c r="B889" s="48">
        <f t="shared" si="4"/>
        <v>30</v>
      </c>
      <c r="C889" s="39">
        <v>194.20500000000001</v>
      </c>
      <c r="D889" s="39">
        <v>267.46600000000001</v>
      </c>
      <c r="E889" s="45">
        <v>812.32899999999995</v>
      </c>
      <c r="F889" s="39">
        <v>1274</v>
      </c>
      <c r="G889" s="39">
        <v>50</v>
      </c>
      <c r="H889" s="47">
        <v>600</v>
      </c>
      <c r="I889" s="39">
        <v>695</v>
      </c>
      <c r="J889" s="39">
        <v>0</v>
      </c>
      <c r="K889" s="40"/>
      <c r="L889" s="40"/>
      <c r="M889" s="40"/>
      <c r="N889" s="40"/>
      <c r="O889" s="40"/>
      <c r="P889" s="40"/>
      <c r="Q889" s="40"/>
      <c r="R889" s="40"/>
      <c r="S889" s="40"/>
      <c r="T889" s="40"/>
    </row>
    <row r="890" spans="1:20" ht="15.75">
      <c r="A890" s="13">
        <v>68241</v>
      </c>
      <c r="B890" s="48">
        <f t="shared" si="4"/>
        <v>31</v>
      </c>
      <c r="C890" s="39">
        <v>131.881</v>
      </c>
      <c r="D890" s="39">
        <v>277.16699999999997</v>
      </c>
      <c r="E890" s="45">
        <v>829.952</v>
      </c>
      <c r="F890" s="39">
        <v>1239</v>
      </c>
      <c r="G890" s="39">
        <v>75</v>
      </c>
      <c r="H890" s="47">
        <v>600</v>
      </c>
      <c r="I890" s="39">
        <v>695</v>
      </c>
      <c r="J890" s="39">
        <v>0</v>
      </c>
      <c r="K890" s="40"/>
      <c r="L890" s="40"/>
      <c r="M890" s="40"/>
      <c r="N890" s="40"/>
      <c r="O890" s="40"/>
      <c r="P890" s="40"/>
      <c r="Q890" s="40"/>
      <c r="R890" s="40"/>
      <c r="S890" s="40"/>
      <c r="T890" s="40"/>
    </row>
    <row r="891" spans="1:20" ht="15.75">
      <c r="A891" s="13">
        <v>68271</v>
      </c>
      <c r="B891" s="48">
        <f t="shared" si="4"/>
        <v>30</v>
      </c>
      <c r="C891" s="39">
        <v>122.58</v>
      </c>
      <c r="D891" s="39">
        <v>297.94099999999997</v>
      </c>
      <c r="E891" s="45">
        <v>729.47900000000004</v>
      </c>
      <c r="F891" s="39">
        <v>1150</v>
      </c>
      <c r="G891" s="39">
        <v>100</v>
      </c>
      <c r="H891" s="47">
        <v>600</v>
      </c>
      <c r="I891" s="39">
        <v>695</v>
      </c>
      <c r="J891" s="39">
        <v>50</v>
      </c>
      <c r="K891" s="40"/>
      <c r="L891" s="40"/>
      <c r="M891" s="40"/>
      <c r="N891" s="40"/>
      <c r="O891" s="40"/>
      <c r="P891" s="40"/>
      <c r="Q891" s="40"/>
      <c r="R891" s="40"/>
      <c r="S891" s="40"/>
      <c r="T891" s="40"/>
    </row>
    <row r="892" spans="1:20" ht="15.75">
      <c r="A892" s="13">
        <v>68302</v>
      </c>
      <c r="B892" s="48">
        <f t="shared" si="4"/>
        <v>31</v>
      </c>
      <c r="C892" s="39">
        <v>122.58</v>
      </c>
      <c r="D892" s="39">
        <v>297.94099999999997</v>
      </c>
      <c r="E892" s="45">
        <v>729.47900000000004</v>
      </c>
      <c r="F892" s="39">
        <v>1150</v>
      </c>
      <c r="G892" s="39">
        <v>100</v>
      </c>
      <c r="H892" s="47">
        <v>600</v>
      </c>
      <c r="I892" s="39">
        <v>695</v>
      </c>
      <c r="J892" s="39">
        <v>50</v>
      </c>
      <c r="K892" s="40"/>
      <c r="L892" s="40"/>
      <c r="M892" s="40"/>
      <c r="N892" s="40"/>
      <c r="O892" s="40"/>
      <c r="P892" s="40"/>
      <c r="Q892" s="40"/>
      <c r="R892" s="40"/>
      <c r="S892" s="40"/>
      <c r="T892" s="40"/>
    </row>
    <row r="893" spans="1:20" ht="15.75">
      <c r="A893" s="13">
        <v>68333</v>
      </c>
      <c r="B893" s="48">
        <f t="shared" si="4"/>
        <v>31</v>
      </c>
      <c r="C893" s="39">
        <v>122.58</v>
      </c>
      <c r="D893" s="39">
        <v>297.94099999999997</v>
      </c>
      <c r="E893" s="45">
        <v>729.47900000000004</v>
      </c>
      <c r="F893" s="39">
        <v>1150</v>
      </c>
      <c r="G893" s="39">
        <v>100</v>
      </c>
      <c r="H893" s="47">
        <v>600</v>
      </c>
      <c r="I893" s="39">
        <v>695</v>
      </c>
      <c r="J893" s="39">
        <v>50</v>
      </c>
      <c r="K893" s="40"/>
      <c r="L893" s="40"/>
      <c r="M893" s="40"/>
      <c r="N893" s="40"/>
      <c r="O893" s="40"/>
      <c r="P893" s="40"/>
      <c r="Q893" s="40"/>
      <c r="R893" s="40"/>
      <c r="S893" s="40"/>
      <c r="T893" s="40"/>
    </row>
    <row r="894" spans="1:20" ht="15.75">
      <c r="A894" s="13">
        <v>68361</v>
      </c>
      <c r="B894" s="48">
        <f t="shared" si="4"/>
        <v>28</v>
      </c>
      <c r="C894" s="39">
        <v>122.58</v>
      </c>
      <c r="D894" s="39">
        <v>297.94099999999997</v>
      </c>
      <c r="E894" s="45">
        <v>729.47900000000004</v>
      </c>
      <c r="F894" s="39">
        <v>1150</v>
      </c>
      <c r="G894" s="39">
        <v>100</v>
      </c>
      <c r="H894" s="47">
        <v>600</v>
      </c>
      <c r="I894" s="39">
        <v>695</v>
      </c>
      <c r="J894" s="39">
        <v>50</v>
      </c>
      <c r="K894" s="40"/>
      <c r="L894" s="40"/>
      <c r="M894" s="40"/>
      <c r="N894" s="40"/>
      <c r="O894" s="40"/>
      <c r="P894" s="40"/>
      <c r="Q894" s="40"/>
      <c r="R894" s="40"/>
      <c r="S894" s="40"/>
      <c r="T894" s="40"/>
    </row>
    <row r="895" spans="1:20" ht="15.75">
      <c r="A895" s="13">
        <v>68392</v>
      </c>
      <c r="B895" s="48">
        <f t="shared" si="4"/>
        <v>31</v>
      </c>
      <c r="C895" s="39">
        <v>122.58</v>
      </c>
      <c r="D895" s="39">
        <v>297.94099999999997</v>
      </c>
      <c r="E895" s="45">
        <v>729.47900000000004</v>
      </c>
      <c r="F895" s="39">
        <v>1150</v>
      </c>
      <c r="G895" s="39">
        <v>100</v>
      </c>
      <c r="H895" s="47">
        <v>600</v>
      </c>
      <c r="I895" s="39">
        <v>695</v>
      </c>
      <c r="J895" s="39">
        <v>50</v>
      </c>
      <c r="K895" s="40"/>
      <c r="L895" s="40"/>
      <c r="M895" s="40"/>
      <c r="N895" s="40"/>
      <c r="O895" s="40"/>
      <c r="P895" s="40"/>
      <c r="Q895" s="40"/>
      <c r="R895" s="40"/>
      <c r="S895" s="40"/>
      <c r="T895" s="40"/>
    </row>
    <row r="896" spans="1:20" ht="15.75">
      <c r="A896" s="13">
        <v>68422</v>
      </c>
      <c r="B896" s="48">
        <f t="shared" si="4"/>
        <v>30</v>
      </c>
      <c r="C896" s="39">
        <v>141.29300000000001</v>
      </c>
      <c r="D896" s="39">
        <v>267.99299999999999</v>
      </c>
      <c r="E896" s="45">
        <v>829.71400000000006</v>
      </c>
      <c r="F896" s="39">
        <v>1239</v>
      </c>
      <c r="G896" s="39">
        <v>100</v>
      </c>
      <c r="H896" s="47">
        <v>600</v>
      </c>
      <c r="I896" s="39">
        <v>695</v>
      </c>
      <c r="J896" s="39">
        <v>50</v>
      </c>
      <c r="K896" s="40"/>
      <c r="L896" s="40"/>
      <c r="M896" s="40"/>
      <c r="N896" s="40"/>
      <c r="O896" s="40"/>
      <c r="P896" s="40"/>
      <c r="Q896" s="40"/>
      <c r="R896" s="40"/>
      <c r="S896" s="40"/>
      <c r="T896" s="40"/>
    </row>
    <row r="897" spans="1:20" ht="15.75">
      <c r="A897" s="13">
        <v>68453</v>
      </c>
      <c r="B897" s="48">
        <f t="shared" si="4"/>
        <v>31</v>
      </c>
      <c r="C897" s="39">
        <v>194.20500000000001</v>
      </c>
      <c r="D897" s="39">
        <v>267.46600000000001</v>
      </c>
      <c r="E897" s="45">
        <v>812.32899999999995</v>
      </c>
      <c r="F897" s="39">
        <v>1274</v>
      </c>
      <c r="G897" s="39">
        <v>75</v>
      </c>
      <c r="H897" s="47">
        <v>600</v>
      </c>
      <c r="I897" s="39">
        <v>695</v>
      </c>
      <c r="J897" s="39">
        <v>50</v>
      </c>
      <c r="K897" s="40"/>
      <c r="L897" s="40"/>
      <c r="M897" s="40"/>
      <c r="N897" s="40"/>
      <c r="O897" s="40"/>
      <c r="P897" s="40"/>
      <c r="Q897" s="40"/>
      <c r="R897" s="40"/>
      <c r="S897" s="40"/>
      <c r="T897" s="40"/>
    </row>
    <row r="898" spans="1:20" ht="15.75">
      <c r="A898" s="13">
        <v>68483</v>
      </c>
      <c r="B898" s="48">
        <f t="shared" si="4"/>
        <v>30</v>
      </c>
      <c r="C898" s="39">
        <v>194.20500000000001</v>
      </c>
      <c r="D898" s="39">
        <v>267.46600000000001</v>
      </c>
      <c r="E898" s="45">
        <v>812.32899999999995</v>
      </c>
      <c r="F898" s="39">
        <v>1274</v>
      </c>
      <c r="G898" s="39">
        <v>50</v>
      </c>
      <c r="H898" s="47">
        <v>600</v>
      </c>
      <c r="I898" s="39">
        <v>695</v>
      </c>
      <c r="J898" s="39">
        <v>50</v>
      </c>
      <c r="K898" s="40"/>
      <c r="L898" s="40"/>
      <c r="M898" s="40"/>
      <c r="N898" s="40"/>
      <c r="O898" s="40"/>
      <c r="P898" s="40"/>
      <c r="Q898" s="40"/>
      <c r="R898" s="40"/>
      <c r="S898" s="40"/>
      <c r="T898" s="40"/>
    </row>
    <row r="899" spans="1:20" ht="15.75">
      <c r="A899" s="13">
        <v>68514</v>
      </c>
      <c r="B899" s="48">
        <f t="shared" si="4"/>
        <v>31</v>
      </c>
      <c r="C899" s="39">
        <v>194.20500000000001</v>
      </c>
      <c r="D899" s="39">
        <v>267.46600000000001</v>
      </c>
      <c r="E899" s="45">
        <v>812.32899999999995</v>
      </c>
      <c r="F899" s="39">
        <v>1274</v>
      </c>
      <c r="G899" s="39">
        <v>50</v>
      </c>
      <c r="H899" s="47">
        <v>600</v>
      </c>
      <c r="I899" s="39">
        <v>695</v>
      </c>
      <c r="J899" s="39">
        <v>0</v>
      </c>
      <c r="K899" s="40"/>
      <c r="L899" s="40"/>
      <c r="M899" s="40"/>
      <c r="N899" s="40"/>
      <c r="O899" s="40"/>
      <c r="P899" s="40"/>
      <c r="Q899" s="40"/>
      <c r="R899" s="40"/>
      <c r="S899" s="40"/>
      <c r="T899" s="40"/>
    </row>
    <row r="900" spans="1:20" ht="15.75">
      <c r="A900" s="13">
        <v>68545</v>
      </c>
      <c r="B900" s="48">
        <f t="shared" si="4"/>
        <v>31</v>
      </c>
      <c r="C900" s="39">
        <v>194.20500000000001</v>
      </c>
      <c r="D900" s="39">
        <v>267.46600000000001</v>
      </c>
      <c r="E900" s="45">
        <v>812.32899999999995</v>
      </c>
      <c r="F900" s="39">
        <v>1274</v>
      </c>
      <c r="G900" s="39">
        <v>50</v>
      </c>
      <c r="H900" s="47">
        <v>600</v>
      </c>
      <c r="I900" s="39">
        <v>695</v>
      </c>
      <c r="J900" s="39">
        <v>0</v>
      </c>
      <c r="K900" s="40"/>
      <c r="L900" s="40"/>
      <c r="M900" s="40"/>
      <c r="N900" s="40"/>
      <c r="O900" s="40"/>
      <c r="P900" s="40"/>
      <c r="Q900" s="40"/>
      <c r="R900" s="40"/>
      <c r="S900" s="40"/>
      <c r="T900" s="40"/>
    </row>
    <row r="901" spans="1:20" ht="15.75">
      <c r="A901" s="13">
        <v>68575</v>
      </c>
      <c r="B901" s="48">
        <f t="shared" si="4"/>
        <v>30</v>
      </c>
      <c r="C901" s="39">
        <v>194.20500000000001</v>
      </c>
      <c r="D901" s="39">
        <v>267.46600000000001</v>
      </c>
      <c r="E901" s="45">
        <v>812.32899999999995</v>
      </c>
      <c r="F901" s="39">
        <v>1274</v>
      </c>
      <c r="G901" s="39">
        <v>50</v>
      </c>
      <c r="H901" s="47">
        <v>600</v>
      </c>
      <c r="I901" s="39">
        <v>695</v>
      </c>
      <c r="J901" s="39">
        <v>0</v>
      </c>
      <c r="K901" s="40"/>
      <c r="L901" s="40"/>
      <c r="M901" s="40"/>
      <c r="N901" s="40"/>
      <c r="O901" s="40"/>
      <c r="P901" s="40"/>
      <c r="Q901" s="40"/>
      <c r="R901" s="40"/>
      <c r="S901" s="40"/>
      <c r="T901" s="40"/>
    </row>
    <row r="902" spans="1:20" ht="15.75">
      <c r="A902" s="13">
        <v>68606</v>
      </c>
      <c r="B902" s="48">
        <f t="shared" si="4"/>
        <v>31</v>
      </c>
      <c r="C902" s="39">
        <v>131.881</v>
      </c>
      <c r="D902" s="39">
        <v>277.16699999999997</v>
      </c>
      <c r="E902" s="45">
        <v>829.952</v>
      </c>
      <c r="F902" s="39">
        <v>1239</v>
      </c>
      <c r="G902" s="39">
        <v>75</v>
      </c>
      <c r="H902" s="47">
        <v>600</v>
      </c>
      <c r="I902" s="39">
        <v>695</v>
      </c>
      <c r="J902" s="39">
        <v>0</v>
      </c>
      <c r="K902" s="40"/>
      <c r="L902" s="40"/>
      <c r="M902" s="40"/>
      <c r="N902" s="40"/>
      <c r="O902" s="40"/>
      <c r="P902" s="40"/>
      <c r="Q902" s="40"/>
      <c r="R902" s="40"/>
      <c r="S902" s="40"/>
      <c r="T902" s="40"/>
    </row>
    <row r="903" spans="1:20" ht="15.75">
      <c r="A903" s="13">
        <v>68636</v>
      </c>
      <c r="B903" s="48">
        <f t="shared" si="4"/>
        <v>30</v>
      </c>
      <c r="C903" s="39">
        <v>122.58</v>
      </c>
      <c r="D903" s="39">
        <v>297.94099999999997</v>
      </c>
      <c r="E903" s="45">
        <v>729.47900000000004</v>
      </c>
      <c r="F903" s="39">
        <v>1150</v>
      </c>
      <c r="G903" s="39">
        <v>100</v>
      </c>
      <c r="H903" s="47">
        <v>600</v>
      </c>
      <c r="I903" s="39">
        <v>695</v>
      </c>
      <c r="J903" s="39">
        <v>50</v>
      </c>
      <c r="K903" s="40"/>
      <c r="L903" s="40"/>
      <c r="M903" s="40"/>
      <c r="N903" s="40"/>
      <c r="O903" s="40"/>
      <c r="P903" s="40"/>
      <c r="Q903" s="40"/>
      <c r="R903" s="40"/>
      <c r="S903" s="40"/>
      <c r="T903" s="40"/>
    </row>
    <row r="904" spans="1:20" ht="15.75">
      <c r="A904" s="13">
        <v>68667</v>
      </c>
      <c r="B904" s="48">
        <f t="shared" si="4"/>
        <v>31</v>
      </c>
      <c r="C904" s="39">
        <v>122.58</v>
      </c>
      <c r="D904" s="39">
        <v>297.94099999999997</v>
      </c>
      <c r="E904" s="45">
        <v>729.47900000000004</v>
      </c>
      <c r="F904" s="39">
        <v>1150</v>
      </c>
      <c r="G904" s="39">
        <v>100</v>
      </c>
      <c r="H904" s="47">
        <v>600</v>
      </c>
      <c r="I904" s="39">
        <v>695</v>
      </c>
      <c r="J904" s="39">
        <v>50</v>
      </c>
      <c r="K904" s="40"/>
      <c r="L904" s="40"/>
      <c r="M904" s="40"/>
      <c r="N904" s="40"/>
      <c r="O904" s="40"/>
      <c r="P904" s="40"/>
      <c r="Q904" s="40"/>
      <c r="R904" s="40"/>
      <c r="S904" s="40"/>
      <c r="T904" s="40"/>
    </row>
    <row r="905" spans="1:20" ht="15.75">
      <c r="A905" s="13">
        <v>68698</v>
      </c>
      <c r="B905" s="48">
        <f t="shared" si="4"/>
        <v>31</v>
      </c>
      <c r="C905" s="39">
        <v>122.58</v>
      </c>
      <c r="D905" s="39">
        <v>297.94099999999997</v>
      </c>
      <c r="E905" s="45">
        <v>729.47900000000004</v>
      </c>
      <c r="F905" s="39">
        <v>1150</v>
      </c>
      <c r="G905" s="39">
        <v>100</v>
      </c>
      <c r="H905" s="47">
        <v>600</v>
      </c>
      <c r="I905" s="39">
        <v>695</v>
      </c>
      <c r="J905" s="39">
        <v>50</v>
      </c>
      <c r="K905" s="40"/>
      <c r="L905" s="40"/>
      <c r="M905" s="40"/>
      <c r="N905" s="40"/>
      <c r="O905" s="40"/>
      <c r="P905" s="40"/>
      <c r="Q905" s="40"/>
      <c r="R905" s="40"/>
      <c r="S905" s="40"/>
      <c r="T905" s="40"/>
    </row>
    <row r="906" spans="1:20" ht="15.75">
      <c r="A906" s="13">
        <v>68727</v>
      </c>
      <c r="B906" s="48">
        <f t="shared" si="4"/>
        <v>29</v>
      </c>
      <c r="C906" s="39">
        <v>122.58</v>
      </c>
      <c r="D906" s="39">
        <v>297.94099999999997</v>
      </c>
      <c r="E906" s="45">
        <v>729.47900000000004</v>
      </c>
      <c r="F906" s="39">
        <v>1150</v>
      </c>
      <c r="G906" s="39">
        <v>100</v>
      </c>
      <c r="H906" s="47">
        <v>600</v>
      </c>
      <c r="I906" s="39">
        <v>695</v>
      </c>
      <c r="J906" s="39">
        <v>50</v>
      </c>
      <c r="K906" s="40"/>
      <c r="L906" s="40"/>
      <c r="M906" s="40"/>
      <c r="N906" s="40"/>
      <c r="O906" s="40"/>
      <c r="P906" s="40"/>
      <c r="Q906" s="40"/>
      <c r="R906" s="40"/>
      <c r="S906" s="40"/>
      <c r="T906" s="40"/>
    </row>
    <row r="907" spans="1:20" ht="15.75">
      <c r="A907" s="13">
        <v>68758</v>
      </c>
      <c r="B907" s="48">
        <f t="shared" si="4"/>
        <v>31</v>
      </c>
      <c r="C907" s="39">
        <v>122.58</v>
      </c>
      <c r="D907" s="39">
        <v>297.94099999999997</v>
      </c>
      <c r="E907" s="45">
        <v>729.47900000000004</v>
      </c>
      <c r="F907" s="39">
        <v>1150</v>
      </c>
      <c r="G907" s="39">
        <v>100</v>
      </c>
      <c r="H907" s="47">
        <v>600</v>
      </c>
      <c r="I907" s="39">
        <v>695</v>
      </c>
      <c r="J907" s="39">
        <v>50</v>
      </c>
      <c r="K907" s="40"/>
      <c r="L907" s="40"/>
      <c r="M907" s="40"/>
      <c r="N907" s="40"/>
      <c r="O907" s="40"/>
      <c r="P907" s="40"/>
      <c r="Q907" s="40"/>
      <c r="R907" s="40"/>
      <c r="S907" s="40"/>
      <c r="T907" s="40"/>
    </row>
    <row r="908" spans="1:20" ht="15.75">
      <c r="A908" s="13">
        <v>68788</v>
      </c>
      <c r="B908" s="48">
        <f t="shared" si="4"/>
        <v>30</v>
      </c>
      <c r="C908" s="39">
        <v>141.29300000000001</v>
      </c>
      <c r="D908" s="39">
        <v>267.99299999999999</v>
      </c>
      <c r="E908" s="45">
        <v>829.71400000000006</v>
      </c>
      <c r="F908" s="39">
        <v>1239</v>
      </c>
      <c r="G908" s="39">
        <v>100</v>
      </c>
      <c r="H908" s="47">
        <v>600</v>
      </c>
      <c r="I908" s="39">
        <v>695</v>
      </c>
      <c r="J908" s="39">
        <v>50</v>
      </c>
      <c r="K908" s="40"/>
      <c r="L908" s="40"/>
      <c r="M908" s="40"/>
      <c r="N908" s="40"/>
      <c r="O908" s="40"/>
      <c r="P908" s="40"/>
      <c r="Q908" s="40"/>
      <c r="R908" s="40"/>
      <c r="S908" s="40"/>
      <c r="T908" s="40"/>
    </row>
    <row r="909" spans="1:20" ht="15.75">
      <c r="A909" s="13">
        <v>68819</v>
      </c>
      <c r="B909" s="48">
        <f t="shared" si="4"/>
        <v>31</v>
      </c>
      <c r="C909" s="39">
        <v>194.20500000000001</v>
      </c>
      <c r="D909" s="39">
        <v>267.46600000000001</v>
      </c>
      <c r="E909" s="45">
        <v>812.32899999999995</v>
      </c>
      <c r="F909" s="39">
        <v>1274</v>
      </c>
      <c r="G909" s="39">
        <v>75</v>
      </c>
      <c r="H909" s="47">
        <v>600</v>
      </c>
      <c r="I909" s="39">
        <v>695</v>
      </c>
      <c r="J909" s="39">
        <v>50</v>
      </c>
      <c r="K909" s="40"/>
      <c r="L909" s="40"/>
      <c r="M909" s="40"/>
      <c r="N909" s="40"/>
      <c r="O909" s="40"/>
      <c r="P909" s="40"/>
      <c r="Q909" s="40"/>
      <c r="R909" s="40"/>
      <c r="S909" s="40"/>
      <c r="T909" s="40"/>
    </row>
    <row r="910" spans="1:20" ht="15.75">
      <c r="A910" s="13">
        <v>68849</v>
      </c>
      <c r="B910" s="48">
        <f t="shared" si="4"/>
        <v>30</v>
      </c>
      <c r="C910" s="39">
        <v>194.20500000000001</v>
      </c>
      <c r="D910" s="39">
        <v>267.46600000000001</v>
      </c>
      <c r="E910" s="45">
        <v>812.32899999999995</v>
      </c>
      <c r="F910" s="39">
        <v>1274</v>
      </c>
      <c r="G910" s="39">
        <v>50</v>
      </c>
      <c r="H910" s="47">
        <v>600</v>
      </c>
      <c r="I910" s="39">
        <v>695</v>
      </c>
      <c r="J910" s="39">
        <v>50</v>
      </c>
      <c r="K910" s="40"/>
      <c r="L910" s="40"/>
      <c r="M910" s="40"/>
      <c r="N910" s="40"/>
      <c r="O910" s="40"/>
      <c r="P910" s="40"/>
      <c r="Q910" s="40"/>
      <c r="R910" s="40"/>
      <c r="S910" s="40"/>
      <c r="T910" s="40"/>
    </row>
    <row r="911" spans="1:20" ht="15.75">
      <c r="A911" s="13">
        <v>68880</v>
      </c>
      <c r="B911" s="48">
        <f t="shared" si="4"/>
        <v>31</v>
      </c>
      <c r="C911" s="39">
        <v>194.20500000000001</v>
      </c>
      <c r="D911" s="39">
        <v>267.46600000000001</v>
      </c>
      <c r="E911" s="45">
        <v>812.32899999999995</v>
      </c>
      <c r="F911" s="39">
        <v>1274</v>
      </c>
      <c r="G911" s="39">
        <v>50</v>
      </c>
      <c r="H911" s="47">
        <v>600</v>
      </c>
      <c r="I911" s="39">
        <v>695</v>
      </c>
      <c r="J911" s="39">
        <v>0</v>
      </c>
      <c r="K911" s="40"/>
      <c r="L911" s="40"/>
      <c r="M911" s="40"/>
      <c r="N911" s="40"/>
      <c r="O911" s="40"/>
      <c r="P911" s="40"/>
      <c r="Q911" s="40"/>
      <c r="R911" s="40"/>
      <c r="S911" s="40"/>
      <c r="T911" s="40"/>
    </row>
    <row r="912" spans="1:20" ht="15.75">
      <c r="A912" s="13">
        <v>68911</v>
      </c>
      <c r="B912" s="48">
        <f t="shared" si="4"/>
        <v>31</v>
      </c>
      <c r="C912" s="39">
        <v>194.20500000000001</v>
      </c>
      <c r="D912" s="39">
        <v>267.46600000000001</v>
      </c>
      <c r="E912" s="45">
        <v>812.32899999999995</v>
      </c>
      <c r="F912" s="39">
        <v>1274</v>
      </c>
      <c r="G912" s="39">
        <v>50</v>
      </c>
      <c r="H912" s="47">
        <v>600</v>
      </c>
      <c r="I912" s="39">
        <v>695</v>
      </c>
      <c r="J912" s="39">
        <v>0</v>
      </c>
      <c r="K912" s="40"/>
      <c r="L912" s="40"/>
      <c r="M912" s="40"/>
      <c r="N912" s="40"/>
      <c r="O912" s="40"/>
      <c r="P912" s="40"/>
      <c r="Q912" s="40"/>
      <c r="R912" s="40"/>
      <c r="S912" s="40"/>
      <c r="T912" s="40"/>
    </row>
    <row r="913" spans="1:20" ht="15.75">
      <c r="A913" s="13">
        <v>68941</v>
      </c>
      <c r="B913" s="48">
        <f t="shared" ref="B913:B976" si="5">EOMONTH(A913,0)-EOMONTH(A913,-1)</f>
        <v>30</v>
      </c>
      <c r="C913" s="39">
        <v>194.20500000000001</v>
      </c>
      <c r="D913" s="39">
        <v>267.46600000000001</v>
      </c>
      <c r="E913" s="45">
        <v>812.32899999999995</v>
      </c>
      <c r="F913" s="39">
        <v>1274</v>
      </c>
      <c r="G913" s="39">
        <v>50</v>
      </c>
      <c r="H913" s="47">
        <v>600</v>
      </c>
      <c r="I913" s="39">
        <v>695</v>
      </c>
      <c r="J913" s="39">
        <v>0</v>
      </c>
      <c r="K913" s="40"/>
      <c r="L913" s="40"/>
      <c r="M913" s="40"/>
      <c r="N913" s="40"/>
      <c r="O913" s="40"/>
      <c r="P913" s="40"/>
      <c r="Q913" s="40"/>
      <c r="R913" s="40"/>
      <c r="S913" s="40"/>
      <c r="T913" s="40"/>
    </row>
    <row r="914" spans="1:20" ht="15.75">
      <c r="A914" s="13">
        <v>68972</v>
      </c>
      <c r="B914" s="48">
        <f t="shared" si="5"/>
        <v>31</v>
      </c>
      <c r="C914" s="39">
        <v>131.881</v>
      </c>
      <c r="D914" s="39">
        <v>277.16699999999997</v>
      </c>
      <c r="E914" s="45">
        <v>829.952</v>
      </c>
      <c r="F914" s="39">
        <v>1239</v>
      </c>
      <c r="G914" s="39">
        <v>75</v>
      </c>
      <c r="H914" s="47">
        <v>600</v>
      </c>
      <c r="I914" s="39">
        <v>695</v>
      </c>
      <c r="J914" s="39">
        <v>0</v>
      </c>
      <c r="K914" s="40"/>
      <c r="L914" s="40"/>
      <c r="M914" s="40"/>
      <c r="N914" s="40"/>
      <c r="O914" s="40"/>
      <c r="P914" s="40"/>
      <c r="Q914" s="40"/>
      <c r="R914" s="40"/>
      <c r="S914" s="40"/>
      <c r="T914" s="40"/>
    </row>
    <row r="915" spans="1:20" ht="15.75">
      <c r="A915" s="13">
        <v>69002</v>
      </c>
      <c r="B915" s="48">
        <f t="shared" si="5"/>
        <v>30</v>
      </c>
      <c r="C915" s="39">
        <v>122.58</v>
      </c>
      <c r="D915" s="39">
        <v>297.94099999999997</v>
      </c>
      <c r="E915" s="45">
        <v>729.47900000000004</v>
      </c>
      <c r="F915" s="39">
        <v>1150</v>
      </c>
      <c r="G915" s="39">
        <v>100</v>
      </c>
      <c r="H915" s="47">
        <v>600</v>
      </c>
      <c r="I915" s="39">
        <v>695</v>
      </c>
      <c r="J915" s="39">
        <v>50</v>
      </c>
      <c r="K915" s="40"/>
      <c r="L915" s="40"/>
      <c r="M915" s="40"/>
      <c r="N915" s="40"/>
      <c r="O915" s="40"/>
      <c r="P915" s="40"/>
      <c r="Q915" s="40"/>
      <c r="R915" s="40"/>
      <c r="S915" s="40"/>
      <c r="T915" s="40"/>
    </row>
    <row r="916" spans="1:20" ht="15.75">
      <c r="A916" s="13">
        <v>69033</v>
      </c>
      <c r="B916" s="48">
        <f t="shared" si="5"/>
        <v>31</v>
      </c>
      <c r="C916" s="39">
        <v>122.58</v>
      </c>
      <c r="D916" s="39">
        <v>297.94099999999997</v>
      </c>
      <c r="E916" s="45">
        <v>729.47900000000004</v>
      </c>
      <c r="F916" s="39">
        <v>1150</v>
      </c>
      <c r="G916" s="39">
        <v>100</v>
      </c>
      <c r="H916" s="47">
        <v>600</v>
      </c>
      <c r="I916" s="39">
        <v>695</v>
      </c>
      <c r="J916" s="39">
        <v>50</v>
      </c>
      <c r="K916" s="40"/>
      <c r="L916" s="40"/>
      <c r="M916" s="40"/>
      <c r="N916" s="40"/>
      <c r="O916" s="40"/>
      <c r="P916" s="40"/>
      <c r="Q916" s="40"/>
      <c r="R916" s="40"/>
      <c r="S916" s="40"/>
      <c r="T916" s="40"/>
    </row>
    <row r="917" spans="1:20" ht="15.75">
      <c r="A917" s="13">
        <v>69064</v>
      </c>
      <c r="B917" s="48">
        <f t="shared" si="5"/>
        <v>31</v>
      </c>
      <c r="C917" s="39">
        <v>122.58</v>
      </c>
      <c r="D917" s="39">
        <v>297.94099999999997</v>
      </c>
      <c r="E917" s="45">
        <v>729.47900000000004</v>
      </c>
      <c r="F917" s="39">
        <v>1150</v>
      </c>
      <c r="G917" s="39">
        <v>100</v>
      </c>
      <c r="H917" s="47">
        <v>600</v>
      </c>
      <c r="I917" s="39">
        <v>695</v>
      </c>
      <c r="J917" s="39">
        <v>50</v>
      </c>
      <c r="K917" s="40"/>
      <c r="L917" s="40"/>
      <c r="M917" s="40"/>
      <c r="N917" s="40"/>
      <c r="O917" s="40"/>
      <c r="P917" s="40"/>
      <c r="Q917" s="40"/>
      <c r="R917" s="40"/>
      <c r="S917" s="40"/>
      <c r="T917" s="40"/>
    </row>
    <row r="918" spans="1:20" ht="15.75">
      <c r="A918" s="13">
        <v>69092</v>
      </c>
      <c r="B918" s="48">
        <f t="shared" si="5"/>
        <v>28</v>
      </c>
      <c r="C918" s="39">
        <v>122.58</v>
      </c>
      <c r="D918" s="39">
        <v>297.94099999999997</v>
      </c>
      <c r="E918" s="45">
        <v>729.47900000000004</v>
      </c>
      <c r="F918" s="39">
        <v>1150</v>
      </c>
      <c r="G918" s="39">
        <v>100</v>
      </c>
      <c r="H918" s="47">
        <v>600</v>
      </c>
      <c r="I918" s="39">
        <v>695</v>
      </c>
      <c r="J918" s="39">
        <v>50</v>
      </c>
      <c r="K918" s="40"/>
      <c r="L918" s="40"/>
      <c r="M918" s="40"/>
      <c r="N918" s="40"/>
      <c r="O918" s="40"/>
      <c r="P918" s="40"/>
      <c r="Q918" s="40"/>
      <c r="R918" s="40"/>
      <c r="S918" s="40"/>
      <c r="T918" s="40"/>
    </row>
    <row r="919" spans="1:20" ht="15.75">
      <c r="A919" s="13">
        <v>69123</v>
      </c>
      <c r="B919" s="48">
        <f t="shared" si="5"/>
        <v>31</v>
      </c>
      <c r="C919" s="39">
        <v>122.58</v>
      </c>
      <c r="D919" s="39">
        <v>297.94099999999997</v>
      </c>
      <c r="E919" s="45">
        <v>729.47900000000004</v>
      </c>
      <c r="F919" s="39">
        <v>1150</v>
      </c>
      <c r="G919" s="39">
        <v>100</v>
      </c>
      <c r="H919" s="47">
        <v>600</v>
      </c>
      <c r="I919" s="39">
        <v>695</v>
      </c>
      <c r="J919" s="39">
        <v>50</v>
      </c>
      <c r="K919" s="40"/>
      <c r="L919" s="40"/>
      <c r="M919" s="40"/>
      <c r="N919" s="40"/>
      <c r="O919" s="40"/>
      <c r="P919" s="40"/>
      <c r="Q919" s="40"/>
      <c r="R919" s="40"/>
      <c r="S919" s="40"/>
      <c r="T919" s="40"/>
    </row>
    <row r="920" spans="1:20" ht="15.75">
      <c r="A920" s="13">
        <v>69153</v>
      </c>
      <c r="B920" s="48">
        <f t="shared" si="5"/>
        <v>30</v>
      </c>
      <c r="C920" s="39">
        <v>141.29300000000001</v>
      </c>
      <c r="D920" s="39">
        <v>267.99299999999999</v>
      </c>
      <c r="E920" s="45">
        <v>829.71400000000006</v>
      </c>
      <c r="F920" s="39">
        <v>1239</v>
      </c>
      <c r="G920" s="39">
        <v>100</v>
      </c>
      <c r="H920" s="47">
        <v>600</v>
      </c>
      <c r="I920" s="39">
        <v>695</v>
      </c>
      <c r="J920" s="39">
        <v>50</v>
      </c>
      <c r="K920" s="40"/>
      <c r="L920" s="40"/>
      <c r="M920" s="40"/>
      <c r="N920" s="40"/>
      <c r="O920" s="40"/>
      <c r="P920" s="40"/>
      <c r="Q920" s="40"/>
      <c r="R920" s="40"/>
      <c r="S920" s="40"/>
      <c r="T920" s="40"/>
    </row>
    <row r="921" spans="1:20" ht="15.75">
      <c r="A921" s="13">
        <v>69184</v>
      </c>
      <c r="B921" s="48">
        <f t="shared" si="5"/>
        <v>31</v>
      </c>
      <c r="C921" s="39">
        <v>194.20500000000001</v>
      </c>
      <c r="D921" s="39">
        <v>267.46600000000001</v>
      </c>
      <c r="E921" s="45">
        <v>812.32899999999995</v>
      </c>
      <c r="F921" s="39">
        <v>1274</v>
      </c>
      <c r="G921" s="39">
        <v>75</v>
      </c>
      <c r="H921" s="47">
        <v>600</v>
      </c>
      <c r="I921" s="39">
        <v>695</v>
      </c>
      <c r="J921" s="39">
        <v>50</v>
      </c>
      <c r="K921" s="40"/>
      <c r="L921" s="40"/>
      <c r="M921" s="40"/>
      <c r="N921" s="40"/>
      <c r="O921" s="40"/>
      <c r="P921" s="40"/>
      <c r="Q921" s="40"/>
      <c r="R921" s="40"/>
      <c r="S921" s="40"/>
      <c r="T921" s="40"/>
    </row>
    <row r="922" spans="1:20" ht="15.75">
      <c r="A922" s="13">
        <v>69214</v>
      </c>
      <c r="B922" s="48">
        <f t="shared" si="5"/>
        <v>30</v>
      </c>
      <c r="C922" s="39">
        <v>194.20500000000001</v>
      </c>
      <c r="D922" s="39">
        <v>267.46600000000001</v>
      </c>
      <c r="E922" s="45">
        <v>812.32899999999995</v>
      </c>
      <c r="F922" s="39">
        <v>1274</v>
      </c>
      <c r="G922" s="39">
        <v>50</v>
      </c>
      <c r="H922" s="47">
        <v>600</v>
      </c>
      <c r="I922" s="39">
        <v>695</v>
      </c>
      <c r="J922" s="39">
        <v>50</v>
      </c>
      <c r="K922" s="40"/>
      <c r="L922" s="40"/>
      <c r="M922" s="40"/>
      <c r="N922" s="40"/>
      <c r="O922" s="40"/>
      <c r="P922" s="40"/>
      <c r="Q922" s="40"/>
      <c r="R922" s="40"/>
      <c r="S922" s="40"/>
      <c r="T922" s="40"/>
    </row>
    <row r="923" spans="1:20" ht="15.75">
      <c r="A923" s="13">
        <v>69245</v>
      </c>
      <c r="B923" s="48">
        <f t="shared" si="5"/>
        <v>31</v>
      </c>
      <c r="C923" s="39">
        <v>194.20500000000001</v>
      </c>
      <c r="D923" s="39">
        <v>267.46600000000001</v>
      </c>
      <c r="E923" s="45">
        <v>812.32899999999995</v>
      </c>
      <c r="F923" s="39">
        <v>1274</v>
      </c>
      <c r="G923" s="39">
        <v>50</v>
      </c>
      <c r="H923" s="47">
        <v>600</v>
      </c>
      <c r="I923" s="39">
        <v>695</v>
      </c>
      <c r="J923" s="39">
        <v>0</v>
      </c>
      <c r="K923" s="40"/>
      <c r="L923" s="40"/>
      <c r="M923" s="40"/>
      <c r="N923" s="40"/>
      <c r="O923" s="40"/>
      <c r="P923" s="40"/>
      <c r="Q923" s="40"/>
      <c r="R923" s="40"/>
      <c r="S923" s="40"/>
      <c r="T923" s="40"/>
    </row>
    <row r="924" spans="1:20" ht="15.75">
      <c r="A924" s="13">
        <v>69276</v>
      </c>
      <c r="B924" s="48">
        <f t="shared" si="5"/>
        <v>31</v>
      </c>
      <c r="C924" s="39">
        <v>194.20500000000001</v>
      </c>
      <c r="D924" s="39">
        <v>267.46600000000001</v>
      </c>
      <c r="E924" s="45">
        <v>812.32899999999995</v>
      </c>
      <c r="F924" s="39">
        <v>1274</v>
      </c>
      <c r="G924" s="39">
        <v>50</v>
      </c>
      <c r="H924" s="47">
        <v>600</v>
      </c>
      <c r="I924" s="39">
        <v>695</v>
      </c>
      <c r="J924" s="39">
        <v>0</v>
      </c>
      <c r="K924" s="40"/>
      <c r="L924" s="40"/>
      <c r="M924" s="40"/>
      <c r="N924" s="40"/>
      <c r="O924" s="40"/>
      <c r="P924" s="40"/>
      <c r="Q924" s="40"/>
      <c r="R924" s="40"/>
      <c r="S924" s="40"/>
      <c r="T924" s="40"/>
    </row>
    <row r="925" spans="1:20" ht="15.75">
      <c r="A925" s="13">
        <v>69306</v>
      </c>
      <c r="B925" s="48">
        <f t="shared" si="5"/>
        <v>30</v>
      </c>
      <c r="C925" s="39">
        <v>194.20500000000001</v>
      </c>
      <c r="D925" s="39">
        <v>267.46600000000001</v>
      </c>
      <c r="E925" s="45">
        <v>812.32899999999995</v>
      </c>
      <c r="F925" s="39">
        <v>1274</v>
      </c>
      <c r="G925" s="39">
        <v>50</v>
      </c>
      <c r="H925" s="47">
        <v>600</v>
      </c>
      <c r="I925" s="39">
        <v>695</v>
      </c>
      <c r="J925" s="39">
        <v>0</v>
      </c>
      <c r="K925" s="40"/>
      <c r="L925" s="40"/>
      <c r="M925" s="40"/>
      <c r="N925" s="40"/>
      <c r="O925" s="40"/>
      <c r="P925" s="40"/>
      <c r="Q925" s="40"/>
      <c r="R925" s="40"/>
      <c r="S925" s="40"/>
      <c r="T925" s="40"/>
    </row>
    <row r="926" spans="1:20" ht="15.75">
      <c r="A926" s="13">
        <v>69337</v>
      </c>
      <c r="B926" s="48">
        <f t="shared" si="5"/>
        <v>31</v>
      </c>
      <c r="C926" s="39">
        <v>131.881</v>
      </c>
      <c r="D926" s="39">
        <v>277.16699999999997</v>
      </c>
      <c r="E926" s="45">
        <v>829.952</v>
      </c>
      <c r="F926" s="39">
        <v>1239</v>
      </c>
      <c r="G926" s="39">
        <v>75</v>
      </c>
      <c r="H926" s="47">
        <v>600</v>
      </c>
      <c r="I926" s="39">
        <v>695</v>
      </c>
      <c r="J926" s="39">
        <v>0</v>
      </c>
      <c r="K926" s="40"/>
      <c r="L926" s="40"/>
      <c r="M926" s="40"/>
      <c r="N926" s="40"/>
      <c r="O926" s="40"/>
      <c r="P926" s="40"/>
      <c r="Q926" s="40"/>
      <c r="R926" s="40"/>
      <c r="S926" s="40"/>
      <c r="T926" s="40"/>
    </row>
    <row r="927" spans="1:20" ht="15.75">
      <c r="A927" s="13">
        <v>69367</v>
      </c>
      <c r="B927" s="48">
        <f t="shared" si="5"/>
        <v>30</v>
      </c>
      <c r="C927" s="39">
        <v>122.58</v>
      </c>
      <c r="D927" s="39">
        <v>297.94099999999997</v>
      </c>
      <c r="E927" s="45">
        <v>729.47900000000004</v>
      </c>
      <c r="F927" s="39">
        <v>1150</v>
      </c>
      <c r="G927" s="39">
        <v>100</v>
      </c>
      <c r="H927" s="47">
        <v>600</v>
      </c>
      <c r="I927" s="39">
        <v>695</v>
      </c>
      <c r="J927" s="39">
        <v>50</v>
      </c>
      <c r="K927" s="40"/>
      <c r="L927" s="40"/>
      <c r="M927" s="40"/>
      <c r="N927" s="40"/>
      <c r="O927" s="40"/>
      <c r="P927" s="40"/>
      <c r="Q927" s="40"/>
      <c r="R927" s="40"/>
      <c r="S927" s="40"/>
      <c r="T927" s="40"/>
    </row>
    <row r="928" spans="1:20" ht="15.75">
      <c r="A928" s="13">
        <v>69398</v>
      </c>
      <c r="B928" s="48">
        <f t="shared" si="5"/>
        <v>31</v>
      </c>
      <c r="C928" s="39">
        <v>122.58</v>
      </c>
      <c r="D928" s="39">
        <v>297.94099999999997</v>
      </c>
      <c r="E928" s="45">
        <v>729.47900000000004</v>
      </c>
      <c r="F928" s="39">
        <v>1150</v>
      </c>
      <c r="G928" s="39">
        <v>100</v>
      </c>
      <c r="H928" s="47">
        <v>600</v>
      </c>
      <c r="I928" s="39">
        <v>695</v>
      </c>
      <c r="J928" s="39">
        <v>50</v>
      </c>
      <c r="K928" s="40"/>
      <c r="L928" s="40"/>
      <c r="M928" s="40"/>
      <c r="N928" s="40"/>
      <c r="O928" s="40"/>
      <c r="P928" s="40"/>
      <c r="Q928" s="40"/>
      <c r="R928" s="40"/>
      <c r="S928" s="40"/>
      <c r="T928" s="40"/>
    </row>
    <row r="929" spans="1:20" ht="15.75">
      <c r="A929" s="13">
        <v>69429</v>
      </c>
      <c r="B929" s="48">
        <f t="shared" si="5"/>
        <v>31</v>
      </c>
      <c r="C929" s="39">
        <v>122.58</v>
      </c>
      <c r="D929" s="39">
        <v>297.94099999999997</v>
      </c>
      <c r="E929" s="45">
        <v>729.47900000000004</v>
      </c>
      <c r="F929" s="39">
        <v>1150</v>
      </c>
      <c r="G929" s="39">
        <v>100</v>
      </c>
      <c r="H929" s="47">
        <v>600</v>
      </c>
      <c r="I929" s="39">
        <v>695</v>
      </c>
      <c r="J929" s="39">
        <v>50</v>
      </c>
      <c r="K929" s="40"/>
      <c r="L929" s="40"/>
      <c r="M929" s="40"/>
      <c r="N929" s="40"/>
      <c r="O929" s="40"/>
      <c r="P929" s="40"/>
      <c r="Q929" s="40"/>
      <c r="R929" s="40"/>
      <c r="S929" s="40"/>
      <c r="T929" s="40"/>
    </row>
    <row r="930" spans="1:20" ht="15.75">
      <c r="A930" s="13">
        <v>69457</v>
      </c>
      <c r="B930" s="48">
        <f t="shared" si="5"/>
        <v>28</v>
      </c>
      <c r="C930" s="39">
        <v>122.58</v>
      </c>
      <c r="D930" s="39">
        <v>297.94099999999997</v>
      </c>
      <c r="E930" s="45">
        <v>729.47900000000004</v>
      </c>
      <c r="F930" s="39">
        <v>1150</v>
      </c>
      <c r="G930" s="39">
        <v>100</v>
      </c>
      <c r="H930" s="47">
        <v>600</v>
      </c>
      <c r="I930" s="39">
        <v>695</v>
      </c>
      <c r="J930" s="39">
        <v>50</v>
      </c>
      <c r="K930" s="40"/>
      <c r="L930" s="40"/>
      <c r="M930" s="40"/>
      <c r="N930" s="40"/>
      <c r="O930" s="40"/>
      <c r="P930" s="40"/>
      <c r="Q930" s="40"/>
      <c r="R930" s="40"/>
      <c r="S930" s="40"/>
      <c r="T930" s="40"/>
    </row>
    <row r="931" spans="1:20" ht="15.75">
      <c r="A931" s="13">
        <v>69488</v>
      </c>
      <c r="B931" s="48">
        <f t="shared" si="5"/>
        <v>31</v>
      </c>
      <c r="C931" s="39">
        <v>122.58</v>
      </c>
      <c r="D931" s="39">
        <v>297.94099999999997</v>
      </c>
      <c r="E931" s="45">
        <v>729.47900000000004</v>
      </c>
      <c r="F931" s="39">
        <v>1150</v>
      </c>
      <c r="G931" s="39">
        <v>100</v>
      </c>
      <c r="H931" s="47">
        <v>600</v>
      </c>
      <c r="I931" s="39">
        <v>695</v>
      </c>
      <c r="J931" s="39">
        <v>50</v>
      </c>
      <c r="K931" s="40"/>
      <c r="L931" s="40"/>
      <c r="M931" s="40"/>
      <c r="N931" s="40"/>
      <c r="O931" s="40"/>
      <c r="P931" s="40"/>
      <c r="Q931" s="40"/>
      <c r="R931" s="40"/>
      <c r="S931" s="40"/>
      <c r="T931" s="40"/>
    </row>
    <row r="932" spans="1:20" ht="15.75">
      <c r="A932" s="13">
        <v>69518</v>
      </c>
      <c r="B932" s="48">
        <f t="shared" si="5"/>
        <v>30</v>
      </c>
      <c r="C932" s="39">
        <v>141.29300000000001</v>
      </c>
      <c r="D932" s="39">
        <v>267.99299999999999</v>
      </c>
      <c r="E932" s="45">
        <v>829.71400000000006</v>
      </c>
      <c r="F932" s="39">
        <v>1239</v>
      </c>
      <c r="G932" s="39">
        <v>100</v>
      </c>
      <c r="H932" s="47">
        <v>600</v>
      </c>
      <c r="I932" s="39">
        <v>695</v>
      </c>
      <c r="J932" s="39">
        <v>50</v>
      </c>
      <c r="K932" s="40"/>
      <c r="L932" s="40"/>
      <c r="M932" s="40"/>
      <c r="N932" s="40"/>
      <c r="O932" s="40"/>
      <c r="P932" s="40"/>
      <c r="Q932" s="40"/>
      <c r="R932" s="40"/>
      <c r="S932" s="40"/>
      <c r="T932" s="40"/>
    </row>
    <row r="933" spans="1:20" ht="15.75">
      <c r="A933" s="13">
        <v>69549</v>
      </c>
      <c r="B933" s="48">
        <f t="shared" si="5"/>
        <v>31</v>
      </c>
      <c r="C933" s="39">
        <v>194.20500000000001</v>
      </c>
      <c r="D933" s="39">
        <v>267.46600000000001</v>
      </c>
      <c r="E933" s="45">
        <v>812.32899999999995</v>
      </c>
      <c r="F933" s="39">
        <v>1274</v>
      </c>
      <c r="G933" s="39">
        <v>75</v>
      </c>
      <c r="H933" s="47">
        <v>600</v>
      </c>
      <c r="I933" s="39">
        <v>695</v>
      </c>
      <c r="J933" s="39">
        <v>50</v>
      </c>
      <c r="K933" s="40"/>
      <c r="L933" s="40"/>
      <c r="M933" s="40"/>
      <c r="N933" s="40"/>
      <c r="O933" s="40"/>
      <c r="P933" s="40"/>
      <c r="Q933" s="40"/>
      <c r="R933" s="40"/>
      <c r="S933" s="40"/>
      <c r="T933" s="40"/>
    </row>
    <row r="934" spans="1:20" ht="15.75">
      <c r="A934" s="13">
        <v>69579</v>
      </c>
      <c r="B934" s="48">
        <f t="shared" si="5"/>
        <v>30</v>
      </c>
      <c r="C934" s="39">
        <v>194.20500000000001</v>
      </c>
      <c r="D934" s="39">
        <v>267.46600000000001</v>
      </c>
      <c r="E934" s="45">
        <v>812.32899999999995</v>
      </c>
      <c r="F934" s="39">
        <v>1274</v>
      </c>
      <c r="G934" s="39">
        <v>50</v>
      </c>
      <c r="H934" s="47">
        <v>600</v>
      </c>
      <c r="I934" s="39">
        <v>695</v>
      </c>
      <c r="J934" s="39">
        <v>50</v>
      </c>
      <c r="K934" s="40"/>
      <c r="L934" s="40"/>
      <c r="M934" s="40"/>
      <c r="N934" s="40"/>
      <c r="O934" s="40"/>
      <c r="P934" s="40"/>
      <c r="Q934" s="40"/>
      <c r="R934" s="40"/>
      <c r="S934" s="40"/>
      <c r="T934" s="40"/>
    </row>
    <row r="935" spans="1:20" ht="15.75">
      <c r="A935" s="13">
        <v>69610</v>
      </c>
      <c r="B935" s="48">
        <f t="shared" si="5"/>
        <v>31</v>
      </c>
      <c r="C935" s="39">
        <v>194.20500000000001</v>
      </c>
      <c r="D935" s="39">
        <v>267.46600000000001</v>
      </c>
      <c r="E935" s="45">
        <v>812.32899999999995</v>
      </c>
      <c r="F935" s="39">
        <v>1274</v>
      </c>
      <c r="G935" s="39">
        <v>50</v>
      </c>
      <c r="H935" s="47">
        <v>600</v>
      </c>
      <c r="I935" s="39">
        <v>695</v>
      </c>
      <c r="J935" s="39">
        <v>0</v>
      </c>
      <c r="K935" s="40"/>
      <c r="L935" s="40"/>
      <c r="M935" s="40"/>
      <c r="N935" s="40"/>
      <c r="O935" s="40"/>
      <c r="P935" s="40"/>
      <c r="Q935" s="40"/>
      <c r="R935" s="40"/>
      <c r="S935" s="40"/>
      <c r="T935" s="40"/>
    </row>
    <row r="936" spans="1:20" ht="15.75">
      <c r="A936" s="13">
        <v>69641</v>
      </c>
      <c r="B936" s="48">
        <f t="shared" si="5"/>
        <v>31</v>
      </c>
      <c r="C936" s="39">
        <v>194.20500000000001</v>
      </c>
      <c r="D936" s="39">
        <v>267.46600000000001</v>
      </c>
      <c r="E936" s="45">
        <v>812.32899999999995</v>
      </c>
      <c r="F936" s="39">
        <v>1274</v>
      </c>
      <c r="G936" s="39">
        <v>50</v>
      </c>
      <c r="H936" s="47">
        <v>600</v>
      </c>
      <c r="I936" s="39">
        <v>695</v>
      </c>
      <c r="J936" s="39">
        <v>0</v>
      </c>
      <c r="K936" s="40"/>
      <c r="L936" s="40"/>
      <c r="M936" s="40"/>
      <c r="N936" s="40"/>
      <c r="O936" s="40"/>
      <c r="P936" s="40"/>
      <c r="Q936" s="40"/>
      <c r="R936" s="40"/>
      <c r="S936" s="40"/>
      <c r="T936" s="40"/>
    </row>
    <row r="937" spans="1:20" ht="15.75">
      <c r="A937" s="13">
        <v>69671</v>
      </c>
      <c r="B937" s="48">
        <f t="shared" si="5"/>
        <v>30</v>
      </c>
      <c r="C937" s="39">
        <v>194.20500000000001</v>
      </c>
      <c r="D937" s="39">
        <v>267.46600000000001</v>
      </c>
      <c r="E937" s="45">
        <v>812.32899999999995</v>
      </c>
      <c r="F937" s="39">
        <v>1274</v>
      </c>
      <c r="G937" s="39">
        <v>50</v>
      </c>
      <c r="H937" s="47">
        <v>600</v>
      </c>
      <c r="I937" s="39">
        <v>695</v>
      </c>
      <c r="J937" s="39">
        <v>0</v>
      </c>
      <c r="K937" s="40"/>
      <c r="L937" s="40"/>
      <c r="M937" s="40"/>
      <c r="N937" s="40"/>
      <c r="O937" s="40"/>
      <c r="P937" s="40"/>
      <c r="Q937" s="40"/>
      <c r="R937" s="40"/>
      <c r="S937" s="40"/>
      <c r="T937" s="40"/>
    </row>
    <row r="938" spans="1:20" ht="15.75">
      <c r="A938" s="13">
        <v>69702</v>
      </c>
      <c r="B938" s="48">
        <f t="shared" si="5"/>
        <v>31</v>
      </c>
      <c r="C938" s="39">
        <v>131.881</v>
      </c>
      <c r="D938" s="39">
        <v>277.16699999999997</v>
      </c>
      <c r="E938" s="45">
        <v>829.952</v>
      </c>
      <c r="F938" s="39">
        <v>1239</v>
      </c>
      <c r="G938" s="39">
        <v>75</v>
      </c>
      <c r="H938" s="47">
        <v>600</v>
      </c>
      <c r="I938" s="39">
        <v>695</v>
      </c>
      <c r="J938" s="39">
        <v>0</v>
      </c>
      <c r="K938" s="40"/>
      <c r="L938" s="40"/>
      <c r="M938" s="40"/>
      <c r="N938" s="40"/>
      <c r="O938" s="40"/>
      <c r="P938" s="40"/>
      <c r="Q938" s="40"/>
      <c r="R938" s="40"/>
      <c r="S938" s="40"/>
      <c r="T938" s="40"/>
    </row>
    <row r="939" spans="1:20" ht="15.75">
      <c r="A939" s="13">
        <v>69732</v>
      </c>
      <c r="B939" s="48">
        <f t="shared" si="5"/>
        <v>30</v>
      </c>
      <c r="C939" s="39">
        <v>122.58</v>
      </c>
      <c r="D939" s="39">
        <v>297.94099999999997</v>
      </c>
      <c r="E939" s="45">
        <v>729.47900000000004</v>
      </c>
      <c r="F939" s="39">
        <v>1150</v>
      </c>
      <c r="G939" s="39">
        <v>100</v>
      </c>
      <c r="H939" s="47">
        <v>600</v>
      </c>
      <c r="I939" s="39">
        <v>695</v>
      </c>
      <c r="J939" s="39">
        <v>50</v>
      </c>
      <c r="K939" s="40"/>
      <c r="L939" s="40"/>
      <c r="M939" s="40"/>
      <c r="N939" s="40"/>
      <c r="O939" s="40"/>
      <c r="P939" s="40"/>
      <c r="Q939" s="40"/>
      <c r="R939" s="40"/>
      <c r="S939" s="40"/>
      <c r="T939" s="40"/>
    </row>
    <row r="940" spans="1:20" ht="15.75">
      <c r="A940" s="13">
        <v>69763</v>
      </c>
      <c r="B940" s="48">
        <f t="shared" si="5"/>
        <v>31</v>
      </c>
      <c r="C940" s="39">
        <v>122.58</v>
      </c>
      <c r="D940" s="39">
        <v>297.94099999999997</v>
      </c>
      <c r="E940" s="45">
        <v>729.47900000000004</v>
      </c>
      <c r="F940" s="39">
        <v>1150</v>
      </c>
      <c r="G940" s="39">
        <v>100</v>
      </c>
      <c r="H940" s="47">
        <v>600</v>
      </c>
      <c r="I940" s="39">
        <v>695</v>
      </c>
      <c r="J940" s="39">
        <v>50</v>
      </c>
      <c r="K940" s="40"/>
      <c r="L940" s="40"/>
      <c r="M940" s="40"/>
      <c r="N940" s="40"/>
      <c r="O940" s="40"/>
      <c r="P940" s="40"/>
      <c r="Q940" s="40"/>
      <c r="R940" s="40"/>
      <c r="S940" s="40"/>
      <c r="T940" s="40"/>
    </row>
    <row r="941" spans="1:20" ht="15.75">
      <c r="A941" s="13">
        <v>69794</v>
      </c>
      <c r="B941" s="48">
        <f t="shared" si="5"/>
        <v>31</v>
      </c>
      <c r="C941" s="39">
        <v>122.58</v>
      </c>
      <c r="D941" s="39">
        <v>297.94099999999997</v>
      </c>
      <c r="E941" s="45">
        <v>729.47900000000004</v>
      </c>
      <c r="F941" s="39">
        <v>1150</v>
      </c>
      <c r="G941" s="39">
        <v>100</v>
      </c>
      <c r="H941" s="47">
        <v>600</v>
      </c>
      <c r="I941" s="39">
        <v>695</v>
      </c>
      <c r="J941" s="39">
        <v>50</v>
      </c>
      <c r="K941" s="40"/>
      <c r="L941" s="40"/>
      <c r="M941" s="40"/>
      <c r="N941" s="40"/>
      <c r="O941" s="40"/>
      <c r="P941" s="40"/>
      <c r="Q941" s="40"/>
      <c r="R941" s="40"/>
      <c r="S941" s="40"/>
      <c r="T941" s="40"/>
    </row>
    <row r="942" spans="1:20" ht="15.75">
      <c r="A942" s="13">
        <v>69822</v>
      </c>
      <c r="B942" s="48">
        <f t="shared" si="5"/>
        <v>28</v>
      </c>
      <c r="C942" s="39">
        <v>122.58</v>
      </c>
      <c r="D942" s="39">
        <v>297.94099999999997</v>
      </c>
      <c r="E942" s="45">
        <v>729.47900000000004</v>
      </c>
      <c r="F942" s="39">
        <v>1150</v>
      </c>
      <c r="G942" s="39">
        <v>100</v>
      </c>
      <c r="H942" s="47">
        <v>600</v>
      </c>
      <c r="I942" s="39">
        <v>695</v>
      </c>
      <c r="J942" s="39">
        <v>50</v>
      </c>
      <c r="K942" s="40"/>
      <c r="L942" s="40"/>
      <c r="M942" s="40"/>
      <c r="N942" s="40"/>
      <c r="O942" s="40"/>
      <c r="P942" s="40"/>
      <c r="Q942" s="40"/>
      <c r="R942" s="40"/>
      <c r="S942" s="40"/>
      <c r="T942" s="40"/>
    </row>
    <row r="943" spans="1:20" ht="15.75">
      <c r="A943" s="13">
        <v>69853</v>
      </c>
      <c r="B943" s="48">
        <f t="shared" si="5"/>
        <v>31</v>
      </c>
      <c r="C943" s="39">
        <v>122.58</v>
      </c>
      <c r="D943" s="39">
        <v>297.94099999999997</v>
      </c>
      <c r="E943" s="45">
        <v>729.47900000000004</v>
      </c>
      <c r="F943" s="39">
        <v>1150</v>
      </c>
      <c r="G943" s="39">
        <v>100</v>
      </c>
      <c r="H943" s="47">
        <v>600</v>
      </c>
      <c r="I943" s="39">
        <v>695</v>
      </c>
      <c r="J943" s="39">
        <v>50</v>
      </c>
      <c r="K943" s="40"/>
      <c r="L943" s="40"/>
      <c r="M943" s="40"/>
      <c r="N943" s="40"/>
      <c r="O943" s="40"/>
      <c r="P943" s="40"/>
      <c r="Q943" s="40"/>
      <c r="R943" s="40"/>
      <c r="S943" s="40"/>
      <c r="T943" s="40"/>
    </row>
    <row r="944" spans="1:20" ht="15.75">
      <c r="A944" s="13">
        <v>69883</v>
      </c>
      <c r="B944" s="48">
        <f t="shared" si="5"/>
        <v>30</v>
      </c>
      <c r="C944" s="39">
        <v>141.29300000000001</v>
      </c>
      <c r="D944" s="39">
        <v>267.99299999999999</v>
      </c>
      <c r="E944" s="45">
        <v>829.71400000000006</v>
      </c>
      <c r="F944" s="39">
        <v>1239</v>
      </c>
      <c r="G944" s="39">
        <v>100</v>
      </c>
      <c r="H944" s="47">
        <v>600</v>
      </c>
      <c r="I944" s="39">
        <v>695</v>
      </c>
      <c r="J944" s="39">
        <v>50</v>
      </c>
      <c r="K944" s="40"/>
      <c r="L944" s="40"/>
      <c r="M944" s="40"/>
      <c r="N944" s="40"/>
      <c r="O944" s="40"/>
      <c r="P944" s="40"/>
      <c r="Q944" s="40"/>
      <c r="R944" s="40"/>
      <c r="S944" s="40"/>
      <c r="T944" s="40"/>
    </row>
    <row r="945" spans="1:20" ht="15.75">
      <c r="A945" s="13">
        <v>69914</v>
      </c>
      <c r="B945" s="48">
        <f t="shared" si="5"/>
        <v>31</v>
      </c>
      <c r="C945" s="39">
        <v>194.20500000000001</v>
      </c>
      <c r="D945" s="39">
        <v>267.46600000000001</v>
      </c>
      <c r="E945" s="45">
        <v>812.32899999999995</v>
      </c>
      <c r="F945" s="39">
        <v>1274</v>
      </c>
      <c r="G945" s="39">
        <v>75</v>
      </c>
      <c r="H945" s="47">
        <v>600</v>
      </c>
      <c r="I945" s="39">
        <v>695</v>
      </c>
      <c r="J945" s="39">
        <v>50</v>
      </c>
      <c r="K945" s="40"/>
      <c r="L945" s="40"/>
      <c r="M945" s="40"/>
      <c r="N945" s="40"/>
      <c r="O945" s="40"/>
      <c r="P945" s="40"/>
      <c r="Q945" s="40"/>
      <c r="R945" s="40"/>
      <c r="S945" s="40"/>
      <c r="T945" s="40"/>
    </row>
    <row r="946" spans="1:20" ht="15.75">
      <c r="A946" s="13">
        <v>69944</v>
      </c>
      <c r="B946" s="48">
        <f t="shared" si="5"/>
        <v>30</v>
      </c>
      <c r="C946" s="39">
        <v>194.20500000000001</v>
      </c>
      <c r="D946" s="39">
        <v>267.46600000000001</v>
      </c>
      <c r="E946" s="45">
        <v>812.32899999999995</v>
      </c>
      <c r="F946" s="39">
        <v>1274</v>
      </c>
      <c r="G946" s="39">
        <v>50</v>
      </c>
      <c r="H946" s="47">
        <v>600</v>
      </c>
      <c r="I946" s="39">
        <v>695</v>
      </c>
      <c r="J946" s="39">
        <v>50</v>
      </c>
      <c r="K946" s="40"/>
      <c r="L946" s="40"/>
      <c r="M946" s="40"/>
      <c r="N946" s="40"/>
      <c r="O946" s="40"/>
      <c r="P946" s="40"/>
      <c r="Q946" s="40"/>
      <c r="R946" s="40"/>
      <c r="S946" s="40"/>
      <c r="T946" s="40"/>
    </row>
    <row r="947" spans="1:20" ht="15.75">
      <c r="A947" s="13">
        <v>69975</v>
      </c>
      <c r="B947" s="48">
        <f t="shared" si="5"/>
        <v>31</v>
      </c>
      <c r="C947" s="39">
        <v>194.20500000000001</v>
      </c>
      <c r="D947" s="39">
        <v>267.46600000000001</v>
      </c>
      <c r="E947" s="45">
        <v>812.32899999999995</v>
      </c>
      <c r="F947" s="39">
        <v>1274</v>
      </c>
      <c r="G947" s="39">
        <v>50</v>
      </c>
      <c r="H947" s="47">
        <v>600</v>
      </c>
      <c r="I947" s="39">
        <v>695</v>
      </c>
      <c r="J947" s="39">
        <v>0</v>
      </c>
      <c r="K947" s="40"/>
      <c r="L947" s="40"/>
      <c r="M947" s="40"/>
      <c r="N947" s="40"/>
      <c r="O947" s="40"/>
      <c r="P947" s="40"/>
      <c r="Q947" s="40"/>
      <c r="R947" s="40"/>
      <c r="S947" s="40"/>
      <c r="T947" s="40"/>
    </row>
    <row r="948" spans="1:20" ht="15.75">
      <c r="A948" s="13">
        <v>70006</v>
      </c>
      <c r="B948" s="48">
        <f t="shared" si="5"/>
        <v>31</v>
      </c>
      <c r="C948" s="39">
        <v>194.20500000000001</v>
      </c>
      <c r="D948" s="39">
        <v>267.46600000000001</v>
      </c>
      <c r="E948" s="45">
        <v>812.32899999999995</v>
      </c>
      <c r="F948" s="39">
        <v>1274</v>
      </c>
      <c r="G948" s="39">
        <v>50</v>
      </c>
      <c r="H948" s="47">
        <v>600</v>
      </c>
      <c r="I948" s="39">
        <v>695</v>
      </c>
      <c r="J948" s="39">
        <v>0</v>
      </c>
      <c r="K948" s="40"/>
      <c r="L948" s="40"/>
      <c r="M948" s="40"/>
      <c r="N948" s="40"/>
      <c r="O948" s="40"/>
      <c r="P948" s="40"/>
      <c r="Q948" s="40"/>
      <c r="R948" s="40"/>
      <c r="S948" s="40"/>
      <c r="T948" s="40"/>
    </row>
    <row r="949" spans="1:20" ht="15.75">
      <c r="A949" s="13">
        <v>70036</v>
      </c>
      <c r="B949" s="48">
        <f t="shared" si="5"/>
        <v>30</v>
      </c>
      <c r="C949" s="39">
        <v>194.20500000000001</v>
      </c>
      <c r="D949" s="39">
        <v>267.46600000000001</v>
      </c>
      <c r="E949" s="45">
        <v>812.32899999999995</v>
      </c>
      <c r="F949" s="39">
        <v>1274</v>
      </c>
      <c r="G949" s="39">
        <v>50</v>
      </c>
      <c r="H949" s="47">
        <v>600</v>
      </c>
      <c r="I949" s="39">
        <v>695</v>
      </c>
      <c r="J949" s="39">
        <v>0</v>
      </c>
      <c r="K949" s="40"/>
      <c r="L949" s="40"/>
      <c r="M949" s="40"/>
      <c r="N949" s="40"/>
      <c r="O949" s="40"/>
      <c r="P949" s="40"/>
      <c r="Q949" s="40"/>
      <c r="R949" s="40"/>
      <c r="S949" s="40"/>
      <c r="T949" s="40"/>
    </row>
    <row r="950" spans="1:20" ht="15.75">
      <c r="A950" s="13">
        <v>70067</v>
      </c>
      <c r="B950" s="48">
        <f t="shared" si="5"/>
        <v>31</v>
      </c>
      <c r="C950" s="39">
        <v>131.881</v>
      </c>
      <c r="D950" s="39">
        <v>277.16699999999997</v>
      </c>
      <c r="E950" s="45">
        <v>829.952</v>
      </c>
      <c r="F950" s="39">
        <v>1239</v>
      </c>
      <c r="G950" s="39">
        <v>75</v>
      </c>
      <c r="H950" s="47">
        <v>600</v>
      </c>
      <c r="I950" s="39">
        <v>695</v>
      </c>
      <c r="J950" s="39">
        <v>0</v>
      </c>
      <c r="K950" s="40"/>
      <c r="L950" s="40"/>
      <c r="M950" s="40"/>
      <c r="N950" s="40"/>
      <c r="O950" s="40"/>
      <c r="P950" s="40"/>
      <c r="Q950" s="40"/>
      <c r="R950" s="40"/>
      <c r="S950" s="40"/>
      <c r="T950" s="40"/>
    </row>
    <row r="951" spans="1:20" ht="15.75">
      <c r="A951" s="13">
        <v>70097</v>
      </c>
      <c r="B951" s="48">
        <f t="shared" si="5"/>
        <v>30</v>
      </c>
      <c r="C951" s="39">
        <v>122.58</v>
      </c>
      <c r="D951" s="39">
        <v>297.94099999999997</v>
      </c>
      <c r="E951" s="45">
        <v>729.47900000000004</v>
      </c>
      <c r="F951" s="39">
        <v>1150</v>
      </c>
      <c r="G951" s="39">
        <v>100</v>
      </c>
      <c r="H951" s="47">
        <v>600</v>
      </c>
      <c r="I951" s="39">
        <v>695</v>
      </c>
      <c r="J951" s="39">
        <v>50</v>
      </c>
      <c r="K951" s="40"/>
      <c r="L951" s="40"/>
      <c r="M951" s="40"/>
      <c r="N951" s="40"/>
      <c r="O951" s="40"/>
      <c r="P951" s="40"/>
      <c r="Q951" s="40"/>
      <c r="R951" s="40"/>
      <c r="S951" s="40"/>
      <c r="T951" s="40"/>
    </row>
    <row r="952" spans="1:20" ht="15.75">
      <c r="A952" s="13">
        <v>70128</v>
      </c>
      <c r="B952" s="48">
        <f t="shared" si="5"/>
        <v>31</v>
      </c>
      <c r="C952" s="39">
        <v>122.58</v>
      </c>
      <c r="D952" s="39">
        <v>297.94099999999997</v>
      </c>
      <c r="E952" s="45">
        <v>729.47900000000004</v>
      </c>
      <c r="F952" s="39">
        <v>1150</v>
      </c>
      <c r="G952" s="39">
        <v>100</v>
      </c>
      <c r="H952" s="47">
        <v>600</v>
      </c>
      <c r="I952" s="39">
        <v>695</v>
      </c>
      <c r="J952" s="39">
        <v>50</v>
      </c>
      <c r="K952" s="40"/>
      <c r="L952" s="40"/>
      <c r="M952" s="40"/>
      <c r="N952" s="40"/>
      <c r="O952" s="40"/>
      <c r="P952" s="40"/>
      <c r="Q952" s="40"/>
      <c r="R952" s="40"/>
      <c r="S952" s="40"/>
      <c r="T952" s="40"/>
    </row>
    <row r="953" spans="1:20" ht="15.75">
      <c r="A953" s="13">
        <v>70159</v>
      </c>
      <c r="B953" s="48">
        <f t="shared" si="5"/>
        <v>31</v>
      </c>
      <c r="C953" s="39">
        <v>122.58</v>
      </c>
      <c r="D953" s="39">
        <v>297.94099999999997</v>
      </c>
      <c r="E953" s="45">
        <v>729.47900000000004</v>
      </c>
      <c r="F953" s="39">
        <v>1150</v>
      </c>
      <c r="G953" s="39">
        <v>100</v>
      </c>
      <c r="H953" s="47">
        <v>600</v>
      </c>
      <c r="I953" s="39">
        <v>695</v>
      </c>
      <c r="J953" s="39">
        <v>50</v>
      </c>
      <c r="K953" s="40"/>
      <c r="L953" s="40"/>
      <c r="M953" s="40"/>
      <c r="N953" s="40"/>
      <c r="O953" s="40"/>
      <c r="P953" s="40"/>
      <c r="Q953" s="40"/>
      <c r="R953" s="40"/>
      <c r="S953" s="40"/>
      <c r="T953" s="40"/>
    </row>
    <row r="954" spans="1:20" ht="15.75">
      <c r="A954" s="13">
        <v>70188</v>
      </c>
      <c r="B954" s="48">
        <f t="shared" si="5"/>
        <v>29</v>
      </c>
      <c r="C954" s="39">
        <v>122.58</v>
      </c>
      <c r="D954" s="39">
        <v>297.94099999999997</v>
      </c>
      <c r="E954" s="45">
        <v>729.47900000000004</v>
      </c>
      <c r="F954" s="39">
        <v>1150</v>
      </c>
      <c r="G954" s="39">
        <v>100</v>
      </c>
      <c r="H954" s="47">
        <v>600</v>
      </c>
      <c r="I954" s="39">
        <v>695</v>
      </c>
      <c r="J954" s="39">
        <v>50</v>
      </c>
      <c r="K954" s="40"/>
      <c r="L954" s="40"/>
      <c r="M954" s="40"/>
      <c r="N954" s="40"/>
      <c r="O954" s="40"/>
      <c r="P954" s="40"/>
      <c r="Q954" s="40"/>
      <c r="R954" s="40"/>
      <c r="S954" s="40"/>
      <c r="T954" s="40"/>
    </row>
    <row r="955" spans="1:20" ht="15.75">
      <c r="A955" s="13">
        <v>70219</v>
      </c>
      <c r="B955" s="48">
        <f t="shared" si="5"/>
        <v>31</v>
      </c>
      <c r="C955" s="39">
        <v>122.58</v>
      </c>
      <c r="D955" s="39">
        <v>297.94099999999997</v>
      </c>
      <c r="E955" s="45">
        <v>729.47900000000004</v>
      </c>
      <c r="F955" s="39">
        <v>1150</v>
      </c>
      <c r="G955" s="39">
        <v>100</v>
      </c>
      <c r="H955" s="47">
        <v>600</v>
      </c>
      <c r="I955" s="39">
        <v>695</v>
      </c>
      <c r="J955" s="39">
        <v>50</v>
      </c>
      <c r="K955" s="40"/>
      <c r="L955" s="40"/>
      <c r="M955" s="40"/>
      <c r="N955" s="40"/>
      <c r="O955" s="40"/>
      <c r="P955" s="40"/>
      <c r="Q955" s="40"/>
      <c r="R955" s="40"/>
      <c r="S955" s="40"/>
      <c r="T955" s="40"/>
    </row>
    <row r="956" spans="1:20" ht="15.75">
      <c r="A956" s="13">
        <v>70249</v>
      </c>
      <c r="B956" s="48">
        <f t="shared" si="5"/>
        <v>30</v>
      </c>
      <c r="C956" s="39">
        <v>141.29300000000001</v>
      </c>
      <c r="D956" s="39">
        <v>267.99299999999999</v>
      </c>
      <c r="E956" s="45">
        <v>829.71400000000006</v>
      </c>
      <c r="F956" s="39">
        <v>1239</v>
      </c>
      <c r="G956" s="39">
        <v>100</v>
      </c>
      <c r="H956" s="47">
        <v>600</v>
      </c>
      <c r="I956" s="39">
        <v>695</v>
      </c>
      <c r="J956" s="39">
        <v>50</v>
      </c>
      <c r="K956" s="40"/>
      <c r="L956" s="40"/>
      <c r="M956" s="40"/>
      <c r="N956" s="40"/>
      <c r="O956" s="40"/>
      <c r="P956" s="40"/>
      <c r="Q956" s="40"/>
      <c r="R956" s="40"/>
      <c r="S956" s="40"/>
      <c r="T956" s="40"/>
    </row>
    <row r="957" spans="1:20" ht="15.75">
      <c r="A957" s="13">
        <v>70280</v>
      </c>
      <c r="B957" s="48">
        <f t="shared" si="5"/>
        <v>31</v>
      </c>
      <c r="C957" s="39">
        <v>194.20500000000001</v>
      </c>
      <c r="D957" s="39">
        <v>267.46600000000001</v>
      </c>
      <c r="E957" s="45">
        <v>812.32899999999995</v>
      </c>
      <c r="F957" s="39">
        <v>1274</v>
      </c>
      <c r="G957" s="39">
        <v>75</v>
      </c>
      <c r="H957" s="47">
        <v>600</v>
      </c>
      <c r="I957" s="39">
        <v>695</v>
      </c>
      <c r="J957" s="39">
        <v>50</v>
      </c>
      <c r="K957" s="40"/>
      <c r="L957" s="40"/>
      <c r="M957" s="40"/>
      <c r="N957" s="40"/>
      <c r="O957" s="40"/>
      <c r="P957" s="40"/>
      <c r="Q957" s="40"/>
      <c r="R957" s="40"/>
      <c r="S957" s="40"/>
      <c r="T957" s="40"/>
    </row>
    <row r="958" spans="1:20" ht="15.75">
      <c r="A958" s="13">
        <v>70310</v>
      </c>
      <c r="B958" s="48">
        <f t="shared" si="5"/>
        <v>30</v>
      </c>
      <c r="C958" s="39">
        <v>194.20500000000001</v>
      </c>
      <c r="D958" s="39">
        <v>267.46600000000001</v>
      </c>
      <c r="E958" s="45">
        <v>812.32899999999995</v>
      </c>
      <c r="F958" s="39">
        <v>1274</v>
      </c>
      <c r="G958" s="39">
        <v>50</v>
      </c>
      <c r="H958" s="47">
        <v>600</v>
      </c>
      <c r="I958" s="39">
        <v>695</v>
      </c>
      <c r="J958" s="39">
        <v>50</v>
      </c>
      <c r="K958" s="40"/>
      <c r="L958" s="40"/>
      <c r="M958" s="40"/>
      <c r="N958" s="40"/>
      <c r="O958" s="40"/>
      <c r="P958" s="40"/>
      <c r="Q958" s="40"/>
      <c r="R958" s="40"/>
      <c r="S958" s="40"/>
      <c r="T958" s="40"/>
    </row>
    <row r="959" spans="1:20" ht="15.75">
      <c r="A959" s="13">
        <v>70341</v>
      </c>
      <c r="B959" s="48">
        <f t="shared" si="5"/>
        <v>31</v>
      </c>
      <c r="C959" s="39">
        <v>194.20500000000001</v>
      </c>
      <c r="D959" s="39">
        <v>267.46600000000001</v>
      </c>
      <c r="E959" s="45">
        <v>812.32899999999995</v>
      </c>
      <c r="F959" s="39">
        <v>1274</v>
      </c>
      <c r="G959" s="39">
        <v>50</v>
      </c>
      <c r="H959" s="47">
        <v>600</v>
      </c>
      <c r="I959" s="39">
        <v>695</v>
      </c>
      <c r="J959" s="39">
        <v>0</v>
      </c>
      <c r="K959" s="40"/>
      <c r="L959" s="40"/>
      <c r="M959" s="40"/>
      <c r="N959" s="40"/>
      <c r="O959" s="40"/>
      <c r="P959" s="40"/>
      <c r="Q959" s="40"/>
      <c r="R959" s="40"/>
      <c r="S959" s="40"/>
      <c r="T959" s="40"/>
    </row>
    <row r="960" spans="1:20" ht="15.75">
      <c r="A960" s="13">
        <v>70372</v>
      </c>
      <c r="B960" s="48">
        <f t="shared" si="5"/>
        <v>31</v>
      </c>
      <c r="C960" s="39">
        <v>194.20500000000001</v>
      </c>
      <c r="D960" s="39">
        <v>267.46600000000001</v>
      </c>
      <c r="E960" s="45">
        <v>812.32899999999995</v>
      </c>
      <c r="F960" s="39">
        <v>1274</v>
      </c>
      <c r="G960" s="39">
        <v>50</v>
      </c>
      <c r="H960" s="47">
        <v>600</v>
      </c>
      <c r="I960" s="39">
        <v>695</v>
      </c>
      <c r="J960" s="39">
        <v>0</v>
      </c>
      <c r="K960" s="40"/>
      <c r="L960" s="40"/>
      <c r="M960" s="40"/>
      <c r="N960" s="40"/>
      <c r="O960" s="40"/>
      <c r="P960" s="40"/>
      <c r="Q960" s="40"/>
      <c r="R960" s="40"/>
      <c r="S960" s="40"/>
      <c r="T960" s="40"/>
    </row>
    <row r="961" spans="1:20" ht="15.75">
      <c r="A961" s="13">
        <v>70402</v>
      </c>
      <c r="B961" s="48">
        <f t="shared" si="5"/>
        <v>30</v>
      </c>
      <c r="C961" s="39">
        <v>194.20500000000001</v>
      </c>
      <c r="D961" s="39">
        <v>267.46600000000001</v>
      </c>
      <c r="E961" s="45">
        <v>812.32899999999995</v>
      </c>
      <c r="F961" s="39">
        <v>1274</v>
      </c>
      <c r="G961" s="39">
        <v>50</v>
      </c>
      <c r="H961" s="47">
        <v>600</v>
      </c>
      <c r="I961" s="39">
        <v>695</v>
      </c>
      <c r="J961" s="39">
        <v>0</v>
      </c>
      <c r="K961" s="40"/>
      <c r="L961" s="40"/>
      <c r="M961" s="40"/>
      <c r="N961" s="40"/>
      <c r="O961" s="40"/>
      <c r="P961" s="40"/>
      <c r="Q961" s="40"/>
      <c r="R961" s="40"/>
      <c r="S961" s="40"/>
      <c r="T961" s="40"/>
    </row>
    <row r="962" spans="1:20" ht="15.75">
      <c r="A962" s="13">
        <v>70433</v>
      </c>
      <c r="B962" s="48">
        <f t="shared" si="5"/>
        <v>31</v>
      </c>
      <c r="C962" s="39">
        <v>131.881</v>
      </c>
      <c r="D962" s="39">
        <v>277.16699999999997</v>
      </c>
      <c r="E962" s="45">
        <v>829.952</v>
      </c>
      <c r="F962" s="39">
        <v>1239</v>
      </c>
      <c r="G962" s="39">
        <v>75</v>
      </c>
      <c r="H962" s="47">
        <v>600</v>
      </c>
      <c r="I962" s="39">
        <v>695</v>
      </c>
      <c r="J962" s="39">
        <v>0</v>
      </c>
      <c r="K962" s="40"/>
      <c r="L962" s="40"/>
      <c r="M962" s="40"/>
      <c r="N962" s="40"/>
      <c r="O962" s="40"/>
      <c r="P962" s="40"/>
      <c r="Q962" s="40"/>
      <c r="R962" s="40"/>
      <c r="S962" s="40"/>
      <c r="T962" s="40"/>
    </row>
    <row r="963" spans="1:20" ht="15.75">
      <c r="A963" s="13">
        <v>70463</v>
      </c>
      <c r="B963" s="48">
        <f t="shared" si="5"/>
        <v>30</v>
      </c>
      <c r="C963" s="39">
        <v>122.58</v>
      </c>
      <c r="D963" s="39">
        <v>297.94099999999997</v>
      </c>
      <c r="E963" s="45">
        <v>729.47900000000004</v>
      </c>
      <c r="F963" s="39">
        <v>1150</v>
      </c>
      <c r="G963" s="39">
        <v>100</v>
      </c>
      <c r="H963" s="47">
        <v>600</v>
      </c>
      <c r="I963" s="39">
        <v>695</v>
      </c>
      <c r="J963" s="39">
        <v>50</v>
      </c>
      <c r="K963" s="40"/>
      <c r="L963" s="40"/>
      <c r="M963" s="40"/>
      <c r="N963" s="40"/>
      <c r="O963" s="40"/>
      <c r="P963" s="40"/>
      <c r="Q963" s="40"/>
      <c r="R963" s="40"/>
      <c r="S963" s="40"/>
      <c r="T963" s="40"/>
    </row>
    <row r="964" spans="1:20" ht="15.75">
      <c r="A964" s="13">
        <v>70494</v>
      </c>
      <c r="B964" s="48">
        <f t="shared" si="5"/>
        <v>31</v>
      </c>
      <c r="C964" s="39">
        <v>122.58</v>
      </c>
      <c r="D964" s="39">
        <v>297.94099999999997</v>
      </c>
      <c r="E964" s="45">
        <v>729.47900000000004</v>
      </c>
      <c r="F964" s="39">
        <v>1150</v>
      </c>
      <c r="G964" s="39">
        <v>100</v>
      </c>
      <c r="H964" s="47">
        <v>600</v>
      </c>
      <c r="I964" s="39">
        <v>695</v>
      </c>
      <c r="J964" s="39">
        <v>50</v>
      </c>
      <c r="K964" s="40"/>
      <c r="L964" s="40"/>
      <c r="M964" s="40"/>
      <c r="N964" s="40"/>
      <c r="O964" s="40"/>
      <c r="P964" s="40"/>
      <c r="Q964" s="40"/>
      <c r="R964" s="40"/>
      <c r="S964" s="40"/>
      <c r="T964" s="40"/>
    </row>
    <row r="965" spans="1:20" ht="15.75">
      <c r="A965" s="13">
        <v>70525</v>
      </c>
      <c r="B965" s="48">
        <f t="shared" si="5"/>
        <v>31</v>
      </c>
      <c r="C965" s="39">
        <v>122.58</v>
      </c>
      <c r="D965" s="39">
        <v>297.94099999999997</v>
      </c>
      <c r="E965" s="45">
        <v>729.47900000000004</v>
      </c>
      <c r="F965" s="39">
        <v>1150</v>
      </c>
      <c r="G965" s="39">
        <v>100</v>
      </c>
      <c r="H965" s="47">
        <v>600</v>
      </c>
      <c r="I965" s="39">
        <v>695</v>
      </c>
      <c r="J965" s="39">
        <v>50</v>
      </c>
      <c r="K965" s="40"/>
      <c r="L965" s="40"/>
      <c r="M965" s="40"/>
      <c r="N965" s="40"/>
      <c r="O965" s="40"/>
      <c r="P965" s="40"/>
      <c r="Q965" s="40"/>
      <c r="R965" s="40"/>
      <c r="S965" s="40"/>
      <c r="T965" s="40"/>
    </row>
    <row r="966" spans="1:20" ht="15.75">
      <c r="A966" s="13">
        <v>70553</v>
      </c>
      <c r="B966" s="48">
        <f t="shared" si="5"/>
        <v>28</v>
      </c>
      <c r="C966" s="39">
        <v>122.58</v>
      </c>
      <c r="D966" s="39">
        <v>297.94099999999997</v>
      </c>
      <c r="E966" s="45">
        <v>729.47900000000004</v>
      </c>
      <c r="F966" s="39">
        <v>1150</v>
      </c>
      <c r="G966" s="39">
        <v>100</v>
      </c>
      <c r="H966" s="47">
        <v>600</v>
      </c>
      <c r="I966" s="39">
        <v>695</v>
      </c>
      <c r="J966" s="39">
        <v>50</v>
      </c>
      <c r="K966" s="40"/>
      <c r="L966" s="40"/>
      <c r="M966" s="40"/>
      <c r="N966" s="40"/>
      <c r="O966" s="40"/>
      <c r="P966" s="40"/>
      <c r="Q966" s="40"/>
      <c r="R966" s="40"/>
      <c r="S966" s="40"/>
      <c r="T966" s="40"/>
    </row>
    <row r="967" spans="1:20" ht="15.75">
      <c r="A967" s="13">
        <v>70584</v>
      </c>
      <c r="B967" s="48">
        <f t="shared" si="5"/>
        <v>31</v>
      </c>
      <c r="C967" s="39">
        <v>122.58</v>
      </c>
      <c r="D967" s="39">
        <v>297.94099999999997</v>
      </c>
      <c r="E967" s="45">
        <v>729.47900000000004</v>
      </c>
      <c r="F967" s="39">
        <v>1150</v>
      </c>
      <c r="G967" s="39">
        <v>100</v>
      </c>
      <c r="H967" s="47">
        <v>600</v>
      </c>
      <c r="I967" s="39">
        <v>695</v>
      </c>
      <c r="J967" s="39">
        <v>50</v>
      </c>
      <c r="K967" s="40"/>
      <c r="L967" s="40"/>
      <c r="M967" s="40"/>
      <c r="N967" s="40"/>
      <c r="O967" s="40"/>
      <c r="P967" s="40"/>
      <c r="Q967" s="40"/>
      <c r="R967" s="40"/>
      <c r="S967" s="40"/>
      <c r="T967" s="40"/>
    </row>
    <row r="968" spans="1:20" ht="15.75">
      <c r="A968" s="13">
        <v>70614</v>
      </c>
      <c r="B968" s="48">
        <f t="shared" si="5"/>
        <v>30</v>
      </c>
      <c r="C968" s="39">
        <v>141.29300000000001</v>
      </c>
      <c r="D968" s="39">
        <v>267.99299999999999</v>
      </c>
      <c r="E968" s="45">
        <v>829.71400000000006</v>
      </c>
      <c r="F968" s="39">
        <v>1239</v>
      </c>
      <c r="G968" s="39">
        <v>100</v>
      </c>
      <c r="H968" s="47">
        <v>600</v>
      </c>
      <c r="I968" s="39">
        <v>695</v>
      </c>
      <c r="J968" s="39">
        <v>50</v>
      </c>
      <c r="K968" s="40"/>
      <c r="L968" s="40"/>
      <c r="M968" s="40"/>
      <c r="N968" s="40"/>
      <c r="O968" s="40"/>
      <c r="P968" s="40"/>
      <c r="Q968" s="40"/>
      <c r="R968" s="40"/>
      <c r="S968" s="40"/>
      <c r="T968" s="40"/>
    </row>
    <row r="969" spans="1:20" ht="15.75">
      <c r="A969" s="13">
        <v>70645</v>
      </c>
      <c r="B969" s="48">
        <f t="shared" si="5"/>
        <v>31</v>
      </c>
      <c r="C969" s="39">
        <v>194.20500000000001</v>
      </c>
      <c r="D969" s="39">
        <v>267.46600000000001</v>
      </c>
      <c r="E969" s="45">
        <v>812.32899999999995</v>
      </c>
      <c r="F969" s="39">
        <v>1274</v>
      </c>
      <c r="G969" s="39">
        <v>75</v>
      </c>
      <c r="H969" s="47">
        <v>600</v>
      </c>
      <c r="I969" s="39">
        <v>695</v>
      </c>
      <c r="J969" s="39">
        <v>50</v>
      </c>
      <c r="K969" s="40"/>
      <c r="L969" s="40"/>
      <c r="M969" s="40"/>
      <c r="N969" s="40"/>
      <c r="O969" s="40"/>
      <c r="P969" s="40"/>
      <c r="Q969" s="40"/>
      <c r="R969" s="40"/>
      <c r="S969" s="40"/>
      <c r="T969" s="40"/>
    </row>
    <row r="970" spans="1:20" ht="15.75">
      <c r="A970" s="13">
        <v>70675</v>
      </c>
      <c r="B970" s="48">
        <f t="shared" si="5"/>
        <v>30</v>
      </c>
      <c r="C970" s="39">
        <v>194.20500000000001</v>
      </c>
      <c r="D970" s="39">
        <v>267.46600000000001</v>
      </c>
      <c r="E970" s="45">
        <v>812.32899999999995</v>
      </c>
      <c r="F970" s="39">
        <v>1274</v>
      </c>
      <c r="G970" s="39">
        <v>50</v>
      </c>
      <c r="H970" s="47">
        <v>600</v>
      </c>
      <c r="I970" s="39">
        <v>695</v>
      </c>
      <c r="J970" s="39">
        <v>50</v>
      </c>
      <c r="K970" s="40"/>
      <c r="L970" s="40"/>
      <c r="M970" s="40"/>
      <c r="N970" s="40"/>
      <c r="O970" s="40"/>
      <c r="P970" s="40"/>
      <c r="Q970" s="40"/>
      <c r="R970" s="40"/>
      <c r="S970" s="40"/>
      <c r="T970" s="40"/>
    </row>
    <row r="971" spans="1:20" ht="15.75">
      <c r="A971" s="13">
        <v>70706</v>
      </c>
      <c r="B971" s="48">
        <f t="shared" si="5"/>
        <v>31</v>
      </c>
      <c r="C971" s="39">
        <v>194.20500000000001</v>
      </c>
      <c r="D971" s="39">
        <v>267.46600000000001</v>
      </c>
      <c r="E971" s="45">
        <v>812.32899999999995</v>
      </c>
      <c r="F971" s="39">
        <v>1274</v>
      </c>
      <c r="G971" s="39">
        <v>50</v>
      </c>
      <c r="H971" s="47">
        <v>600</v>
      </c>
      <c r="I971" s="39">
        <v>695</v>
      </c>
      <c r="J971" s="39">
        <v>0</v>
      </c>
      <c r="K971" s="40"/>
      <c r="L971" s="40"/>
      <c r="M971" s="40"/>
      <c r="N971" s="40"/>
      <c r="O971" s="40"/>
      <c r="P971" s="40"/>
      <c r="Q971" s="40"/>
      <c r="R971" s="40"/>
      <c r="S971" s="40"/>
      <c r="T971" s="40"/>
    </row>
    <row r="972" spans="1:20" ht="15.75">
      <c r="A972" s="13">
        <v>70737</v>
      </c>
      <c r="B972" s="48">
        <f t="shared" si="5"/>
        <v>31</v>
      </c>
      <c r="C972" s="39">
        <v>194.20500000000001</v>
      </c>
      <c r="D972" s="39">
        <v>267.46600000000001</v>
      </c>
      <c r="E972" s="45">
        <v>812.32899999999995</v>
      </c>
      <c r="F972" s="39">
        <v>1274</v>
      </c>
      <c r="G972" s="39">
        <v>50</v>
      </c>
      <c r="H972" s="47">
        <v>600</v>
      </c>
      <c r="I972" s="39">
        <v>695</v>
      </c>
      <c r="J972" s="39">
        <v>0</v>
      </c>
      <c r="K972" s="40"/>
      <c r="L972" s="40"/>
      <c r="M972" s="40"/>
      <c r="N972" s="40"/>
      <c r="O972" s="40"/>
      <c r="P972" s="40"/>
      <c r="Q972" s="40"/>
      <c r="R972" s="40"/>
      <c r="S972" s="40"/>
      <c r="T972" s="40"/>
    </row>
    <row r="973" spans="1:20" ht="15.75">
      <c r="A973" s="13">
        <v>70767</v>
      </c>
      <c r="B973" s="48">
        <f t="shared" si="5"/>
        <v>30</v>
      </c>
      <c r="C973" s="39">
        <v>194.20500000000001</v>
      </c>
      <c r="D973" s="39">
        <v>267.46600000000001</v>
      </c>
      <c r="E973" s="45">
        <v>812.32899999999995</v>
      </c>
      <c r="F973" s="39">
        <v>1274</v>
      </c>
      <c r="G973" s="39">
        <v>50</v>
      </c>
      <c r="H973" s="47">
        <v>600</v>
      </c>
      <c r="I973" s="39">
        <v>695</v>
      </c>
      <c r="J973" s="39">
        <v>0</v>
      </c>
      <c r="K973" s="40"/>
      <c r="L973" s="40"/>
      <c r="M973" s="40"/>
      <c r="N973" s="40"/>
      <c r="O973" s="40"/>
      <c r="P973" s="40"/>
      <c r="Q973" s="40"/>
      <c r="R973" s="40"/>
      <c r="S973" s="40"/>
      <c r="T973" s="40"/>
    </row>
    <row r="974" spans="1:20" ht="15.75">
      <c r="A974" s="13">
        <v>70798</v>
      </c>
      <c r="B974" s="48">
        <f t="shared" si="5"/>
        <v>31</v>
      </c>
      <c r="C974" s="39">
        <v>131.881</v>
      </c>
      <c r="D974" s="39">
        <v>277.16699999999997</v>
      </c>
      <c r="E974" s="45">
        <v>829.952</v>
      </c>
      <c r="F974" s="39">
        <v>1239</v>
      </c>
      <c r="G974" s="39">
        <v>75</v>
      </c>
      <c r="H974" s="47">
        <v>600</v>
      </c>
      <c r="I974" s="39">
        <v>695</v>
      </c>
      <c r="J974" s="39">
        <v>0</v>
      </c>
      <c r="K974" s="40"/>
      <c r="L974" s="40"/>
      <c r="M974" s="40"/>
      <c r="N974" s="40"/>
      <c r="O974" s="40"/>
      <c r="P974" s="40"/>
      <c r="Q974" s="40"/>
      <c r="R974" s="40"/>
      <c r="S974" s="40"/>
      <c r="T974" s="40"/>
    </row>
    <row r="975" spans="1:20" ht="15.75">
      <c r="A975" s="13">
        <v>70828</v>
      </c>
      <c r="B975" s="48">
        <f t="shared" si="5"/>
        <v>30</v>
      </c>
      <c r="C975" s="39">
        <v>122.58</v>
      </c>
      <c r="D975" s="39">
        <v>297.94099999999997</v>
      </c>
      <c r="E975" s="45">
        <v>729.47900000000004</v>
      </c>
      <c r="F975" s="39">
        <v>1150</v>
      </c>
      <c r="G975" s="39">
        <v>100</v>
      </c>
      <c r="H975" s="47">
        <v>600</v>
      </c>
      <c r="I975" s="39">
        <v>695</v>
      </c>
      <c r="J975" s="39">
        <v>50</v>
      </c>
      <c r="K975" s="40"/>
      <c r="L975" s="40"/>
      <c r="M975" s="40"/>
      <c r="N975" s="40"/>
      <c r="O975" s="40"/>
      <c r="P975" s="40"/>
      <c r="Q975" s="40"/>
      <c r="R975" s="40"/>
      <c r="S975" s="40"/>
      <c r="T975" s="40"/>
    </row>
    <row r="976" spans="1:20" ht="15.75">
      <c r="A976" s="13">
        <v>70859</v>
      </c>
      <c r="B976" s="48">
        <f t="shared" si="5"/>
        <v>31</v>
      </c>
      <c r="C976" s="39">
        <v>122.58</v>
      </c>
      <c r="D976" s="39">
        <v>297.94099999999997</v>
      </c>
      <c r="E976" s="45">
        <v>729.47900000000004</v>
      </c>
      <c r="F976" s="39">
        <v>1150</v>
      </c>
      <c r="G976" s="39">
        <v>100</v>
      </c>
      <c r="H976" s="47">
        <v>600</v>
      </c>
      <c r="I976" s="39">
        <v>695</v>
      </c>
      <c r="J976" s="39">
        <v>50</v>
      </c>
      <c r="K976" s="40"/>
      <c r="L976" s="40"/>
      <c r="M976" s="40"/>
      <c r="N976" s="40"/>
      <c r="O976" s="40"/>
      <c r="P976" s="40"/>
      <c r="Q976" s="40"/>
      <c r="R976" s="40"/>
      <c r="S976" s="40"/>
      <c r="T976" s="40"/>
    </row>
    <row r="977" spans="1:20" ht="15.75">
      <c r="A977" s="13">
        <v>70890</v>
      </c>
      <c r="B977" s="48">
        <f t="shared" ref="B977:B1040" si="6">EOMONTH(A977,0)-EOMONTH(A977,-1)</f>
        <v>31</v>
      </c>
      <c r="C977" s="39">
        <v>122.58</v>
      </c>
      <c r="D977" s="39">
        <v>297.94099999999997</v>
      </c>
      <c r="E977" s="45">
        <v>729.47900000000004</v>
      </c>
      <c r="F977" s="39">
        <v>1150</v>
      </c>
      <c r="G977" s="39">
        <v>100</v>
      </c>
      <c r="H977" s="47">
        <v>600</v>
      </c>
      <c r="I977" s="39">
        <v>695</v>
      </c>
      <c r="J977" s="39">
        <v>50</v>
      </c>
      <c r="K977" s="40"/>
      <c r="L977" s="40"/>
      <c r="M977" s="40"/>
      <c r="N977" s="40"/>
      <c r="O977" s="40"/>
      <c r="P977" s="40"/>
      <c r="Q977" s="40"/>
      <c r="R977" s="40"/>
      <c r="S977" s="40"/>
      <c r="T977" s="40"/>
    </row>
    <row r="978" spans="1:20" ht="15.75">
      <c r="A978" s="13">
        <v>70918</v>
      </c>
      <c r="B978" s="48">
        <f t="shared" si="6"/>
        <v>28</v>
      </c>
      <c r="C978" s="39">
        <v>122.58</v>
      </c>
      <c r="D978" s="39">
        <v>297.94099999999997</v>
      </c>
      <c r="E978" s="45">
        <v>729.47900000000004</v>
      </c>
      <c r="F978" s="39">
        <v>1150</v>
      </c>
      <c r="G978" s="39">
        <v>100</v>
      </c>
      <c r="H978" s="47">
        <v>600</v>
      </c>
      <c r="I978" s="39">
        <v>695</v>
      </c>
      <c r="J978" s="39">
        <v>50</v>
      </c>
      <c r="K978" s="40"/>
      <c r="L978" s="40"/>
      <c r="M978" s="40"/>
      <c r="N978" s="40"/>
      <c r="O978" s="40"/>
      <c r="P978" s="40"/>
      <c r="Q978" s="40"/>
      <c r="R978" s="40"/>
      <c r="S978" s="40"/>
      <c r="T978" s="40"/>
    </row>
    <row r="979" spans="1:20" ht="15.75">
      <c r="A979" s="13">
        <v>70949</v>
      </c>
      <c r="B979" s="48">
        <f t="shared" si="6"/>
        <v>31</v>
      </c>
      <c r="C979" s="39">
        <v>122.58</v>
      </c>
      <c r="D979" s="39">
        <v>297.94099999999997</v>
      </c>
      <c r="E979" s="45">
        <v>729.47900000000004</v>
      </c>
      <c r="F979" s="39">
        <v>1150</v>
      </c>
      <c r="G979" s="39">
        <v>100</v>
      </c>
      <c r="H979" s="47">
        <v>600</v>
      </c>
      <c r="I979" s="39">
        <v>695</v>
      </c>
      <c r="J979" s="39">
        <v>50</v>
      </c>
      <c r="K979" s="40"/>
      <c r="L979" s="40"/>
      <c r="M979" s="40"/>
      <c r="N979" s="40"/>
      <c r="O979" s="40"/>
      <c r="P979" s="40"/>
      <c r="Q979" s="40"/>
      <c r="R979" s="40"/>
      <c r="S979" s="40"/>
      <c r="T979" s="40"/>
    </row>
    <row r="980" spans="1:20" ht="15.75">
      <c r="A980" s="13">
        <v>70979</v>
      </c>
      <c r="B980" s="48">
        <f t="shared" si="6"/>
        <v>30</v>
      </c>
      <c r="C980" s="39">
        <v>141.29300000000001</v>
      </c>
      <c r="D980" s="39">
        <v>267.99299999999999</v>
      </c>
      <c r="E980" s="45">
        <v>829.71400000000006</v>
      </c>
      <c r="F980" s="39">
        <v>1239</v>
      </c>
      <c r="G980" s="39">
        <v>100</v>
      </c>
      <c r="H980" s="47">
        <v>600</v>
      </c>
      <c r="I980" s="39">
        <v>695</v>
      </c>
      <c r="J980" s="39">
        <v>50</v>
      </c>
      <c r="K980" s="40"/>
      <c r="L980" s="40"/>
      <c r="M980" s="40"/>
      <c r="N980" s="40"/>
      <c r="O980" s="40"/>
      <c r="P980" s="40"/>
      <c r="Q980" s="40"/>
      <c r="R980" s="40"/>
      <c r="S980" s="40"/>
      <c r="T980" s="40"/>
    </row>
    <row r="981" spans="1:20" ht="15.75">
      <c r="A981" s="13">
        <v>71010</v>
      </c>
      <c r="B981" s="48">
        <f t="shared" si="6"/>
        <v>31</v>
      </c>
      <c r="C981" s="39">
        <v>194.20500000000001</v>
      </c>
      <c r="D981" s="39">
        <v>267.46600000000001</v>
      </c>
      <c r="E981" s="45">
        <v>812.32899999999995</v>
      </c>
      <c r="F981" s="39">
        <v>1274</v>
      </c>
      <c r="G981" s="39">
        <v>75</v>
      </c>
      <c r="H981" s="47">
        <v>600</v>
      </c>
      <c r="I981" s="39">
        <v>695</v>
      </c>
      <c r="J981" s="39">
        <v>50</v>
      </c>
      <c r="K981" s="40"/>
      <c r="L981" s="40"/>
      <c r="M981" s="40"/>
      <c r="N981" s="40"/>
      <c r="O981" s="40"/>
      <c r="P981" s="40"/>
      <c r="Q981" s="40"/>
      <c r="R981" s="40"/>
      <c r="S981" s="40"/>
      <c r="T981" s="40"/>
    </row>
    <row r="982" spans="1:20" ht="15.75">
      <c r="A982" s="13">
        <v>71040</v>
      </c>
      <c r="B982" s="48">
        <f t="shared" si="6"/>
        <v>30</v>
      </c>
      <c r="C982" s="39">
        <v>194.20500000000001</v>
      </c>
      <c r="D982" s="39">
        <v>267.46600000000001</v>
      </c>
      <c r="E982" s="45">
        <v>812.32899999999995</v>
      </c>
      <c r="F982" s="39">
        <v>1274</v>
      </c>
      <c r="G982" s="39">
        <v>50</v>
      </c>
      <c r="H982" s="47">
        <v>600</v>
      </c>
      <c r="I982" s="39">
        <v>695</v>
      </c>
      <c r="J982" s="39">
        <v>50</v>
      </c>
      <c r="K982" s="40"/>
      <c r="L982" s="40"/>
      <c r="M982" s="40"/>
      <c r="N982" s="40"/>
      <c r="O982" s="40"/>
      <c r="P982" s="40"/>
      <c r="Q982" s="40"/>
      <c r="R982" s="40"/>
      <c r="S982" s="40"/>
      <c r="T982" s="40"/>
    </row>
    <row r="983" spans="1:20" ht="15.75">
      <c r="A983" s="13">
        <v>71071</v>
      </c>
      <c r="B983" s="48">
        <f t="shared" si="6"/>
        <v>31</v>
      </c>
      <c r="C983" s="39">
        <v>194.20500000000001</v>
      </c>
      <c r="D983" s="39">
        <v>267.46600000000001</v>
      </c>
      <c r="E983" s="45">
        <v>812.32899999999995</v>
      </c>
      <c r="F983" s="39">
        <v>1274</v>
      </c>
      <c r="G983" s="39">
        <v>50</v>
      </c>
      <c r="H983" s="47">
        <v>600</v>
      </c>
      <c r="I983" s="39">
        <v>695</v>
      </c>
      <c r="J983" s="39">
        <v>0</v>
      </c>
      <c r="K983" s="40"/>
      <c r="L983" s="40"/>
      <c r="M983" s="40"/>
      <c r="N983" s="40"/>
      <c r="O983" s="40"/>
      <c r="P983" s="40"/>
      <c r="Q983" s="40"/>
      <c r="R983" s="40"/>
      <c r="S983" s="40"/>
      <c r="T983" s="40"/>
    </row>
    <row r="984" spans="1:20" ht="15.75">
      <c r="A984" s="13">
        <v>71102</v>
      </c>
      <c r="B984" s="48">
        <f t="shared" si="6"/>
        <v>31</v>
      </c>
      <c r="C984" s="39">
        <v>194.20500000000001</v>
      </c>
      <c r="D984" s="39">
        <v>267.46600000000001</v>
      </c>
      <c r="E984" s="45">
        <v>812.32899999999995</v>
      </c>
      <c r="F984" s="39">
        <v>1274</v>
      </c>
      <c r="G984" s="39">
        <v>50</v>
      </c>
      <c r="H984" s="47">
        <v>600</v>
      </c>
      <c r="I984" s="39">
        <v>695</v>
      </c>
      <c r="J984" s="39">
        <v>0</v>
      </c>
      <c r="K984" s="40"/>
      <c r="L984" s="40"/>
      <c r="M984" s="40"/>
      <c r="N984" s="40"/>
      <c r="O984" s="40"/>
      <c r="P984" s="40"/>
      <c r="Q984" s="40"/>
      <c r="R984" s="40"/>
      <c r="S984" s="40"/>
      <c r="T984" s="40"/>
    </row>
    <row r="985" spans="1:20" ht="15.75">
      <c r="A985" s="13">
        <v>71132</v>
      </c>
      <c r="B985" s="48">
        <f t="shared" si="6"/>
        <v>30</v>
      </c>
      <c r="C985" s="39">
        <v>194.20500000000001</v>
      </c>
      <c r="D985" s="39">
        <v>267.46600000000001</v>
      </c>
      <c r="E985" s="45">
        <v>812.32899999999995</v>
      </c>
      <c r="F985" s="39">
        <v>1274</v>
      </c>
      <c r="G985" s="39">
        <v>50</v>
      </c>
      <c r="H985" s="47">
        <v>600</v>
      </c>
      <c r="I985" s="39">
        <v>695</v>
      </c>
      <c r="J985" s="39">
        <v>0</v>
      </c>
      <c r="K985" s="40"/>
      <c r="L985" s="40"/>
      <c r="M985" s="40"/>
      <c r="N985" s="40"/>
      <c r="O985" s="40"/>
      <c r="P985" s="40"/>
      <c r="Q985" s="40"/>
      <c r="R985" s="40"/>
      <c r="S985" s="40"/>
      <c r="T985" s="40"/>
    </row>
    <row r="986" spans="1:20" ht="15.75">
      <c r="A986" s="13">
        <v>71163</v>
      </c>
      <c r="B986" s="48">
        <f t="shared" si="6"/>
        <v>31</v>
      </c>
      <c r="C986" s="39">
        <v>131.881</v>
      </c>
      <c r="D986" s="39">
        <v>277.16699999999997</v>
      </c>
      <c r="E986" s="45">
        <v>829.952</v>
      </c>
      <c r="F986" s="39">
        <v>1239</v>
      </c>
      <c r="G986" s="39">
        <v>75</v>
      </c>
      <c r="H986" s="47">
        <v>600</v>
      </c>
      <c r="I986" s="39">
        <v>695</v>
      </c>
      <c r="J986" s="39">
        <v>0</v>
      </c>
      <c r="K986" s="40"/>
      <c r="L986" s="40"/>
      <c r="M986" s="40"/>
      <c r="N986" s="40"/>
      <c r="O986" s="40"/>
      <c r="P986" s="40"/>
      <c r="Q986" s="40"/>
      <c r="R986" s="40"/>
      <c r="S986" s="40"/>
      <c r="T986" s="40"/>
    </row>
    <row r="987" spans="1:20" ht="15.75">
      <c r="A987" s="13">
        <v>71193</v>
      </c>
      <c r="B987" s="48">
        <f t="shared" si="6"/>
        <v>30</v>
      </c>
      <c r="C987" s="39">
        <v>122.58</v>
      </c>
      <c r="D987" s="39">
        <v>297.94099999999997</v>
      </c>
      <c r="E987" s="45">
        <v>729.47900000000004</v>
      </c>
      <c r="F987" s="39">
        <v>1150</v>
      </c>
      <c r="G987" s="39">
        <v>100</v>
      </c>
      <c r="H987" s="47">
        <v>600</v>
      </c>
      <c r="I987" s="39">
        <v>695</v>
      </c>
      <c r="J987" s="39">
        <v>50</v>
      </c>
      <c r="K987" s="40"/>
      <c r="L987" s="40"/>
      <c r="M987" s="40"/>
      <c r="N987" s="40"/>
      <c r="O987" s="40"/>
      <c r="P987" s="40"/>
      <c r="Q987" s="40"/>
      <c r="R987" s="40"/>
      <c r="S987" s="40"/>
      <c r="T987" s="40"/>
    </row>
    <row r="988" spans="1:20" ht="15.75">
      <c r="A988" s="13">
        <v>71224</v>
      </c>
      <c r="B988" s="48">
        <f t="shared" si="6"/>
        <v>31</v>
      </c>
      <c r="C988" s="39">
        <v>122.58</v>
      </c>
      <c r="D988" s="39">
        <v>297.94099999999997</v>
      </c>
      <c r="E988" s="45">
        <v>729.47900000000004</v>
      </c>
      <c r="F988" s="39">
        <v>1150</v>
      </c>
      <c r="G988" s="39">
        <v>100</v>
      </c>
      <c r="H988" s="47">
        <v>600</v>
      </c>
      <c r="I988" s="39">
        <v>695</v>
      </c>
      <c r="J988" s="39">
        <v>50</v>
      </c>
      <c r="K988" s="40"/>
      <c r="L988" s="40"/>
      <c r="M988" s="40"/>
      <c r="N988" s="40"/>
      <c r="O988" s="40"/>
      <c r="P988" s="40"/>
      <c r="Q988" s="40"/>
      <c r="R988" s="40"/>
      <c r="S988" s="40"/>
      <c r="T988" s="40"/>
    </row>
    <row r="989" spans="1:20" ht="15.75">
      <c r="A989" s="13">
        <v>71255</v>
      </c>
      <c r="B989" s="48">
        <f t="shared" si="6"/>
        <v>31</v>
      </c>
      <c r="C989" s="39">
        <v>122.58</v>
      </c>
      <c r="D989" s="39">
        <v>297.94099999999997</v>
      </c>
      <c r="E989" s="45">
        <v>729.47900000000004</v>
      </c>
      <c r="F989" s="39">
        <v>1150</v>
      </c>
      <c r="G989" s="39">
        <v>100</v>
      </c>
      <c r="H989" s="47">
        <v>600</v>
      </c>
      <c r="I989" s="39">
        <v>695</v>
      </c>
      <c r="J989" s="39">
        <v>50</v>
      </c>
      <c r="K989" s="40"/>
      <c r="L989" s="40"/>
      <c r="M989" s="40"/>
      <c r="N989" s="40"/>
      <c r="O989" s="40"/>
      <c r="P989" s="40"/>
      <c r="Q989" s="40"/>
      <c r="R989" s="40"/>
      <c r="S989" s="40"/>
      <c r="T989" s="40"/>
    </row>
    <row r="990" spans="1:20" ht="15.75">
      <c r="A990" s="13">
        <v>71283</v>
      </c>
      <c r="B990" s="48">
        <f t="shared" si="6"/>
        <v>28</v>
      </c>
      <c r="C990" s="39">
        <v>122.58</v>
      </c>
      <c r="D990" s="39">
        <v>297.94099999999997</v>
      </c>
      <c r="E990" s="45">
        <v>729.47900000000004</v>
      </c>
      <c r="F990" s="39">
        <v>1150</v>
      </c>
      <c r="G990" s="39">
        <v>100</v>
      </c>
      <c r="H990" s="47">
        <v>600</v>
      </c>
      <c r="I990" s="39">
        <v>695</v>
      </c>
      <c r="J990" s="39">
        <v>50</v>
      </c>
      <c r="K990" s="40"/>
      <c r="L990" s="40"/>
      <c r="M990" s="40"/>
      <c r="N990" s="40"/>
      <c r="O990" s="40"/>
      <c r="P990" s="40"/>
      <c r="Q990" s="40"/>
      <c r="R990" s="40"/>
      <c r="S990" s="40"/>
      <c r="T990" s="40"/>
    </row>
    <row r="991" spans="1:20" ht="15.75">
      <c r="A991" s="13">
        <v>71314</v>
      </c>
      <c r="B991" s="48">
        <f t="shared" si="6"/>
        <v>31</v>
      </c>
      <c r="C991" s="39">
        <v>122.58</v>
      </c>
      <c r="D991" s="39">
        <v>297.94099999999997</v>
      </c>
      <c r="E991" s="45">
        <v>729.47900000000004</v>
      </c>
      <c r="F991" s="39">
        <v>1150</v>
      </c>
      <c r="G991" s="39">
        <v>100</v>
      </c>
      <c r="H991" s="47">
        <v>600</v>
      </c>
      <c r="I991" s="39">
        <v>695</v>
      </c>
      <c r="J991" s="39">
        <v>50</v>
      </c>
      <c r="K991" s="40"/>
      <c r="L991" s="40"/>
      <c r="M991" s="40"/>
      <c r="N991" s="40"/>
      <c r="O991" s="40"/>
      <c r="P991" s="40"/>
      <c r="Q991" s="40"/>
      <c r="R991" s="40"/>
      <c r="S991" s="40"/>
      <c r="T991" s="40"/>
    </row>
    <row r="992" spans="1:20" ht="15.75">
      <c r="A992" s="13">
        <v>71344</v>
      </c>
      <c r="B992" s="48">
        <f t="shared" si="6"/>
        <v>30</v>
      </c>
      <c r="C992" s="39">
        <v>141.29300000000001</v>
      </c>
      <c r="D992" s="39">
        <v>267.99299999999999</v>
      </c>
      <c r="E992" s="45">
        <v>829.71400000000006</v>
      </c>
      <c r="F992" s="39">
        <v>1239</v>
      </c>
      <c r="G992" s="39">
        <v>100</v>
      </c>
      <c r="H992" s="47">
        <v>600</v>
      </c>
      <c r="I992" s="39">
        <v>695</v>
      </c>
      <c r="J992" s="39">
        <v>50</v>
      </c>
      <c r="K992" s="40"/>
      <c r="L992" s="40"/>
      <c r="M992" s="40"/>
      <c r="N992" s="40"/>
      <c r="O992" s="40"/>
      <c r="P992" s="40"/>
      <c r="Q992" s="40"/>
      <c r="R992" s="40"/>
      <c r="S992" s="40"/>
      <c r="T992" s="40"/>
    </row>
    <row r="993" spans="1:20" ht="15.75">
      <c r="A993" s="13">
        <v>71375</v>
      </c>
      <c r="B993" s="48">
        <f t="shared" si="6"/>
        <v>31</v>
      </c>
      <c r="C993" s="39">
        <v>194.20500000000001</v>
      </c>
      <c r="D993" s="39">
        <v>267.46600000000001</v>
      </c>
      <c r="E993" s="45">
        <v>812.32899999999995</v>
      </c>
      <c r="F993" s="39">
        <v>1274</v>
      </c>
      <c r="G993" s="39">
        <v>75</v>
      </c>
      <c r="H993" s="47">
        <v>600</v>
      </c>
      <c r="I993" s="39">
        <v>695</v>
      </c>
      <c r="J993" s="39">
        <v>50</v>
      </c>
      <c r="K993" s="40"/>
      <c r="L993" s="40"/>
      <c r="M993" s="40"/>
      <c r="N993" s="40"/>
      <c r="O993" s="40"/>
      <c r="P993" s="40"/>
      <c r="Q993" s="40"/>
      <c r="R993" s="40"/>
      <c r="S993" s="40"/>
      <c r="T993" s="40"/>
    </row>
    <row r="994" spans="1:20" ht="15.75">
      <c r="A994" s="13">
        <v>71405</v>
      </c>
      <c r="B994" s="48">
        <f t="shared" si="6"/>
        <v>30</v>
      </c>
      <c r="C994" s="39">
        <v>194.20500000000001</v>
      </c>
      <c r="D994" s="39">
        <v>267.46600000000001</v>
      </c>
      <c r="E994" s="45">
        <v>812.32899999999995</v>
      </c>
      <c r="F994" s="39">
        <v>1274</v>
      </c>
      <c r="G994" s="39">
        <v>50</v>
      </c>
      <c r="H994" s="47">
        <v>600</v>
      </c>
      <c r="I994" s="39">
        <v>695</v>
      </c>
      <c r="J994" s="39">
        <v>50</v>
      </c>
      <c r="K994" s="40"/>
      <c r="L994" s="40"/>
      <c r="M994" s="40"/>
      <c r="N994" s="40"/>
      <c r="O994" s="40"/>
      <c r="P994" s="40"/>
      <c r="Q994" s="40"/>
      <c r="R994" s="40"/>
      <c r="S994" s="40"/>
      <c r="T994" s="40"/>
    </row>
    <row r="995" spans="1:20" ht="15.75">
      <c r="A995" s="13">
        <v>71436</v>
      </c>
      <c r="B995" s="48">
        <f t="shared" si="6"/>
        <v>31</v>
      </c>
      <c r="C995" s="39">
        <v>194.20500000000001</v>
      </c>
      <c r="D995" s="39">
        <v>267.46600000000001</v>
      </c>
      <c r="E995" s="45">
        <v>812.32899999999995</v>
      </c>
      <c r="F995" s="39">
        <v>1274</v>
      </c>
      <c r="G995" s="39">
        <v>50</v>
      </c>
      <c r="H995" s="47">
        <v>600</v>
      </c>
      <c r="I995" s="39">
        <v>695</v>
      </c>
      <c r="J995" s="39">
        <v>0</v>
      </c>
      <c r="K995" s="40"/>
      <c r="L995" s="40"/>
      <c r="M995" s="40"/>
      <c r="N995" s="40"/>
      <c r="O995" s="40"/>
      <c r="P995" s="40"/>
      <c r="Q995" s="40"/>
      <c r="R995" s="40"/>
      <c r="S995" s="40"/>
      <c r="T995" s="40"/>
    </row>
    <row r="996" spans="1:20" ht="15.75">
      <c r="A996" s="13">
        <v>71467</v>
      </c>
      <c r="B996" s="48">
        <f t="shared" si="6"/>
        <v>31</v>
      </c>
      <c r="C996" s="39">
        <v>194.20500000000001</v>
      </c>
      <c r="D996" s="39">
        <v>267.46600000000001</v>
      </c>
      <c r="E996" s="45">
        <v>812.32899999999995</v>
      </c>
      <c r="F996" s="39">
        <v>1274</v>
      </c>
      <c r="G996" s="39">
        <v>50</v>
      </c>
      <c r="H996" s="47">
        <v>600</v>
      </c>
      <c r="I996" s="39">
        <v>695</v>
      </c>
      <c r="J996" s="39">
        <v>0</v>
      </c>
      <c r="K996" s="40"/>
      <c r="L996" s="40"/>
      <c r="M996" s="40"/>
      <c r="N996" s="40"/>
      <c r="O996" s="40"/>
      <c r="P996" s="40"/>
      <c r="Q996" s="40"/>
      <c r="R996" s="40"/>
      <c r="S996" s="40"/>
      <c r="T996" s="40"/>
    </row>
    <row r="997" spans="1:20" ht="15.75">
      <c r="A997" s="13">
        <v>71497</v>
      </c>
      <c r="B997" s="48">
        <f t="shared" si="6"/>
        <v>30</v>
      </c>
      <c r="C997" s="39">
        <v>194.20500000000001</v>
      </c>
      <c r="D997" s="39">
        <v>267.46600000000001</v>
      </c>
      <c r="E997" s="45">
        <v>812.32899999999995</v>
      </c>
      <c r="F997" s="39">
        <v>1274</v>
      </c>
      <c r="G997" s="39">
        <v>50</v>
      </c>
      <c r="H997" s="47">
        <v>600</v>
      </c>
      <c r="I997" s="39">
        <v>695</v>
      </c>
      <c r="J997" s="39">
        <v>0</v>
      </c>
      <c r="K997" s="40"/>
      <c r="L997" s="40"/>
      <c r="M997" s="40"/>
      <c r="N997" s="40"/>
      <c r="O997" s="40"/>
      <c r="P997" s="40"/>
      <c r="Q997" s="40"/>
      <c r="R997" s="40"/>
      <c r="S997" s="40"/>
      <c r="T997" s="40"/>
    </row>
    <row r="998" spans="1:20" ht="15.75">
      <c r="A998" s="13">
        <v>71528</v>
      </c>
      <c r="B998" s="48">
        <f t="shared" si="6"/>
        <v>31</v>
      </c>
      <c r="C998" s="39">
        <v>131.881</v>
      </c>
      <c r="D998" s="39">
        <v>277.16699999999997</v>
      </c>
      <c r="E998" s="45">
        <v>829.952</v>
      </c>
      <c r="F998" s="39">
        <v>1239</v>
      </c>
      <c r="G998" s="39">
        <v>75</v>
      </c>
      <c r="H998" s="47">
        <v>600</v>
      </c>
      <c r="I998" s="39">
        <v>695</v>
      </c>
      <c r="J998" s="39">
        <v>0</v>
      </c>
      <c r="K998" s="40"/>
      <c r="L998" s="40"/>
      <c r="M998" s="40"/>
      <c r="N998" s="40"/>
      <c r="O998" s="40"/>
      <c r="P998" s="40"/>
      <c r="Q998" s="40"/>
      <c r="R998" s="40"/>
      <c r="S998" s="40"/>
      <c r="T998" s="40"/>
    </row>
    <row r="999" spans="1:20" ht="15.75">
      <c r="A999" s="13">
        <v>71558</v>
      </c>
      <c r="B999" s="48">
        <f t="shared" si="6"/>
        <v>30</v>
      </c>
      <c r="C999" s="39">
        <v>122.58</v>
      </c>
      <c r="D999" s="39">
        <v>297.94099999999997</v>
      </c>
      <c r="E999" s="45">
        <v>729.47900000000004</v>
      </c>
      <c r="F999" s="39">
        <v>1150</v>
      </c>
      <c r="G999" s="39">
        <v>100</v>
      </c>
      <c r="H999" s="47">
        <v>600</v>
      </c>
      <c r="I999" s="39">
        <v>695</v>
      </c>
      <c r="J999" s="39">
        <v>50</v>
      </c>
      <c r="K999" s="40"/>
      <c r="L999" s="40"/>
      <c r="M999" s="40"/>
      <c r="N999" s="40"/>
      <c r="O999" s="40"/>
      <c r="P999" s="40"/>
      <c r="Q999" s="40"/>
      <c r="R999" s="40"/>
      <c r="S999" s="40"/>
      <c r="T999" s="40"/>
    </row>
    <row r="1000" spans="1:20" ht="15.75">
      <c r="A1000" s="13">
        <v>71589</v>
      </c>
      <c r="B1000" s="48">
        <f t="shared" si="6"/>
        <v>31</v>
      </c>
      <c r="C1000" s="39">
        <v>122.58</v>
      </c>
      <c r="D1000" s="39">
        <v>297.94099999999997</v>
      </c>
      <c r="E1000" s="45">
        <v>729.47900000000004</v>
      </c>
      <c r="F1000" s="39">
        <v>1150</v>
      </c>
      <c r="G1000" s="39">
        <v>100</v>
      </c>
      <c r="H1000" s="47">
        <v>600</v>
      </c>
      <c r="I1000" s="39">
        <v>695</v>
      </c>
      <c r="J1000" s="39">
        <v>50</v>
      </c>
      <c r="K1000" s="40"/>
      <c r="L1000" s="40"/>
      <c r="M1000" s="40"/>
      <c r="N1000" s="40"/>
      <c r="O1000" s="40"/>
      <c r="P1000" s="40"/>
      <c r="Q1000" s="40"/>
      <c r="R1000" s="40"/>
      <c r="S1000" s="40"/>
      <c r="T1000" s="40"/>
    </row>
    <row r="1001" spans="1:20" ht="15.75">
      <c r="A1001" s="13">
        <v>71620</v>
      </c>
      <c r="B1001" s="48">
        <f t="shared" si="6"/>
        <v>31</v>
      </c>
      <c r="C1001" s="39">
        <v>122.58</v>
      </c>
      <c r="D1001" s="39">
        <v>297.94099999999997</v>
      </c>
      <c r="E1001" s="45">
        <v>729.47900000000004</v>
      </c>
      <c r="F1001" s="39">
        <v>1150</v>
      </c>
      <c r="G1001" s="39">
        <v>100</v>
      </c>
      <c r="H1001" s="47">
        <v>600</v>
      </c>
      <c r="I1001" s="39">
        <v>695</v>
      </c>
      <c r="J1001" s="39">
        <v>50</v>
      </c>
      <c r="K1001" s="40"/>
      <c r="L1001" s="40"/>
      <c r="M1001" s="40"/>
      <c r="N1001" s="40"/>
      <c r="O1001" s="40"/>
      <c r="P1001" s="40"/>
      <c r="Q1001" s="40"/>
      <c r="R1001" s="40"/>
      <c r="S1001" s="40"/>
      <c r="T1001" s="40"/>
    </row>
    <row r="1002" spans="1:20" ht="15.75">
      <c r="A1002" s="13">
        <v>71649</v>
      </c>
      <c r="B1002" s="48">
        <f t="shared" si="6"/>
        <v>29</v>
      </c>
      <c r="C1002" s="39">
        <v>122.58</v>
      </c>
      <c r="D1002" s="39">
        <v>297.94099999999997</v>
      </c>
      <c r="E1002" s="45">
        <v>729.47900000000004</v>
      </c>
      <c r="F1002" s="39">
        <v>1150</v>
      </c>
      <c r="G1002" s="39">
        <v>100</v>
      </c>
      <c r="H1002" s="47">
        <v>600</v>
      </c>
      <c r="I1002" s="39">
        <v>695</v>
      </c>
      <c r="J1002" s="39">
        <v>50</v>
      </c>
      <c r="K1002" s="40"/>
      <c r="L1002" s="40"/>
      <c r="M1002" s="40"/>
      <c r="N1002" s="40"/>
      <c r="O1002" s="40"/>
      <c r="P1002" s="40"/>
      <c r="Q1002" s="40"/>
      <c r="R1002" s="40"/>
      <c r="S1002" s="40"/>
      <c r="T1002" s="40"/>
    </row>
    <row r="1003" spans="1:20" ht="15.75">
      <c r="A1003" s="13">
        <v>71680</v>
      </c>
      <c r="B1003" s="48">
        <f t="shared" si="6"/>
        <v>31</v>
      </c>
      <c r="C1003" s="39">
        <v>122.58</v>
      </c>
      <c r="D1003" s="39">
        <v>297.94099999999997</v>
      </c>
      <c r="E1003" s="45">
        <v>729.47900000000004</v>
      </c>
      <c r="F1003" s="39">
        <v>1150</v>
      </c>
      <c r="G1003" s="39">
        <v>100</v>
      </c>
      <c r="H1003" s="47">
        <v>600</v>
      </c>
      <c r="I1003" s="39">
        <v>695</v>
      </c>
      <c r="J1003" s="39">
        <v>50</v>
      </c>
      <c r="K1003" s="40"/>
      <c r="L1003" s="40"/>
      <c r="M1003" s="40"/>
      <c r="N1003" s="40"/>
      <c r="O1003" s="40"/>
      <c r="P1003" s="40"/>
      <c r="Q1003" s="40"/>
      <c r="R1003" s="40"/>
      <c r="S1003" s="40"/>
      <c r="T1003" s="40"/>
    </row>
    <row r="1004" spans="1:20" ht="15.75">
      <c r="A1004" s="13">
        <v>71710</v>
      </c>
      <c r="B1004" s="48">
        <f t="shared" si="6"/>
        <v>30</v>
      </c>
      <c r="C1004" s="39">
        <v>141.29300000000001</v>
      </c>
      <c r="D1004" s="39">
        <v>267.99299999999999</v>
      </c>
      <c r="E1004" s="45">
        <v>829.71400000000006</v>
      </c>
      <c r="F1004" s="39">
        <v>1239</v>
      </c>
      <c r="G1004" s="39">
        <v>100</v>
      </c>
      <c r="H1004" s="47">
        <v>600</v>
      </c>
      <c r="I1004" s="39">
        <v>695</v>
      </c>
      <c r="J1004" s="39">
        <v>50</v>
      </c>
      <c r="K1004" s="40"/>
      <c r="L1004" s="40"/>
      <c r="M1004" s="40"/>
      <c r="N1004" s="40"/>
      <c r="O1004" s="40"/>
      <c r="P1004" s="40"/>
      <c r="Q1004" s="40"/>
      <c r="R1004" s="40"/>
      <c r="S1004" s="40"/>
      <c r="T1004" s="40"/>
    </row>
    <row r="1005" spans="1:20" ht="15.75">
      <c r="A1005" s="13">
        <v>71741</v>
      </c>
      <c r="B1005" s="48">
        <f t="shared" si="6"/>
        <v>31</v>
      </c>
      <c r="C1005" s="39">
        <v>194.20500000000001</v>
      </c>
      <c r="D1005" s="39">
        <v>267.46600000000001</v>
      </c>
      <c r="E1005" s="45">
        <v>812.32899999999995</v>
      </c>
      <c r="F1005" s="39">
        <v>1274</v>
      </c>
      <c r="G1005" s="39">
        <v>75</v>
      </c>
      <c r="H1005" s="47">
        <v>600</v>
      </c>
      <c r="I1005" s="39">
        <v>695</v>
      </c>
      <c r="J1005" s="39">
        <v>50</v>
      </c>
      <c r="K1005" s="40"/>
      <c r="L1005" s="40"/>
      <c r="M1005" s="40"/>
      <c r="N1005" s="40"/>
      <c r="O1005" s="40"/>
      <c r="P1005" s="40"/>
      <c r="Q1005" s="40"/>
      <c r="R1005" s="40"/>
      <c r="S1005" s="40"/>
      <c r="T1005" s="40"/>
    </row>
    <row r="1006" spans="1:20" ht="15.75">
      <c r="A1006" s="13">
        <v>71771</v>
      </c>
      <c r="B1006" s="48">
        <f t="shared" si="6"/>
        <v>30</v>
      </c>
      <c r="C1006" s="39">
        <v>194.20500000000001</v>
      </c>
      <c r="D1006" s="39">
        <v>267.46600000000001</v>
      </c>
      <c r="E1006" s="45">
        <v>812.32899999999995</v>
      </c>
      <c r="F1006" s="39">
        <v>1274</v>
      </c>
      <c r="G1006" s="39">
        <v>50</v>
      </c>
      <c r="H1006" s="47">
        <v>600</v>
      </c>
      <c r="I1006" s="39">
        <v>695</v>
      </c>
      <c r="J1006" s="39">
        <v>50</v>
      </c>
      <c r="K1006" s="40"/>
      <c r="L1006" s="40"/>
      <c r="M1006" s="40"/>
      <c r="N1006" s="40"/>
      <c r="O1006" s="40"/>
      <c r="P1006" s="40"/>
      <c r="Q1006" s="40"/>
      <c r="R1006" s="40"/>
      <c r="S1006" s="40"/>
      <c r="T1006" s="40"/>
    </row>
    <row r="1007" spans="1:20" ht="15.75">
      <c r="A1007" s="13">
        <v>71802</v>
      </c>
      <c r="B1007" s="48">
        <f t="shared" si="6"/>
        <v>31</v>
      </c>
      <c r="C1007" s="39">
        <v>194.20500000000001</v>
      </c>
      <c r="D1007" s="39">
        <v>267.46600000000001</v>
      </c>
      <c r="E1007" s="45">
        <v>812.32899999999995</v>
      </c>
      <c r="F1007" s="39">
        <v>1274</v>
      </c>
      <c r="G1007" s="39">
        <v>50</v>
      </c>
      <c r="H1007" s="47">
        <v>600</v>
      </c>
      <c r="I1007" s="39">
        <v>695</v>
      </c>
      <c r="J1007" s="39">
        <v>0</v>
      </c>
      <c r="K1007" s="40"/>
      <c r="L1007" s="40"/>
      <c r="M1007" s="40"/>
      <c r="N1007" s="40"/>
      <c r="O1007" s="40"/>
      <c r="P1007" s="40"/>
      <c r="Q1007" s="40"/>
      <c r="R1007" s="40"/>
      <c r="S1007" s="40"/>
      <c r="T1007" s="40"/>
    </row>
    <row r="1008" spans="1:20" ht="15.75">
      <c r="A1008" s="13">
        <v>71833</v>
      </c>
      <c r="B1008" s="48">
        <f t="shared" si="6"/>
        <v>31</v>
      </c>
      <c r="C1008" s="39">
        <v>194.20500000000001</v>
      </c>
      <c r="D1008" s="39">
        <v>267.46600000000001</v>
      </c>
      <c r="E1008" s="45">
        <v>812.32899999999995</v>
      </c>
      <c r="F1008" s="39">
        <v>1274</v>
      </c>
      <c r="G1008" s="39">
        <v>50</v>
      </c>
      <c r="H1008" s="47">
        <v>600</v>
      </c>
      <c r="I1008" s="39">
        <v>695</v>
      </c>
      <c r="J1008" s="39">
        <v>0</v>
      </c>
      <c r="K1008" s="40"/>
      <c r="L1008" s="40"/>
      <c r="M1008" s="40"/>
      <c r="N1008" s="40"/>
      <c r="O1008" s="40"/>
      <c r="P1008" s="40"/>
      <c r="Q1008" s="40"/>
      <c r="R1008" s="40"/>
      <c r="S1008" s="40"/>
      <c r="T1008" s="40"/>
    </row>
    <row r="1009" spans="1:20" ht="15.75">
      <c r="A1009" s="13">
        <v>71863</v>
      </c>
      <c r="B1009" s="48">
        <f t="shared" si="6"/>
        <v>30</v>
      </c>
      <c r="C1009" s="39">
        <v>194.20500000000001</v>
      </c>
      <c r="D1009" s="39">
        <v>267.46600000000001</v>
      </c>
      <c r="E1009" s="45">
        <v>812.32899999999995</v>
      </c>
      <c r="F1009" s="39">
        <v>1274</v>
      </c>
      <c r="G1009" s="39">
        <v>50</v>
      </c>
      <c r="H1009" s="47">
        <v>600</v>
      </c>
      <c r="I1009" s="39">
        <v>695</v>
      </c>
      <c r="J1009" s="39">
        <v>0</v>
      </c>
      <c r="K1009" s="40"/>
      <c r="L1009" s="40"/>
      <c r="M1009" s="40"/>
      <c r="N1009" s="40"/>
      <c r="O1009" s="40"/>
      <c r="P1009" s="40"/>
      <c r="Q1009" s="40"/>
      <c r="R1009" s="40"/>
      <c r="S1009" s="40"/>
      <c r="T1009" s="40"/>
    </row>
    <row r="1010" spans="1:20" ht="15.75">
      <c r="A1010" s="13">
        <v>71894</v>
      </c>
      <c r="B1010" s="48">
        <f t="shared" si="6"/>
        <v>31</v>
      </c>
      <c r="C1010" s="39">
        <v>131.881</v>
      </c>
      <c r="D1010" s="39">
        <v>277.16699999999997</v>
      </c>
      <c r="E1010" s="45">
        <v>829.952</v>
      </c>
      <c r="F1010" s="39">
        <v>1239</v>
      </c>
      <c r="G1010" s="39">
        <v>75</v>
      </c>
      <c r="H1010" s="47">
        <v>600</v>
      </c>
      <c r="I1010" s="39">
        <v>695</v>
      </c>
      <c r="J1010" s="39">
        <v>0</v>
      </c>
      <c r="K1010" s="40"/>
      <c r="L1010" s="40"/>
      <c r="M1010" s="40"/>
      <c r="N1010" s="40"/>
      <c r="O1010" s="40"/>
      <c r="P1010" s="40"/>
      <c r="Q1010" s="40"/>
      <c r="R1010" s="40"/>
      <c r="S1010" s="40"/>
      <c r="T1010" s="40"/>
    </row>
    <row r="1011" spans="1:20" ht="15.75">
      <c r="A1011" s="13">
        <v>71924</v>
      </c>
      <c r="B1011" s="48">
        <f t="shared" si="6"/>
        <v>30</v>
      </c>
      <c r="C1011" s="39">
        <v>122.58</v>
      </c>
      <c r="D1011" s="39">
        <v>297.94099999999997</v>
      </c>
      <c r="E1011" s="45">
        <v>729.47900000000004</v>
      </c>
      <c r="F1011" s="39">
        <v>1150</v>
      </c>
      <c r="G1011" s="39">
        <v>100</v>
      </c>
      <c r="H1011" s="47">
        <v>600</v>
      </c>
      <c r="I1011" s="39">
        <v>695</v>
      </c>
      <c r="J1011" s="39">
        <v>50</v>
      </c>
      <c r="K1011" s="40"/>
      <c r="L1011" s="40"/>
      <c r="M1011" s="40"/>
      <c r="N1011" s="40"/>
      <c r="O1011" s="40"/>
      <c r="P1011" s="40"/>
      <c r="Q1011" s="40"/>
      <c r="R1011" s="40"/>
      <c r="S1011" s="40"/>
      <c r="T1011" s="40"/>
    </row>
    <row r="1012" spans="1:20" ht="15.75">
      <c r="A1012" s="13">
        <v>71955</v>
      </c>
      <c r="B1012" s="48">
        <f t="shared" si="6"/>
        <v>31</v>
      </c>
      <c r="C1012" s="39">
        <v>122.58</v>
      </c>
      <c r="D1012" s="39">
        <v>297.94099999999997</v>
      </c>
      <c r="E1012" s="45">
        <v>729.47900000000004</v>
      </c>
      <c r="F1012" s="39">
        <v>1150</v>
      </c>
      <c r="G1012" s="39">
        <v>100</v>
      </c>
      <c r="H1012" s="47">
        <v>600</v>
      </c>
      <c r="I1012" s="39">
        <v>695</v>
      </c>
      <c r="J1012" s="39">
        <v>50</v>
      </c>
      <c r="K1012" s="40"/>
      <c r="L1012" s="40"/>
      <c r="M1012" s="40"/>
      <c r="N1012" s="40"/>
      <c r="O1012" s="40"/>
      <c r="P1012" s="40"/>
      <c r="Q1012" s="40"/>
      <c r="R1012" s="40"/>
      <c r="S1012" s="40"/>
      <c r="T1012" s="40"/>
    </row>
    <row r="1013" spans="1:20" ht="15.75">
      <c r="A1013" s="13">
        <v>71986</v>
      </c>
      <c r="B1013" s="48">
        <f t="shared" si="6"/>
        <v>31</v>
      </c>
      <c r="C1013" s="39">
        <v>122.58</v>
      </c>
      <c r="D1013" s="39">
        <v>297.94099999999997</v>
      </c>
      <c r="E1013" s="45">
        <v>729.47900000000004</v>
      </c>
      <c r="F1013" s="39">
        <v>1150</v>
      </c>
      <c r="G1013" s="39">
        <v>100</v>
      </c>
      <c r="H1013" s="47">
        <v>600</v>
      </c>
      <c r="I1013" s="39">
        <v>695</v>
      </c>
      <c r="J1013" s="39">
        <v>50</v>
      </c>
      <c r="K1013" s="40"/>
      <c r="L1013" s="40"/>
      <c r="M1013" s="40"/>
      <c r="N1013" s="40"/>
      <c r="O1013" s="40"/>
      <c r="P1013" s="40"/>
      <c r="Q1013" s="40"/>
      <c r="R1013" s="40"/>
      <c r="S1013" s="40"/>
      <c r="T1013" s="40"/>
    </row>
    <row r="1014" spans="1:20" ht="15.75">
      <c r="A1014" s="13">
        <v>72014</v>
      </c>
      <c r="B1014" s="48">
        <f t="shared" si="6"/>
        <v>28</v>
      </c>
      <c r="C1014" s="39">
        <v>122.58</v>
      </c>
      <c r="D1014" s="39">
        <v>297.94099999999997</v>
      </c>
      <c r="E1014" s="45">
        <v>729.47900000000004</v>
      </c>
      <c r="F1014" s="39">
        <v>1150</v>
      </c>
      <c r="G1014" s="39">
        <v>100</v>
      </c>
      <c r="H1014" s="47">
        <v>600</v>
      </c>
      <c r="I1014" s="39">
        <v>695</v>
      </c>
      <c r="J1014" s="39">
        <v>50</v>
      </c>
      <c r="K1014" s="40"/>
      <c r="L1014" s="40"/>
      <c r="M1014" s="40"/>
      <c r="N1014" s="40"/>
      <c r="O1014" s="40"/>
      <c r="P1014" s="40"/>
      <c r="Q1014" s="40"/>
      <c r="R1014" s="40"/>
      <c r="S1014" s="40"/>
      <c r="T1014" s="40"/>
    </row>
    <row r="1015" spans="1:20" ht="15.75">
      <c r="A1015" s="13">
        <v>72045</v>
      </c>
      <c r="B1015" s="48">
        <f t="shared" si="6"/>
        <v>31</v>
      </c>
      <c r="C1015" s="39">
        <v>122.58</v>
      </c>
      <c r="D1015" s="39">
        <v>297.94099999999997</v>
      </c>
      <c r="E1015" s="45">
        <v>729.47900000000004</v>
      </c>
      <c r="F1015" s="39">
        <v>1150</v>
      </c>
      <c r="G1015" s="39">
        <v>100</v>
      </c>
      <c r="H1015" s="47">
        <v>600</v>
      </c>
      <c r="I1015" s="39">
        <v>695</v>
      </c>
      <c r="J1015" s="39">
        <v>50</v>
      </c>
      <c r="K1015" s="40"/>
      <c r="L1015" s="40"/>
      <c r="M1015" s="40"/>
      <c r="N1015" s="40"/>
      <c r="O1015" s="40"/>
      <c r="P1015" s="40"/>
      <c r="Q1015" s="40"/>
      <c r="R1015" s="40"/>
      <c r="S1015" s="40"/>
      <c r="T1015" s="40"/>
    </row>
    <row r="1016" spans="1:20" ht="15.75">
      <c r="A1016" s="13">
        <v>72075</v>
      </c>
      <c r="B1016" s="48">
        <f t="shared" si="6"/>
        <v>30</v>
      </c>
      <c r="C1016" s="39">
        <v>141.29300000000001</v>
      </c>
      <c r="D1016" s="39">
        <v>267.99299999999999</v>
      </c>
      <c r="E1016" s="45">
        <v>829.71400000000006</v>
      </c>
      <c r="F1016" s="39">
        <v>1239</v>
      </c>
      <c r="G1016" s="39">
        <v>100</v>
      </c>
      <c r="H1016" s="47">
        <v>600</v>
      </c>
      <c r="I1016" s="39">
        <v>695</v>
      </c>
      <c r="J1016" s="39">
        <v>50</v>
      </c>
      <c r="K1016" s="40"/>
      <c r="L1016" s="40"/>
      <c r="M1016" s="40"/>
      <c r="N1016" s="40"/>
      <c r="O1016" s="40"/>
      <c r="P1016" s="40"/>
      <c r="Q1016" s="40"/>
      <c r="R1016" s="40"/>
      <c r="S1016" s="40"/>
      <c r="T1016" s="40"/>
    </row>
    <row r="1017" spans="1:20" ht="15.75">
      <c r="A1017" s="13">
        <v>72106</v>
      </c>
      <c r="B1017" s="48">
        <f t="shared" si="6"/>
        <v>31</v>
      </c>
      <c r="C1017" s="39">
        <v>194.20500000000001</v>
      </c>
      <c r="D1017" s="39">
        <v>267.46600000000001</v>
      </c>
      <c r="E1017" s="45">
        <v>812.32899999999995</v>
      </c>
      <c r="F1017" s="39">
        <v>1274</v>
      </c>
      <c r="G1017" s="39">
        <v>75</v>
      </c>
      <c r="H1017" s="47">
        <v>600</v>
      </c>
      <c r="I1017" s="39">
        <v>695</v>
      </c>
      <c r="J1017" s="39">
        <v>50</v>
      </c>
      <c r="K1017" s="40"/>
      <c r="L1017" s="40"/>
      <c r="M1017" s="40"/>
      <c r="N1017" s="40"/>
      <c r="O1017" s="40"/>
      <c r="P1017" s="40"/>
      <c r="Q1017" s="40"/>
      <c r="R1017" s="40"/>
      <c r="S1017" s="40"/>
      <c r="T1017" s="40"/>
    </row>
    <row r="1018" spans="1:20" ht="15.75">
      <c r="A1018" s="13">
        <v>72136</v>
      </c>
      <c r="B1018" s="48">
        <f t="shared" si="6"/>
        <v>30</v>
      </c>
      <c r="C1018" s="39">
        <v>194.20500000000001</v>
      </c>
      <c r="D1018" s="39">
        <v>267.46600000000001</v>
      </c>
      <c r="E1018" s="45">
        <v>812.32899999999995</v>
      </c>
      <c r="F1018" s="39">
        <v>1274</v>
      </c>
      <c r="G1018" s="39">
        <v>50</v>
      </c>
      <c r="H1018" s="47">
        <v>600</v>
      </c>
      <c r="I1018" s="39">
        <v>695</v>
      </c>
      <c r="J1018" s="39">
        <v>50</v>
      </c>
      <c r="K1018" s="40"/>
      <c r="L1018" s="40"/>
      <c r="M1018" s="40"/>
      <c r="N1018" s="40"/>
      <c r="O1018" s="40"/>
      <c r="P1018" s="40"/>
      <c r="Q1018" s="40"/>
      <c r="R1018" s="40"/>
      <c r="S1018" s="40"/>
      <c r="T1018" s="40"/>
    </row>
    <row r="1019" spans="1:20" ht="15.75">
      <c r="A1019" s="13">
        <v>72167</v>
      </c>
      <c r="B1019" s="48">
        <f t="shared" si="6"/>
        <v>31</v>
      </c>
      <c r="C1019" s="39">
        <v>194.20500000000001</v>
      </c>
      <c r="D1019" s="39">
        <v>267.46600000000001</v>
      </c>
      <c r="E1019" s="45">
        <v>812.32899999999995</v>
      </c>
      <c r="F1019" s="39">
        <v>1274</v>
      </c>
      <c r="G1019" s="39">
        <v>50</v>
      </c>
      <c r="H1019" s="47">
        <v>600</v>
      </c>
      <c r="I1019" s="39">
        <v>695</v>
      </c>
      <c r="J1019" s="39">
        <v>0</v>
      </c>
      <c r="K1019" s="40"/>
      <c r="L1019" s="40"/>
      <c r="M1019" s="40"/>
      <c r="N1019" s="40"/>
      <c r="O1019" s="40"/>
      <c r="P1019" s="40"/>
      <c r="Q1019" s="40"/>
      <c r="R1019" s="40"/>
      <c r="S1019" s="40"/>
      <c r="T1019" s="40"/>
    </row>
    <row r="1020" spans="1:20" ht="15.75">
      <c r="A1020" s="13">
        <v>72198</v>
      </c>
      <c r="B1020" s="48">
        <f t="shared" si="6"/>
        <v>31</v>
      </c>
      <c r="C1020" s="39">
        <v>194.20500000000001</v>
      </c>
      <c r="D1020" s="39">
        <v>267.46600000000001</v>
      </c>
      <c r="E1020" s="45">
        <v>812.32899999999995</v>
      </c>
      <c r="F1020" s="39">
        <v>1274</v>
      </c>
      <c r="G1020" s="39">
        <v>50</v>
      </c>
      <c r="H1020" s="47">
        <v>600</v>
      </c>
      <c r="I1020" s="39">
        <v>695</v>
      </c>
      <c r="J1020" s="39">
        <v>0</v>
      </c>
      <c r="K1020" s="40"/>
      <c r="L1020" s="40"/>
      <c r="M1020" s="40"/>
      <c r="N1020" s="40"/>
      <c r="O1020" s="40"/>
      <c r="P1020" s="40"/>
      <c r="Q1020" s="40"/>
      <c r="R1020" s="40"/>
      <c r="S1020" s="40"/>
      <c r="T1020" s="40"/>
    </row>
    <row r="1021" spans="1:20" ht="15.75">
      <c r="A1021" s="13">
        <v>72228</v>
      </c>
      <c r="B1021" s="48">
        <f t="shared" si="6"/>
        <v>30</v>
      </c>
      <c r="C1021" s="39">
        <v>194.20500000000001</v>
      </c>
      <c r="D1021" s="39">
        <v>267.46600000000001</v>
      </c>
      <c r="E1021" s="45">
        <v>812.32899999999995</v>
      </c>
      <c r="F1021" s="39">
        <v>1274</v>
      </c>
      <c r="G1021" s="39">
        <v>50</v>
      </c>
      <c r="H1021" s="47">
        <v>600</v>
      </c>
      <c r="I1021" s="39">
        <v>695</v>
      </c>
      <c r="J1021" s="39">
        <v>0</v>
      </c>
      <c r="K1021" s="40"/>
      <c r="L1021" s="40"/>
      <c r="M1021" s="40"/>
      <c r="N1021" s="40"/>
      <c r="O1021" s="40"/>
      <c r="P1021" s="40"/>
      <c r="Q1021" s="40"/>
      <c r="R1021" s="40"/>
      <c r="S1021" s="40"/>
      <c r="T1021" s="40"/>
    </row>
    <row r="1022" spans="1:20" ht="15.75">
      <c r="A1022" s="13">
        <v>72259</v>
      </c>
      <c r="B1022" s="48">
        <f t="shared" si="6"/>
        <v>31</v>
      </c>
      <c r="C1022" s="39">
        <v>131.881</v>
      </c>
      <c r="D1022" s="39">
        <v>277.16699999999997</v>
      </c>
      <c r="E1022" s="45">
        <v>829.952</v>
      </c>
      <c r="F1022" s="39">
        <v>1239</v>
      </c>
      <c r="G1022" s="39">
        <v>75</v>
      </c>
      <c r="H1022" s="47">
        <v>600</v>
      </c>
      <c r="I1022" s="39">
        <v>695</v>
      </c>
      <c r="J1022" s="39">
        <v>0</v>
      </c>
      <c r="K1022" s="40"/>
      <c r="L1022" s="40"/>
      <c r="M1022" s="40"/>
      <c r="N1022" s="40"/>
      <c r="O1022" s="40"/>
      <c r="P1022" s="40"/>
      <c r="Q1022" s="40"/>
      <c r="R1022" s="40"/>
      <c r="S1022" s="40"/>
      <c r="T1022" s="40"/>
    </row>
    <row r="1023" spans="1:20" ht="15.75">
      <c r="A1023" s="13">
        <v>72289</v>
      </c>
      <c r="B1023" s="48">
        <f t="shared" si="6"/>
        <v>30</v>
      </c>
      <c r="C1023" s="39">
        <v>122.58</v>
      </c>
      <c r="D1023" s="39">
        <v>297.94099999999997</v>
      </c>
      <c r="E1023" s="45">
        <v>729.47900000000004</v>
      </c>
      <c r="F1023" s="39">
        <v>1150</v>
      </c>
      <c r="G1023" s="39">
        <v>100</v>
      </c>
      <c r="H1023" s="47">
        <v>600</v>
      </c>
      <c r="I1023" s="39">
        <v>695</v>
      </c>
      <c r="J1023" s="39">
        <v>50</v>
      </c>
      <c r="K1023" s="40"/>
      <c r="L1023" s="40"/>
      <c r="M1023" s="40"/>
      <c r="N1023" s="40"/>
      <c r="O1023" s="40"/>
      <c r="P1023" s="40"/>
      <c r="Q1023" s="40"/>
      <c r="R1023" s="40"/>
      <c r="S1023" s="40"/>
      <c r="T1023" s="40"/>
    </row>
    <row r="1024" spans="1:20" ht="15.75">
      <c r="A1024" s="13">
        <v>72320</v>
      </c>
      <c r="B1024" s="48">
        <f t="shared" si="6"/>
        <v>31</v>
      </c>
      <c r="C1024" s="39">
        <v>122.58</v>
      </c>
      <c r="D1024" s="39">
        <v>297.94099999999997</v>
      </c>
      <c r="E1024" s="45">
        <v>729.47900000000004</v>
      </c>
      <c r="F1024" s="39">
        <v>1150</v>
      </c>
      <c r="G1024" s="39">
        <v>100</v>
      </c>
      <c r="H1024" s="47">
        <v>600</v>
      </c>
      <c r="I1024" s="39">
        <v>695</v>
      </c>
      <c r="J1024" s="39">
        <v>50</v>
      </c>
      <c r="K1024" s="40"/>
      <c r="L1024" s="40"/>
      <c r="M1024" s="40"/>
      <c r="N1024" s="40"/>
      <c r="O1024" s="40"/>
      <c r="P1024" s="40"/>
      <c r="Q1024" s="40"/>
      <c r="R1024" s="40"/>
      <c r="S1024" s="40"/>
      <c r="T1024" s="40"/>
    </row>
    <row r="1025" spans="1:20" ht="15.75">
      <c r="A1025" s="13">
        <v>72351</v>
      </c>
      <c r="B1025" s="48">
        <f t="shared" si="6"/>
        <v>31</v>
      </c>
      <c r="C1025" s="39">
        <v>122.58</v>
      </c>
      <c r="D1025" s="39">
        <v>297.94099999999997</v>
      </c>
      <c r="E1025" s="45">
        <v>729.47900000000004</v>
      </c>
      <c r="F1025" s="39">
        <v>1150</v>
      </c>
      <c r="G1025" s="39">
        <v>100</v>
      </c>
      <c r="H1025" s="47">
        <v>600</v>
      </c>
      <c r="I1025" s="39">
        <v>695</v>
      </c>
      <c r="J1025" s="39">
        <v>50</v>
      </c>
      <c r="K1025" s="40"/>
      <c r="L1025" s="40"/>
      <c r="M1025" s="40"/>
      <c r="N1025" s="40"/>
      <c r="O1025" s="40"/>
      <c r="P1025" s="40"/>
      <c r="Q1025" s="40"/>
      <c r="R1025" s="40"/>
      <c r="S1025" s="40"/>
      <c r="T1025" s="40"/>
    </row>
    <row r="1026" spans="1:20" ht="15.75">
      <c r="A1026" s="13">
        <v>72379</v>
      </c>
      <c r="B1026" s="48">
        <f t="shared" si="6"/>
        <v>28</v>
      </c>
      <c r="C1026" s="39">
        <v>122.58</v>
      </c>
      <c r="D1026" s="39">
        <v>297.94099999999997</v>
      </c>
      <c r="E1026" s="45">
        <v>729.47900000000004</v>
      </c>
      <c r="F1026" s="39">
        <v>1150</v>
      </c>
      <c r="G1026" s="39">
        <v>100</v>
      </c>
      <c r="H1026" s="47">
        <v>600</v>
      </c>
      <c r="I1026" s="39">
        <v>695</v>
      </c>
      <c r="J1026" s="39">
        <v>50</v>
      </c>
      <c r="K1026" s="40"/>
      <c r="L1026" s="40"/>
      <c r="M1026" s="40"/>
      <c r="N1026" s="40"/>
      <c r="O1026" s="40"/>
      <c r="P1026" s="40"/>
      <c r="Q1026" s="40"/>
      <c r="R1026" s="40"/>
      <c r="S1026" s="40"/>
      <c r="T1026" s="40"/>
    </row>
    <row r="1027" spans="1:20" ht="15.75">
      <c r="A1027" s="13">
        <v>72410</v>
      </c>
      <c r="B1027" s="48">
        <f t="shared" si="6"/>
        <v>31</v>
      </c>
      <c r="C1027" s="39">
        <v>122.58</v>
      </c>
      <c r="D1027" s="39">
        <v>297.94099999999997</v>
      </c>
      <c r="E1027" s="45">
        <v>729.47900000000004</v>
      </c>
      <c r="F1027" s="39">
        <v>1150</v>
      </c>
      <c r="G1027" s="39">
        <v>100</v>
      </c>
      <c r="H1027" s="47">
        <v>600</v>
      </c>
      <c r="I1027" s="39">
        <v>695</v>
      </c>
      <c r="J1027" s="39">
        <v>50</v>
      </c>
      <c r="K1027" s="40"/>
      <c r="L1027" s="40"/>
      <c r="M1027" s="40"/>
      <c r="N1027" s="40"/>
      <c r="O1027" s="40"/>
      <c r="P1027" s="40"/>
      <c r="Q1027" s="40"/>
      <c r="R1027" s="40"/>
      <c r="S1027" s="40"/>
      <c r="T1027" s="40"/>
    </row>
    <row r="1028" spans="1:20" ht="15.75">
      <c r="A1028" s="13">
        <v>72440</v>
      </c>
      <c r="B1028" s="48">
        <f t="shared" si="6"/>
        <v>30</v>
      </c>
      <c r="C1028" s="39">
        <v>141.29300000000001</v>
      </c>
      <c r="D1028" s="39">
        <v>267.99299999999999</v>
      </c>
      <c r="E1028" s="45">
        <v>829.71400000000006</v>
      </c>
      <c r="F1028" s="39">
        <v>1239</v>
      </c>
      <c r="G1028" s="39">
        <v>100</v>
      </c>
      <c r="H1028" s="47">
        <v>600</v>
      </c>
      <c r="I1028" s="39">
        <v>695</v>
      </c>
      <c r="J1028" s="39">
        <v>50</v>
      </c>
      <c r="K1028" s="40"/>
      <c r="L1028" s="40"/>
      <c r="M1028" s="40"/>
      <c r="N1028" s="40"/>
      <c r="O1028" s="40"/>
      <c r="P1028" s="40"/>
      <c r="Q1028" s="40"/>
      <c r="R1028" s="40"/>
      <c r="S1028" s="40"/>
      <c r="T1028" s="40"/>
    </row>
    <row r="1029" spans="1:20" ht="15.75">
      <c r="A1029" s="13">
        <v>72471</v>
      </c>
      <c r="B1029" s="48">
        <f t="shared" si="6"/>
        <v>31</v>
      </c>
      <c r="C1029" s="39">
        <v>194.20500000000001</v>
      </c>
      <c r="D1029" s="39">
        <v>267.46600000000001</v>
      </c>
      <c r="E1029" s="45">
        <v>812.32899999999995</v>
      </c>
      <c r="F1029" s="39">
        <v>1274</v>
      </c>
      <c r="G1029" s="39">
        <v>75</v>
      </c>
      <c r="H1029" s="47">
        <v>600</v>
      </c>
      <c r="I1029" s="39">
        <v>695</v>
      </c>
      <c r="J1029" s="39">
        <v>50</v>
      </c>
      <c r="K1029" s="40"/>
      <c r="L1029" s="40"/>
      <c r="M1029" s="40"/>
      <c r="N1029" s="40"/>
      <c r="O1029" s="40"/>
      <c r="P1029" s="40"/>
      <c r="Q1029" s="40"/>
      <c r="R1029" s="40"/>
      <c r="S1029" s="40"/>
      <c r="T1029" s="40"/>
    </row>
    <row r="1030" spans="1:20" ht="15.75">
      <c r="A1030" s="13">
        <v>72501</v>
      </c>
      <c r="B1030" s="48">
        <f t="shared" si="6"/>
        <v>30</v>
      </c>
      <c r="C1030" s="39">
        <v>194.20500000000001</v>
      </c>
      <c r="D1030" s="39">
        <v>267.46600000000001</v>
      </c>
      <c r="E1030" s="45">
        <v>812.32899999999995</v>
      </c>
      <c r="F1030" s="39">
        <v>1274</v>
      </c>
      <c r="G1030" s="39">
        <v>50</v>
      </c>
      <c r="H1030" s="47">
        <v>600</v>
      </c>
      <c r="I1030" s="39">
        <v>695</v>
      </c>
      <c r="J1030" s="39">
        <v>50</v>
      </c>
      <c r="K1030" s="40"/>
      <c r="L1030" s="40"/>
      <c r="M1030" s="40"/>
      <c r="N1030" s="40"/>
      <c r="O1030" s="40"/>
      <c r="P1030" s="40"/>
      <c r="Q1030" s="40"/>
      <c r="R1030" s="40"/>
      <c r="S1030" s="40"/>
      <c r="T1030" s="40"/>
    </row>
    <row r="1031" spans="1:20" ht="15.75">
      <c r="A1031" s="13">
        <v>72532</v>
      </c>
      <c r="B1031" s="48">
        <f t="shared" si="6"/>
        <v>31</v>
      </c>
      <c r="C1031" s="39">
        <v>194.20500000000001</v>
      </c>
      <c r="D1031" s="39">
        <v>267.46600000000001</v>
      </c>
      <c r="E1031" s="45">
        <v>812.32899999999995</v>
      </c>
      <c r="F1031" s="39">
        <v>1274</v>
      </c>
      <c r="G1031" s="39">
        <v>50</v>
      </c>
      <c r="H1031" s="47">
        <v>600</v>
      </c>
      <c r="I1031" s="39">
        <v>695</v>
      </c>
      <c r="J1031" s="39">
        <v>0</v>
      </c>
      <c r="K1031" s="40"/>
      <c r="L1031" s="40"/>
      <c r="M1031" s="40"/>
      <c r="N1031" s="40"/>
      <c r="O1031" s="40"/>
      <c r="P1031" s="40"/>
      <c r="Q1031" s="40"/>
      <c r="R1031" s="40"/>
      <c r="S1031" s="40"/>
      <c r="T1031" s="40"/>
    </row>
    <row r="1032" spans="1:20" ht="15.75">
      <c r="A1032" s="13">
        <v>72563</v>
      </c>
      <c r="B1032" s="48">
        <f t="shared" si="6"/>
        <v>31</v>
      </c>
      <c r="C1032" s="39">
        <v>194.20500000000001</v>
      </c>
      <c r="D1032" s="39">
        <v>267.46600000000001</v>
      </c>
      <c r="E1032" s="45">
        <v>812.32899999999995</v>
      </c>
      <c r="F1032" s="39">
        <v>1274</v>
      </c>
      <c r="G1032" s="39">
        <v>50</v>
      </c>
      <c r="H1032" s="47">
        <v>600</v>
      </c>
      <c r="I1032" s="39">
        <v>695</v>
      </c>
      <c r="J1032" s="39">
        <v>0</v>
      </c>
      <c r="K1032" s="40"/>
      <c r="L1032" s="40"/>
      <c r="M1032" s="40"/>
      <c r="N1032" s="40"/>
      <c r="O1032" s="40"/>
      <c r="P1032" s="40"/>
      <c r="Q1032" s="40"/>
      <c r="R1032" s="40"/>
      <c r="S1032" s="40"/>
      <c r="T1032" s="40"/>
    </row>
    <row r="1033" spans="1:20" ht="15.75">
      <c r="A1033" s="13">
        <v>72593</v>
      </c>
      <c r="B1033" s="48">
        <f t="shared" si="6"/>
        <v>30</v>
      </c>
      <c r="C1033" s="39">
        <v>194.20500000000001</v>
      </c>
      <c r="D1033" s="39">
        <v>267.46600000000001</v>
      </c>
      <c r="E1033" s="45">
        <v>812.32899999999995</v>
      </c>
      <c r="F1033" s="39">
        <v>1274</v>
      </c>
      <c r="G1033" s="39">
        <v>50</v>
      </c>
      <c r="H1033" s="47">
        <v>600</v>
      </c>
      <c r="I1033" s="39">
        <v>695</v>
      </c>
      <c r="J1033" s="39">
        <v>0</v>
      </c>
      <c r="K1033" s="40"/>
      <c r="L1033" s="40"/>
      <c r="M1033" s="40"/>
      <c r="N1033" s="40"/>
      <c r="O1033" s="40"/>
      <c r="P1033" s="40"/>
      <c r="Q1033" s="40"/>
      <c r="R1033" s="40"/>
      <c r="S1033" s="40"/>
      <c r="T1033" s="40"/>
    </row>
    <row r="1034" spans="1:20" ht="15.75">
      <c r="A1034" s="13">
        <v>72624</v>
      </c>
      <c r="B1034" s="48">
        <f t="shared" si="6"/>
        <v>31</v>
      </c>
      <c r="C1034" s="39">
        <v>131.881</v>
      </c>
      <c r="D1034" s="39">
        <v>277.16699999999997</v>
      </c>
      <c r="E1034" s="45">
        <v>829.952</v>
      </c>
      <c r="F1034" s="39">
        <v>1239</v>
      </c>
      <c r="G1034" s="39">
        <v>75</v>
      </c>
      <c r="H1034" s="47">
        <v>600</v>
      </c>
      <c r="I1034" s="39">
        <v>695</v>
      </c>
      <c r="J1034" s="39">
        <v>0</v>
      </c>
      <c r="K1034" s="40"/>
      <c r="L1034" s="40"/>
      <c r="M1034" s="40"/>
      <c r="N1034" s="40"/>
      <c r="O1034" s="40"/>
      <c r="P1034" s="40"/>
      <c r="Q1034" s="40"/>
      <c r="R1034" s="40"/>
      <c r="S1034" s="40"/>
      <c r="T1034" s="40"/>
    </row>
    <row r="1035" spans="1:20" ht="15.75">
      <c r="A1035" s="13">
        <v>72654</v>
      </c>
      <c r="B1035" s="48">
        <f t="shared" si="6"/>
        <v>30</v>
      </c>
      <c r="C1035" s="39">
        <v>122.58</v>
      </c>
      <c r="D1035" s="39">
        <v>297.94099999999997</v>
      </c>
      <c r="E1035" s="45">
        <v>729.47900000000004</v>
      </c>
      <c r="F1035" s="39">
        <v>1150</v>
      </c>
      <c r="G1035" s="39">
        <v>100</v>
      </c>
      <c r="H1035" s="47">
        <v>600</v>
      </c>
      <c r="I1035" s="39">
        <v>695</v>
      </c>
      <c r="J1035" s="39">
        <v>50</v>
      </c>
      <c r="K1035" s="40"/>
      <c r="L1035" s="40"/>
      <c r="M1035" s="40"/>
      <c r="N1035" s="40"/>
      <c r="O1035" s="40"/>
      <c r="P1035" s="40"/>
      <c r="Q1035" s="40"/>
      <c r="R1035" s="40"/>
      <c r="S1035" s="40"/>
      <c r="T1035" s="40"/>
    </row>
    <row r="1036" spans="1:20" ht="15.75">
      <c r="A1036" s="13">
        <v>72685</v>
      </c>
      <c r="B1036" s="48">
        <f t="shared" si="6"/>
        <v>31</v>
      </c>
      <c r="C1036" s="39">
        <v>122.58</v>
      </c>
      <c r="D1036" s="39">
        <v>297.94099999999997</v>
      </c>
      <c r="E1036" s="45">
        <v>729.47900000000004</v>
      </c>
      <c r="F1036" s="39">
        <v>1150</v>
      </c>
      <c r="G1036" s="39">
        <v>100</v>
      </c>
      <c r="H1036" s="47">
        <v>600</v>
      </c>
      <c r="I1036" s="39">
        <v>695</v>
      </c>
      <c r="J1036" s="39">
        <v>50</v>
      </c>
      <c r="K1036" s="40"/>
      <c r="L1036" s="40"/>
      <c r="M1036" s="40"/>
      <c r="N1036" s="40"/>
      <c r="O1036" s="40"/>
      <c r="P1036" s="40"/>
      <c r="Q1036" s="40"/>
      <c r="R1036" s="40"/>
      <c r="S1036" s="40"/>
      <c r="T1036" s="40"/>
    </row>
    <row r="1037" spans="1:20" ht="15.75">
      <c r="A1037" s="13">
        <v>72716</v>
      </c>
      <c r="B1037" s="48">
        <f t="shared" si="6"/>
        <v>31</v>
      </c>
      <c r="C1037" s="39">
        <v>122.58</v>
      </c>
      <c r="D1037" s="39">
        <v>297.94099999999997</v>
      </c>
      <c r="E1037" s="45">
        <v>729.47900000000004</v>
      </c>
      <c r="F1037" s="39">
        <v>1150</v>
      </c>
      <c r="G1037" s="39">
        <v>100</v>
      </c>
      <c r="H1037" s="47">
        <v>600</v>
      </c>
      <c r="I1037" s="39">
        <v>695</v>
      </c>
      <c r="J1037" s="39">
        <v>50</v>
      </c>
      <c r="K1037" s="40"/>
      <c r="L1037" s="40"/>
      <c r="M1037" s="40"/>
      <c r="N1037" s="40"/>
      <c r="O1037" s="40"/>
      <c r="P1037" s="40"/>
      <c r="Q1037" s="40"/>
      <c r="R1037" s="40"/>
      <c r="S1037" s="40"/>
      <c r="T1037" s="40"/>
    </row>
    <row r="1038" spans="1:20" ht="15.75">
      <c r="A1038" s="13">
        <v>72744</v>
      </c>
      <c r="B1038" s="48">
        <f t="shared" si="6"/>
        <v>28</v>
      </c>
      <c r="C1038" s="39">
        <v>122.58</v>
      </c>
      <c r="D1038" s="39">
        <v>297.94099999999997</v>
      </c>
      <c r="E1038" s="45">
        <v>729.47900000000004</v>
      </c>
      <c r="F1038" s="39">
        <v>1150</v>
      </c>
      <c r="G1038" s="39">
        <v>100</v>
      </c>
      <c r="H1038" s="47">
        <v>600</v>
      </c>
      <c r="I1038" s="39">
        <v>695</v>
      </c>
      <c r="J1038" s="39">
        <v>50</v>
      </c>
      <c r="K1038" s="40"/>
      <c r="L1038" s="40"/>
      <c r="M1038" s="40"/>
      <c r="N1038" s="40"/>
      <c r="O1038" s="40"/>
      <c r="P1038" s="40"/>
      <c r="Q1038" s="40"/>
      <c r="R1038" s="40"/>
      <c r="S1038" s="40"/>
      <c r="T1038" s="40"/>
    </row>
    <row r="1039" spans="1:20" ht="15.75">
      <c r="A1039" s="13">
        <v>72775</v>
      </c>
      <c r="B1039" s="48">
        <f t="shared" si="6"/>
        <v>31</v>
      </c>
      <c r="C1039" s="39">
        <v>122.58</v>
      </c>
      <c r="D1039" s="39">
        <v>297.94099999999997</v>
      </c>
      <c r="E1039" s="45">
        <v>729.47900000000004</v>
      </c>
      <c r="F1039" s="39">
        <v>1150</v>
      </c>
      <c r="G1039" s="39">
        <v>100</v>
      </c>
      <c r="H1039" s="47">
        <v>600</v>
      </c>
      <c r="I1039" s="39">
        <v>695</v>
      </c>
      <c r="J1039" s="39">
        <v>50</v>
      </c>
      <c r="K1039" s="40"/>
      <c r="L1039" s="40"/>
      <c r="M1039" s="40"/>
      <c r="N1039" s="40"/>
      <c r="O1039" s="40"/>
      <c r="P1039" s="40"/>
      <c r="Q1039" s="40"/>
      <c r="R1039" s="40"/>
      <c r="S1039" s="40"/>
      <c r="T1039" s="40"/>
    </row>
    <row r="1040" spans="1:20" ht="15.75">
      <c r="A1040" s="13">
        <v>72805</v>
      </c>
      <c r="B1040" s="48">
        <f t="shared" si="6"/>
        <v>30</v>
      </c>
      <c r="C1040" s="39">
        <v>141.29300000000001</v>
      </c>
      <c r="D1040" s="39">
        <v>267.99299999999999</v>
      </c>
      <c r="E1040" s="45">
        <v>829.71400000000006</v>
      </c>
      <c r="F1040" s="39">
        <v>1239</v>
      </c>
      <c r="G1040" s="39">
        <v>100</v>
      </c>
      <c r="H1040" s="47">
        <v>600</v>
      </c>
      <c r="I1040" s="39">
        <v>695</v>
      </c>
      <c r="J1040" s="39">
        <v>50</v>
      </c>
      <c r="K1040" s="40"/>
      <c r="L1040" s="40"/>
      <c r="M1040" s="40"/>
      <c r="N1040" s="40"/>
      <c r="O1040" s="40"/>
      <c r="P1040" s="40"/>
      <c r="Q1040" s="40"/>
      <c r="R1040" s="40"/>
      <c r="S1040" s="40"/>
      <c r="T1040" s="40"/>
    </row>
    <row r="1041" spans="1:20" ht="15.75">
      <c r="A1041" s="13">
        <v>72836</v>
      </c>
      <c r="B1041" s="48">
        <f t="shared" ref="B1041:B1060" si="7">EOMONTH(A1041,0)-EOMONTH(A1041,-1)</f>
        <v>31</v>
      </c>
      <c r="C1041" s="39">
        <v>194.20500000000001</v>
      </c>
      <c r="D1041" s="39">
        <v>267.46600000000001</v>
      </c>
      <c r="E1041" s="45">
        <v>812.32899999999995</v>
      </c>
      <c r="F1041" s="39">
        <v>1274</v>
      </c>
      <c r="G1041" s="39">
        <v>75</v>
      </c>
      <c r="H1041" s="47">
        <v>600</v>
      </c>
      <c r="I1041" s="39">
        <v>695</v>
      </c>
      <c r="J1041" s="39">
        <v>50</v>
      </c>
      <c r="K1041" s="40"/>
      <c r="L1041" s="40"/>
      <c r="M1041" s="40"/>
      <c r="N1041" s="40"/>
      <c r="O1041" s="40"/>
      <c r="P1041" s="40"/>
      <c r="Q1041" s="40"/>
      <c r="R1041" s="40"/>
      <c r="S1041" s="40"/>
      <c r="T1041" s="40"/>
    </row>
    <row r="1042" spans="1:20" ht="15.75">
      <c r="A1042" s="13">
        <v>72866</v>
      </c>
      <c r="B1042" s="48">
        <f t="shared" si="7"/>
        <v>30</v>
      </c>
      <c r="C1042" s="39">
        <v>194.20500000000001</v>
      </c>
      <c r="D1042" s="39">
        <v>267.46600000000001</v>
      </c>
      <c r="E1042" s="45">
        <v>812.32899999999995</v>
      </c>
      <c r="F1042" s="39">
        <v>1274</v>
      </c>
      <c r="G1042" s="39">
        <v>50</v>
      </c>
      <c r="H1042" s="47">
        <v>600</v>
      </c>
      <c r="I1042" s="39">
        <v>695</v>
      </c>
      <c r="J1042" s="39">
        <v>50</v>
      </c>
      <c r="K1042" s="40"/>
      <c r="L1042" s="40"/>
      <c r="M1042" s="40"/>
      <c r="N1042" s="40"/>
      <c r="O1042" s="40"/>
      <c r="P1042" s="40"/>
      <c r="Q1042" s="40"/>
      <c r="R1042" s="40"/>
      <c r="S1042" s="40"/>
      <c r="T1042" s="40"/>
    </row>
    <row r="1043" spans="1:20" ht="15.75">
      <c r="A1043" s="13">
        <v>72897</v>
      </c>
      <c r="B1043" s="48">
        <f t="shared" si="7"/>
        <v>31</v>
      </c>
      <c r="C1043" s="39">
        <v>194.20500000000001</v>
      </c>
      <c r="D1043" s="39">
        <v>267.46600000000001</v>
      </c>
      <c r="E1043" s="45">
        <v>812.32899999999995</v>
      </c>
      <c r="F1043" s="39">
        <v>1274</v>
      </c>
      <c r="G1043" s="39">
        <v>50</v>
      </c>
      <c r="H1043" s="47">
        <v>600</v>
      </c>
      <c r="I1043" s="39">
        <v>695</v>
      </c>
      <c r="J1043" s="39">
        <v>0</v>
      </c>
      <c r="K1043" s="40"/>
      <c r="L1043" s="40"/>
      <c r="M1043" s="40"/>
      <c r="N1043" s="40"/>
      <c r="O1043" s="40"/>
      <c r="P1043" s="40"/>
      <c r="Q1043" s="40"/>
      <c r="R1043" s="40"/>
      <c r="S1043" s="40"/>
      <c r="T1043" s="40"/>
    </row>
    <row r="1044" spans="1:20" ht="15.75">
      <c r="A1044" s="13">
        <v>72928</v>
      </c>
      <c r="B1044" s="48">
        <f t="shared" si="7"/>
        <v>31</v>
      </c>
      <c r="C1044" s="39">
        <v>194.20500000000001</v>
      </c>
      <c r="D1044" s="39">
        <v>267.46600000000001</v>
      </c>
      <c r="E1044" s="45">
        <v>812.32899999999995</v>
      </c>
      <c r="F1044" s="39">
        <v>1274</v>
      </c>
      <c r="G1044" s="39">
        <v>50</v>
      </c>
      <c r="H1044" s="47">
        <v>600</v>
      </c>
      <c r="I1044" s="39">
        <v>695</v>
      </c>
      <c r="J1044" s="39">
        <v>0</v>
      </c>
      <c r="K1044" s="40"/>
      <c r="L1044" s="40"/>
      <c r="M1044" s="40"/>
      <c r="N1044" s="40"/>
      <c r="O1044" s="40"/>
      <c r="P1044" s="40"/>
      <c r="Q1044" s="40"/>
      <c r="R1044" s="40"/>
      <c r="S1044" s="40"/>
      <c r="T1044" s="40"/>
    </row>
    <row r="1045" spans="1:20" ht="15.75">
      <c r="A1045" s="13">
        <v>72958</v>
      </c>
      <c r="B1045" s="48">
        <f t="shared" si="7"/>
        <v>30</v>
      </c>
      <c r="C1045" s="39">
        <v>194.20500000000001</v>
      </c>
      <c r="D1045" s="39">
        <v>267.46600000000001</v>
      </c>
      <c r="E1045" s="45">
        <v>812.32899999999995</v>
      </c>
      <c r="F1045" s="39">
        <v>1274</v>
      </c>
      <c r="G1045" s="39">
        <v>50</v>
      </c>
      <c r="H1045" s="47">
        <v>600</v>
      </c>
      <c r="I1045" s="39">
        <v>695</v>
      </c>
      <c r="J1045" s="39">
        <v>0</v>
      </c>
      <c r="K1045" s="40"/>
      <c r="L1045" s="40"/>
      <c r="M1045" s="40"/>
      <c r="N1045" s="40"/>
      <c r="O1045" s="40"/>
      <c r="P1045" s="40"/>
      <c r="Q1045" s="40"/>
      <c r="R1045" s="40"/>
      <c r="S1045" s="40"/>
      <c r="T1045" s="40"/>
    </row>
    <row r="1046" spans="1:20" ht="15.75">
      <c r="A1046" s="13">
        <v>72989</v>
      </c>
      <c r="B1046" s="48">
        <f t="shared" si="7"/>
        <v>31</v>
      </c>
      <c r="C1046" s="39">
        <v>131.881</v>
      </c>
      <c r="D1046" s="39">
        <v>277.16699999999997</v>
      </c>
      <c r="E1046" s="45">
        <v>829.952</v>
      </c>
      <c r="F1046" s="39">
        <v>1239</v>
      </c>
      <c r="G1046" s="39">
        <v>75</v>
      </c>
      <c r="H1046" s="47">
        <v>600</v>
      </c>
      <c r="I1046" s="39">
        <v>695</v>
      </c>
      <c r="J1046" s="39">
        <v>0</v>
      </c>
      <c r="K1046" s="40"/>
      <c r="L1046" s="40"/>
      <c r="M1046" s="40"/>
      <c r="N1046" s="40"/>
      <c r="O1046" s="40"/>
      <c r="P1046" s="40"/>
      <c r="Q1046" s="40"/>
      <c r="R1046" s="40"/>
      <c r="S1046" s="40"/>
      <c r="T1046" s="40"/>
    </row>
    <row r="1047" spans="1:20" ht="15.75">
      <c r="A1047" s="13">
        <v>73019</v>
      </c>
      <c r="B1047" s="48">
        <f t="shared" si="7"/>
        <v>30</v>
      </c>
      <c r="C1047" s="39">
        <v>122.58</v>
      </c>
      <c r="D1047" s="39">
        <v>297.94099999999997</v>
      </c>
      <c r="E1047" s="45">
        <v>729.47900000000004</v>
      </c>
      <c r="F1047" s="39">
        <v>1150</v>
      </c>
      <c r="G1047" s="39">
        <v>100</v>
      </c>
      <c r="H1047" s="47">
        <v>600</v>
      </c>
      <c r="I1047" s="39">
        <v>695</v>
      </c>
      <c r="J1047" s="39">
        <v>50</v>
      </c>
      <c r="K1047" s="40"/>
      <c r="L1047" s="40"/>
      <c r="M1047" s="40"/>
      <c r="N1047" s="40"/>
      <c r="O1047" s="40"/>
      <c r="P1047" s="40"/>
      <c r="Q1047" s="40"/>
      <c r="R1047" s="40"/>
      <c r="S1047" s="40"/>
      <c r="T1047" s="40"/>
    </row>
    <row r="1048" spans="1:20" ht="15.75">
      <c r="A1048" s="13">
        <v>73050</v>
      </c>
      <c r="B1048" s="48">
        <f t="shared" si="7"/>
        <v>31</v>
      </c>
      <c r="C1048" s="39">
        <v>122.58</v>
      </c>
      <c r="D1048" s="39">
        <v>297.94099999999997</v>
      </c>
      <c r="E1048" s="45">
        <v>729.47900000000004</v>
      </c>
      <c r="F1048" s="39">
        <v>1150</v>
      </c>
      <c r="G1048" s="39">
        <v>100</v>
      </c>
      <c r="H1048" s="47">
        <v>600</v>
      </c>
      <c r="I1048" s="39">
        <v>695</v>
      </c>
      <c r="J1048" s="39">
        <v>50</v>
      </c>
      <c r="K1048" s="40"/>
      <c r="L1048" s="40"/>
      <c r="M1048" s="40"/>
      <c r="N1048" s="40"/>
      <c r="O1048" s="40"/>
      <c r="P1048" s="40"/>
      <c r="Q1048" s="40"/>
      <c r="R1048" s="40"/>
      <c r="S1048" s="40"/>
      <c r="T1048" s="40"/>
    </row>
    <row r="1049" spans="1:20" ht="15.75">
      <c r="A1049" s="13">
        <v>73081</v>
      </c>
      <c r="B1049" s="48">
        <f t="shared" si="7"/>
        <v>31</v>
      </c>
      <c r="C1049" s="39">
        <v>122.58</v>
      </c>
      <c r="D1049" s="39">
        <v>297.94099999999997</v>
      </c>
      <c r="E1049" s="45">
        <v>729.47900000000004</v>
      </c>
      <c r="F1049" s="39">
        <v>1150</v>
      </c>
      <c r="G1049" s="39">
        <v>100</v>
      </c>
      <c r="H1049" s="47">
        <v>600</v>
      </c>
      <c r="I1049" s="39">
        <v>695</v>
      </c>
      <c r="J1049" s="39">
        <v>50</v>
      </c>
      <c r="K1049" s="40"/>
      <c r="L1049" s="40"/>
      <c r="M1049" s="40"/>
      <c r="N1049" s="40"/>
      <c r="O1049" s="40"/>
      <c r="P1049" s="40"/>
      <c r="Q1049" s="40"/>
      <c r="R1049" s="40"/>
      <c r="S1049" s="40"/>
      <c r="T1049" s="40"/>
    </row>
    <row r="1050" spans="1:20" ht="15.75">
      <c r="A1050" s="13">
        <v>73109</v>
      </c>
      <c r="B1050" s="48">
        <f t="shared" si="7"/>
        <v>28</v>
      </c>
      <c r="C1050" s="39">
        <v>122.58</v>
      </c>
      <c r="D1050" s="39">
        <v>297.94099999999997</v>
      </c>
      <c r="E1050" s="45">
        <v>729.47900000000004</v>
      </c>
      <c r="F1050" s="39">
        <v>1150</v>
      </c>
      <c r="G1050" s="39">
        <v>100</v>
      </c>
      <c r="H1050" s="47">
        <v>600</v>
      </c>
      <c r="I1050" s="39">
        <v>695</v>
      </c>
      <c r="J1050" s="39">
        <v>50</v>
      </c>
      <c r="K1050" s="40"/>
      <c r="L1050" s="40"/>
      <c r="M1050" s="40"/>
      <c r="N1050" s="40"/>
      <c r="O1050" s="40"/>
      <c r="P1050" s="40"/>
      <c r="Q1050" s="40"/>
      <c r="R1050" s="40"/>
      <c r="S1050" s="40"/>
      <c r="T1050" s="40"/>
    </row>
    <row r="1051" spans="1:20" ht="15.75">
      <c r="A1051" s="13">
        <v>73140</v>
      </c>
      <c r="B1051" s="48">
        <f t="shared" si="7"/>
        <v>31</v>
      </c>
      <c r="C1051" s="39">
        <v>122.58</v>
      </c>
      <c r="D1051" s="39">
        <v>297.94099999999997</v>
      </c>
      <c r="E1051" s="45">
        <v>729.47900000000004</v>
      </c>
      <c r="F1051" s="39">
        <v>1150</v>
      </c>
      <c r="G1051" s="39">
        <v>100</v>
      </c>
      <c r="H1051" s="47">
        <v>600</v>
      </c>
      <c r="I1051" s="39">
        <v>695</v>
      </c>
      <c r="J1051" s="39">
        <v>50</v>
      </c>
      <c r="K1051" s="40"/>
      <c r="L1051" s="40"/>
      <c r="M1051" s="40"/>
      <c r="N1051" s="40"/>
      <c r="O1051" s="40"/>
      <c r="P1051" s="40"/>
      <c r="Q1051" s="40"/>
      <c r="R1051" s="40"/>
      <c r="S1051" s="40"/>
      <c r="T1051" s="40"/>
    </row>
    <row r="1052" spans="1:20" ht="15.75">
      <c r="A1052" s="13">
        <v>73170</v>
      </c>
      <c r="B1052" s="48">
        <f t="shared" si="7"/>
        <v>30</v>
      </c>
      <c r="C1052" s="39">
        <v>141.29300000000001</v>
      </c>
      <c r="D1052" s="39">
        <v>267.99299999999999</v>
      </c>
      <c r="E1052" s="45">
        <v>829.71400000000006</v>
      </c>
      <c r="F1052" s="39">
        <v>1239</v>
      </c>
      <c r="G1052" s="39">
        <v>100</v>
      </c>
      <c r="H1052" s="47">
        <v>600</v>
      </c>
      <c r="I1052" s="39">
        <v>695</v>
      </c>
      <c r="J1052" s="39">
        <v>50</v>
      </c>
      <c r="K1052" s="40"/>
      <c r="L1052" s="40"/>
      <c r="M1052" s="40"/>
      <c r="N1052" s="40"/>
      <c r="O1052" s="40"/>
      <c r="P1052" s="40"/>
      <c r="Q1052" s="40"/>
      <c r="R1052" s="40"/>
      <c r="S1052" s="40"/>
      <c r="T1052" s="40"/>
    </row>
    <row r="1053" spans="1:20" ht="15.75">
      <c r="A1053" s="13">
        <v>73201</v>
      </c>
      <c r="B1053" s="48">
        <f t="shared" si="7"/>
        <v>31</v>
      </c>
      <c r="C1053" s="39">
        <v>194.20500000000001</v>
      </c>
      <c r="D1053" s="39">
        <v>267.46600000000001</v>
      </c>
      <c r="E1053" s="45">
        <v>812.32899999999995</v>
      </c>
      <c r="F1053" s="39">
        <v>1274</v>
      </c>
      <c r="G1053" s="39">
        <v>75</v>
      </c>
      <c r="H1053" s="47">
        <v>600</v>
      </c>
      <c r="I1053" s="39">
        <v>695</v>
      </c>
      <c r="J1053" s="39">
        <v>50</v>
      </c>
      <c r="K1053" s="40"/>
      <c r="L1053" s="40"/>
      <c r="M1053" s="40"/>
      <c r="N1053" s="40"/>
      <c r="O1053" s="40"/>
      <c r="P1053" s="40"/>
      <c r="Q1053" s="40"/>
      <c r="R1053" s="40"/>
      <c r="S1053" s="40"/>
      <c r="T1053" s="40"/>
    </row>
    <row r="1054" spans="1:20" ht="15.75">
      <c r="A1054" s="13">
        <v>73231</v>
      </c>
      <c r="B1054" s="48">
        <f t="shared" si="7"/>
        <v>30</v>
      </c>
      <c r="C1054" s="39">
        <v>194.20500000000001</v>
      </c>
      <c r="D1054" s="39">
        <v>267.46600000000001</v>
      </c>
      <c r="E1054" s="45">
        <v>812.32899999999995</v>
      </c>
      <c r="F1054" s="39">
        <v>1274</v>
      </c>
      <c r="G1054" s="39">
        <v>50</v>
      </c>
      <c r="H1054" s="47">
        <v>600</v>
      </c>
      <c r="I1054" s="39">
        <v>695</v>
      </c>
      <c r="J1054" s="39">
        <v>50</v>
      </c>
      <c r="K1054" s="40"/>
      <c r="L1054" s="40"/>
      <c r="M1054" s="40"/>
      <c r="N1054" s="40"/>
      <c r="O1054" s="40"/>
      <c r="P1054" s="40"/>
      <c r="Q1054" s="40"/>
      <c r="R1054" s="40"/>
      <c r="S1054" s="40"/>
      <c r="T1054" s="40"/>
    </row>
    <row r="1055" spans="1:20" ht="15.75">
      <c r="A1055" s="13">
        <v>73262</v>
      </c>
      <c r="B1055" s="48">
        <f t="shared" si="7"/>
        <v>31</v>
      </c>
      <c r="C1055" s="39">
        <v>194.20500000000001</v>
      </c>
      <c r="D1055" s="39">
        <v>267.46600000000001</v>
      </c>
      <c r="E1055" s="45">
        <v>812.32899999999995</v>
      </c>
      <c r="F1055" s="39">
        <v>1274</v>
      </c>
      <c r="G1055" s="39">
        <v>50</v>
      </c>
      <c r="H1055" s="47">
        <v>600</v>
      </c>
      <c r="I1055" s="39">
        <v>695</v>
      </c>
      <c r="J1055" s="39">
        <v>0</v>
      </c>
      <c r="K1055" s="40"/>
      <c r="L1055" s="40"/>
      <c r="M1055" s="40"/>
      <c r="N1055" s="40"/>
      <c r="O1055" s="40"/>
      <c r="P1055" s="40"/>
      <c r="Q1055" s="40"/>
      <c r="R1055" s="40"/>
      <c r="S1055" s="40"/>
      <c r="T1055" s="40"/>
    </row>
    <row r="1056" spans="1:20" ht="15.75">
      <c r="A1056" s="13">
        <v>73293</v>
      </c>
      <c r="B1056" s="48">
        <f t="shared" si="7"/>
        <v>31</v>
      </c>
      <c r="C1056" s="39">
        <v>194.20500000000001</v>
      </c>
      <c r="D1056" s="39">
        <v>267.46600000000001</v>
      </c>
      <c r="E1056" s="45">
        <v>812.32899999999995</v>
      </c>
      <c r="F1056" s="39">
        <v>1274</v>
      </c>
      <c r="G1056" s="39">
        <v>50</v>
      </c>
      <c r="H1056" s="47">
        <v>600</v>
      </c>
      <c r="I1056" s="39">
        <v>695</v>
      </c>
      <c r="J1056" s="39">
        <v>0</v>
      </c>
      <c r="K1056" s="40"/>
      <c r="L1056" s="40"/>
      <c r="M1056" s="40"/>
      <c r="N1056" s="40"/>
      <c r="O1056" s="40"/>
      <c r="P1056" s="40"/>
      <c r="Q1056" s="40"/>
      <c r="R1056" s="40"/>
      <c r="S1056" s="40"/>
      <c r="T1056" s="40"/>
    </row>
    <row r="1057" spans="1:20" ht="15.75">
      <c r="A1057" s="13">
        <v>73323</v>
      </c>
      <c r="B1057" s="48">
        <f t="shared" si="7"/>
        <v>30</v>
      </c>
      <c r="C1057" s="39">
        <v>194.20500000000001</v>
      </c>
      <c r="D1057" s="39">
        <v>267.46600000000001</v>
      </c>
      <c r="E1057" s="45">
        <v>812.32899999999995</v>
      </c>
      <c r="F1057" s="39">
        <v>1274</v>
      </c>
      <c r="G1057" s="39">
        <v>50</v>
      </c>
      <c r="H1057" s="47">
        <v>600</v>
      </c>
      <c r="I1057" s="39">
        <v>695</v>
      </c>
      <c r="J1057" s="39">
        <v>0</v>
      </c>
      <c r="K1057" s="40"/>
      <c r="L1057" s="40"/>
      <c r="M1057" s="40"/>
      <c r="N1057" s="40"/>
      <c r="O1057" s="40"/>
      <c r="P1057" s="40"/>
      <c r="Q1057" s="40"/>
      <c r="R1057" s="40"/>
      <c r="S1057" s="40"/>
      <c r="T1057" s="40"/>
    </row>
    <row r="1058" spans="1:20" ht="15.75">
      <c r="A1058" s="13">
        <v>73354</v>
      </c>
      <c r="B1058" s="48">
        <f t="shared" si="7"/>
        <v>31</v>
      </c>
      <c r="C1058" s="39">
        <v>131.881</v>
      </c>
      <c r="D1058" s="39">
        <v>277.16699999999997</v>
      </c>
      <c r="E1058" s="45">
        <v>829.952</v>
      </c>
      <c r="F1058" s="39">
        <v>1239</v>
      </c>
      <c r="G1058" s="39">
        <v>75</v>
      </c>
      <c r="H1058" s="47">
        <v>600</v>
      </c>
      <c r="I1058" s="39">
        <v>695</v>
      </c>
      <c r="J1058" s="39">
        <v>0</v>
      </c>
      <c r="K1058" s="40"/>
      <c r="L1058" s="40"/>
      <c r="M1058" s="40"/>
      <c r="N1058" s="40"/>
      <c r="O1058" s="40"/>
      <c r="P1058" s="40"/>
      <c r="Q1058" s="40"/>
      <c r="R1058" s="40"/>
      <c r="S1058" s="40"/>
      <c r="T1058" s="40"/>
    </row>
    <row r="1059" spans="1:20" ht="15.75">
      <c r="A1059" s="13">
        <v>73384</v>
      </c>
      <c r="B1059" s="48">
        <f t="shared" si="7"/>
        <v>30</v>
      </c>
      <c r="C1059" s="39">
        <v>122.58</v>
      </c>
      <c r="D1059" s="39">
        <v>297.94099999999997</v>
      </c>
      <c r="E1059" s="45">
        <v>729.47900000000004</v>
      </c>
      <c r="F1059" s="39">
        <v>1150</v>
      </c>
      <c r="G1059" s="39">
        <v>100</v>
      </c>
      <c r="H1059" s="47">
        <v>600</v>
      </c>
      <c r="I1059" s="39">
        <v>695</v>
      </c>
      <c r="J1059" s="39">
        <v>50</v>
      </c>
      <c r="K1059" s="40"/>
      <c r="L1059" s="40"/>
      <c r="M1059" s="40"/>
      <c r="N1059" s="40"/>
      <c r="O1059" s="40"/>
      <c r="P1059" s="40"/>
      <c r="Q1059" s="40"/>
      <c r="R1059" s="40"/>
      <c r="S1059" s="40"/>
      <c r="T1059" s="40"/>
    </row>
    <row r="1060" spans="1:20" ht="15.75">
      <c r="A1060" s="13">
        <v>73415</v>
      </c>
      <c r="B1060" s="48">
        <f t="shared" si="7"/>
        <v>31</v>
      </c>
      <c r="C1060" s="39">
        <v>122.58</v>
      </c>
      <c r="D1060" s="39">
        <v>297.94099999999997</v>
      </c>
      <c r="E1060" s="45">
        <v>729.47900000000004</v>
      </c>
      <c r="F1060" s="39">
        <v>1150</v>
      </c>
      <c r="G1060" s="39">
        <v>100</v>
      </c>
      <c r="H1060" s="47">
        <v>600</v>
      </c>
      <c r="I1060" s="39">
        <v>695</v>
      </c>
      <c r="J1060" s="39">
        <v>50</v>
      </c>
      <c r="K1060" s="40"/>
      <c r="L1060" s="40"/>
      <c r="M1060" s="40"/>
      <c r="N1060" s="40"/>
      <c r="O1060" s="40"/>
      <c r="P1060" s="40"/>
      <c r="Q1060" s="40"/>
      <c r="R1060" s="40"/>
      <c r="S1060" s="40"/>
      <c r="T1060" s="40"/>
    </row>
    <row r="1061" spans="1:20" ht="15">
      <c r="A1061" s="10"/>
      <c r="B1061" s="46"/>
      <c r="C1061" s="39"/>
      <c r="D1061" s="39"/>
      <c r="E1061" s="45"/>
      <c r="F1061" s="39"/>
      <c r="G1061" s="39"/>
      <c r="H1061" s="39"/>
      <c r="I1061" s="39"/>
      <c r="J1061" s="39"/>
      <c r="K1061" s="40"/>
      <c r="L1061" s="40"/>
      <c r="M1061" s="40"/>
      <c r="N1061" s="40"/>
      <c r="O1061" s="40"/>
      <c r="P1061" s="40"/>
      <c r="Q1061" s="40"/>
      <c r="R1061" s="40"/>
      <c r="S1061" s="40"/>
      <c r="T1061" s="40"/>
    </row>
    <row r="1062" spans="1:20" ht="15.75">
      <c r="A1062" s="3">
        <v>2014</v>
      </c>
      <c r="B1062" s="3">
        <f t="shared" ref="B1062:B1093" si="8">DATE(A1062+1,1,1)-DATE(A1062,1,1)</f>
        <v>365</v>
      </c>
      <c r="C1062" s="42">
        <f>AVERAGE(C17:C28)</f>
        <v>154.75825</v>
      </c>
      <c r="D1062" s="42">
        <f>AVERAGE(D17:D28)</f>
        <v>281.0162499999999</v>
      </c>
      <c r="E1062" s="42">
        <f>AVERAGE(E17:E28)</f>
        <v>801.55883333333315</v>
      </c>
      <c r="F1062" s="42">
        <f>AVERAGE(F17:F28)</f>
        <v>1237.3333333333333</v>
      </c>
      <c r="G1062" s="42">
        <f>AVERAGE(G17:G28)</f>
        <v>79.166666666666671</v>
      </c>
      <c r="H1062" s="44"/>
      <c r="I1062" s="42">
        <f>AVERAGE(I17:I28)</f>
        <v>695</v>
      </c>
      <c r="J1062" s="42">
        <f>AVERAGE(J17:J28)</f>
        <v>33.333333333333336</v>
      </c>
      <c r="K1062" s="40"/>
      <c r="L1062" s="40"/>
      <c r="M1062" s="40"/>
      <c r="N1062" s="40"/>
      <c r="O1062" s="40"/>
      <c r="P1062" s="40"/>
      <c r="Q1062" s="40"/>
      <c r="R1062" s="40"/>
      <c r="S1062" s="40"/>
      <c r="T1062" s="40"/>
    </row>
    <row r="1063" spans="1:20" ht="15.75">
      <c r="A1063" s="3">
        <v>2015</v>
      </c>
      <c r="B1063" s="3">
        <f t="shared" si="8"/>
        <v>365</v>
      </c>
      <c r="C1063" s="42">
        <f>AVERAGE(C29:C40)</f>
        <v>154.75825</v>
      </c>
      <c r="D1063" s="42">
        <f>AVERAGE(D29:D40)</f>
        <v>281.0162499999999</v>
      </c>
      <c r="E1063" s="42">
        <f>AVERAGE(E29:E40)</f>
        <v>801.55883333333315</v>
      </c>
      <c r="F1063" s="42">
        <f>AVERAGE(F29:F40)</f>
        <v>1237.3333333333333</v>
      </c>
      <c r="G1063" s="42">
        <f>AVERAGE(G29:G40)</f>
        <v>79.166666666666671</v>
      </c>
      <c r="H1063" s="44"/>
      <c r="I1063" s="42">
        <f>AVERAGE(I29:I40)</f>
        <v>695</v>
      </c>
      <c r="J1063" s="42">
        <f>AVERAGE(J29:J40)</f>
        <v>33.333333333333336</v>
      </c>
      <c r="K1063" s="40"/>
      <c r="L1063" s="40"/>
      <c r="M1063" s="40"/>
      <c r="N1063" s="40"/>
      <c r="O1063" s="40"/>
      <c r="P1063" s="40"/>
      <c r="Q1063" s="40"/>
      <c r="R1063" s="40"/>
      <c r="S1063" s="40"/>
      <c r="T1063" s="40"/>
    </row>
    <row r="1064" spans="1:20" ht="15.75">
      <c r="A1064" s="3">
        <v>2016</v>
      </c>
      <c r="B1064" s="3">
        <f t="shared" si="8"/>
        <v>366</v>
      </c>
      <c r="C1064" s="42">
        <f>AVERAGE(C41:C52)</f>
        <v>154.75825</v>
      </c>
      <c r="D1064" s="42">
        <f>AVERAGE(D41:D52)</f>
        <v>281.0162499999999</v>
      </c>
      <c r="E1064" s="42">
        <f>AVERAGE(E41:E52)</f>
        <v>780.7254999999999</v>
      </c>
      <c r="F1064" s="42">
        <f>AVERAGE(F41:F52)</f>
        <v>1216.5</v>
      </c>
      <c r="G1064" s="42">
        <f>AVERAGE(G41:G52)</f>
        <v>79.166666666666671</v>
      </c>
      <c r="H1064" s="44"/>
      <c r="I1064" s="42">
        <f>AVERAGE(I41:I52)</f>
        <v>695</v>
      </c>
      <c r="J1064" s="42">
        <f>AVERAGE(J41:J52)</f>
        <v>33.333333333333336</v>
      </c>
      <c r="K1064" s="40"/>
      <c r="L1064" s="40"/>
      <c r="M1064" s="40"/>
      <c r="N1064" s="40"/>
      <c r="O1064" s="40"/>
      <c r="P1064" s="40"/>
      <c r="Q1064" s="40"/>
      <c r="R1064" s="40"/>
      <c r="S1064" s="40"/>
      <c r="T1064" s="40"/>
    </row>
    <row r="1065" spans="1:20" ht="15">
      <c r="A1065" s="3">
        <v>2017</v>
      </c>
      <c r="B1065" s="3">
        <f t="shared" si="8"/>
        <v>365</v>
      </c>
      <c r="C1065" s="42">
        <f t="shared" ref="C1065:J1065" si="9">AVERAGE(C53:C64)</f>
        <v>154.75825</v>
      </c>
      <c r="D1065" s="42">
        <f t="shared" si="9"/>
        <v>281.0162499999999</v>
      </c>
      <c r="E1065" s="42">
        <f t="shared" si="9"/>
        <v>780.7254999999999</v>
      </c>
      <c r="F1065" s="42">
        <f t="shared" si="9"/>
        <v>1216.5</v>
      </c>
      <c r="G1065" s="42">
        <f t="shared" si="9"/>
        <v>79.166666666666671</v>
      </c>
      <c r="H1065" s="43">
        <f t="shared" si="9"/>
        <v>400</v>
      </c>
      <c r="I1065" s="42">
        <f t="shared" si="9"/>
        <v>695</v>
      </c>
      <c r="J1065" s="42">
        <f t="shared" si="9"/>
        <v>33.333333333333336</v>
      </c>
      <c r="K1065" s="40"/>
      <c r="L1065" s="40"/>
      <c r="M1065" s="40"/>
      <c r="N1065" s="40"/>
      <c r="O1065" s="40"/>
      <c r="P1065" s="40"/>
      <c r="Q1065" s="40"/>
      <c r="R1065" s="40"/>
      <c r="S1065" s="40"/>
      <c r="T1065" s="40"/>
    </row>
    <row r="1066" spans="1:20" ht="15">
      <c r="A1066" s="3">
        <v>2018</v>
      </c>
      <c r="B1066" s="3">
        <f t="shared" si="8"/>
        <v>365</v>
      </c>
      <c r="C1066" s="42">
        <f t="shared" ref="C1066:J1066" si="10">AVERAGE(C65:C76)</f>
        <v>154.75825</v>
      </c>
      <c r="D1066" s="42">
        <f t="shared" si="10"/>
        <v>281.0162499999999</v>
      </c>
      <c r="E1066" s="42">
        <f t="shared" si="10"/>
        <v>780.7254999999999</v>
      </c>
      <c r="F1066" s="42">
        <f t="shared" si="10"/>
        <v>1216.5</v>
      </c>
      <c r="G1066" s="42">
        <f t="shared" si="10"/>
        <v>79.166666666666671</v>
      </c>
      <c r="H1066" s="43">
        <f t="shared" si="10"/>
        <v>400</v>
      </c>
      <c r="I1066" s="42">
        <f t="shared" si="10"/>
        <v>695</v>
      </c>
      <c r="J1066" s="42">
        <f t="shared" si="10"/>
        <v>33.333333333333336</v>
      </c>
      <c r="K1066" s="40"/>
      <c r="L1066" s="40"/>
      <c r="M1066" s="40"/>
      <c r="N1066" s="40"/>
      <c r="O1066" s="40"/>
      <c r="P1066" s="40"/>
      <c r="Q1066" s="40"/>
      <c r="R1066" s="40"/>
      <c r="S1066" s="40"/>
      <c r="T1066" s="40"/>
    </row>
    <row r="1067" spans="1:20" ht="15">
      <c r="A1067" s="3">
        <v>2019</v>
      </c>
      <c r="B1067" s="3">
        <f t="shared" si="8"/>
        <v>365</v>
      </c>
      <c r="C1067" s="42">
        <f t="shared" ref="C1067:J1067" si="11">AVERAGE(C77:C88)</f>
        <v>154.75825</v>
      </c>
      <c r="D1067" s="42">
        <f t="shared" si="11"/>
        <v>281.0162499999999</v>
      </c>
      <c r="E1067" s="42">
        <f t="shared" si="11"/>
        <v>780.7254999999999</v>
      </c>
      <c r="F1067" s="42">
        <f t="shared" si="11"/>
        <v>1216.5</v>
      </c>
      <c r="G1067" s="42">
        <f t="shared" si="11"/>
        <v>79.166666666666671</v>
      </c>
      <c r="H1067" s="43">
        <f t="shared" si="11"/>
        <v>400</v>
      </c>
      <c r="I1067" s="42">
        <f t="shared" si="11"/>
        <v>695</v>
      </c>
      <c r="J1067" s="42">
        <f t="shared" si="11"/>
        <v>33.333333333333336</v>
      </c>
      <c r="K1067" s="40"/>
      <c r="L1067" s="40"/>
      <c r="M1067" s="40"/>
      <c r="N1067" s="40"/>
      <c r="O1067" s="40"/>
      <c r="P1067" s="40"/>
      <c r="Q1067" s="40"/>
      <c r="R1067" s="40"/>
      <c r="S1067" s="40"/>
      <c r="T1067" s="40"/>
    </row>
    <row r="1068" spans="1:20" ht="15">
      <c r="A1068" s="3">
        <v>2020</v>
      </c>
      <c r="B1068" s="3">
        <f t="shared" si="8"/>
        <v>366</v>
      </c>
      <c r="C1068" s="42">
        <f t="shared" ref="C1068:J1068" si="12">AVERAGE(C89:C100)</f>
        <v>154.75825</v>
      </c>
      <c r="D1068" s="42">
        <f t="shared" si="12"/>
        <v>281.0162499999999</v>
      </c>
      <c r="E1068" s="42">
        <f t="shared" si="12"/>
        <v>780.7254999999999</v>
      </c>
      <c r="F1068" s="42">
        <f t="shared" si="12"/>
        <v>1216.5</v>
      </c>
      <c r="G1068" s="42">
        <f t="shared" si="12"/>
        <v>79.166666666666671</v>
      </c>
      <c r="H1068" s="43">
        <f t="shared" si="12"/>
        <v>533.33333333333337</v>
      </c>
      <c r="I1068" s="42">
        <f t="shared" si="12"/>
        <v>695</v>
      </c>
      <c r="J1068" s="42">
        <f t="shared" si="12"/>
        <v>33.333333333333336</v>
      </c>
      <c r="K1068" s="40"/>
      <c r="L1068" s="40"/>
      <c r="M1068" s="40"/>
      <c r="N1068" s="40"/>
      <c r="O1068" s="40"/>
      <c r="P1068" s="40"/>
      <c r="Q1068" s="40"/>
      <c r="R1068" s="40"/>
      <c r="S1068" s="40"/>
      <c r="T1068" s="40"/>
    </row>
    <row r="1069" spans="1:20" ht="15">
      <c r="A1069" s="3">
        <v>2021</v>
      </c>
      <c r="B1069" s="3">
        <f t="shared" si="8"/>
        <v>365</v>
      </c>
      <c r="C1069" s="42">
        <f t="shared" ref="C1069:J1069" si="13">AVERAGE(C101:C112)</f>
        <v>154.75825</v>
      </c>
      <c r="D1069" s="42">
        <f t="shared" si="13"/>
        <v>281.0162499999999</v>
      </c>
      <c r="E1069" s="42">
        <f t="shared" si="13"/>
        <v>780.7254999999999</v>
      </c>
      <c r="F1069" s="42">
        <f t="shared" si="13"/>
        <v>1216.5</v>
      </c>
      <c r="G1069" s="42">
        <f t="shared" si="13"/>
        <v>79.166666666666671</v>
      </c>
      <c r="H1069" s="43">
        <f t="shared" si="13"/>
        <v>600</v>
      </c>
      <c r="I1069" s="42">
        <f t="shared" si="13"/>
        <v>695</v>
      </c>
      <c r="J1069" s="42">
        <f t="shared" si="13"/>
        <v>33.333333333333336</v>
      </c>
      <c r="K1069" s="40"/>
      <c r="L1069" s="40"/>
      <c r="M1069" s="40"/>
      <c r="N1069" s="40"/>
      <c r="O1069" s="40"/>
      <c r="P1069" s="40"/>
      <c r="Q1069" s="40"/>
      <c r="R1069" s="40"/>
      <c r="S1069" s="40"/>
      <c r="T1069" s="40"/>
    </row>
    <row r="1070" spans="1:20" ht="15">
      <c r="A1070" s="3">
        <v>2022</v>
      </c>
      <c r="B1070" s="3">
        <f t="shared" si="8"/>
        <v>365</v>
      </c>
      <c r="C1070" s="42">
        <f t="shared" ref="C1070:J1070" si="14">AVERAGE(C113:C124)</f>
        <v>154.75825</v>
      </c>
      <c r="D1070" s="42">
        <f t="shared" si="14"/>
        <v>281.0162499999999</v>
      </c>
      <c r="E1070" s="42">
        <f t="shared" si="14"/>
        <v>780.7254999999999</v>
      </c>
      <c r="F1070" s="42">
        <f t="shared" si="14"/>
        <v>1216.5</v>
      </c>
      <c r="G1070" s="42">
        <f t="shared" si="14"/>
        <v>79.166666666666671</v>
      </c>
      <c r="H1070" s="43">
        <f t="shared" si="14"/>
        <v>600</v>
      </c>
      <c r="I1070" s="42">
        <f t="shared" si="14"/>
        <v>695</v>
      </c>
      <c r="J1070" s="42">
        <f t="shared" si="14"/>
        <v>33.333333333333336</v>
      </c>
      <c r="K1070" s="40"/>
      <c r="L1070" s="40"/>
      <c r="M1070" s="40"/>
      <c r="N1070" s="40"/>
      <c r="O1070" s="40"/>
      <c r="P1070" s="40"/>
      <c r="Q1070" s="40"/>
      <c r="R1070" s="40"/>
      <c r="S1070" s="40"/>
      <c r="T1070" s="40"/>
    </row>
    <row r="1071" spans="1:20" ht="15">
      <c r="A1071" s="3">
        <v>2023</v>
      </c>
      <c r="B1071" s="3">
        <f t="shared" si="8"/>
        <v>365</v>
      </c>
      <c r="C1071" s="42">
        <f t="shared" ref="C1071:J1071" si="15">AVERAGE(C125:C136)</f>
        <v>154.75825</v>
      </c>
      <c r="D1071" s="42">
        <f t="shared" si="15"/>
        <v>281.0162499999999</v>
      </c>
      <c r="E1071" s="42">
        <f t="shared" si="15"/>
        <v>780.7254999999999</v>
      </c>
      <c r="F1071" s="42">
        <f t="shared" si="15"/>
        <v>1216.5</v>
      </c>
      <c r="G1071" s="42">
        <f t="shared" si="15"/>
        <v>79.166666666666671</v>
      </c>
      <c r="H1071" s="43">
        <f t="shared" si="15"/>
        <v>600</v>
      </c>
      <c r="I1071" s="42">
        <f t="shared" si="15"/>
        <v>695</v>
      </c>
      <c r="J1071" s="42">
        <f t="shared" si="15"/>
        <v>33.333333333333336</v>
      </c>
      <c r="K1071" s="40"/>
      <c r="L1071" s="40"/>
      <c r="M1071" s="40"/>
      <c r="N1071" s="40"/>
      <c r="O1071" s="40"/>
      <c r="P1071" s="40"/>
      <c r="Q1071" s="40"/>
      <c r="R1071" s="40"/>
      <c r="S1071" s="40"/>
      <c r="T1071" s="40"/>
    </row>
    <row r="1072" spans="1:20" ht="15">
      <c r="A1072" s="3">
        <v>2024</v>
      </c>
      <c r="B1072" s="3">
        <f t="shared" si="8"/>
        <v>366</v>
      </c>
      <c r="C1072" s="42">
        <f t="shared" ref="C1072:J1072" si="16">AVERAGE(C137:C148)</f>
        <v>154.75825</v>
      </c>
      <c r="D1072" s="42">
        <f t="shared" si="16"/>
        <v>281.0162499999999</v>
      </c>
      <c r="E1072" s="42">
        <f t="shared" si="16"/>
        <v>780.7254999999999</v>
      </c>
      <c r="F1072" s="42">
        <f t="shared" si="16"/>
        <v>1216.5</v>
      </c>
      <c r="G1072" s="42">
        <f t="shared" si="16"/>
        <v>79.166666666666671</v>
      </c>
      <c r="H1072" s="43">
        <f t="shared" si="16"/>
        <v>600</v>
      </c>
      <c r="I1072" s="42">
        <f t="shared" si="16"/>
        <v>695</v>
      </c>
      <c r="J1072" s="42">
        <f t="shared" si="16"/>
        <v>33.333333333333336</v>
      </c>
      <c r="K1072" s="40"/>
      <c r="L1072" s="40"/>
      <c r="M1072" s="40"/>
      <c r="N1072" s="40"/>
      <c r="O1072" s="40"/>
      <c r="P1072" s="40"/>
      <c r="Q1072" s="40"/>
      <c r="R1072" s="40"/>
      <c r="S1072" s="40"/>
      <c r="T1072" s="40"/>
    </row>
    <row r="1073" spans="1:20" ht="15">
      <c r="A1073" s="3">
        <v>2025</v>
      </c>
      <c r="B1073" s="3">
        <f t="shared" si="8"/>
        <v>365</v>
      </c>
      <c r="C1073" s="42">
        <f t="shared" ref="C1073:J1073" si="17">AVERAGE(C149:C160)</f>
        <v>154.75825</v>
      </c>
      <c r="D1073" s="42">
        <f t="shared" si="17"/>
        <v>281.0162499999999</v>
      </c>
      <c r="E1073" s="42">
        <f t="shared" si="17"/>
        <v>780.7254999999999</v>
      </c>
      <c r="F1073" s="42">
        <f t="shared" si="17"/>
        <v>1216.5</v>
      </c>
      <c r="G1073" s="42">
        <f t="shared" si="17"/>
        <v>79.166666666666671</v>
      </c>
      <c r="H1073" s="43">
        <f t="shared" si="17"/>
        <v>600</v>
      </c>
      <c r="I1073" s="42">
        <f t="shared" si="17"/>
        <v>695</v>
      </c>
      <c r="J1073" s="42">
        <f t="shared" si="17"/>
        <v>33.333333333333336</v>
      </c>
      <c r="K1073" s="40"/>
      <c r="L1073" s="40"/>
      <c r="M1073" s="40"/>
      <c r="N1073" s="40"/>
      <c r="O1073" s="40"/>
      <c r="P1073" s="40"/>
      <c r="Q1073" s="40"/>
      <c r="R1073" s="40"/>
      <c r="S1073" s="40"/>
      <c r="T1073" s="40"/>
    </row>
    <row r="1074" spans="1:20" ht="15">
      <c r="A1074" s="3">
        <v>2026</v>
      </c>
      <c r="B1074" s="3">
        <f t="shared" si="8"/>
        <v>365</v>
      </c>
      <c r="C1074" s="42">
        <f t="shared" ref="C1074:J1074" si="18">AVERAGE(C161:C172)</f>
        <v>154.75825</v>
      </c>
      <c r="D1074" s="42">
        <f t="shared" si="18"/>
        <v>281.0162499999999</v>
      </c>
      <c r="E1074" s="42">
        <f t="shared" si="18"/>
        <v>780.7254999999999</v>
      </c>
      <c r="F1074" s="42">
        <f t="shared" si="18"/>
        <v>1216.5</v>
      </c>
      <c r="G1074" s="42">
        <f t="shared" si="18"/>
        <v>79.166666666666671</v>
      </c>
      <c r="H1074" s="43">
        <f t="shared" si="18"/>
        <v>600</v>
      </c>
      <c r="I1074" s="42">
        <f t="shared" si="18"/>
        <v>695</v>
      </c>
      <c r="J1074" s="42">
        <f t="shared" si="18"/>
        <v>33.333333333333336</v>
      </c>
      <c r="K1074" s="40"/>
      <c r="L1074" s="40"/>
      <c r="M1074" s="40"/>
      <c r="N1074" s="40"/>
      <c r="O1074" s="40"/>
      <c r="P1074" s="40"/>
      <c r="Q1074" s="40"/>
      <c r="R1074" s="40"/>
      <c r="S1074" s="40"/>
      <c r="T1074" s="40"/>
    </row>
    <row r="1075" spans="1:20" ht="15">
      <c r="A1075" s="3">
        <v>2027</v>
      </c>
      <c r="B1075" s="3">
        <f t="shared" si="8"/>
        <v>365</v>
      </c>
      <c r="C1075" s="42">
        <f t="shared" ref="C1075:J1075" si="19">AVERAGE(C173:C184)</f>
        <v>154.75825</v>
      </c>
      <c r="D1075" s="42">
        <f t="shared" si="19"/>
        <v>281.0162499999999</v>
      </c>
      <c r="E1075" s="42">
        <f t="shared" si="19"/>
        <v>780.7254999999999</v>
      </c>
      <c r="F1075" s="42">
        <f t="shared" si="19"/>
        <v>1216.5</v>
      </c>
      <c r="G1075" s="42">
        <f t="shared" si="19"/>
        <v>79.166666666666671</v>
      </c>
      <c r="H1075" s="43">
        <f t="shared" si="19"/>
        <v>600</v>
      </c>
      <c r="I1075" s="42">
        <f t="shared" si="19"/>
        <v>695</v>
      </c>
      <c r="J1075" s="42">
        <f t="shared" si="19"/>
        <v>33.333333333333336</v>
      </c>
      <c r="K1075" s="40"/>
      <c r="L1075" s="40"/>
      <c r="M1075" s="40"/>
      <c r="N1075" s="40"/>
      <c r="O1075" s="40"/>
      <c r="P1075" s="40"/>
      <c r="Q1075" s="40"/>
      <c r="R1075" s="40"/>
      <c r="S1075" s="40"/>
      <c r="T1075" s="40"/>
    </row>
    <row r="1076" spans="1:20" ht="15">
      <c r="A1076" s="3">
        <v>2028</v>
      </c>
      <c r="B1076" s="3">
        <f t="shared" si="8"/>
        <v>366</v>
      </c>
      <c r="C1076" s="42">
        <f t="shared" ref="C1076:J1076" si="20">AVERAGE(C185:C196)</f>
        <v>154.75825</v>
      </c>
      <c r="D1076" s="42">
        <f t="shared" si="20"/>
        <v>281.0162499999999</v>
      </c>
      <c r="E1076" s="42">
        <f t="shared" si="20"/>
        <v>780.7254999999999</v>
      </c>
      <c r="F1076" s="42">
        <f t="shared" si="20"/>
        <v>1216.5</v>
      </c>
      <c r="G1076" s="42">
        <f t="shared" si="20"/>
        <v>79.166666666666671</v>
      </c>
      <c r="H1076" s="43">
        <f t="shared" si="20"/>
        <v>600</v>
      </c>
      <c r="I1076" s="42">
        <f t="shared" si="20"/>
        <v>695</v>
      </c>
      <c r="J1076" s="42">
        <f t="shared" si="20"/>
        <v>33.333333333333336</v>
      </c>
      <c r="K1076" s="40"/>
      <c r="L1076" s="40"/>
      <c r="M1076" s="40"/>
      <c r="N1076" s="40"/>
      <c r="O1076" s="40"/>
      <c r="P1076" s="40"/>
      <c r="Q1076" s="40"/>
      <c r="R1076" s="40"/>
      <c r="S1076" s="40"/>
      <c r="T1076" s="40"/>
    </row>
    <row r="1077" spans="1:20" ht="15">
      <c r="A1077" s="3">
        <v>2029</v>
      </c>
      <c r="B1077" s="3">
        <f t="shared" si="8"/>
        <v>365</v>
      </c>
      <c r="C1077" s="42">
        <f t="shared" ref="C1077:J1077" si="21">AVERAGE(C197:C208)</f>
        <v>154.75825</v>
      </c>
      <c r="D1077" s="42">
        <f t="shared" si="21"/>
        <v>281.0162499999999</v>
      </c>
      <c r="E1077" s="42">
        <f t="shared" si="21"/>
        <v>780.7254999999999</v>
      </c>
      <c r="F1077" s="42">
        <f t="shared" si="21"/>
        <v>1216.5</v>
      </c>
      <c r="G1077" s="42">
        <f t="shared" si="21"/>
        <v>79.166666666666671</v>
      </c>
      <c r="H1077" s="43">
        <f t="shared" si="21"/>
        <v>600</v>
      </c>
      <c r="I1077" s="42">
        <f t="shared" si="21"/>
        <v>695</v>
      </c>
      <c r="J1077" s="42">
        <f t="shared" si="21"/>
        <v>33.333333333333336</v>
      </c>
      <c r="K1077" s="40"/>
      <c r="L1077" s="40"/>
      <c r="M1077" s="40"/>
      <c r="N1077" s="40"/>
      <c r="O1077" s="40"/>
      <c r="P1077" s="40"/>
      <c r="Q1077" s="40"/>
      <c r="R1077" s="40"/>
      <c r="S1077" s="40"/>
      <c r="T1077" s="40"/>
    </row>
    <row r="1078" spans="1:20" ht="15">
      <c r="A1078" s="3">
        <v>2030</v>
      </c>
      <c r="B1078" s="3">
        <f t="shared" si="8"/>
        <v>365</v>
      </c>
      <c r="C1078" s="42">
        <f t="shared" ref="C1078:J1078" si="22">AVERAGE(C209:C220)</f>
        <v>154.75825</v>
      </c>
      <c r="D1078" s="42">
        <f t="shared" si="22"/>
        <v>281.0162499999999</v>
      </c>
      <c r="E1078" s="42">
        <f t="shared" si="22"/>
        <v>780.7254999999999</v>
      </c>
      <c r="F1078" s="42">
        <f t="shared" si="22"/>
        <v>1216.5</v>
      </c>
      <c r="G1078" s="42">
        <f t="shared" si="22"/>
        <v>79.166666666666671</v>
      </c>
      <c r="H1078" s="43">
        <f t="shared" si="22"/>
        <v>600</v>
      </c>
      <c r="I1078" s="42">
        <f t="shared" si="22"/>
        <v>695</v>
      </c>
      <c r="J1078" s="42">
        <f t="shared" si="22"/>
        <v>33.333333333333336</v>
      </c>
      <c r="K1078" s="40"/>
      <c r="L1078" s="40"/>
      <c r="M1078" s="40"/>
      <c r="N1078" s="40"/>
      <c r="O1078" s="40"/>
      <c r="P1078" s="40"/>
      <c r="Q1078" s="40"/>
      <c r="R1078" s="40"/>
      <c r="S1078" s="40"/>
      <c r="T1078" s="40"/>
    </row>
    <row r="1079" spans="1:20" ht="15">
      <c r="A1079" s="3">
        <v>2031</v>
      </c>
      <c r="B1079" s="3">
        <f t="shared" si="8"/>
        <v>365</v>
      </c>
      <c r="C1079" s="42">
        <f t="shared" ref="C1079:J1079" si="23">AVERAGE(C221:C232)</f>
        <v>154.75825</v>
      </c>
      <c r="D1079" s="42">
        <f t="shared" si="23"/>
        <v>281.0162499999999</v>
      </c>
      <c r="E1079" s="42">
        <f t="shared" si="23"/>
        <v>780.7254999999999</v>
      </c>
      <c r="F1079" s="42">
        <f t="shared" si="23"/>
        <v>1216.5</v>
      </c>
      <c r="G1079" s="42">
        <f t="shared" si="23"/>
        <v>79.166666666666671</v>
      </c>
      <c r="H1079" s="43">
        <f t="shared" si="23"/>
        <v>600</v>
      </c>
      <c r="I1079" s="42">
        <f t="shared" si="23"/>
        <v>695</v>
      </c>
      <c r="J1079" s="42">
        <f t="shared" si="23"/>
        <v>33.333333333333336</v>
      </c>
      <c r="K1079" s="40"/>
      <c r="L1079" s="40"/>
      <c r="M1079" s="40"/>
      <c r="N1079" s="40"/>
      <c r="O1079" s="40"/>
      <c r="P1079" s="40"/>
      <c r="Q1079" s="40"/>
      <c r="R1079" s="40"/>
      <c r="S1079" s="40"/>
      <c r="T1079" s="40"/>
    </row>
    <row r="1080" spans="1:20" ht="15">
      <c r="A1080" s="3">
        <v>2032</v>
      </c>
      <c r="B1080" s="3">
        <f t="shared" si="8"/>
        <v>366</v>
      </c>
      <c r="C1080" s="42">
        <f t="shared" ref="C1080:J1080" si="24">AVERAGE(C233:C244)</f>
        <v>154.75825</v>
      </c>
      <c r="D1080" s="42">
        <f t="shared" si="24"/>
        <v>281.0162499999999</v>
      </c>
      <c r="E1080" s="42">
        <f t="shared" si="24"/>
        <v>780.7254999999999</v>
      </c>
      <c r="F1080" s="42">
        <f t="shared" si="24"/>
        <v>1216.5</v>
      </c>
      <c r="G1080" s="42">
        <f t="shared" si="24"/>
        <v>79.166666666666671</v>
      </c>
      <c r="H1080" s="43">
        <f t="shared" si="24"/>
        <v>600</v>
      </c>
      <c r="I1080" s="42">
        <f t="shared" si="24"/>
        <v>695</v>
      </c>
      <c r="J1080" s="42">
        <f t="shared" si="24"/>
        <v>33.333333333333336</v>
      </c>
      <c r="K1080" s="40"/>
      <c r="L1080" s="40"/>
      <c r="M1080" s="40"/>
      <c r="N1080" s="40"/>
      <c r="O1080" s="40"/>
      <c r="P1080" s="40"/>
      <c r="Q1080" s="40"/>
      <c r="R1080" s="40"/>
      <c r="S1080" s="40"/>
      <c r="T1080" s="40"/>
    </row>
    <row r="1081" spans="1:20" ht="15">
      <c r="A1081" s="3">
        <v>2033</v>
      </c>
      <c r="B1081" s="3">
        <f t="shared" si="8"/>
        <v>365</v>
      </c>
      <c r="C1081" s="42">
        <f t="shared" ref="C1081:J1081" si="25">AVERAGE(C245:C256)</f>
        <v>154.75825</v>
      </c>
      <c r="D1081" s="42">
        <f t="shared" si="25"/>
        <v>281.0162499999999</v>
      </c>
      <c r="E1081" s="42">
        <f t="shared" si="25"/>
        <v>780.7254999999999</v>
      </c>
      <c r="F1081" s="42">
        <f t="shared" si="25"/>
        <v>1216.5</v>
      </c>
      <c r="G1081" s="42">
        <f t="shared" si="25"/>
        <v>79.166666666666671</v>
      </c>
      <c r="H1081" s="43">
        <f t="shared" si="25"/>
        <v>600</v>
      </c>
      <c r="I1081" s="42">
        <f t="shared" si="25"/>
        <v>695</v>
      </c>
      <c r="J1081" s="42">
        <f t="shared" si="25"/>
        <v>33.333333333333336</v>
      </c>
      <c r="K1081" s="40"/>
      <c r="L1081" s="40"/>
      <c r="M1081" s="40"/>
      <c r="N1081" s="40"/>
      <c r="O1081" s="40"/>
      <c r="P1081" s="40"/>
      <c r="Q1081" s="40"/>
      <c r="R1081" s="40"/>
      <c r="S1081" s="40"/>
      <c r="T1081" s="40"/>
    </row>
    <row r="1082" spans="1:20" ht="15">
      <c r="A1082" s="3">
        <v>2034</v>
      </c>
      <c r="B1082" s="3">
        <f t="shared" si="8"/>
        <v>365</v>
      </c>
      <c r="C1082" s="42">
        <f t="shared" ref="C1082:J1082" si="26">AVERAGE(C257:C268)</f>
        <v>154.75825</v>
      </c>
      <c r="D1082" s="42">
        <f t="shared" si="26"/>
        <v>281.0162499999999</v>
      </c>
      <c r="E1082" s="42">
        <f t="shared" si="26"/>
        <v>780.7254999999999</v>
      </c>
      <c r="F1082" s="42">
        <f t="shared" si="26"/>
        <v>1216.5</v>
      </c>
      <c r="G1082" s="42">
        <f t="shared" si="26"/>
        <v>79.166666666666671</v>
      </c>
      <c r="H1082" s="43">
        <f t="shared" si="26"/>
        <v>600</v>
      </c>
      <c r="I1082" s="42">
        <f t="shared" si="26"/>
        <v>695</v>
      </c>
      <c r="J1082" s="42">
        <f t="shared" si="26"/>
        <v>33.333333333333336</v>
      </c>
      <c r="K1082" s="40"/>
      <c r="L1082" s="40"/>
      <c r="M1082" s="40"/>
      <c r="N1082" s="40"/>
      <c r="O1082" s="40"/>
      <c r="P1082" s="40"/>
      <c r="Q1082" s="40"/>
      <c r="R1082" s="40"/>
      <c r="S1082" s="40"/>
      <c r="T1082" s="40"/>
    </row>
    <row r="1083" spans="1:20" ht="15">
      <c r="A1083" s="3">
        <v>2035</v>
      </c>
      <c r="B1083" s="3">
        <f t="shared" si="8"/>
        <v>365</v>
      </c>
      <c r="C1083" s="42">
        <f t="shared" ref="C1083:J1083" si="27">AVERAGE(C269:C280)</f>
        <v>154.75825</v>
      </c>
      <c r="D1083" s="42">
        <f t="shared" si="27"/>
        <v>281.0162499999999</v>
      </c>
      <c r="E1083" s="42">
        <f t="shared" si="27"/>
        <v>780.7254999999999</v>
      </c>
      <c r="F1083" s="42">
        <f t="shared" si="27"/>
        <v>1216.5</v>
      </c>
      <c r="G1083" s="42">
        <f t="shared" si="27"/>
        <v>79.166666666666671</v>
      </c>
      <c r="H1083" s="43">
        <f t="shared" si="27"/>
        <v>600</v>
      </c>
      <c r="I1083" s="42">
        <f t="shared" si="27"/>
        <v>695</v>
      </c>
      <c r="J1083" s="42">
        <f t="shared" si="27"/>
        <v>33.333333333333336</v>
      </c>
      <c r="K1083" s="40"/>
      <c r="L1083" s="40"/>
      <c r="M1083" s="40"/>
      <c r="N1083" s="40"/>
      <c r="O1083" s="40"/>
      <c r="P1083" s="40"/>
      <c r="Q1083" s="40"/>
      <c r="R1083" s="40"/>
      <c r="S1083" s="40"/>
      <c r="T1083" s="40"/>
    </row>
    <row r="1084" spans="1:20" ht="15">
      <c r="A1084" s="3">
        <v>2036</v>
      </c>
      <c r="B1084" s="3">
        <f t="shared" si="8"/>
        <v>366</v>
      </c>
      <c r="C1084" s="42">
        <f t="shared" ref="C1084:J1084" si="28">AVERAGE(C281:C292)</f>
        <v>154.75825</v>
      </c>
      <c r="D1084" s="42">
        <f t="shared" si="28"/>
        <v>281.0162499999999</v>
      </c>
      <c r="E1084" s="42">
        <f t="shared" si="28"/>
        <v>780.7254999999999</v>
      </c>
      <c r="F1084" s="42">
        <f t="shared" si="28"/>
        <v>1216.5</v>
      </c>
      <c r="G1084" s="42">
        <f t="shared" si="28"/>
        <v>79.166666666666671</v>
      </c>
      <c r="H1084" s="43">
        <f t="shared" si="28"/>
        <v>600</v>
      </c>
      <c r="I1084" s="42">
        <f t="shared" si="28"/>
        <v>695</v>
      </c>
      <c r="J1084" s="42">
        <f t="shared" si="28"/>
        <v>33.333333333333336</v>
      </c>
      <c r="K1084" s="40"/>
      <c r="L1084" s="40"/>
      <c r="M1084" s="40"/>
      <c r="N1084" s="40"/>
      <c r="O1084" s="40"/>
      <c r="P1084" s="40"/>
      <c r="Q1084" s="40"/>
      <c r="R1084" s="40"/>
      <c r="S1084" s="40"/>
      <c r="T1084" s="40"/>
    </row>
    <row r="1085" spans="1:20" ht="15">
      <c r="A1085" s="3">
        <v>2037</v>
      </c>
      <c r="B1085" s="3">
        <f t="shared" si="8"/>
        <v>365</v>
      </c>
      <c r="C1085" s="42">
        <f t="shared" ref="C1085:J1085" si="29">AVERAGE(C293:C304)</f>
        <v>154.75825</v>
      </c>
      <c r="D1085" s="42">
        <f t="shared" si="29"/>
        <v>281.0162499999999</v>
      </c>
      <c r="E1085" s="42">
        <f t="shared" si="29"/>
        <v>780.7254999999999</v>
      </c>
      <c r="F1085" s="42">
        <f t="shared" si="29"/>
        <v>1216.5</v>
      </c>
      <c r="G1085" s="42">
        <f t="shared" si="29"/>
        <v>79.166666666666671</v>
      </c>
      <c r="H1085" s="43">
        <f t="shared" si="29"/>
        <v>600</v>
      </c>
      <c r="I1085" s="42">
        <f t="shared" si="29"/>
        <v>695</v>
      </c>
      <c r="J1085" s="42">
        <f t="shared" si="29"/>
        <v>33.333333333333336</v>
      </c>
      <c r="K1085" s="40"/>
      <c r="L1085" s="40"/>
      <c r="M1085" s="40"/>
      <c r="N1085" s="40"/>
      <c r="O1085" s="40"/>
      <c r="P1085" s="40"/>
      <c r="Q1085" s="40"/>
      <c r="R1085" s="40"/>
      <c r="S1085" s="40"/>
      <c r="T1085" s="40"/>
    </row>
    <row r="1086" spans="1:20" ht="15">
      <c r="A1086" s="3">
        <f t="shared" ref="A1086:A1117" si="30">A1085+1</f>
        <v>2038</v>
      </c>
      <c r="B1086" s="3">
        <f t="shared" si="8"/>
        <v>365</v>
      </c>
      <c r="C1086" s="39">
        <f t="shared" ref="C1086:J1086" si="31">AVERAGE(C305:C316)</f>
        <v>154.75825</v>
      </c>
      <c r="D1086" s="39">
        <f t="shared" si="31"/>
        <v>281.0162499999999</v>
      </c>
      <c r="E1086" s="39">
        <f t="shared" si="31"/>
        <v>780.7254999999999</v>
      </c>
      <c r="F1086" s="39">
        <f t="shared" si="31"/>
        <v>1216.5</v>
      </c>
      <c r="G1086" s="39">
        <f t="shared" si="31"/>
        <v>79.166666666666671</v>
      </c>
      <c r="H1086" s="41">
        <f t="shared" si="31"/>
        <v>600</v>
      </c>
      <c r="I1086" s="39">
        <f t="shared" si="31"/>
        <v>695</v>
      </c>
      <c r="J1086" s="39">
        <f t="shared" si="31"/>
        <v>33.333333333333336</v>
      </c>
      <c r="K1086" s="40"/>
      <c r="L1086" s="40"/>
      <c r="M1086" s="40"/>
      <c r="N1086" s="40"/>
      <c r="O1086" s="40"/>
      <c r="P1086" s="40"/>
      <c r="Q1086" s="40"/>
      <c r="R1086" s="40"/>
      <c r="S1086" s="40"/>
      <c r="T1086" s="40"/>
    </row>
    <row r="1087" spans="1:20" ht="15">
      <c r="A1087" s="3">
        <f t="shared" si="30"/>
        <v>2039</v>
      </c>
      <c r="B1087" s="3">
        <f t="shared" si="8"/>
        <v>365</v>
      </c>
      <c r="C1087" s="39">
        <f t="shared" ref="C1087:J1087" si="32">AVERAGE(C317:C328)</f>
        <v>154.75825</v>
      </c>
      <c r="D1087" s="39">
        <f t="shared" si="32"/>
        <v>281.0162499999999</v>
      </c>
      <c r="E1087" s="39">
        <f t="shared" si="32"/>
        <v>780.7254999999999</v>
      </c>
      <c r="F1087" s="39">
        <f t="shared" si="32"/>
        <v>1216.5</v>
      </c>
      <c r="G1087" s="39">
        <f t="shared" si="32"/>
        <v>79.166666666666671</v>
      </c>
      <c r="H1087" s="41">
        <f t="shared" si="32"/>
        <v>600</v>
      </c>
      <c r="I1087" s="39">
        <f t="shared" si="32"/>
        <v>695</v>
      </c>
      <c r="J1087" s="39">
        <f t="shared" si="32"/>
        <v>33.333333333333336</v>
      </c>
      <c r="K1087" s="40"/>
      <c r="L1087" s="40"/>
      <c r="M1087" s="40"/>
      <c r="N1087" s="40"/>
      <c r="O1087" s="40"/>
      <c r="P1087" s="40"/>
      <c r="Q1087" s="40"/>
      <c r="R1087" s="40"/>
      <c r="S1087" s="40"/>
      <c r="T1087" s="40"/>
    </row>
    <row r="1088" spans="1:20" ht="15">
      <c r="A1088" s="3">
        <f t="shared" si="30"/>
        <v>2040</v>
      </c>
      <c r="B1088" s="3">
        <f t="shared" si="8"/>
        <v>366</v>
      </c>
      <c r="C1088" s="39">
        <f t="shared" ref="C1088:J1088" si="33">AVERAGE(C329:C340)</f>
        <v>154.75825</v>
      </c>
      <c r="D1088" s="39">
        <f t="shared" si="33"/>
        <v>281.0162499999999</v>
      </c>
      <c r="E1088" s="39">
        <f t="shared" si="33"/>
        <v>780.7254999999999</v>
      </c>
      <c r="F1088" s="39">
        <f t="shared" si="33"/>
        <v>1216.5</v>
      </c>
      <c r="G1088" s="39">
        <f t="shared" si="33"/>
        <v>79.166666666666671</v>
      </c>
      <c r="H1088" s="41">
        <f t="shared" si="33"/>
        <v>600</v>
      </c>
      <c r="I1088" s="39">
        <f t="shared" si="33"/>
        <v>695</v>
      </c>
      <c r="J1088" s="39">
        <f t="shared" si="33"/>
        <v>33.333333333333336</v>
      </c>
      <c r="K1088" s="40"/>
      <c r="L1088" s="40"/>
      <c r="M1088" s="40"/>
      <c r="N1088" s="40"/>
      <c r="O1088" s="40"/>
      <c r="P1088" s="40"/>
      <c r="Q1088" s="40"/>
      <c r="R1088" s="40"/>
      <c r="S1088" s="40"/>
      <c r="T1088" s="40"/>
    </row>
    <row r="1089" spans="1:20" ht="15">
      <c r="A1089" s="3">
        <f t="shared" si="30"/>
        <v>2041</v>
      </c>
      <c r="B1089" s="3">
        <f t="shared" si="8"/>
        <v>365</v>
      </c>
      <c r="C1089" s="39">
        <f t="shared" ref="C1089:J1089" si="34">AVERAGE(C341:C352)</f>
        <v>154.75825</v>
      </c>
      <c r="D1089" s="39">
        <f t="shared" si="34"/>
        <v>281.0162499999999</v>
      </c>
      <c r="E1089" s="39">
        <f t="shared" si="34"/>
        <v>780.7254999999999</v>
      </c>
      <c r="F1089" s="39">
        <f t="shared" si="34"/>
        <v>1216.5</v>
      </c>
      <c r="G1089" s="39">
        <f t="shared" si="34"/>
        <v>79.166666666666671</v>
      </c>
      <c r="H1089" s="41">
        <f t="shared" si="34"/>
        <v>600</v>
      </c>
      <c r="I1089" s="39">
        <f t="shared" si="34"/>
        <v>695</v>
      </c>
      <c r="J1089" s="39">
        <f t="shared" si="34"/>
        <v>33.333333333333336</v>
      </c>
      <c r="K1089" s="40"/>
      <c r="L1089" s="40"/>
      <c r="M1089" s="40"/>
      <c r="N1089" s="40"/>
      <c r="O1089" s="40"/>
      <c r="P1089" s="40"/>
      <c r="Q1089" s="40"/>
      <c r="R1089" s="40"/>
      <c r="S1089" s="40"/>
      <c r="T1089" s="40"/>
    </row>
    <row r="1090" spans="1:20" ht="15">
      <c r="A1090" s="3">
        <f t="shared" si="30"/>
        <v>2042</v>
      </c>
      <c r="B1090" s="3">
        <f t="shared" si="8"/>
        <v>365</v>
      </c>
      <c r="C1090" s="39">
        <f t="shared" ref="C1090:J1090" si="35">AVERAGE(C353:C364)</f>
        <v>154.75825</v>
      </c>
      <c r="D1090" s="39">
        <f t="shared" si="35"/>
        <v>281.0162499999999</v>
      </c>
      <c r="E1090" s="39">
        <f t="shared" si="35"/>
        <v>780.7254999999999</v>
      </c>
      <c r="F1090" s="39">
        <f t="shared" si="35"/>
        <v>1216.5</v>
      </c>
      <c r="G1090" s="39">
        <f t="shared" si="35"/>
        <v>79.166666666666671</v>
      </c>
      <c r="H1090" s="41">
        <f t="shared" si="35"/>
        <v>600</v>
      </c>
      <c r="I1090" s="39">
        <f t="shared" si="35"/>
        <v>695</v>
      </c>
      <c r="J1090" s="39">
        <f t="shared" si="35"/>
        <v>33.333333333333336</v>
      </c>
      <c r="K1090" s="40"/>
      <c r="L1090" s="40"/>
      <c r="M1090" s="40"/>
      <c r="N1090" s="40"/>
      <c r="O1090" s="40"/>
      <c r="P1090" s="40"/>
      <c r="Q1090" s="40"/>
      <c r="R1090" s="40"/>
      <c r="S1090" s="40"/>
      <c r="T1090" s="40"/>
    </row>
    <row r="1091" spans="1:20" ht="15">
      <c r="A1091" s="3">
        <f t="shared" si="30"/>
        <v>2043</v>
      </c>
      <c r="B1091" s="3">
        <f t="shared" si="8"/>
        <v>365</v>
      </c>
      <c r="C1091" s="39">
        <f t="shared" ref="C1091:J1091" si="36">AVERAGE(C365:C376)</f>
        <v>154.75825</v>
      </c>
      <c r="D1091" s="39">
        <f t="shared" si="36"/>
        <v>281.0162499999999</v>
      </c>
      <c r="E1091" s="39">
        <f t="shared" si="36"/>
        <v>780.7254999999999</v>
      </c>
      <c r="F1091" s="39">
        <f t="shared" si="36"/>
        <v>1216.5</v>
      </c>
      <c r="G1091" s="39">
        <f t="shared" si="36"/>
        <v>79.166666666666671</v>
      </c>
      <c r="H1091" s="41">
        <f t="shared" si="36"/>
        <v>600</v>
      </c>
      <c r="I1091" s="39">
        <f t="shared" si="36"/>
        <v>695</v>
      </c>
      <c r="J1091" s="39">
        <f t="shared" si="36"/>
        <v>33.333333333333336</v>
      </c>
      <c r="K1091" s="40"/>
      <c r="L1091" s="40"/>
      <c r="M1091" s="40"/>
      <c r="N1091" s="40"/>
      <c r="O1091" s="40"/>
      <c r="P1091" s="40"/>
      <c r="Q1091" s="40"/>
      <c r="R1091" s="40"/>
      <c r="S1091" s="40"/>
      <c r="T1091" s="40"/>
    </row>
    <row r="1092" spans="1:20" ht="15">
      <c r="A1092" s="3">
        <f t="shared" si="30"/>
        <v>2044</v>
      </c>
      <c r="B1092" s="3">
        <f t="shared" si="8"/>
        <v>366</v>
      </c>
      <c r="C1092" s="39">
        <f t="shared" ref="C1092:J1092" si="37">AVERAGE(C377:C388)</f>
        <v>154.75825</v>
      </c>
      <c r="D1092" s="39">
        <f t="shared" si="37"/>
        <v>281.0162499999999</v>
      </c>
      <c r="E1092" s="39">
        <f t="shared" si="37"/>
        <v>780.7254999999999</v>
      </c>
      <c r="F1092" s="39">
        <f t="shared" si="37"/>
        <v>1216.5</v>
      </c>
      <c r="G1092" s="39">
        <f t="shared" si="37"/>
        <v>79.166666666666671</v>
      </c>
      <c r="H1092" s="41">
        <f t="shared" si="37"/>
        <v>600</v>
      </c>
      <c r="I1092" s="39">
        <f t="shared" si="37"/>
        <v>695</v>
      </c>
      <c r="J1092" s="39">
        <f t="shared" si="37"/>
        <v>33.333333333333336</v>
      </c>
      <c r="K1092" s="40"/>
      <c r="L1092" s="40"/>
      <c r="M1092" s="40"/>
      <c r="N1092" s="40"/>
      <c r="O1092" s="40"/>
      <c r="P1092" s="40"/>
      <c r="Q1092" s="40"/>
      <c r="R1092" s="40"/>
      <c r="S1092" s="40"/>
      <c r="T1092" s="40"/>
    </row>
    <row r="1093" spans="1:20" ht="15">
      <c r="A1093" s="3">
        <f t="shared" si="30"/>
        <v>2045</v>
      </c>
      <c r="B1093" s="3">
        <f t="shared" si="8"/>
        <v>365</v>
      </c>
      <c r="C1093" s="39">
        <f t="shared" ref="C1093:J1093" si="38">AVERAGE(C389:C400)</f>
        <v>154.75825</v>
      </c>
      <c r="D1093" s="39">
        <f t="shared" si="38"/>
        <v>281.0162499999999</v>
      </c>
      <c r="E1093" s="39">
        <f t="shared" si="38"/>
        <v>780.7254999999999</v>
      </c>
      <c r="F1093" s="39">
        <f t="shared" si="38"/>
        <v>1216.5</v>
      </c>
      <c r="G1093" s="39">
        <f t="shared" si="38"/>
        <v>79.166666666666671</v>
      </c>
      <c r="H1093" s="41">
        <f t="shared" si="38"/>
        <v>600</v>
      </c>
      <c r="I1093" s="39">
        <f t="shared" si="38"/>
        <v>695</v>
      </c>
      <c r="J1093" s="39">
        <f t="shared" si="38"/>
        <v>33.333333333333336</v>
      </c>
      <c r="K1093" s="40"/>
      <c r="L1093" s="40"/>
      <c r="M1093" s="40"/>
      <c r="N1093" s="40"/>
      <c r="O1093" s="40"/>
      <c r="P1093" s="40"/>
      <c r="Q1093" s="40"/>
      <c r="R1093" s="40"/>
      <c r="S1093" s="40"/>
      <c r="T1093" s="40"/>
    </row>
    <row r="1094" spans="1:20" ht="15">
      <c r="A1094" s="3">
        <f t="shared" si="30"/>
        <v>2046</v>
      </c>
      <c r="B1094" s="3">
        <f t="shared" ref="B1094:B1125" si="39">DATE(A1094+1,1,1)-DATE(A1094,1,1)</f>
        <v>365</v>
      </c>
      <c r="C1094" s="39">
        <f t="shared" ref="C1094:J1094" si="40">AVERAGE(C401:C412)</f>
        <v>154.75825</v>
      </c>
      <c r="D1094" s="39">
        <f t="shared" si="40"/>
        <v>281.0162499999999</v>
      </c>
      <c r="E1094" s="39">
        <f t="shared" si="40"/>
        <v>780.7254999999999</v>
      </c>
      <c r="F1094" s="39">
        <f t="shared" si="40"/>
        <v>1216.5</v>
      </c>
      <c r="G1094" s="39">
        <f t="shared" si="40"/>
        <v>79.166666666666671</v>
      </c>
      <c r="H1094" s="41">
        <f t="shared" si="40"/>
        <v>600</v>
      </c>
      <c r="I1094" s="39">
        <f t="shared" si="40"/>
        <v>695</v>
      </c>
      <c r="J1094" s="39">
        <f t="shared" si="40"/>
        <v>33.333333333333336</v>
      </c>
      <c r="K1094" s="40"/>
      <c r="L1094" s="40"/>
      <c r="M1094" s="40"/>
      <c r="N1094" s="40"/>
      <c r="O1094" s="40"/>
      <c r="P1094" s="40"/>
      <c r="Q1094" s="40"/>
      <c r="R1094" s="40"/>
      <c r="S1094" s="40"/>
      <c r="T1094" s="40"/>
    </row>
    <row r="1095" spans="1:20" ht="15">
      <c r="A1095" s="3">
        <f t="shared" si="30"/>
        <v>2047</v>
      </c>
      <c r="B1095" s="3">
        <f t="shared" si="39"/>
        <v>365</v>
      </c>
      <c r="C1095" s="39">
        <f t="shared" ref="C1095:J1095" si="41">AVERAGE(C413:C424)</f>
        <v>154.75825</v>
      </c>
      <c r="D1095" s="39">
        <f t="shared" si="41"/>
        <v>281.0162499999999</v>
      </c>
      <c r="E1095" s="39">
        <f t="shared" si="41"/>
        <v>780.7254999999999</v>
      </c>
      <c r="F1095" s="39">
        <f t="shared" si="41"/>
        <v>1216.5</v>
      </c>
      <c r="G1095" s="39">
        <f t="shared" si="41"/>
        <v>79.166666666666671</v>
      </c>
      <c r="H1095" s="41">
        <f t="shared" si="41"/>
        <v>600</v>
      </c>
      <c r="I1095" s="39">
        <f t="shared" si="41"/>
        <v>695</v>
      </c>
      <c r="J1095" s="39">
        <f t="shared" si="41"/>
        <v>33.333333333333336</v>
      </c>
      <c r="K1095" s="40"/>
      <c r="L1095" s="40"/>
      <c r="M1095" s="40"/>
      <c r="N1095" s="40"/>
      <c r="O1095" s="40"/>
      <c r="P1095" s="40"/>
      <c r="Q1095" s="40"/>
      <c r="R1095" s="40"/>
      <c r="S1095" s="40"/>
      <c r="T1095" s="40"/>
    </row>
    <row r="1096" spans="1:20" ht="15">
      <c r="A1096" s="3">
        <f t="shared" si="30"/>
        <v>2048</v>
      </c>
      <c r="B1096" s="3">
        <f t="shared" si="39"/>
        <v>366</v>
      </c>
      <c r="C1096" s="39">
        <f t="shared" ref="C1096:J1096" si="42">AVERAGE(C425:C436)</f>
        <v>154.75825</v>
      </c>
      <c r="D1096" s="39">
        <f t="shared" si="42"/>
        <v>281.0162499999999</v>
      </c>
      <c r="E1096" s="39">
        <f t="shared" si="42"/>
        <v>780.7254999999999</v>
      </c>
      <c r="F1096" s="39">
        <f t="shared" si="42"/>
        <v>1216.5</v>
      </c>
      <c r="G1096" s="39">
        <f t="shared" si="42"/>
        <v>79.166666666666671</v>
      </c>
      <c r="H1096" s="41">
        <f t="shared" si="42"/>
        <v>600</v>
      </c>
      <c r="I1096" s="39">
        <f t="shared" si="42"/>
        <v>695</v>
      </c>
      <c r="J1096" s="39">
        <f t="shared" si="42"/>
        <v>33.333333333333336</v>
      </c>
      <c r="K1096" s="40"/>
      <c r="L1096" s="40"/>
      <c r="M1096" s="40"/>
      <c r="N1096" s="40"/>
      <c r="O1096" s="40"/>
      <c r="P1096" s="40"/>
      <c r="Q1096" s="40"/>
      <c r="R1096" s="40"/>
      <c r="S1096" s="40"/>
      <c r="T1096" s="40"/>
    </row>
    <row r="1097" spans="1:20" ht="15">
      <c r="A1097" s="3">
        <f t="shared" si="30"/>
        <v>2049</v>
      </c>
      <c r="B1097" s="3">
        <f t="shared" si="39"/>
        <v>365</v>
      </c>
      <c r="C1097" s="39">
        <f t="shared" ref="C1097:J1097" si="43">AVERAGE(C437:C448)</f>
        <v>154.75825</v>
      </c>
      <c r="D1097" s="39">
        <f t="shared" si="43"/>
        <v>281.0162499999999</v>
      </c>
      <c r="E1097" s="39">
        <f t="shared" si="43"/>
        <v>780.7254999999999</v>
      </c>
      <c r="F1097" s="39">
        <f t="shared" si="43"/>
        <v>1216.5</v>
      </c>
      <c r="G1097" s="39">
        <f t="shared" si="43"/>
        <v>79.166666666666671</v>
      </c>
      <c r="H1097" s="41">
        <f t="shared" si="43"/>
        <v>600</v>
      </c>
      <c r="I1097" s="39">
        <f t="shared" si="43"/>
        <v>695</v>
      </c>
      <c r="J1097" s="39">
        <f t="shared" si="43"/>
        <v>33.333333333333336</v>
      </c>
      <c r="K1097" s="40"/>
      <c r="L1097" s="40"/>
      <c r="M1097" s="40"/>
      <c r="N1097" s="40"/>
      <c r="O1097" s="40"/>
      <c r="P1097" s="40"/>
      <c r="Q1097" s="40"/>
      <c r="R1097" s="40"/>
      <c r="S1097" s="40"/>
      <c r="T1097" s="40"/>
    </row>
    <row r="1098" spans="1:20" ht="15">
      <c r="A1098" s="3">
        <f t="shared" si="30"/>
        <v>2050</v>
      </c>
      <c r="B1098" s="3">
        <f t="shared" si="39"/>
        <v>365</v>
      </c>
      <c r="C1098" s="39">
        <f t="shared" ref="C1098:J1098" si="44">AVERAGE(C449:C460)</f>
        <v>154.75825</v>
      </c>
      <c r="D1098" s="39">
        <f t="shared" si="44"/>
        <v>281.0162499999999</v>
      </c>
      <c r="E1098" s="39">
        <f t="shared" si="44"/>
        <v>780.7254999999999</v>
      </c>
      <c r="F1098" s="39">
        <f t="shared" si="44"/>
        <v>1216.5</v>
      </c>
      <c r="G1098" s="39">
        <f t="shared" si="44"/>
        <v>79.166666666666671</v>
      </c>
      <c r="H1098" s="41">
        <f t="shared" si="44"/>
        <v>600</v>
      </c>
      <c r="I1098" s="39">
        <f t="shared" si="44"/>
        <v>695</v>
      </c>
      <c r="J1098" s="39">
        <f t="shared" si="44"/>
        <v>33.333333333333336</v>
      </c>
      <c r="K1098" s="40"/>
      <c r="L1098" s="40"/>
      <c r="M1098" s="40"/>
      <c r="N1098" s="40"/>
      <c r="O1098" s="40"/>
      <c r="P1098" s="40"/>
      <c r="Q1098" s="40"/>
      <c r="R1098" s="40"/>
      <c r="S1098" s="40"/>
      <c r="T1098" s="40"/>
    </row>
    <row r="1099" spans="1:20" ht="15">
      <c r="A1099" s="3">
        <f t="shared" si="30"/>
        <v>2051</v>
      </c>
      <c r="B1099" s="3">
        <f t="shared" si="39"/>
        <v>365</v>
      </c>
      <c r="C1099" s="39">
        <f t="shared" ref="C1099:J1099" si="45">AVERAGE(C461:C472)</f>
        <v>154.75825</v>
      </c>
      <c r="D1099" s="39">
        <f t="shared" si="45"/>
        <v>281.0162499999999</v>
      </c>
      <c r="E1099" s="39">
        <f t="shared" si="45"/>
        <v>780.7254999999999</v>
      </c>
      <c r="F1099" s="39">
        <f t="shared" si="45"/>
        <v>1216.5</v>
      </c>
      <c r="G1099" s="39">
        <f t="shared" si="45"/>
        <v>79.166666666666671</v>
      </c>
      <c r="H1099" s="41">
        <f t="shared" si="45"/>
        <v>600</v>
      </c>
      <c r="I1099" s="39">
        <f t="shared" si="45"/>
        <v>695</v>
      </c>
      <c r="J1099" s="39">
        <f t="shared" si="45"/>
        <v>33.333333333333336</v>
      </c>
      <c r="K1099" s="40"/>
      <c r="L1099" s="40"/>
      <c r="M1099" s="40"/>
      <c r="N1099" s="40"/>
      <c r="O1099" s="40"/>
      <c r="P1099" s="40"/>
      <c r="Q1099" s="40"/>
      <c r="R1099" s="40"/>
      <c r="S1099" s="40"/>
      <c r="T1099" s="40"/>
    </row>
    <row r="1100" spans="1:20" ht="15">
      <c r="A1100" s="3">
        <f t="shared" si="30"/>
        <v>2052</v>
      </c>
      <c r="B1100" s="3">
        <f t="shared" si="39"/>
        <v>366</v>
      </c>
      <c r="C1100" s="39">
        <f t="shared" ref="C1100:J1100" si="46">AVERAGE(C473:C484)</f>
        <v>154.75825</v>
      </c>
      <c r="D1100" s="39">
        <f t="shared" si="46"/>
        <v>281.0162499999999</v>
      </c>
      <c r="E1100" s="39">
        <f t="shared" si="46"/>
        <v>780.7254999999999</v>
      </c>
      <c r="F1100" s="39">
        <f t="shared" si="46"/>
        <v>1216.5</v>
      </c>
      <c r="G1100" s="39">
        <f t="shared" si="46"/>
        <v>79.166666666666671</v>
      </c>
      <c r="H1100" s="41">
        <f t="shared" si="46"/>
        <v>600</v>
      </c>
      <c r="I1100" s="39">
        <f t="shared" si="46"/>
        <v>695</v>
      </c>
      <c r="J1100" s="39">
        <f t="shared" si="46"/>
        <v>33.333333333333336</v>
      </c>
      <c r="K1100" s="40"/>
      <c r="L1100" s="40"/>
      <c r="M1100" s="40"/>
      <c r="N1100" s="40"/>
      <c r="O1100" s="40"/>
      <c r="P1100" s="40"/>
      <c r="Q1100" s="40"/>
      <c r="R1100" s="40"/>
      <c r="S1100" s="40"/>
      <c r="T1100" s="40"/>
    </row>
    <row r="1101" spans="1:20" ht="15">
      <c r="A1101" s="3">
        <f t="shared" si="30"/>
        <v>2053</v>
      </c>
      <c r="B1101" s="3">
        <f t="shared" si="39"/>
        <v>365</v>
      </c>
      <c r="C1101" s="39">
        <f t="shared" ref="C1101:J1101" si="47">AVERAGE(C485:C496)</f>
        <v>154.75825</v>
      </c>
      <c r="D1101" s="39">
        <f t="shared" si="47"/>
        <v>281.0162499999999</v>
      </c>
      <c r="E1101" s="39">
        <f t="shared" si="47"/>
        <v>780.7254999999999</v>
      </c>
      <c r="F1101" s="39">
        <f t="shared" si="47"/>
        <v>1216.5</v>
      </c>
      <c r="G1101" s="39">
        <f t="shared" si="47"/>
        <v>79.166666666666671</v>
      </c>
      <c r="H1101" s="41">
        <f t="shared" si="47"/>
        <v>600</v>
      </c>
      <c r="I1101" s="39">
        <f t="shared" si="47"/>
        <v>695</v>
      </c>
      <c r="J1101" s="39">
        <f t="shared" si="47"/>
        <v>33.333333333333336</v>
      </c>
      <c r="K1101" s="40"/>
      <c r="L1101" s="40"/>
      <c r="M1101" s="40"/>
      <c r="N1101" s="40"/>
      <c r="O1101" s="40"/>
      <c r="P1101" s="40"/>
      <c r="Q1101" s="40"/>
      <c r="R1101" s="40"/>
      <c r="S1101" s="40"/>
      <c r="T1101" s="40"/>
    </row>
    <row r="1102" spans="1:20" ht="15">
      <c r="A1102" s="3">
        <f t="shared" si="30"/>
        <v>2054</v>
      </c>
      <c r="B1102" s="3">
        <f t="shared" si="39"/>
        <v>365</v>
      </c>
      <c r="C1102" s="39">
        <f t="shared" ref="C1102:J1109" si="48">AVERAGE(C497:C508)</f>
        <v>154.75825</v>
      </c>
      <c r="D1102" s="39">
        <f t="shared" si="48"/>
        <v>281.0162499999999</v>
      </c>
      <c r="E1102" s="39">
        <f t="shared" si="48"/>
        <v>780.7254999999999</v>
      </c>
      <c r="F1102" s="39">
        <f t="shared" si="48"/>
        <v>1216.5</v>
      </c>
      <c r="G1102" s="39">
        <f t="shared" si="48"/>
        <v>79.166666666666671</v>
      </c>
      <c r="H1102" s="41">
        <f t="shared" si="48"/>
        <v>600</v>
      </c>
      <c r="I1102" s="39">
        <f t="shared" si="48"/>
        <v>695</v>
      </c>
      <c r="J1102" s="39">
        <f t="shared" si="48"/>
        <v>33.333333333333336</v>
      </c>
      <c r="K1102" s="40"/>
      <c r="L1102" s="40"/>
      <c r="M1102" s="40"/>
      <c r="N1102" s="40"/>
      <c r="O1102" s="40"/>
      <c r="P1102" s="40"/>
      <c r="Q1102" s="40"/>
      <c r="R1102" s="40"/>
      <c r="S1102" s="40"/>
      <c r="T1102" s="40"/>
    </row>
    <row r="1103" spans="1:20" ht="15">
      <c r="A1103" s="3">
        <f t="shared" si="30"/>
        <v>2055</v>
      </c>
      <c r="B1103" s="3">
        <f t="shared" si="39"/>
        <v>365</v>
      </c>
      <c r="C1103" s="39">
        <f t="shared" si="48"/>
        <v>154.75825</v>
      </c>
      <c r="D1103" s="39">
        <f t="shared" si="48"/>
        <v>281.0162499999999</v>
      </c>
      <c r="E1103" s="39">
        <f t="shared" si="48"/>
        <v>780.7254999999999</v>
      </c>
      <c r="F1103" s="39">
        <f t="shared" si="48"/>
        <v>1216.5</v>
      </c>
      <c r="G1103" s="39">
        <f t="shared" si="48"/>
        <v>79.166666666666671</v>
      </c>
      <c r="H1103" s="41">
        <f t="shared" si="48"/>
        <v>600</v>
      </c>
      <c r="I1103" s="39">
        <f t="shared" si="48"/>
        <v>695</v>
      </c>
      <c r="J1103" s="39">
        <f t="shared" si="48"/>
        <v>33.333333333333336</v>
      </c>
      <c r="K1103" s="40"/>
      <c r="L1103" s="40"/>
      <c r="M1103" s="40"/>
      <c r="N1103" s="40"/>
      <c r="O1103" s="40"/>
      <c r="P1103" s="40"/>
      <c r="Q1103" s="40"/>
      <c r="R1103" s="40"/>
      <c r="S1103" s="40"/>
      <c r="T1103" s="40"/>
    </row>
    <row r="1104" spans="1:20" ht="15">
      <c r="A1104" s="3">
        <f t="shared" si="30"/>
        <v>2056</v>
      </c>
      <c r="B1104" s="3">
        <f t="shared" si="39"/>
        <v>366</v>
      </c>
      <c r="C1104" s="39">
        <f t="shared" si="48"/>
        <v>154.75824999999998</v>
      </c>
      <c r="D1104" s="39">
        <f t="shared" si="48"/>
        <v>281.0162499999999</v>
      </c>
      <c r="E1104" s="39">
        <f t="shared" si="48"/>
        <v>780.7254999999999</v>
      </c>
      <c r="F1104" s="39">
        <f t="shared" si="48"/>
        <v>1216.5</v>
      </c>
      <c r="G1104" s="39">
        <f t="shared" si="48"/>
        <v>79.166666666666671</v>
      </c>
      <c r="H1104" s="41">
        <f t="shared" si="48"/>
        <v>600</v>
      </c>
      <c r="I1104" s="39">
        <f t="shared" si="48"/>
        <v>695</v>
      </c>
      <c r="J1104" s="39">
        <f t="shared" si="48"/>
        <v>33.333333333333336</v>
      </c>
      <c r="K1104" s="40"/>
      <c r="L1104" s="40"/>
      <c r="M1104" s="40"/>
      <c r="N1104" s="40"/>
      <c r="O1104" s="40"/>
      <c r="P1104" s="40"/>
      <c r="Q1104" s="40"/>
      <c r="R1104" s="40"/>
      <c r="S1104" s="40"/>
      <c r="T1104" s="40"/>
    </row>
    <row r="1105" spans="1:20" ht="15">
      <c r="A1105" s="3">
        <f t="shared" si="30"/>
        <v>2057</v>
      </c>
      <c r="B1105" s="3">
        <f t="shared" si="39"/>
        <v>365</v>
      </c>
      <c r="C1105" s="39">
        <f t="shared" si="48"/>
        <v>154.75825</v>
      </c>
      <c r="D1105" s="39">
        <f t="shared" si="48"/>
        <v>281.0162499999999</v>
      </c>
      <c r="E1105" s="39">
        <f t="shared" si="48"/>
        <v>780.72550000000001</v>
      </c>
      <c r="F1105" s="39">
        <f t="shared" si="48"/>
        <v>1216.5</v>
      </c>
      <c r="G1105" s="39">
        <f t="shared" si="48"/>
        <v>79.166666666666671</v>
      </c>
      <c r="H1105" s="41">
        <f t="shared" si="48"/>
        <v>600</v>
      </c>
      <c r="I1105" s="39">
        <f t="shared" si="48"/>
        <v>695</v>
      </c>
      <c r="J1105" s="39">
        <f t="shared" si="48"/>
        <v>33.333333333333336</v>
      </c>
      <c r="K1105" s="40"/>
      <c r="L1105" s="40"/>
      <c r="M1105" s="40"/>
      <c r="N1105" s="40"/>
      <c r="O1105" s="40"/>
      <c r="P1105" s="40"/>
      <c r="Q1105" s="40"/>
      <c r="R1105" s="40"/>
      <c r="S1105" s="40"/>
      <c r="T1105" s="40"/>
    </row>
    <row r="1106" spans="1:20" ht="15">
      <c r="A1106" s="3">
        <f t="shared" si="30"/>
        <v>2058</v>
      </c>
      <c r="B1106" s="3">
        <f t="shared" si="39"/>
        <v>365</v>
      </c>
      <c r="C1106" s="39">
        <f t="shared" si="48"/>
        <v>154.75824999999998</v>
      </c>
      <c r="D1106" s="39">
        <f t="shared" si="48"/>
        <v>281.01624999999996</v>
      </c>
      <c r="E1106" s="39">
        <f t="shared" si="48"/>
        <v>780.72550000000001</v>
      </c>
      <c r="F1106" s="39">
        <f t="shared" si="48"/>
        <v>1216.5</v>
      </c>
      <c r="G1106" s="39">
        <f t="shared" si="48"/>
        <v>79.166666666666671</v>
      </c>
      <c r="H1106" s="41">
        <f t="shared" si="48"/>
        <v>600</v>
      </c>
      <c r="I1106" s="39">
        <f t="shared" si="48"/>
        <v>695</v>
      </c>
      <c r="J1106" s="39">
        <f t="shared" si="48"/>
        <v>33.333333333333336</v>
      </c>
      <c r="K1106" s="40"/>
      <c r="L1106" s="40"/>
      <c r="M1106" s="40"/>
      <c r="N1106" s="40"/>
      <c r="O1106" s="40"/>
      <c r="P1106" s="40"/>
      <c r="Q1106" s="40"/>
      <c r="R1106" s="40"/>
      <c r="S1106" s="40"/>
      <c r="T1106" s="40"/>
    </row>
    <row r="1107" spans="1:20" ht="15">
      <c r="A1107" s="3">
        <f t="shared" si="30"/>
        <v>2059</v>
      </c>
      <c r="B1107" s="3">
        <f t="shared" si="39"/>
        <v>365</v>
      </c>
      <c r="C1107" s="39">
        <f t="shared" si="48"/>
        <v>154.75824999999998</v>
      </c>
      <c r="D1107" s="39">
        <f t="shared" si="48"/>
        <v>281.01624999999996</v>
      </c>
      <c r="E1107" s="39">
        <f t="shared" si="48"/>
        <v>780.72550000000012</v>
      </c>
      <c r="F1107" s="39">
        <f t="shared" si="48"/>
        <v>1216.5</v>
      </c>
      <c r="G1107" s="39">
        <f t="shared" si="48"/>
        <v>79.166666666666671</v>
      </c>
      <c r="H1107" s="41">
        <f t="shared" si="48"/>
        <v>600</v>
      </c>
      <c r="I1107" s="39">
        <f t="shared" si="48"/>
        <v>695</v>
      </c>
      <c r="J1107" s="39">
        <f t="shared" si="48"/>
        <v>33.333333333333336</v>
      </c>
      <c r="K1107" s="40"/>
      <c r="L1107" s="40"/>
      <c r="M1107" s="40"/>
      <c r="N1107" s="40"/>
      <c r="O1107" s="40"/>
      <c r="P1107" s="40"/>
      <c r="Q1107" s="40"/>
      <c r="R1107" s="40"/>
      <c r="S1107" s="40"/>
      <c r="T1107" s="40"/>
    </row>
    <row r="1108" spans="1:20" ht="15">
      <c r="A1108" s="3">
        <f t="shared" si="30"/>
        <v>2060</v>
      </c>
      <c r="B1108" s="3">
        <f t="shared" si="39"/>
        <v>366</v>
      </c>
      <c r="C1108" s="39">
        <f t="shared" si="48"/>
        <v>154.75824999999998</v>
      </c>
      <c r="D1108" s="39">
        <f t="shared" si="48"/>
        <v>281.01624999999996</v>
      </c>
      <c r="E1108" s="39">
        <f t="shared" si="48"/>
        <v>780.72550000000012</v>
      </c>
      <c r="F1108" s="39">
        <f t="shared" si="48"/>
        <v>1216.5</v>
      </c>
      <c r="G1108" s="39">
        <f t="shared" si="48"/>
        <v>79.166666666666671</v>
      </c>
      <c r="H1108" s="41">
        <f t="shared" si="48"/>
        <v>600</v>
      </c>
      <c r="I1108" s="39">
        <f t="shared" si="48"/>
        <v>695</v>
      </c>
      <c r="J1108" s="39">
        <f t="shared" si="48"/>
        <v>33.333333333333336</v>
      </c>
      <c r="K1108" s="40"/>
      <c r="L1108" s="40"/>
      <c r="M1108" s="40"/>
      <c r="N1108" s="40"/>
      <c r="O1108" s="40"/>
      <c r="P1108" s="40"/>
      <c r="Q1108" s="40"/>
      <c r="R1108" s="40"/>
      <c r="S1108" s="40"/>
      <c r="T1108" s="40"/>
    </row>
    <row r="1109" spans="1:20" ht="15">
      <c r="A1109" s="3">
        <f t="shared" si="30"/>
        <v>2061</v>
      </c>
      <c r="B1109" s="3">
        <f t="shared" si="39"/>
        <v>365</v>
      </c>
      <c r="C1109" s="39">
        <f t="shared" si="48"/>
        <v>154.75825</v>
      </c>
      <c r="D1109" s="39">
        <f t="shared" si="48"/>
        <v>281.01624999999996</v>
      </c>
      <c r="E1109" s="39">
        <f t="shared" si="48"/>
        <v>780.72550000000001</v>
      </c>
      <c r="F1109" s="39">
        <f t="shared" si="48"/>
        <v>1216.5</v>
      </c>
      <c r="G1109" s="39">
        <f t="shared" si="48"/>
        <v>79.166666666666671</v>
      </c>
      <c r="H1109" s="41">
        <f t="shared" si="48"/>
        <v>600</v>
      </c>
      <c r="I1109" s="39">
        <f t="shared" si="48"/>
        <v>695</v>
      </c>
      <c r="J1109" s="39">
        <f t="shared" si="48"/>
        <v>33.333333333333336</v>
      </c>
      <c r="K1109" s="40"/>
      <c r="L1109" s="40"/>
      <c r="M1109" s="40"/>
      <c r="N1109" s="40"/>
      <c r="O1109" s="40"/>
      <c r="P1109" s="40"/>
      <c r="Q1109" s="40"/>
      <c r="R1109" s="40"/>
      <c r="S1109" s="40"/>
      <c r="T1109" s="40"/>
    </row>
    <row r="1110" spans="1:20" ht="15">
      <c r="A1110" s="3">
        <f t="shared" si="30"/>
        <v>2062</v>
      </c>
      <c r="B1110" s="3">
        <f t="shared" si="39"/>
        <v>365</v>
      </c>
      <c r="C1110" s="39">
        <f t="shared" ref="C1110:J1119" ca="1" si="49">AVERAGE(OFFSET(C$593,($A1110-$A$1110)*12,0,12,1))</f>
        <v>154.75825</v>
      </c>
      <c r="D1110" s="39">
        <f t="shared" ca="1" si="49"/>
        <v>281.0162499999999</v>
      </c>
      <c r="E1110" s="39">
        <f t="shared" ca="1" si="49"/>
        <v>780.7254999999999</v>
      </c>
      <c r="F1110" s="39">
        <f t="shared" ca="1" si="49"/>
        <v>1216.5</v>
      </c>
      <c r="G1110" s="39">
        <f t="shared" ca="1" si="49"/>
        <v>79.166666666666671</v>
      </c>
      <c r="H1110" s="39">
        <f t="shared" ca="1" si="49"/>
        <v>600</v>
      </c>
      <c r="I1110" s="39">
        <f t="shared" ca="1" si="49"/>
        <v>695</v>
      </c>
      <c r="J1110" s="39">
        <f t="shared" ca="1" si="49"/>
        <v>33.333333333333336</v>
      </c>
      <c r="K1110" s="40"/>
      <c r="L1110" s="40"/>
      <c r="M1110" s="40"/>
      <c r="N1110" s="40"/>
      <c r="O1110" s="40"/>
      <c r="P1110" s="40"/>
      <c r="Q1110" s="40"/>
      <c r="R1110" s="40"/>
      <c r="S1110" s="40"/>
      <c r="T1110" s="40"/>
    </row>
    <row r="1111" spans="1:20" ht="15">
      <c r="A1111" s="3">
        <f t="shared" si="30"/>
        <v>2063</v>
      </c>
      <c r="B1111" s="3">
        <f t="shared" si="39"/>
        <v>365</v>
      </c>
      <c r="C1111" s="39">
        <f t="shared" ca="1" si="49"/>
        <v>154.75825</v>
      </c>
      <c r="D1111" s="39">
        <f t="shared" ca="1" si="49"/>
        <v>281.0162499999999</v>
      </c>
      <c r="E1111" s="39">
        <f t="shared" ca="1" si="49"/>
        <v>780.7254999999999</v>
      </c>
      <c r="F1111" s="39">
        <f t="shared" ca="1" si="49"/>
        <v>1216.5</v>
      </c>
      <c r="G1111" s="39">
        <f t="shared" ca="1" si="49"/>
        <v>79.166666666666671</v>
      </c>
      <c r="H1111" s="39">
        <f t="shared" ca="1" si="49"/>
        <v>600</v>
      </c>
      <c r="I1111" s="39">
        <f t="shared" ca="1" si="49"/>
        <v>695</v>
      </c>
      <c r="J1111" s="39">
        <f t="shared" ca="1" si="49"/>
        <v>33.333333333333336</v>
      </c>
      <c r="K1111" s="40"/>
      <c r="L1111" s="40"/>
      <c r="M1111" s="40"/>
      <c r="N1111" s="40"/>
      <c r="O1111" s="40"/>
      <c r="P1111" s="40"/>
      <c r="Q1111" s="40"/>
      <c r="R1111" s="40"/>
      <c r="S1111" s="40"/>
      <c r="T1111" s="40"/>
    </row>
    <row r="1112" spans="1:20" ht="15">
      <c r="A1112" s="3">
        <f t="shared" si="30"/>
        <v>2064</v>
      </c>
      <c r="B1112" s="3">
        <f t="shared" si="39"/>
        <v>366</v>
      </c>
      <c r="C1112" s="39">
        <f t="shared" ca="1" si="49"/>
        <v>154.75825</v>
      </c>
      <c r="D1112" s="39">
        <f t="shared" ca="1" si="49"/>
        <v>281.0162499999999</v>
      </c>
      <c r="E1112" s="39">
        <f t="shared" ca="1" si="49"/>
        <v>780.7254999999999</v>
      </c>
      <c r="F1112" s="39">
        <f t="shared" ca="1" si="49"/>
        <v>1216.5</v>
      </c>
      <c r="G1112" s="39">
        <f t="shared" ca="1" si="49"/>
        <v>79.166666666666671</v>
      </c>
      <c r="H1112" s="39">
        <f t="shared" ca="1" si="49"/>
        <v>600</v>
      </c>
      <c r="I1112" s="39">
        <f t="shared" ca="1" si="49"/>
        <v>695</v>
      </c>
      <c r="J1112" s="39">
        <f t="shared" ca="1" si="49"/>
        <v>33.333333333333336</v>
      </c>
      <c r="K1112" s="40"/>
      <c r="L1112" s="40"/>
      <c r="M1112" s="40"/>
      <c r="N1112" s="40"/>
      <c r="O1112" s="40"/>
      <c r="P1112" s="40"/>
      <c r="Q1112" s="40"/>
      <c r="R1112" s="40"/>
      <c r="S1112" s="40"/>
      <c r="T1112" s="40"/>
    </row>
    <row r="1113" spans="1:20" ht="15">
      <c r="A1113" s="3">
        <f t="shared" si="30"/>
        <v>2065</v>
      </c>
      <c r="B1113" s="3">
        <f t="shared" si="39"/>
        <v>365</v>
      </c>
      <c r="C1113" s="39">
        <f t="shared" ca="1" si="49"/>
        <v>154.75825</v>
      </c>
      <c r="D1113" s="39">
        <f t="shared" ca="1" si="49"/>
        <v>281.0162499999999</v>
      </c>
      <c r="E1113" s="39">
        <f t="shared" ca="1" si="49"/>
        <v>780.7254999999999</v>
      </c>
      <c r="F1113" s="39">
        <f t="shared" ca="1" si="49"/>
        <v>1216.5</v>
      </c>
      <c r="G1113" s="39">
        <f t="shared" ca="1" si="49"/>
        <v>79.166666666666671</v>
      </c>
      <c r="H1113" s="39">
        <f t="shared" ca="1" si="49"/>
        <v>600</v>
      </c>
      <c r="I1113" s="39">
        <f t="shared" ca="1" si="49"/>
        <v>695</v>
      </c>
      <c r="J1113" s="39">
        <f t="shared" ca="1" si="49"/>
        <v>33.333333333333336</v>
      </c>
      <c r="K1113" s="40"/>
      <c r="L1113" s="40"/>
      <c r="M1113" s="40"/>
      <c r="N1113" s="40"/>
      <c r="O1113" s="40"/>
      <c r="P1113" s="40"/>
      <c r="Q1113" s="40"/>
      <c r="R1113" s="40"/>
      <c r="S1113" s="40"/>
      <c r="T1113" s="40"/>
    </row>
    <row r="1114" spans="1:20" ht="15">
      <c r="A1114" s="3">
        <f t="shared" si="30"/>
        <v>2066</v>
      </c>
      <c r="B1114" s="3">
        <f t="shared" si="39"/>
        <v>365</v>
      </c>
      <c r="C1114" s="39">
        <f t="shared" ca="1" si="49"/>
        <v>154.75825</v>
      </c>
      <c r="D1114" s="39">
        <f t="shared" ca="1" si="49"/>
        <v>281.0162499999999</v>
      </c>
      <c r="E1114" s="39">
        <f t="shared" ca="1" si="49"/>
        <v>780.7254999999999</v>
      </c>
      <c r="F1114" s="39">
        <f t="shared" ca="1" si="49"/>
        <v>1216.5</v>
      </c>
      <c r="G1114" s="39">
        <f t="shared" ca="1" si="49"/>
        <v>79.166666666666671</v>
      </c>
      <c r="H1114" s="39">
        <f t="shared" ca="1" si="49"/>
        <v>600</v>
      </c>
      <c r="I1114" s="39">
        <f t="shared" ca="1" si="49"/>
        <v>695</v>
      </c>
      <c r="J1114" s="39">
        <f t="shared" ca="1" si="49"/>
        <v>33.333333333333336</v>
      </c>
      <c r="K1114" s="40"/>
      <c r="L1114" s="40"/>
      <c r="M1114" s="40"/>
      <c r="N1114" s="40"/>
      <c r="O1114" s="40"/>
      <c r="P1114" s="40"/>
      <c r="Q1114" s="40"/>
      <c r="R1114" s="40"/>
      <c r="S1114" s="40"/>
      <c r="T1114" s="40"/>
    </row>
    <row r="1115" spans="1:20" ht="15">
      <c r="A1115" s="3">
        <f t="shared" si="30"/>
        <v>2067</v>
      </c>
      <c r="B1115" s="3">
        <f t="shared" si="39"/>
        <v>365</v>
      </c>
      <c r="C1115" s="39">
        <f t="shared" ca="1" si="49"/>
        <v>154.75825</v>
      </c>
      <c r="D1115" s="39">
        <f t="shared" ca="1" si="49"/>
        <v>281.0162499999999</v>
      </c>
      <c r="E1115" s="39">
        <f t="shared" ca="1" si="49"/>
        <v>780.7254999999999</v>
      </c>
      <c r="F1115" s="39">
        <f t="shared" ca="1" si="49"/>
        <v>1216.5</v>
      </c>
      <c r="G1115" s="39">
        <f t="shared" ca="1" si="49"/>
        <v>79.166666666666671</v>
      </c>
      <c r="H1115" s="39">
        <f t="shared" ca="1" si="49"/>
        <v>600</v>
      </c>
      <c r="I1115" s="39">
        <f t="shared" ca="1" si="49"/>
        <v>695</v>
      </c>
      <c r="J1115" s="39">
        <f t="shared" ca="1" si="49"/>
        <v>33.333333333333336</v>
      </c>
      <c r="K1115" s="40"/>
      <c r="L1115" s="40"/>
      <c r="M1115" s="40"/>
      <c r="N1115" s="40"/>
      <c r="O1115" s="40"/>
      <c r="P1115" s="40"/>
      <c r="Q1115" s="40"/>
      <c r="R1115" s="40"/>
      <c r="S1115" s="40"/>
      <c r="T1115" s="40"/>
    </row>
    <row r="1116" spans="1:20" ht="15">
      <c r="A1116" s="3">
        <f t="shared" si="30"/>
        <v>2068</v>
      </c>
      <c r="B1116" s="3">
        <f t="shared" si="39"/>
        <v>366</v>
      </c>
      <c r="C1116" s="39">
        <f t="shared" ca="1" si="49"/>
        <v>154.75825</v>
      </c>
      <c r="D1116" s="39">
        <f t="shared" ca="1" si="49"/>
        <v>281.0162499999999</v>
      </c>
      <c r="E1116" s="39">
        <f t="shared" ca="1" si="49"/>
        <v>780.7254999999999</v>
      </c>
      <c r="F1116" s="39">
        <f t="shared" ca="1" si="49"/>
        <v>1216.5</v>
      </c>
      <c r="G1116" s="39">
        <f t="shared" ca="1" si="49"/>
        <v>79.166666666666671</v>
      </c>
      <c r="H1116" s="39">
        <f t="shared" ca="1" si="49"/>
        <v>600</v>
      </c>
      <c r="I1116" s="39">
        <f t="shared" ca="1" si="49"/>
        <v>695</v>
      </c>
      <c r="J1116" s="39">
        <f t="shared" ca="1" si="49"/>
        <v>33.333333333333336</v>
      </c>
      <c r="K1116" s="40"/>
      <c r="L1116" s="40"/>
      <c r="M1116" s="40"/>
      <c r="N1116" s="40"/>
      <c r="O1116" s="40"/>
      <c r="P1116" s="40"/>
      <c r="Q1116" s="40"/>
      <c r="R1116" s="40"/>
      <c r="S1116" s="40"/>
      <c r="T1116" s="40"/>
    </row>
    <row r="1117" spans="1:20" ht="15">
      <c r="A1117" s="3">
        <f t="shared" si="30"/>
        <v>2069</v>
      </c>
      <c r="B1117" s="3">
        <f t="shared" si="39"/>
        <v>365</v>
      </c>
      <c r="C1117" s="39">
        <f t="shared" ca="1" si="49"/>
        <v>154.75825</v>
      </c>
      <c r="D1117" s="39">
        <f t="shared" ca="1" si="49"/>
        <v>281.0162499999999</v>
      </c>
      <c r="E1117" s="39">
        <f t="shared" ca="1" si="49"/>
        <v>780.7254999999999</v>
      </c>
      <c r="F1117" s="39">
        <f t="shared" ca="1" si="49"/>
        <v>1216.5</v>
      </c>
      <c r="G1117" s="39">
        <f t="shared" ca="1" si="49"/>
        <v>79.166666666666671</v>
      </c>
      <c r="H1117" s="39">
        <f t="shared" ca="1" si="49"/>
        <v>600</v>
      </c>
      <c r="I1117" s="39">
        <f t="shared" ca="1" si="49"/>
        <v>695</v>
      </c>
      <c r="J1117" s="39">
        <f t="shared" ca="1" si="49"/>
        <v>33.333333333333336</v>
      </c>
      <c r="K1117" s="40"/>
      <c r="L1117" s="40"/>
      <c r="M1117" s="40"/>
      <c r="N1117" s="40"/>
      <c r="O1117" s="40"/>
      <c r="P1117" s="40"/>
      <c r="Q1117" s="40"/>
      <c r="R1117" s="40"/>
      <c r="S1117" s="40"/>
      <c r="T1117" s="40"/>
    </row>
    <row r="1118" spans="1:20" ht="15">
      <c r="A1118" s="3">
        <f t="shared" ref="A1118:A1148" si="50">A1117+1</f>
        <v>2070</v>
      </c>
      <c r="B1118" s="3">
        <f t="shared" si="39"/>
        <v>365</v>
      </c>
      <c r="C1118" s="39">
        <f t="shared" ca="1" si="49"/>
        <v>154.75825</v>
      </c>
      <c r="D1118" s="39">
        <f t="shared" ca="1" si="49"/>
        <v>281.0162499999999</v>
      </c>
      <c r="E1118" s="39">
        <f t="shared" ca="1" si="49"/>
        <v>780.7254999999999</v>
      </c>
      <c r="F1118" s="39">
        <f t="shared" ca="1" si="49"/>
        <v>1216.5</v>
      </c>
      <c r="G1118" s="39">
        <f t="shared" ca="1" si="49"/>
        <v>79.166666666666671</v>
      </c>
      <c r="H1118" s="39">
        <f t="shared" ca="1" si="49"/>
        <v>600</v>
      </c>
      <c r="I1118" s="39">
        <f t="shared" ca="1" si="49"/>
        <v>695</v>
      </c>
      <c r="J1118" s="39">
        <f t="shared" ca="1" si="49"/>
        <v>33.333333333333336</v>
      </c>
      <c r="K1118" s="40"/>
      <c r="L1118" s="40"/>
      <c r="M1118" s="40"/>
      <c r="N1118" s="40"/>
      <c r="O1118" s="40"/>
      <c r="P1118" s="40"/>
      <c r="Q1118" s="40"/>
      <c r="R1118" s="40"/>
      <c r="S1118" s="40"/>
      <c r="T1118" s="40"/>
    </row>
    <row r="1119" spans="1:20" ht="15">
      <c r="A1119" s="3">
        <f t="shared" si="50"/>
        <v>2071</v>
      </c>
      <c r="B1119" s="3">
        <f t="shared" si="39"/>
        <v>365</v>
      </c>
      <c r="C1119" s="39">
        <f t="shared" ca="1" si="49"/>
        <v>154.75825</v>
      </c>
      <c r="D1119" s="39">
        <f t="shared" ca="1" si="49"/>
        <v>281.0162499999999</v>
      </c>
      <c r="E1119" s="39">
        <f t="shared" ca="1" si="49"/>
        <v>780.7254999999999</v>
      </c>
      <c r="F1119" s="39">
        <f t="shared" ca="1" si="49"/>
        <v>1216.5</v>
      </c>
      <c r="G1119" s="39">
        <f t="shared" ca="1" si="49"/>
        <v>79.166666666666671</v>
      </c>
      <c r="H1119" s="39">
        <f t="shared" ca="1" si="49"/>
        <v>600</v>
      </c>
      <c r="I1119" s="39">
        <f t="shared" ca="1" si="49"/>
        <v>695</v>
      </c>
      <c r="J1119" s="39">
        <f t="shared" ca="1" si="49"/>
        <v>33.333333333333336</v>
      </c>
      <c r="K1119" s="40"/>
      <c r="L1119" s="40"/>
      <c r="M1119" s="40"/>
      <c r="N1119" s="40"/>
      <c r="O1119" s="40"/>
      <c r="P1119" s="40"/>
      <c r="Q1119" s="40"/>
      <c r="R1119" s="40"/>
      <c r="S1119" s="40"/>
      <c r="T1119" s="40"/>
    </row>
    <row r="1120" spans="1:20" ht="15">
      <c r="A1120" s="3">
        <f t="shared" si="50"/>
        <v>2072</v>
      </c>
      <c r="B1120" s="3">
        <f t="shared" si="39"/>
        <v>366</v>
      </c>
      <c r="C1120" s="39">
        <f t="shared" ref="C1120:J1129" ca="1" si="51">AVERAGE(OFFSET(C$593,($A1120-$A$1110)*12,0,12,1))</f>
        <v>154.75825</v>
      </c>
      <c r="D1120" s="39">
        <f t="shared" ca="1" si="51"/>
        <v>281.0162499999999</v>
      </c>
      <c r="E1120" s="39">
        <f t="shared" ca="1" si="51"/>
        <v>780.7254999999999</v>
      </c>
      <c r="F1120" s="39">
        <f t="shared" ca="1" si="51"/>
        <v>1216.5</v>
      </c>
      <c r="G1120" s="39">
        <f t="shared" ca="1" si="51"/>
        <v>79.166666666666671</v>
      </c>
      <c r="H1120" s="39">
        <f t="shared" ca="1" si="51"/>
        <v>600</v>
      </c>
      <c r="I1120" s="39">
        <f t="shared" ca="1" si="51"/>
        <v>695</v>
      </c>
      <c r="J1120" s="39">
        <f t="shared" ca="1" si="51"/>
        <v>33.333333333333336</v>
      </c>
      <c r="K1120" s="40"/>
      <c r="L1120" s="40"/>
      <c r="M1120" s="40"/>
      <c r="N1120" s="40"/>
      <c r="O1120" s="40"/>
      <c r="P1120" s="40"/>
      <c r="Q1120" s="40"/>
      <c r="R1120" s="40"/>
      <c r="S1120" s="40"/>
      <c r="T1120" s="40"/>
    </row>
    <row r="1121" spans="1:20" ht="15">
      <c r="A1121" s="3">
        <f t="shared" si="50"/>
        <v>2073</v>
      </c>
      <c r="B1121" s="3">
        <f t="shared" si="39"/>
        <v>365</v>
      </c>
      <c r="C1121" s="39">
        <f t="shared" ca="1" si="51"/>
        <v>154.75825</v>
      </c>
      <c r="D1121" s="39">
        <f t="shared" ca="1" si="51"/>
        <v>281.0162499999999</v>
      </c>
      <c r="E1121" s="39">
        <f t="shared" ca="1" si="51"/>
        <v>780.7254999999999</v>
      </c>
      <c r="F1121" s="39">
        <f t="shared" ca="1" si="51"/>
        <v>1216.5</v>
      </c>
      <c r="G1121" s="39">
        <f t="shared" ca="1" si="51"/>
        <v>79.166666666666671</v>
      </c>
      <c r="H1121" s="39">
        <f t="shared" ca="1" si="51"/>
        <v>600</v>
      </c>
      <c r="I1121" s="39">
        <f t="shared" ca="1" si="51"/>
        <v>695</v>
      </c>
      <c r="J1121" s="39">
        <f t="shared" ca="1" si="51"/>
        <v>33.333333333333336</v>
      </c>
      <c r="K1121" s="40"/>
      <c r="L1121" s="40"/>
      <c r="M1121" s="40"/>
      <c r="N1121" s="40"/>
      <c r="O1121" s="40"/>
      <c r="P1121" s="40"/>
      <c r="Q1121" s="40"/>
      <c r="R1121" s="40"/>
      <c r="S1121" s="40"/>
      <c r="T1121" s="40"/>
    </row>
    <row r="1122" spans="1:20" ht="15">
      <c r="A1122" s="3">
        <f t="shared" si="50"/>
        <v>2074</v>
      </c>
      <c r="B1122" s="3">
        <f t="shared" si="39"/>
        <v>365</v>
      </c>
      <c r="C1122" s="39">
        <f t="shared" ca="1" si="51"/>
        <v>154.75825</v>
      </c>
      <c r="D1122" s="39">
        <f t="shared" ca="1" si="51"/>
        <v>281.0162499999999</v>
      </c>
      <c r="E1122" s="39">
        <f t="shared" ca="1" si="51"/>
        <v>780.7254999999999</v>
      </c>
      <c r="F1122" s="39">
        <f t="shared" ca="1" si="51"/>
        <v>1216.5</v>
      </c>
      <c r="G1122" s="39">
        <f t="shared" ca="1" si="51"/>
        <v>79.166666666666671</v>
      </c>
      <c r="H1122" s="39">
        <f t="shared" ca="1" si="51"/>
        <v>600</v>
      </c>
      <c r="I1122" s="39">
        <f t="shared" ca="1" si="51"/>
        <v>695</v>
      </c>
      <c r="J1122" s="39">
        <f t="shared" ca="1" si="51"/>
        <v>33.333333333333336</v>
      </c>
      <c r="K1122" s="40"/>
      <c r="L1122" s="40"/>
      <c r="M1122" s="40"/>
      <c r="N1122" s="40"/>
      <c r="O1122" s="40"/>
      <c r="P1122" s="40"/>
      <c r="Q1122" s="40"/>
      <c r="R1122" s="40"/>
      <c r="S1122" s="40"/>
      <c r="T1122" s="40"/>
    </row>
    <row r="1123" spans="1:20" ht="15">
      <c r="A1123" s="3">
        <f t="shared" si="50"/>
        <v>2075</v>
      </c>
      <c r="B1123" s="3">
        <f t="shared" si="39"/>
        <v>365</v>
      </c>
      <c r="C1123" s="39">
        <f t="shared" ca="1" si="51"/>
        <v>154.75825</v>
      </c>
      <c r="D1123" s="39">
        <f t="shared" ca="1" si="51"/>
        <v>281.0162499999999</v>
      </c>
      <c r="E1123" s="39">
        <f t="shared" ca="1" si="51"/>
        <v>780.7254999999999</v>
      </c>
      <c r="F1123" s="39">
        <f t="shared" ca="1" si="51"/>
        <v>1216.5</v>
      </c>
      <c r="G1123" s="39">
        <f t="shared" ca="1" si="51"/>
        <v>79.166666666666671</v>
      </c>
      <c r="H1123" s="39">
        <f t="shared" ca="1" si="51"/>
        <v>600</v>
      </c>
      <c r="I1123" s="39">
        <f t="shared" ca="1" si="51"/>
        <v>695</v>
      </c>
      <c r="J1123" s="39">
        <f t="shared" ca="1" si="51"/>
        <v>33.333333333333336</v>
      </c>
      <c r="K1123" s="40"/>
      <c r="L1123" s="40"/>
      <c r="M1123" s="40"/>
      <c r="N1123" s="40"/>
      <c r="O1123" s="40"/>
      <c r="P1123" s="40"/>
      <c r="Q1123" s="40"/>
      <c r="R1123" s="40"/>
      <c r="S1123" s="40"/>
      <c r="T1123" s="40"/>
    </row>
    <row r="1124" spans="1:20" ht="15">
      <c r="A1124" s="3">
        <f t="shared" si="50"/>
        <v>2076</v>
      </c>
      <c r="B1124" s="3">
        <f t="shared" si="39"/>
        <v>366</v>
      </c>
      <c r="C1124" s="39">
        <f t="shared" ca="1" si="51"/>
        <v>154.75825</v>
      </c>
      <c r="D1124" s="39">
        <f t="shared" ca="1" si="51"/>
        <v>281.0162499999999</v>
      </c>
      <c r="E1124" s="39">
        <f t="shared" ca="1" si="51"/>
        <v>780.7254999999999</v>
      </c>
      <c r="F1124" s="39">
        <f t="shared" ca="1" si="51"/>
        <v>1216.5</v>
      </c>
      <c r="G1124" s="39">
        <f t="shared" ca="1" si="51"/>
        <v>79.166666666666671</v>
      </c>
      <c r="H1124" s="39">
        <f t="shared" ca="1" si="51"/>
        <v>600</v>
      </c>
      <c r="I1124" s="39">
        <f t="shared" ca="1" si="51"/>
        <v>695</v>
      </c>
      <c r="J1124" s="39">
        <f t="shared" ca="1" si="51"/>
        <v>33.333333333333336</v>
      </c>
      <c r="K1124" s="40"/>
      <c r="L1124" s="40"/>
      <c r="M1124" s="40"/>
      <c r="N1124" s="40"/>
      <c r="O1124" s="40"/>
      <c r="P1124" s="40"/>
      <c r="Q1124" s="40"/>
      <c r="R1124" s="40"/>
      <c r="S1124" s="40"/>
      <c r="T1124" s="40"/>
    </row>
    <row r="1125" spans="1:20" ht="15">
      <c r="A1125" s="3">
        <f t="shared" si="50"/>
        <v>2077</v>
      </c>
      <c r="B1125" s="3">
        <f t="shared" si="39"/>
        <v>365</v>
      </c>
      <c r="C1125" s="39">
        <f t="shared" ca="1" si="51"/>
        <v>154.75825</v>
      </c>
      <c r="D1125" s="39">
        <f t="shared" ca="1" si="51"/>
        <v>281.0162499999999</v>
      </c>
      <c r="E1125" s="39">
        <f t="shared" ca="1" si="51"/>
        <v>780.7254999999999</v>
      </c>
      <c r="F1125" s="39">
        <f t="shared" ca="1" si="51"/>
        <v>1216.5</v>
      </c>
      <c r="G1125" s="39">
        <f t="shared" ca="1" si="51"/>
        <v>79.166666666666671</v>
      </c>
      <c r="H1125" s="39">
        <f t="shared" ca="1" si="51"/>
        <v>600</v>
      </c>
      <c r="I1125" s="39">
        <f t="shared" ca="1" si="51"/>
        <v>695</v>
      </c>
      <c r="J1125" s="39">
        <f t="shared" ca="1" si="51"/>
        <v>33.333333333333336</v>
      </c>
      <c r="K1125" s="40"/>
      <c r="L1125" s="40"/>
      <c r="M1125" s="40"/>
      <c r="N1125" s="40"/>
      <c r="O1125" s="40"/>
      <c r="P1125" s="40"/>
      <c r="Q1125" s="40"/>
      <c r="R1125" s="40"/>
      <c r="S1125" s="40"/>
      <c r="T1125" s="40"/>
    </row>
    <row r="1126" spans="1:20" ht="15">
      <c r="A1126" s="3">
        <f t="shared" si="50"/>
        <v>2078</v>
      </c>
      <c r="B1126" s="3">
        <f t="shared" ref="B1126:B1148" si="52">DATE(A1126+1,1,1)-DATE(A1126,1,1)</f>
        <v>365</v>
      </c>
      <c r="C1126" s="39">
        <f t="shared" ca="1" si="51"/>
        <v>154.75825</v>
      </c>
      <c r="D1126" s="39">
        <f t="shared" ca="1" si="51"/>
        <v>281.0162499999999</v>
      </c>
      <c r="E1126" s="39">
        <f t="shared" ca="1" si="51"/>
        <v>780.7254999999999</v>
      </c>
      <c r="F1126" s="39">
        <f t="shared" ca="1" si="51"/>
        <v>1216.5</v>
      </c>
      <c r="G1126" s="39">
        <f t="shared" ca="1" si="51"/>
        <v>79.166666666666671</v>
      </c>
      <c r="H1126" s="39">
        <f t="shared" ca="1" si="51"/>
        <v>600</v>
      </c>
      <c r="I1126" s="39">
        <f t="shared" ca="1" si="51"/>
        <v>695</v>
      </c>
      <c r="J1126" s="39">
        <f t="shared" ca="1" si="51"/>
        <v>33.333333333333336</v>
      </c>
      <c r="K1126" s="40"/>
      <c r="L1126" s="40"/>
      <c r="M1126" s="40"/>
      <c r="N1126" s="40"/>
      <c r="O1126" s="40"/>
      <c r="P1126" s="40"/>
      <c r="Q1126" s="40"/>
      <c r="R1126" s="40"/>
      <c r="S1126" s="40"/>
      <c r="T1126" s="40"/>
    </row>
    <row r="1127" spans="1:20" ht="15">
      <c r="A1127" s="3">
        <f t="shared" si="50"/>
        <v>2079</v>
      </c>
      <c r="B1127" s="3">
        <f t="shared" si="52"/>
        <v>365</v>
      </c>
      <c r="C1127" s="39">
        <f t="shared" ca="1" si="51"/>
        <v>154.75825</v>
      </c>
      <c r="D1127" s="39">
        <f t="shared" ca="1" si="51"/>
        <v>281.0162499999999</v>
      </c>
      <c r="E1127" s="39">
        <f t="shared" ca="1" si="51"/>
        <v>780.7254999999999</v>
      </c>
      <c r="F1127" s="39">
        <f t="shared" ca="1" si="51"/>
        <v>1216.5</v>
      </c>
      <c r="G1127" s="39">
        <f t="shared" ca="1" si="51"/>
        <v>79.166666666666671</v>
      </c>
      <c r="H1127" s="39">
        <f t="shared" ca="1" si="51"/>
        <v>600</v>
      </c>
      <c r="I1127" s="39">
        <f t="shared" ca="1" si="51"/>
        <v>695</v>
      </c>
      <c r="J1127" s="39">
        <f t="shared" ca="1" si="51"/>
        <v>33.333333333333336</v>
      </c>
      <c r="K1127" s="40"/>
      <c r="L1127" s="40"/>
      <c r="M1127" s="40"/>
      <c r="N1127" s="40"/>
      <c r="O1127" s="40"/>
      <c r="P1127" s="40"/>
      <c r="Q1127" s="40"/>
      <c r="R1127" s="40"/>
      <c r="S1127" s="40"/>
      <c r="T1127" s="40"/>
    </row>
    <row r="1128" spans="1:20" ht="15">
      <c r="A1128" s="3">
        <f t="shared" si="50"/>
        <v>2080</v>
      </c>
      <c r="B1128" s="3">
        <f t="shared" si="52"/>
        <v>366</v>
      </c>
      <c r="C1128" s="39">
        <f t="shared" ca="1" si="51"/>
        <v>154.75825</v>
      </c>
      <c r="D1128" s="39">
        <f t="shared" ca="1" si="51"/>
        <v>281.0162499999999</v>
      </c>
      <c r="E1128" s="39">
        <f t="shared" ca="1" si="51"/>
        <v>780.7254999999999</v>
      </c>
      <c r="F1128" s="39">
        <f t="shared" ca="1" si="51"/>
        <v>1216.5</v>
      </c>
      <c r="G1128" s="39">
        <f t="shared" ca="1" si="51"/>
        <v>79.166666666666671</v>
      </c>
      <c r="H1128" s="39">
        <f t="shared" ca="1" si="51"/>
        <v>600</v>
      </c>
      <c r="I1128" s="39">
        <f t="shared" ca="1" si="51"/>
        <v>695</v>
      </c>
      <c r="J1128" s="39">
        <f t="shared" ca="1" si="51"/>
        <v>33.333333333333336</v>
      </c>
      <c r="K1128" s="40"/>
      <c r="L1128" s="40"/>
      <c r="M1128" s="40"/>
      <c r="N1128" s="40"/>
      <c r="O1128" s="40"/>
      <c r="P1128" s="40"/>
      <c r="Q1128" s="40"/>
      <c r="R1128" s="40"/>
      <c r="S1128" s="40"/>
      <c r="T1128" s="40"/>
    </row>
    <row r="1129" spans="1:20" ht="15">
      <c r="A1129" s="3">
        <f t="shared" si="50"/>
        <v>2081</v>
      </c>
      <c r="B1129" s="3">
        <f t="shared" si="52"/>
        <v>365</v>
      </c>
      <c r="C1129" s="39">
        <f t="shared" ca="1" si="51"/>
        <v>154.75825</v>
      </c>
      <c r="D1129" s="39">
        <f t="shared" ca="1" si="51"/>
        <v>281.0162499999999</v>
      </c>
      <c r="E1129" s="39">
        <f t="shared" ca="1" si="51"/>
        <v>780.7254999999999</v>
      </c>
      <c r="F1129" s="39">
        <f t="shared" ca="1" si="51"/>
        <v>1216.5</v>
      </c>
      <c r="G1129" s="39">
        <f t="shared" ca="1" si="51"/>
        <v>79.166666666666671</v>
      </c>
      <c r="H1129" s="39">
        <f t="shared" ca="1" si="51"/>
        <v>600</v>
      </c>
      <c r="I1129" s="39">
        <f t="shared" ca="1" si="51"/>
        <v>695</v>
      </c>
      <c r="J1129" s="39">
        <f t="shared" ca="1" si="51"/>
        <v>33.333333333333336</v>
      </c>
      <c r="K1129" s="40"/>
      <c r="L1129" s="40"/>
      <c r="M1129" s="40"/>
      <c r="N1129" s="40"/>
      <c r="O1129" s="40"/>
      <c r="P1129" s="40"/>
      <c r="Q1129" s="40"/>
      <c r="R1129" s="40"/>
      <c r="S1129" s="40"/>
      <c r="T1129" s="40"/>
    </row>
    <row r="1130" spans="1:20" ht="15">
      <c r="A1130" s="3">
        <f t="shared" si="50"/>
        <v>2082</v>
      </c>
      <c r="B1130" s="3">
        <f t="shared" si="52"/>
        <v>365</v>
      </c>
      <c r="C1130" s="39">
        <f t="shared" ref="C1130:J1139" ca="1" si="53">AVERAGE(OFFSET(C$593,($A1130-$A$1110)*12,0,12,1))</f>
        <v>154.75825</v>
      </c>
      <c r="D1130" s="39">
        <f t="shared" ca="1" si="53"/>
        <v>281.0162499999999</v>
      </c>
      <c r="E1130" s="39">
        <f t="shared" ca="1" si="53"/>
        <v>780.7254999999999</v>
      </c>
      <c r="F1130" s="39">
        <f t="shared" ca="1" si="53"/>
        <v>1216.5</v>
      </c>
      <c r="G1130" s="39">
        <f t="shared" ca="1" si="53"/>
        <v>79.166666666666671</v>
      </c>
      <c r="H1130" s="39">
        <f t="shared" ca="1" si="53"/>
        <v>600</v>
      </c>
      <c r="I1130" s="39">
        <f t="shared" ca="1" si="53"/>
        <v>695</v>
      </c>
      <c r="J1130" s="39">
        <f t="shared" ca="1" si="53"/>
        <v>33.333333333333336</v>
      </c>
      <c r="K1130" s="40"/>
      <c r="L1130" s="40"/>
      <c r="M1130" s="40"/>
      <c r="N1130" s="40"/>
      <c r="O1130" s="40"/>
      <c r="P1130" s="40"/>
      <c r="Q1130" s="40"/>
      <c r="R1130" s="40"/>
      <c r="S1130" s="40"/>
      <c r="T1130" s="40"/>
    </row>
    <row r="1131" spans="1:20" ht="15">
      <c r="A1131" s="3">
        <f t="shared" si="50"/>
        <v>2083</v>
      </c>
      <c r="B1131" s="3">
        <f t="shared" si="52"/>
        <v>365</v>
      </c>
      <c r="C1131" s="39">
        <f t="shared" ca="1" si="53"/>
        <v>154.75825</v>
      </c>
      <c r="D1131" s="39">
        <f t="shared" ca="1" si="53"/>
        <v>281.0162499999999</v>
      </c>
      <c r="E1131" s="39">
        <f t="shared" ca="1" si="53"/>
        <v>780.7254999999999</v>
      </c>
      <c r="F1131" s="39">
        <f t="shared" ca="1" si="53"/>
        <v>1216.5</v>
      </c>
      <c r="G1131" s="39">
        <f t="shared" ca="1" si="53"/>
        <v>79.166666666666671</v>
      </c>
      <c r="H1131" s="39">
        <f t="shared" ca="1" si="53"/>
        <v>600</v>
      </c>
      <c r="I1131" s="39">
        <f t="shared" ca="1" si="53"/>
        <v>695</v>
      </c>
      <c r="J1131" s="39">
        <f t="shared" ca="1" si="53"/>
        <v>33.333333333333336</v>
      </c>
      <c r="K1131" s="40"/>
      <c r="L1131" s="40"/>
      <c r="M1131" s="40"/>
      <c r="N1131" s="40"/>
      <c r="O1131" s="40"/>
      <c r="P1131" s="40"/>
      <c r="Q1131" s="40"/>
      <c r="R1131" s="40"/>
      <c r="S1131" s="40"/>
      <c r="T1131" s="40"/>
    </row>
    <row r="1132" spans="1:20" ht="15">
      <c r="A1132" s="3">
        <f t="shared" si="50"/>
        <v>2084</v>
      </c>
      <c r="B1132" s="3">
        <f t="shared" si="52"/>
        <v>366</v>
      </c>
      <c r="C1132" s="39">
        <f t="shared" ca="1" si="53"/>
        <v>154.75825</v>
      </c>
      <c r="D1132" s="39">
        <f t="shared" ca="1" si="53"/>
        <v>281.0162499999999</v>
      </c>
      <c r="E1132" s="39">
        <f t="shared" ca="1" si="53"/>
        <v>780.7254999999999</v>
      </c>
      <c r="F1132" s="39">
        <f t="shared" ca="1" si="53"/>
        <v>1216.5</v>
      </c>
      <c r="G1132" s="39">
        <f t="shared" ca="1" si="53"/>
        <v>79.166666666666671</v>
      </c>
      <c r="H1132" s="39">
        <f t="shared" ca="1" si="53"/>
        <v>600</v>
      </c>
      <c r="I1132" s="39">
        <f t="shared" ca="1" si="53"/>
        <v>695</v>
      </c>
      <c r="J1132" s="39">
        <f t="shared" ca="1" si="53"/>
        <v>33.333333333333336</v>
      </c>
      <c r="K1132" s="40"/>
      <c r="L1132" s="40"/>
      <c r="M1132" s="40"/>
      <c r="N1132" s="40"/>
      <c r="O1132" s="40"/>
      <c r="P1132" s="40"/>
      <c r="Q1132" s="40"/>
      <c r="R1132" s="40"/>
      <c r="S1132" s="40"/>
      <c r="T1132" s="40"/>
    </row>
    <row r="1133" spans="1:20" ht="15">
      <c r="A1133" s="3">
        <f t="shared" si="50"/>
        <v>2085</v>
      </c>
      <c r="B1133" s="3">
        <f t="shared" si="52"/>
        <v>365</v>
      </c>
      <c r="C1133" s="39">
        <f t="shared" ca="1" si="53"/>
        <v>154.75825</v>
      </c>
      <c r="D1133" s="39">
        <f t="shared" ca="1" si="53"/>
        <v>281.0162499999999</v>
      </c>
      <c r="E1133" s="39">
        <f t="shared" ca="1" si="53"/>
        <v>780.7254999999999</v>
      </c>
      <c r="F1133" s="39">
        <f t="shared" ca="1" si="53"/>
        <v>1216.5</v>
      </c>
      <c r="G1133" s="39">
        <f t="shared" ca="1" si="53"/>
        <v>79.166666666666671</v>
      </c>
      <c r="H1133" s="39">
        <f t="shared" ca="1" si="53"/>
        <v>600</v>
      </c>
      <c r="I1133" s="39">
        <f t="shared" ca="1" si="53"/>
        <v>695</v>
      </c>
      <c r="J1133" s="39">
        <f t="shared" ca="1" si="53"/>
        <v>33.333333333333336</v>
      </c>
      <c r="K1133" s="40"/>
      <c r="L1133" s="40"/>
      <c r="M1133" s="40"/>
      <c r="N1133" s="40"/>
      <c r="O1133" s="40"/>
      <c r="P1133" s="40"/>
      <c r="Q1133" s="40"/>
      <c r="R1133" s="40"/>
      <c r="S1133" s="40"/>
      <c r="T1133" s="40"/>
    </row>
    <row r="1134" spans="1:20" ht="15">
      <c r="A1134" s="3">
        <f t="shared" si="50"/>
        <v>2086</v>
      </c>
      <c r="B1134" s="3">
        <f t="shared" si="52"/>
        <v>365</v>
      </c>
      <c r="C1134" s="39">
        <f t="shared" ca="1" si="53"/>
        <v>154.75825</v>
      </c>
      <c r="D1134" s="39">
        <f t="shared" ca="1" si="53"/>
        <v>281.0162499999999</v>
      </c>
      <c r="E1134" s="39">
        <f t="shared" ca="1" si="53"/>
        <v>780.7254999999999</v>
      </c>
      <c r="F1134" s="39">
        <f t="shared" ca="1" si="53"/>
        <v>1216.5</v>
      </c>
      <c r="G1134" s="39">
        <f t="shared" ca="1" si="53"/>
        <v>79.166666666666671</v>
      </c>
      <c r="H1134" s="39">
        <f t="shared" ca="1" si="53"/>
        <v>600</v>
      </c>
      <c r="I1134" s="39">
        <f t="shared" ca="1" si="53"/>
        <v>695</v>
      </c>
      <c r="J1134" s="39">
        <f t="shared" ca="1" si="53"/>
        <v>33.333333333333336</v>
      </c>
      <c r="K1134" s="40"/>
      <c r="L1134" s="40"/>
      <c r="M1134" s="40"/>
      <c r="N1134" s="40"/>
      <c r="O1134" s="40"/>
      <c r="P1134" s="40"/>
      <c r="Q1134" s="40"/>
      <c r="R1134" s="40"/>
      <c r="S1134" s="40"/>
      <c r="T1134" s="40"/>
    </row>
    <row r="1135" spans="1:20" ht="15">
      <c r="A1135" s="3">
        <f t="shared" si="50"/>
        <v>2087</v>
      </c>
      <c r="B1135" s="3">
        <f t="shared" si="52"/>
        <v>365</v>
      </c>
      <c r="C1135" s="39">
        <f t="shared" ca="1" si="53"/>
        <v>154.75825</v>
      </c>
      <c r="D1135" s="39">
        <f t="shared" ca="1" si="53"/>
        <v>281.0162499999999</v>
      </c>
      <c r="E1135" s="39">
        <f t="shared" ca="1" si="53"/>
        <v>780.7254999999999</v>
      </c>
      <c r="F1135" s="39">
        <f t="shared" ca="1" si="53"/>
        <v>1216.5</v>
      </c>
      <c r="G1135" s="39">
        <f t="shared" ca="1" si="53"/>
        <v>79.166666666666671</v>
      </c>
      <c r="H1135" s="39">
        <f t="shared" ca="1" si="53"/>
        <v>600</v>
      </c>
      <c r="I1135" s="39">
        <f t="shared" ca="1" si="53"/>
        <v>695</v>
      </c>
      <c r="J1135" s="39">
        <f t="shared" ca="1" si="53"/>
        <v>33.333333333333336</v>
      </c>
      <c r="K1135" s="40"/>
      <c r="L1135" s="40"/>
      <c r="M1135" s="40"/>
      <c r="N1135" s="40"/>
      <c r="O1135" s="40"/>
      <c r="P1135" s="40"/>
      <c r="Q1135" s="40"/>
      <c r="R1135" s="40"/>
      <c r="S1135" s="40"/>
      <c r="T1135" s="40"/>
    </row>
    <row r="1136" spans="1:20" ht="15">
      <c r="A1136" s="3">
        <f t="shared" si="50"/>
        <v>2088</v>
      </c>
      <c r="B1136" s="3">
        <f t="shared" si="52"/>
        <v>366</v>
      </c>
      <c r="C1136" s="39">
        <f t="shared" ca="1" si="53"/>
        <v>154.75825</v>
      </c>
      <c r="D1136" s="39">
        <f t="shared" ca="1" si="53"/>
        <v>281.0162499999999</v>
      </c>
      <c r="E1136" s="39">
        <f t="shared" ca="1" si="53"/>
        <v>780.7254999999999</v>
      </c>
      <c r="F1136" s="39">
        <f t="shared" ca="1" si="53"/>
        <v>1216.5</v>
      </c>
      <c r="G1136" s="39">
        <f t="shared" ca="1" si="53"/>
        <v>79.166666666666671</v>
      </c>
      <c r="H1136" s="39">
        <f t="shared" ca="1" si="53"/>
        <v>600</v>
      </c>
      <c r="I1136" s="39">
        <f t="shared" ca="1" si="53"/>
        <v>695</v>
      </c>
      <c r="J1136" s="39">
        <f t="shared" ca="1" si="53"/>
        <v>33.333333333333336</v>
      </c>
      <c r="K1136" s="40"/>
      <c r="L1136" s="40"/>
      <c r="M1136" s="40"/>
      <c r="N1136" s="40"/>
      <c r="O1136" s="40"/>
      <c r="P1136" s="40"/>
      <c r="Q1136" s="40"/>
      <c r="R1136" s="40"/>
      <c r="S1136" s="40"/>
      <c r="T1136" s="40"/>
    </row>
    <row r="1137" spans="1:20" ht="15">
      <c r="A1137" s="3">
        <f t="shared" si="50"/>
        <v>2089</v>
      </c>
      <c r="B1137" s="3">
        <f t="shared" si="52"/>
        <v>365</v>
      </c>
      <c r="C1137" s="39">
        <f t="shared" ca="1" si="53"/>
        <v>154.75825</v>
      </c>
      <c r="D1137" s="39">
        <f t="shared" ca="1" si="53"/>
        <v>281.0162499999999</v>
      </c>
      <c r="E1137" s="39">
        <f t="shared" ca="1" si="53"/>
        <v>780.7254999999999</v>
      </c>
      <c r="F1137" s="39">
        <f t="shared" ca="1" si="53"/>
        <v>1216.5</v>
      </c>
      <c r="G1137" s="39">
        <f t="shared" ca="1" si="53"/>
        <v>79.166666666666671</v>
      </c>
      <c r="H1137" s="39">
        <f t="shared" ca="1" si="53"/>
        <v>600</v>
      </c>
      <c r="I1137" s="39">
        <f t="shared" ca="1" si="53"/>
        <v>695</v>
      </c>
      <c r="J1137" s="39">
        <f t="shared" ca="1" si="53"/>
        <v>33.333333333333336</v>
      </c>
      <c r="K1137" s="40"/>
      <c r="L1137" s="40"/>
      <c r="M1137" s="40"/>
      <c r="N1137" s="40"/>
      <c r="O1137" s="40"/>
      <c r="P1137" s="40"/>
      <c r="Q1137" s="40"/>
      <c r="R1137" s="40"/>
      <c r="S1137" s="40"/>
      <c r="T1137" s="40"/>
    </row>
    <row r="1138" spans="1:20" ht="15">
      <c r="A1138" s="3">
        <f t="shared" si="50"/>
        <v>2090</v>
      </c>
      <c r="B1138" s="3">
        <f t="shared" si="52"/>
        <v>365</v>
      </c>
      <c r="C1138" s="39">
        <f t="shared" ca="1" si="53"/>
        <v>154.75825</v>
      </c>
      <c r="D1138" s="39">
        <f t="shared" ca="1" si="53"/>
        <v>281.0162499999999</v>
      </c>
      <c r="E1138" s="39">
        <f t="shared" ca="1" si="53"/>
        <v>780.7254999999999</v>
      </c>
      <c r="F1138" s="39">
        <f t="shared" ca="1" si="53"/>
        <v>1216.5</v>
      </c>
      <c r="G1138" s="39">
        <f t="shared" ca="1" si="53"/>
        <v>79.166666666666671</v>
      </c>
      <c r="H1138" s="39">
        <f t="shared" ca="1" si="53"/>
        <v>600</v>
      </c>
      <c r="I1138" s="39">
        <f t="shared" ca="1" si="53"/>
        <v>695</v>
      </c>
      <c r="J1138" s="39">
        <f t="shared" ca="1" si="53"/>
        <v>33.333333333333336</v>
      </c>
      <c r="K1138" s="40"/>
      <c r="L1138" s="40"/>
      <c r="M1138" s="40"/>
      <c r="N1138" s="40"/>
      <c r="O1138" s="40"/>
      <c r="P1138" s="40"/>
      <c r="Q1138" s="40"/>
      <c r="R1138" s="40"/>
      <c r="S1138" s="40"/>
      <c r="T1138" s="40"/>
    </row>
    <row r="1139" spans="1:20" ht="15">
      <c r="A1139" s="3">
        <f t="shared" si="50"/>
        <v>2091</v>
      </c>
      <c r="B1139" s="3">
        <f t="shared" si="52"/>
        <v>365</v>
      </c>
      <c r="C1139" s="39">
        <f t="shared" ca="1" si="53"/>
        <v>154.75825</v>
      </c>
      <c r="D1139" s="39">
        <f t="shared" ca="1" si="53"/>
        <v>281.0162499999999</v>
      </c>
      <c r="E1139" s="39">
        <f t="shared" ca="1" si="53"/>
        <v>780.7254999999999</v>
      </c>
      <c r="F1139" s="39">
        <f t="shared" ca="1" si="53"/>
        <v>1216.5</v>
      </c>
      <c r="G1139" s="39">
        <f t="shared" ca="1" si="53"/>
        <v>79.166666666666671</v>
      </c>
      <c r="H1139" s="39">
        <f t="shared" ca="1" si="53"/>
        <v>600</v>
      </c>
      <c r="I1139" s="39">
        <f t="shared" ca="1" si="53"/>
        <v>695</v>
      </c>
      <c r="J1139" s="39">
        <f t="shared" ca="1" si="53"/>
        <v>33.333333333333336</v>
      </c>
    </row>
    <row r="1140" spans="1:20" ht="15">
      <c r="A1140" s="3">
        <f t="shared" si="50"/>
        <v>2092</v>
      </c>
      <c r="B1140" s="3">
        <f t="shared" si="52"/>
        <v>366</v>
      </c>
      <c r="C1140" s="39">
        <f t="shared" ref="C1140:J1148" ca="1" si="54">AVERAGE(OFFSET(C$593,($A1140-$A$1110)*12,0,12,1))</f>
        <v>154.75825</v>
      </c>
      <c r="D1140" s="39">
        <f t="shared" ca="1" si="54"/>
        <v>281.0162499999999</v>
      </c>
      <c r="E1140" s="39">
        <f t="shared" ca="1" si="54"/>
        <v>780.7254999999999</v>
      </c>
      <c r="F1140" s="39">
        <f t="shared" ca="1" si="54"/>
        <v>1216.5</v>
      </c>
      <c r="G1140" s="39">
        <f t="shared" ca="1" si="54"/>
        <v>79.166666666666671</v>
      </c>
      <c r="H1140" s="39">
        <f t="shared" ca="1" si="54"/>
        <v>600</v>
      </c>
      <c r="I1140" s="39">
        <f t="shared" ca="1" si="54"/>
        <v>695</v>
      </c>
      <c r="J1140" s="39">
        <f t="shared" ca="1" si="54"/>
        <v>33.333333333333336</v>
      </c>
    </row>
    <row r="1141" spans="1:20" ht="15">
      <c r="A1141" s="3">
        <f t="shared" si="50"/>
        <v>2093</v>
      </c>
      <c r="B1141" s="3">
        <f t="shared" si="52"/>
        <v>365</v>
      </c>
      <c r="C1141" s="39">
        <f t="shared" ca="1" si="54"/>
        <v>154.75825</v>
      </c>
      <c r="D1141" s="39">
        <f t="shared" ca="1" si="54"/>
        <v>281.0162499999999</v>
      </c>
      <c r="E1141" s="39">
        <f t="shared" ca="1" si="54"/>
        <v>780.7254999999999</v>
      </c>
      <c r="F1141" s="39">
        <f t="shared" ca="1" si="54"/>
        <v>1216.5</v>
      </c>
      <c r="G1141" s="39">
        <f t="shared" ca="1" si="54"/>
        <v>79.166666666666671</v>
      </c>
      <c r="H1141" s="39">
        <f t="shared" ca="1" si="54"/>
        <v>600</v>
      </c>
      <c r="I1141" s="39">
        <f t="shared" ca="1" si="54"/>
        <v>695</v>
      </c>
      <c r="J1141" s="39">
        <f t="shared" ca="1" si="54"/>
        <v>33.333333333333336</v>
      </c>
    </row>
    <row r="1142" spans="1:20" ht="15">
      <c r="A1142" s="3">
        <f t="shared" si="50"/>
        <v>2094</v>
      </c>
      <c r="B1142" s="3">
        <f t="shared" si="52"/>
        <v>365</v>
      </c>
      <c r="C1142" s="39">
        <f t="shared" ca="1" si="54"/>
        <v>154.75825</v>
      </c>
      <c r="D1142" s="39">
        <f t="shared" ca="1" si="54"/>
        <v>281.0162499999999</v>
      </c>
      <c r="E1142" s="39">
        <f t="shared" ca="1" si="54"/>
        <v>780.7254999999999</v>
      </c>
      <c r="F1142" s="39">
        <f t="shared" ca="1" si="54"/>
        <v>1216.5</v>
      </c>
      <c r="G1142" s="39">
        <f t="shared" ca="1" si="54"/>
        <v>79.166666666666671</v>
      </c>
      <c r="H1142" s="39">
        <f t="shared" ca="1" si="54"/>
        <v>600</v>
      </c>
      <c r="I1142" s="39">
        <f t="shared" ca="1" si="54"/>
        <v>695</v>
      </c>
      <c r="J1142" s="39">
        <f t="shared" ca="1" si="54"/>
        <v>33.333333333333336</v>
      </c>
    </row>
    <row r="1143" spans="1:20" ht="15">
      <c r="A1143" s="3">
        <f t="shared" si="50"/>
        <v>2095</v>
      </c>
      <c r="B1143" s="3">
        <f t="shared" si="52"/>
        <v>365</v>
      </c>
      <c r="C1143" s="39">
        <f t="shared" ca="1" si="54"/>
        <v>154.75825</v>
      </c>
      <c r="D1143" s="39">
        <f t="shared" ca="1" si="54"/>
        <v>281.0162499999999</v>
      </c>
      <c r="E1143" s="39">
        <f t="shared" ca="1" si="54"/>
        <v>780.7254999999999</v>
      </c>
      <c r="F1143" s="39">
        <f t="shared" ca="1" si="54"/>
        <v>1216.5</v>
      </c>
      <c r="G1143" s="39">
        <f t="shared" ca="1" si="54"/>
        <v>79.166666666666671</v>
      </c>
      <c r="H1143" s="39">
        <f t="shared" ca="1" si="54"/>
        <v>600</v>
      </c>
      <c r="I1143" s="39">
        <f t="shared" ca="1" si="54"/>
        <v>695</v>
      </c>
      <c r="J1143" s="39">
        <f t="shared" ca="1" si="54"/>
        <v>33.333333333333336</v>
      </c>
    </row>
    <row r="1144" spans="1:20" ht="15">
      <c r="A1144" s="3">
        <f t="shared" si="50"/>
        <v>2096</v>
      </c>
      <c r="B1144" s="3">
        <f t="shared" si="52"/>
        <v>366</v>
      </c>
      <c r="C1144" s="39">
        <f t="shared" ca="1" si="54"/>
        <v>154.75825</v>
      </c>
      <c r="D1144" s="39">
        <f t="shared" ca="1" si="54"/>
        <v>281.0162499999999</v>
      </c>
      <c r="E1144" s="39">
        <f t="shared" ca="1" si="54"/>
        <v>780.7254999999999</v>
      </c>
      <c r="F1144" s="39">
        <f t="shared" ca="1" si="54"/>
        <v>1216.5</v>
      </c>
      <c r="G1144" s="39">
        <f t="shared" ca="1" si="54"/>
        <v>79.166666666666671</v>
      </c>
      <c r="H1144" s="39">
        <f t="shared" ca="1" si="54"/>
        <v>600</v>
      </c>
      <c r="I1144" s="39">
        <f t="shared" ca="1" si="54"/>
        <v>695</v>
      </c>
      <c r="J1144" s="39">
        <f t="shared" ca="1" si="54"/>
        <v>33.333333333333336</v>
      </c>
    </row>
    <row r="1145" spans="1:20" ht="15">
      <c r="A1145" s="3">
        <f t="shared" si="50"/>
        <v>2097</v>
      </c>
      <c r="B1145" s="3">
        <f t="shared" si="52"/>
        <v>365</v>
      </c>
      <c r="C1145" s="39">
        <f t="shared" ca="1" si="54"/>
        <v>154.75825</v>
      </c>
      <c r="D1145" s="39">
        <f t="shared" ca="1" si="54"/>
        <v>281.0162499999999</v>
      </c>
      <c r="E1145" s="39">
        <f t="shared" ca="1" si="54"/>
        <v>780.7254999999999</v>
      </c>
      <c r="F1145" s="39">
        <f t="shared" ca="1" si="54"/>
        <v>1216.5</v>
      </c>
      <c r="G1145" s="39">
        <f t="shared" ca="1" si="54"/>
        <v>79.166666666666671</v>
      </c>
      <c r="H1145" s="39">
        <f t="shared" ca="1" si="54"/>
        <v>600</v>
      </c>
      <c r="I1145" s="39">
        <f t="shared" ca="1" si="54"/>
        <v>695</v>
      </c>
      <c r="J1145" s="39">
        <f t="shared" ca="1" si="54"/>
        <v>33.333333333333336</v>
      </c>
    </row>
    <row r="1146" spans="1:20" ht="15">
      <c r="A1146" s="3">
        <f t="shared" si="50"/>
        <v>2098</v>
      </c>
      <c r="B1146" s="3">
        <f t="shared" si="52"/>
        <v>365</v>
      </c>
      <c r="C1146" s="39">
        <f t="shared" ca="1" si="54"/>
        <v>154.75825</v>
      </c>
      <c r="D1146" s="39">
        <f t="shared" ca="1" si="54"/>
        <v>281.0162499999999</v>
      </c>
      <c r="E1146" s="39">
        <f t="shared" ca="1" si="54"/>
        <v>780.7254999999999</v>
      </c>
      <c r="F1146" s="39">
        <f t="shared" ca="1" si="54"/>
        <v>1216.5</v>
      </c>
      <c r="G1146" s="39">
        <f t="shared" ca="1" si="54"/>
        <v>79.166666666666671</v>
      </c>
      <c r="H1146" s="39">
        <f t="shared" ca="1" si="54"/>
        <v>600</v>
      </c>
      <c r="I1146" s="39">
        <f t="shared" ca="1" si="54"/>
        <v>695</v>
      </c>
      <c r="J1146" s="39">
        <f t="shared" ca="1" si="54"/>
        <v>33.333333333333336</v>
      </c>
    </row>
    <row r="1147" spans="1:20" ht="15">
      <c r="A1147" s="3">
        <f t="shared" si="50"/>
        <v>2099</v>
      </c>
      <c r="B1147" s="3">
        <f t="shared" si="52"/>
        <v>365</v>
      </c>
      <c r="C1147" s="39">
        <f t="shared" ca="1" si="54"/>
        <v>154.75825</v>
      </c>
      <c r="D1147" s="39">
        <f t="shared" ca="1" si="54"/>
        <v>281.0162499999999</v>
      </c>
      <c r="E1147" s="39">
        <f t="shared" ca="1" si="54"/>
        <v>780.7254999999999</v>
      </c>
      <c r="F1147" s="39">
        <f t="shared" ca="1" si="54"/>
        <v>1216.5</v>
      </c>
      <c r="G1147" s="39">
        <f t="shared" ca="1" si="54"/>
        <v>79.166666666666671</v>
      </c>
      <c r="H1147" s="39">
        <f t="shared" ca="1" si="54"/>
        <v>600</v>
      </c>
      <c r="I1147" s="39">
        <f t="shared" ca="1" si="54"/>
        <v>695</v>
      </c>
      <c r="J1147" s="39">
        <f t="shared" ca="1" si="54"/>
        <v>33.333333333333336</v>
      </c>
    </row>
    <row r="1148" spans="1:20" ht="15">
      <c r="A1148" s="3">
        <f t="shared" si="50"/>
        <v>2100</v>
      </c>
      <c r="B1148" s="3">
        <f t="shared" si="52"/>
        <v>365</v>
      </c>
      <c r="C1148" s="39">
        <f t="shared" ca="1" si="54"/>
        <v>154.75825</v>
      </c>
      <c r="D1148" s="39">
        <f t="shared" ca="1" si="54"/>
        <v>281.0162499999999</v>
      </c>
      <c r="E1148" s="39">
        <f t="shared" ca="1" si="54"/>
        <v>780.7254999999999</v>
      </c>
      <c r="F1148" s="39">
        <f t="shared" ca="1" si="54"/>
        <v>1216.5</v>
      </c>
      <c r="G1148" s="39">
        <f t="shared" ca="1" si="54"/>
        <v>79.166666666666671</v>
      </c>
      <c r="H1148" s="39">
        <f t="shared" ca="1" si="54"/>
        <v>600</v>
      </c>
      <c r="I1148" s="39">
        <f t="shared" ca="1" si="54"/>
        <v>695</v>
      </c>
      <c r="J1148" s="39">
        <f t="shared" ca="1" si="54"/>
        <v>33.333333333333336</v>
      </c>
    </row>
    <row r="1149" spans="1:20">
      <c r="A1149" s="36"/>
      <c r="B1149" s="36"/>
      <c r="C1149" s="38"/>
      <c r="D1149" s="38"/>
      <c r="E1149" s="38"/>
      <c r="F1149" s="38"/>
      <c r="G1149" s="38"/>
    </row>
    <row r="1150" spans="1:20">
      <c r="A1150" s="36"/>
      <c r="B1150" s="36"/>
    </row>
    <row r="1151" spans="1:20">
      <c r="A1151" s="36"/>
      <c r="B1151" s="36"/>
    </row>
    <row r="1152" spans="1:20">
      <c r="A1152" s="36"/>
      <c r="B1152" s="36"/>
    </row>
    <row r="1153" spans="1:2">
      <c r="A1153" s="36"/>
      <c r="B1153" s="36"/>
    </row>
    <row r="1154" spans="1:2">
      <c r="A1154" s="36"/>
      <c r="B1154" s="36"/>
    </row>
    <row r="1155" spans="1:2">
      <c r="A1155" s="36"/>
      <c r="B1155" s="36"/>
    </row>
    <row r="1156" spans="1:2">
      <c r="A1156" s="36"/>
      <c r="B1156" s="36"/>
    </row>
    <row r="1157" spans="1:2">
      <c r="A1157" s="36"/>
      <c r="B1157" s="36"/>
    </row>
    <row r="1158" spans="1:2">
      <c r="A1158" s="36"/>
      <c r="B1158" s="36"/>
    </row>
    <row r="1159" spans="1:2">
      <c r="A1159" s="36"/>
      <c r="B1159" s="36"/>
    </row>
    <row r="1160" spans="1:2">
      <c r="A1160" s="36"/>
      <c r="B1160" s="36"/>
    </row>
    <row r="1161" spans="1:2">
      <c r="A1161" s="36"/>
      <c r="B1161" s="36"/>
    </row>
    <row r="1162" spans="1:2">
      <c r="A1162" s="36"/>
      <c r="B1162" s="36"/>
    </row>
    <row r="1163" spans="1:2">
      <c r="A1163" s="36"/>
      <c r="B1163" s="36"/>
    </row>
    <row r="1164" spans="1:2">
      <c r="A1164" s="36"/>
      <c r="B1164" s="36"/>
    </row>
    <row r="1165" spans="1:2">
      <c r="A1165" s="36"/>
      <c r="B1165" s="36"/>
    </row>
    <row r="1166" spans="1:2">
      <c r="A1166" s="36"/>
      <c r="B1166" s="36"/>
    </row>
    <row r="1167" spans="1:2">
      <c r="A1167" s="36"/>
      <c r="B1167" s="36"/>
    </row>
    <row r="1168" spans="1:2">
      <c r="A1168" s="36"/>
      <c r="B1168" s="36"/>
    </row>
  </sheetData>
  <mergeCells count="1">
    <mergeCell ref="C14:E14"/>
  </mergeCells>
  <pageMargins left="0.25" right="0.25" top="0.5" bottom="0.5" header="0.25" footer="0.25"/>
  <pageSetup scale="75" orientation="portrait" horizontalDpi="1200" verticalDpi="1200" r:id="rId1"/>
  <headerFooter alignWithMargins="0">
    <oddFooter>&amp;R&amp;A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7"/>
  <dimension ref="A1:G1168"/>
  <sheetViews>
    <sheetView zoomScale="70" zoomScaleNormal="70" workbookViewId="0">
      <pane xSplit="1" ySplit="16" topLeftCell="B17" activePane="bottomRight" state="frozen"/>
      <selection activeCell="A7" sqref="A7"/>
      <selection pane="topRight" activeCell="A7" sqref="A7"/>
      <selection pane="bottomLeft" activeCell="A7" sqref="A7"/>
      <selection pane="bottomRight" activeCell="B17" sqref="B17"/>
    </sheetView>
  </sheetViews>
  <sheetFormatPr defaultColWidth="7.109375" defaultRowHeight="12.75"/>
  <cols>
    <col min="1" max="1" width="7.5546875" style="37" bestFit="1" customWidth="1"/>
    <col min="2" max="2" width="10" style="37" customWidth="1"/>
    <col min="3" max="3" width="12" style="37" customWidth="1"/>
    <col min="4" max="4" width="12.109375" style="37" bestFit="1" customWidth="1"/>
    <col min="5" max="5" width="8.44140625" style="37" bestFit="1" customWidth="1"/>
    <col min="6" max="16384" width="7.109375" style="36"/>
  </cols>
  <sheetData>
    <row r="1" spans="1:7" ht="15.75">
      <c r="A1" s="88" t="s">
        <v>64</v>
      </c>
    </row>
    <row r="2" spans="1:7" ht="15.75">
      <c r="A2" s="88" t="s">
        <v>65</v>
      </c>
    </row>
    <row r="3" spans="1:7" ht="15.75">
      <c r="A3" s="88" t="s">
        <v>66</v>
      </c>
    </row>
    <row r="4" spans="1:7" ht="15.75">
      <c r="A4" s="88" t="s">
        <v>67</v>
      </c>
    </row>
    <row r="5" spans="1:7" ht="15.75">
      <c r="A5" s="88" t="s">
        <v>69</v>
      </c>
    </row>
    <row r="6" spans="1:7" ht="15.75">
      <c r="A6" s="88" t="s">
        <v>72</v>
      </c>
    </row>
    <row r="8" spans="1:7" ht="20.25">
      <c r="A8" s="35" t="s">
        <v>43</v>
      </c>
    </row>
    <row r="9" spans="1:7" ht="15" customHeight="1">
      <c r="A9" s="61" t="s">
        <v>25</v>
      </c>
    </row>
    <row r="10" spans="1:7" ht="15" customHeight="1">
      <c r="A10" s="66"/>
      <c r="F10" s="64"/>
      <c r="G10" s="64"/>
    </row>
    <row r="11" spans="1:7" ht="15" customHeight="1">
      <c r="A11" s="66"/>
      <c r="B11" s="65"/>
      <c r="C11" s="65"/>
      <c r="D11" s="65"/>
      <c r="E11" s="65"/>
      <c r="F11" s="64"/>
      <c r="G11" s="64"/>
    </row>
    <row r="12" spans="1:7" ht="15" customHeight="1"/>
    <row r="13" spans="1:7" ht="15" customHeight="1">
      <c r="B13" s="63" t="s">
        <v>24</v>
      </c>
      <c r="C13" s="62">
        <f>1-0.263</f>
        <v>0.73699999999999999</v>
      </c>
      <c r="D13" s="63" t="s">
        <v>23</v>
      </c>
      <c r="E13" s="62">
        <f>1+0.263</f>
        <v>1.2629999999999999</v>
      </c>
    </row>
    <row r="14" spans="1:7" ht="15" customHeight="1">
      <c r="A14" s="61"/>
      <c r="B14" s="91" t="s">
        <v>42</v>
      </c>
      <c r="C14" s="91"/>
      <c r="D14" s="60" t="s">
        <v>41</v>
      </c>
      <c r="E14" s="55"/>
    </row>
    <row r="15" spans="1:7" s="58" customFormat="1" ht="63">
      <c r="B15" s="59" t="s">
        <v>40</v>
      </c>
      <c r="C15" s="59" t="s">
        <v>39</v>
      </c>
      <c r="D15" s="59" t="s">
        <v>38</v>
      </c>
      <c r="E15" s="27" t="s">
        <v>37</v>
      </c>
    </row>
    <row r="16" spans="1:7" s="58" customFormat="1" ht="26.45" customHeight="1">
      <c r="A16" s="24" t="s">
        <v>2</v>
      </c>
      <c r="B16" s="50" t="s">
        <v>1</v>
      </c>
      <c r="C16" s="50" t="s">
        <v>1</v>
      </c>
      <c r="D16" s="50" t="s">
        <v>1</v>
      </c>
      <c r="E16" s="24" t="s">
        <v>36</v>
      </c>
    </row>
    <row r="17" spans="1:5" ht="15">
      <c r="A17" s="13">
        <v>41640</v>
      </c>
      <c r="B17" s="4">
        <v>16.436064253071699</v>
      </c>
      <c r="C17" s="4">
        <v>16.288836342915499</v>
      </c>
      <c r="D17" s="4">
        <v>24.229497427101201</v>
      </c>
      <c r="E17" s="4">
        <v>98.77</v>
      </c>
    </row>
    <row r="18" spans="1:5" ht="15">
      <c r="A18" s="13">
        <v>41671</v>
      </c>
      <c r="B18" s="4">
        <v>17.464204878071701</v>
      </c>
      <c r="C18" s="4">
        <v>17.316976967915501</v>
      </c>
      <c r="D18" s="4">
        <v>24.359056260720401</v>
      </c>
      <c r="E18" s="4">
        <v>94.99</v>
      </c>
    </row>
    <row r="19" spans="1:5" ht="15">
      <c r="A19" s="13">
        <v>41699</v>
      </c>
      <c r="B19" s="4">
        <v>17.5704548780717</v>
      </c>
      <c r="C19" s="4">
        <v>17.4232269679155</v>
      </c>
      <c r="D19" s="4">
        <v>23.297155060034299</v>
      </c>
      <c r="E19" s="4">
        <v>102.92</v>
      </c>
    </row>
    <row r="20" spans="1:5" ht="15">
      <c r="A20" s="13">
        <v>41730</v>
      </c>
      <c r="B20" s="4">
        <v>16.605954878071699</v>
      </c>
      <c r="C20" s="4">
        <v>16.458726967915499</v>
      </c>
      <c r="D20" s="4">
        <v>22.8128799313894</v>
      </c>
      <c r="E20" s="4">
        <v>99.43</v>
      </c>
    </row>
    <row r="21" spans="1:5" ht="15">
      <c r="A21" s="13">
        <v>41760</v>
      </c>
      <c r="B21" s="4">
        <v>16.420773787848599</v>
      </c>
      <c r="C21" s="4">
        <v>16.273553600348599</v>
      </c>
      <c r="D21" s="4">
        <v>23.1277790737564</v>
      </c>
      <c r="E21" s="4">
        <v>102.13</v>
      </c>
    </row>
    <row r="22" spans="1:5" ht="15">
      <c r="A22" s="13">
        <v>41791</v>
      </c>
      <c r="B22" s="4">
        <v>16.224492537848601</v>
      </c>
      <c r="C22" s="4">
        <v>16.077272350348601</v>
      </c>
      <c r="D22" s="4">
        <v>23.109257289879899</v>
      </c>
      <c r="E22" s="4">
        <v>102.44</v>
      </c>
    </row>
    <row r="23" spans="1:5" ht="15">
      <c r="A23" s="13">
        <v>41821</v>
      </c>
      <c r="B23" s="4">
        <f>16 * CHOOSE(CONTROL!$C$9, $C$13, 100%, $E$13) + CHOOSE(CONTROL!$C$28, 0.0226, 0)</f>
        <v>16.022600000000001</v>
      </c>
      <c r="C23" s="4">
        <f>15.6367 * CHOOSE(CONTROL!$C$9, $C$13, 100%, $E$13) + CHOOSE(CONTROL!$C$28, 0.0226, 0)</f>
        <v>15.6593</v>
      </c>
      <c r="D23" s="4">
        <f>23.2538 * CHOOSE(CONTROL!$C$9, $C$13, 100%, $E$13) + CHOOSE(CONTROL!$C$28, 0.0021, 0)</f>
        <v>23.255899999999997</v>
      </c>
      <c r="E23" s="4">
        <f>107.26 * CHOOSE(CONTROL!$C$9, $C$13, 100%, $E$13) + CHOOSE(CONTROL!$C$28, 0.0021, 0)</f>
        <v>107.2621</v>
      </c>
    </row>
    <row r="24" spans="1:5" ht="15">
      <c r="A24" s="13">
        <v>41852</v>
      </c>
      <c r="B24" s="4">
        <f>15.1181 * CHOOSE(CONTROL!$C$9, $C$13, 100%, $E$13) + CHOOSE(CONTROL!$C$28, 0.0226, 0)</f>
        <v>15.140700000000001</v>
      </c>
      <c r="C24" s="4">
        <f>14.7548 * CHOOSE(CONTROL!$C$9, $C$13, 100%, $E$13) + CHOOSE(CONTROL!$C$28, 0.0226, 0)</f>
        <v>14.7774</v>
      </c>
      <c r="D24" s="4">
        <f>22.6472 * CHOOSE(CONTROL!$C$9, $C$13, 100%, $E$13) + CHOOSE(CONTROL!$C$28, 0.0021, 0)</f>
        <v>22.6493</v>
      </c>
      <c r="E24" s="4">
        <f>104.42 * CHOOSE(CONTROL!$C$9, $C$13, 100%, $E$13) + CHOOSE(CONTROL!$C$28, 0.0021, 0)</f>
        <v>104.4221</v>
      </c>
    </row>
    <row r="25" spans="1:5" ht="15">
      <c r="A25" s="13">
        <v>41883</v>
      </c>
      <c r="B25" s="4">
        <f>14.8465 * CHOOSE(CONTROL!$C$9, $C$13, 100%, $E$13) + CHOOSE(CONTROL!$C$28, 0.0226, 0)</f>
        <v>14.869100000000001</v>
      </c>
      <c r="C25" s="4">
        <f>14.4832 * CHOOSE(CONTROL!$C$9, $C$13, 100%, $E$13) + CHOOSE(CONTROL!$C$28, 0.0226, 0)</f>
        <v>14.505800000000001</v>
      </c>
      <c r="D25" s="4">
        <f>22.4332 * CHOOSE(CONTROL!$C$9, $C$13, 100%, $E$13) + CHOOSE(CONTROL!$C$28, 0.0021, 0)</f>
        <v>22.435299999999998</v>
      </c>
      <c r="E25" s="4">
        <f>96.07 * CHOOSE(CONTROL!$C$9, $C$13, 100%, $E$13) + CHOOSE(CONTROL!$C$28, 0.0021, 0)</f>
        <v>96.072099999999992</v>
      </c>
    </row>
    <row r="26" spans="1:5" ht="15">
      <c r="A26" s="13">
        <v>41913</v>
      </c>
      <c r="B26" s="4">
        <f>12.9487 * CHOOSE(CONTROL!$C$9, $C$13, 100%, $E$13) + CHOOSE(CONTROL!$C$28, 0.0226, 0)</f>
        <v>12.971300000000001</v>
      </c>
      <c r="C26" s="4">
        <f>12.5855 * CHOOSE(CONTROL!$C$9, $C$13, 100%, $E$13) + CHOOSE(CONTROL!$C$28, 0.0226, 0)</f>
        <v>12.6081</v>
      </c>
      <c r="D26" s="4">
        <f>20.9225 * CHOOSE(CONTROL!$C$9, $C$13, 100%, $E$13) + CHOOSE(CONTROL!$C$28, 0.0021, 0)</f>
        <v>20.924599999999998</v>
      </c>
      <c r="E26" s="4">
        <f>91.52 * CHOOSE(CONTROL!$C$9, $C$13, 100%, $E$13) + CHOOSE(CONTROL!$C$28, 0.0021, 0)</f>
        <v>91.522099999999995</v>
      </c>
    </row>
    <row r="27" spans="1:5" ht="15">
      <c r="A27" s="13">
        <v>41944</v>
      </c>
      <c r="B27" s="4">
        <f>11.6019 * CHOOSE(CONTROL!$C$9, $C$13, 100%, $E$13) + CHOOSE(CONTROL!$C$28, 0.0226, 0)</f>
        <v>11.624500000000001</v>
      </c>
      <c r="C27" s="4">
        <f>11.2386 * CHOOSE(CONTROL!$C$9, $C$13, 100%, $E$13) + CHOOSE(CONTROL!$C$28, 0.0226, 0)</f>
        <v>11.261200000000001</v>
      </c>
      <c r="D27" s="4">
        <f>19.9665 * CHOOSE(CONTROL!$C$9, $C$13, 100%, $E$13) + CHOOSE(CONTROL!$C$28, 0.0021, 0)</f>
        <v>19.968599999999999</v>
      </c>
      <c r="E27" s="4">
        <f>82.75 * CHOOSE(CONTROL!$C$9, $C$13, 100%, $E$13) + CHOOSE(CONTROL!$C$28, 0.0021, 0)</f>
        <v>82.752099999999999</v>
      </c>
    </row>
    <row r="28" spans="1:5" ht="15">
      <c r="A28" s="13">
        <v>41974</v>
      </c>
      <c r="B28" s="4">
        <f>10.6047 * CHOOSE(CONTROL!$C$9, $C$13, 100%, $E$13) + CHOOSE(CONTROL!$C$28, 0.0226, 0)</f>
        <v>10.6273</v>
      </c>
      <c r="C28" s="4">
        <f>10.2414 * CHOOSE(CONTROL!$C$9, $C$13, 100%, $E$13) + CHOOSE(CONTROL!$C$28, 0.0226, 0)</f>
        <v>10.264000000000001</v>
      </c>
      <c r="D28" s="4">
        <f>19.1164 * CHOOSE(CONTROL!$C$9, $C$13, 100%, $E$13) + CHOOSE(CONTROL!$C$28, 0.0021, 0)</f>
        <v>19.118499999999997</v>
      </c>
      <c r="E28" s="4">
        <f>75.58 * CHOOSE(CONTROL!$C$9, $C$13, 100%, $E$13) + CHOOSE(CONTROL!$C$28, 0.0021, 0)</f>
        <v>75.582099999999997</v>
      </c>
    </row>
    <row r="29" spans="1:5" ht="15">
      <c r="A29" s="13">
        <v>42005</v>
      </c>
      <c r="B29" s="4">
        <f>10.7656 * CHOOSE(CONTROL!$C$9, $C$13, 100%, $E$13) + CHOOSE(CONTROL!$C$28, 0.0226, 0)</f>
        <v>10.7882</v>
      </c>
      <c r="C29" s="4">
        <f>10.4023 * CHOOSE(CONTROL!$C$9, $C$13, 100%, $E$13) + CHOOSE(CONTROL!$C$28, 0.0226, 0)</f>
        <v>10.424900000000001</v>
      </c>
      <c r="D29" s="4">
        <f>17.7902 * CHOOSE(CONTROL!$C$9, $C$13, 100%, $E$13) + CHOOSE(CONTROL!$C$28, 0.0021, 0)</f>
        <v>17.792299999999997</v>
      </c>
      <c r="E29" s="4">
        <f>69 * CHOOSE(CONTROL!$C$9, $C$13, 100%, $E$13) + CHOOSE(CONTROL!$C$28, 0.0021, 0)</f>
        <v>69.002099999999999</v>
      </c>
    </row>
    <row r="30" spans="1:5" ht="15">
      <c r="A30" s="13">
        <v>42036</v>
      </c>
      <c r="B30" s="4">
        <f>10.7891 * CHOOSE(CONTROL!$C$9, $C$13, 100%, $E$13) + CHOOSE(CONTROL!$C$28, 0.0226, 0)</f>
        <v>10.8117</v>
      </c>
      <c r="C30" s="4">
        <f>10.4258 * CHOOSE(CONTROL!$C$9, $C$13, 100%, $E$13) + CHOOSE(CONTROL!$C$28, 0.0226, 0)</f>
        <v>10.448400000000001</v>
      </c>
      <c r="D30" s="4">
        <f>17.6944 * CHOOSE(CONTROL!$C$9, $C$13, 100%, $E$13) + CHOOSE(CONTROL!$C$28, 0.0021, 0)</f>
        <v>17.6965</v>
      </c>
      <c r="E30" s="4">
        <f>69.1 * CHOOSE(CONTROL!$C$9, $C$13, 100%, $E$13) + CHOOSE(CONTROL!$C$28, 0.0021, 0)</f>
        <v>69.102099999999993</v>
      </c>
    </row>
    <row r="31" spans="1:5" ht="15">
      <c r="A31" s="13">
        <v>42064</v>
      </c>
      <c r="B31" s="4">
        <f>10.8125 * CHOOSE(CONTROL!$C$9, $C$13, 100%, $E$13) + CHOOSE(CONTROL!$C$28, 0.0226, 0)</f>
        <v>10.835100000000001</v>
      </c>
      <c r="C31" s="4">
        <f>10.4492 * CHOOSE(CONTROL!$C$9, $C$13, 100%, $E$13) + CHOOSE(CONTROL!$C$28, 0.0226, 0)</f>
        <v>10.4718</v>
      </c>
      <c r="D31" s="4">
        <f>17.6187 * CHOOSE(CONTROL!$C$9, $C$13, 100%, $E$13) + CHOOSE(CONTROL!$C$28, 0.0021, 0)</f>
        <v>17.620799999999999</v>
      </c>
      <c r="E31" s="4">
        <f>69.21 * CHOOSE(CONTROL!$C$9, $C$13, 100%, $E$13) + CHOOSE(CONTROL!$C$28, 0.0021, 0)</f>
        <v>69.212099999999992</v>
      </c>
    </row>
    <row r="32" spans="1:5" ht="15">
      <c r="A32" s="13">
        <v>42095</v>
      </c>
      <c r="B32" s="4">
        <f>10.8438 * CHOOSE(CONTROL!$C$9, $C$13, 100%, $E$13) + CHOOSE(CONTROL!$C$28, 0.0226, 0)</f>
        <v>10.866400000000001</v>
      </c>
      <c r="C32" s="4">
        <f>10.4805 * CHOOSE(CONTROL!$C$9, $C$13, 100%, $E$13) + CHOOSE(CONTROL!$C$28, 0.0226, 0)</f>
        <v>10.5031</v>
      </c>
      <c r="D32" s="4">
        <f>17.5452 * CHOOSE(CONTROL!$C$9, $C$13, 100%, $E$13) + CHOOSE(CONTROL!$C$28, 0.0021, 0)</f>
        <v>17.5473</v>
      </c>
      <c r="E32" s="4">
        <f>69.41 * CHOOSE(CONTROL!$C$9, $C$13, 100%, $E$13) + CHOOSE(CONTROL!$C$28, 0.0021, 0)</f>
        <v>69.412099999999995</v>
      </c>
    </row>
    <row r="33" spans="1:5" ht="15">
      <c r="A33" s="13">
        <v>42125</v>
      </c>
      <c r="B33" s="4">
        <f>10.8828 * CHOOSE(CONTROL!$C$9, $C$13, 100%, $E$13) + CHOOSE(CONTROL!$C$28, 0.0226, 0)</f>
        <v>10.9054</v>
      </c>
      <c r="C33" s="4">
        <f>10.5195 * CHOOSE(CONTROL!$C$9, $C$13, 100%, $E$13) + CHOOSE(CONTROL!$C$28, 0.0226, 0)</f>
        <v>10.542100000000001</v>
      </c>
      <c r="D33" s="4">
        <f>17.5416 * CHOOSE(CONTROL!$C$9, $C$13, 100%, $E$13) + CHOOSE(CONTROL!$C$28, 0.0021, 0)</f>
        <v>17.543699999999998</v>
      </c>
      <c r="E33" s="4">
        <f>69.62 * CHOOSE(CONTROL!$C$9, $C$13, 100%, $E$13) + CHOOSE(CONTROL!$C$28, 0.0021, 0)</f>
        <v>69.622100000000003</v>
      </c>
    </row>
    <row r="34" spans="1:5" ht="15">
      <c r="A34" s="13">
        <v>42156</v>
      </c>
      <c r="B34" s="4">
        <f>10.9219 * CHOOSE(CONTROL!$C$9, $C$13, 100%, $E$13) + CHOOSE(CONTROL!$C$28, 0.0226, 0)</f>
        <v>10.944500000000001</v>
      </c>
      <c r="C34" s="4">
        <f>10.5586 * CHOOSE(CONTROL!$C$9, $C$13, 100%, $E$13) + CHOOSE(CONTROL!$C$28, 0.0226, 0)</f>
        <v>10.581200000000001</v>
      </c>
      <c r="D34" s="4">
        <f>17.587 * CHOOSE(CONTROL!$C$9, $C$13, 100%, $E$13) + CHOOSE(CONTROL!$C$28, 0.0021, 0)</f>
        <v>17.589099999999998</v>
      </c>
      <c r="E34" s="4">
        <f>69.79 * CHOOSE(CONTROL!$C$9, $C$13, 100%, $E$13) + CHOOSE(CONTROL!$C$28, 0.0021, 0)</f>
        <v>69.792100000000005</v>
      </c>
    </row>
    <row r="35" spans="1:5" ht="15">
      <c r="A35" s="13">
        <v>42186</v>
      </c>
      <c r="B35" s="4">
        <f>10.9688 * CHOOSE(CONTROL!$C$9, $C$13, 100%, $E$13) + CHOOSE(CONTROL!$C$28, 0.0226, 0)</f>
        <v>10.991400000000001</v>
      </c>
      <c r="C35" s="4">
        <f>10.6055 * CHOOSE(CONTROL!$C$9, $C$13, 100%, $E$13) + CHOOSE(CONTROL!$C$28, 0.0226, 0)</f>
        <v>10.6281</v>
      </c>
      <c r="D35" s="4">
        <f>17.6771 * CHOOSE(CONTROL!$C$9, $C$13, 100%, $E$13) + CHOOSE(CONTROL!$C$28, 0.0021, 0)</f>
        <v>17.679199999999998</v>
      </c>
      <c r="E35" s="4">
        <f>69.89 * CHOOSE(CONTROL!$C$9, $C$13, 100%, $E$13) + CHOOSE(CONTROL!$C$28, 0.0021, 0)</f>
        <v>69.892099999999999</v>
      </c>
    </row>
    <row r="36" spans="1:5" ht="15">
      <c r="A36" s="13">
        <v>42217</v>
      </c>
      <c r="B36" s="4">
        <f>11.0156 * CHOOSE(CONTROL!$C$9, $C$13, 100%, $E$13) + CHOOSE(CONTROL!$C$28, 0.0226, 0)</f>
        <v>11.0382</v>
      </c>
      <c r="C36" s="4">
        <f>10.6523 * CHOOSE(CONTROL!$C$9, $C$13, 100%, $E$13) + CHOOSE(CONTROL!$C$28, 0.0226, 0)</f>
        <v>10.674900000000001</v>
      </c>
      <c r="D36" s="4">
        <f>17.7635 * CHOOSE(CONTROL!$C$9, $C$13, 100%, $E$13) + CHOOSE(CONTROL!$C$28, 0.0021, 0)</f>
        <v>17.765599999999999</v>
      </c>
      <c r="E36" s="4">
        <f>69.98 * CHOOSE(CONTROL!$C$9, $C$13, 100%, $E$13) + CHOOSE(CONTROL!$C$28, 0.0021, 0)</f>
        <v>69.982100000000003</v>
      </c>
    </row>
    <row r="37" spans="1:5" ht="15">
      <c r="A37" s="13">
        <v>42248</v>
      </c>
      <c r="B37" s="4">
        <f>11.0625 * CHOOSE(CONTROL!$C$9, $C$13, 100%, $E$13) + CHOOSE(CONTROL!$C$28, 0.0226, 0)</f>
        <v>11.085100000000001</v>
      </c>
      <c r="C37" s="4">
        <f>10.6992 * CHOOSE(CONTROL!$C$9, $C$13, 100%, $E$13) + CHOOSE(CONTROL!$C$28, 0.0226, 0)</f>
        <v>10.7218</v>
      </c>
      <c r="D37" s="4">
        <f>17.855 * CHOOSE(CONTROL!$C$9, $C$13, 100%, $E$13) + CHOOSE(CONTROL!$C$28, 0.0021, 0)</f>
        <v>17.857099999999999</v>
      </c>
      <c r="E37" s="4">
        <f>70.11 * CHOOSE(CONTROL!$C$9, $C$13, 100%, $E$13) + CHOOSE(CONTROL!$C$28, 0.0021, 0)</f>
        <v>70.112099999999998</v>
      </c>
    </row>
    <row r="38" spans="1:5" ht="15">
      <c r="A38" s="13">
        <v>42278</v>
      </c>
      <c r="B38" s="4">
        <f>11.1094 * CHOOSE(CONTROL!$C$9, $C$13, 100%, $E$13) + CHOOSE(CONTROL!$C$28, 0.0226, 0)</f>
        <v>11.132000000000001</v>
      </c>
      <c r="C38" s="4">
        <f>10.7461 * CHOOSE(CONTROL!$C$9, $C$13, 100%, $E$13) + CHOOSE(CONTROL!$C$28, 0.0226, 0)</f>
        <v>10.768700000000001</v>
      </c>
      <c r="D38" s="4">
        <f>17.953 * CHOOSE(CONTROL!$C$9, $C$13, 100%, $E$13) + CHOOSE(CONTROL!$C$28, 0.0021, 0)</f>
        <v>17.955099999999998</v>
      </c>
      <c r="E38" s="4">
        <f>70.27 * CHOOSE(CONTROL!$C$9, $C$13, 100%, $E$13) + CHOOSE(CONTROL!$C$28, 0.0021, 0)</f>
        <v>70.272099999999995</v>
      </c>
    </row>
    <row r="39" spans="1:5" ht="15">
      <c r="A39" s="13">
        <v>42309</v>
      </c>
      <c r="B39" s="4">
        <f>11.1562 * CHOOSE(CONTROL!$C$9, $C$13, 100%, $E$13) + CHOOSE(CONTROL!$C$28, 0.0226, 0)</f>
        <v>11.178800000000001</v>
      </c>
      <c r="C39" s="4">
        <f>10.793 * CHOOSE(CONTROL!$C$9, $C$13, 100%, $E$13) + CHOOSE(CONTROL!$C$28, 0.0226, 0)</f>
        <v>10.8156</v>
      </c>
      <c r="D39" s="4">
        <f>18.0466 * CHOOSE(CONTROL!$C$9, $C$13, 100%, $E$13) + CHOOSE(CONTROL!$C$28, 0.0021, 0)</f>
        <v>18.0487</v>
      </c>
      <c r="E39" s="4">
        <f>70.47 * CHOOSE(CONTROL!$C$9, $C$13, 100%, $E$13) + CHOOSE(CONTROL!$C$28, 0.0021, 0)</f>
        <v>70.472099999999998</v>
      </c>
    </row>
    <row r="40" spans="1:5" ht="15">
      <c r="A40" s="13">
        <v>42339</v>
      </c>
      <c r="B40" s="4">
        <f>11.2031 * CHOOSE(CONTROL!$C$9, $C$13, 100%, $E$13) + CHOOSE(CONTROL!$C$28, 0.0226, 0)</f>
        <v>11.2257</v>
      </c>
      <c r="C40" s="4">
        <f>10.8398 * CHOOSE(CONTROL!$C$9, $C$13, 100%, $E$13) + CHOOSE(CONTROL!$C$28, 0.0226, 0)</f>
        <v>10.862400000000001</v>
      </c>
      <c r="D40" s="4">
        <f>18.1266 * CHOOSE(CONTROL!$C$9, $C$13, 100%, $E$13) + CHOOSE(CONTROL!$C$28, 0.0021, 0)</f>
        <v>18.128699999999998</v>
      </c>
      <c r="E40" s="4">
        <f>70.7 * CHOOSE(CONTROL!$C$9, $C$13, 100%, $E$13) + CHOOSE(CONTROL!$C$28, 0.0021, 0)</f>
        <v>70.702100000000002</v>
      </c>
    </row>
    <row r="41" spans="1:5" ht="15">
      <c r="A41" s="13">
        <v>42370</v>
      </c>
      <c r="B41" s="4">
        <f>11.2734 * CHOOSE(CONTROL!$C$9, $C$13, 100%, $E$13) + CHOOSE(CONTROL!$C$28, 0.0226, 0)</f>
        <v>11.296000000000001</v>
      </c>
      <c r="C41" s="4">
        <f>10.9102 * CHOOSE(CONTROL!$C$9, $C$13, 100%, $E$13) + CHOOSE(CONTROL!$C$28, 0.0226, 0)</f>
        <v>10.9328</v>
      </c>
      <c r="D41" s="4">
        <f>18.195 * CHOOSE(CONTROL!$C$9, $C$13, 100%, $E$13) + CHOOSE(CONTROL!$C$28, 0.0021, 0)</f>
        <v>18.197099999999999</v>
      </c>
      <c r="E41" s="4">
        <f>70.85 * CHOOSE(CONTROL!$C$9, $C$13, 100%, $E$13) + CHOOSE(CONTROL!$C$28, 0.0021, 0)</f>
        <v>70.852099999999993</v>
      </c>
    </row>
    <row r="42" spans="1:5" ht="15">
      <c r="A42" s="13">
        <v>42401</v>
      </c>
      <c r="B42" s="4">
        <f>11.3438 * CHOOSE(CONTROL!$C$9, $C$13, 100%, $E$13) + CHOOSE(CONTROL!$C$28, 0.0226, 0)</f>
        <v>11.366400000000001</v>
      </c>
      <c r="C42" s="4">
        <f>10.9805 * CHOOSE(CONTROL!$C$9, $C$13, 100%, $E$13) + CHOOSE(CONTROL!$C$28, 0.0226, 0)</f>
        <v>11.0031</v>
      </c>
      <c r="D42" s="4">
        <f>18.2008 * CHOOSE(CONTROL!$C$9, $C$13, 100%, $E$13) + CHOOSE(CONTROL!$C$28, 0.0021, 0)</f>
        <v>18.2029</v>
      </c>
      <c r="E42" s="4">
        <f>71.03 * CHOOSE(CONTROL!$C$9, $C$13, 100%, $E$13) + CHOOSE(CONTROL!$C$28, 0.0021, 0)</f>
        <v>71.0321</v>
      </c>
    </row>
    <row r="43" spans="1:5" ht="15">
      <c r="A43" s="13">
        <v>42430</v>
      </c>
      <c r="B43" s="4">
        <f>11.4141 * CHOOSE(CONTROL!$C$9, $C$13, 100%, $E$13) + CHOOSE(CONTROL!$C$28, 0.0226, 0)</f>
        <v>11.4367</v>
      </c>
      <c r="C43" s="4">
        <f>11.0508 * CHOOSE(CONTROL!$C$9, $C$13, 100%, $E$13) + CHOOSE(CONTROL!$C$28, 0.0226, 0)</f>
        <v>11.073400000000001</v>
      </c>
      <c r="D43" s="4">
        <f>18.1446 * CHOOSE(CONTROL!$C$9, $C$13, 100%, $E$13) + CHOOSE(CONTROL!$C$28, 0.0021, 0)</f>
        <v>18.146699999999999</v>
      </c>
      <c r="E43" s="4">
        <f>71.22 * CHOOSE(CONTROL!$C$9, $C$13, 100%, $E$13) + CHOOSE(CONTROL!$C$28, 0.0021, 0)</f>
        <v>71.222099999999998</v>
      </c>
    </row>
    <row r="44" spans="1:5" ht="15">
      <c r="A44" s="13">
        <v>42461</v>
      </c>
      <c r="B44" s="4">
        <f>11.4844 * CHOOSE(CONTROL!$C$9, $C$13, 100%, $E$13) + CHOOSE(CONTROL!$C$28, 0.0226, 0)</f>
        <v>11.507000000000001</v>
      </c>
      <c r="C44" s="4">
        <f>11.1211 * CHOOSE(CONTROL!$C$9, $C$13, 100%, $E$13) + CHOOSE(CONTROL!$C$28, 0.0226, 0)</f>
        <v>11.143700000000001</v>
      </c>
      <c r="D44" s="4">
        <f>18.0726 * CHOOSE(CONTROL!$C$9, $C$13, 100%, $E$13) + CHOOSE(CONTROL!$C$28, 0.0021, 0)</f>
        <v>18.0747</v>
      </c>
      <c r="E44" s="4">
        <f>71.43 * CHOOSE(CONTROL!$C$9, $C$13, 100%, $E$13) + CHOOSE(CONTROL!$C$28, 0.0021, 0)</f>
        <v>71.432100000000005</v>
      </c>
    </row>
    <row r="45" spans="1:5" ht="15">
      <c r="A45" s="13">
        <v>42491</v>
      </c>
      <c r="B45" s="4">
        <f>11.5547 * CHOOSE(CONTROL!$C$9, $C$13, 100%, $E$13) + CHOOSE(CONTROL!$C$28, 0.0226, 0)</f>
        <v>11.577300000000001</v>
      </c>
      <c r="C45" s="4">
        <f>11.1914 * CHOOSE(CONTROL!$C$9, $C$13, 100%, $E$13) + CHOOSE(CONTROL!$C$28, 0.0226, 0)</f>
        <v>11.214</v>
      </c>
      <c r="D45" s="4">
        <f>18.0999 * CHOOSE(CONTROL!$C$9, $C$13, 100%, $E$13) + CHOOSE(CONTROL!$C$28, 0.0021, 0)</f>
        <v>18.102</v>
      </c>
      <c r="E45" s="4">
        <f>71.68 * CHOOSE(CONTROL!$C$9, $C$13, 100%, $E$13) + CHOOSE(CONTROL!$C$28, 0.0021, 0)</f>
        <v>71.682100000000005</v>
      </c>
    </row>
    <row r="46" spans="1:5" ht="15">
      <c r="A46" s="13">
        <v>42522</v>
      </c>
      <c r="B46" s="4">
        <f>11.625 * CHOOSE(CONTROL!$C$9, $C$13, 100%, $E$13) + CHOOSE(CONTROL!$C$28, 0.0226, 0)</f>
        <v>11.647600000000001</v>
      </c>
      <c r="C46" s="4">
        <f>11.2617 * CHOOSE(CONTROL!$C$9, $C$13, 100%, $E$13) + CHOOSE(CONTROL!$C$28, 0.0226, 0)</f>
        <v>11.2843</v>
      </c>
      <c r="D46" s="4">
        <f>18.1504 * CHOOSE(CONTROL!$C$9, $C$13, 100%, $E$13) + CHOOSE(CONTROL!$C$28, 0.0021, 0)</f>
        <v>18.1525</v>
      </c>
      <c r="E46" s="4">
        <f>71.97 * CHOOSE(CONTROL!$C$9, $C$13, 100%, $E$13) + CHOOSE(CONTROL!$C$28, 0.0021, 0)</f>
        <v>71.972099999999998</v>
      </c>
    </row>
    <row r="47" spans="1:5" ht="15">
      <c r="A47" s="13">
        <v>42552</v>
      </c>
      <c r="B47" s="4">
        <f>11.6953 * CHOOSE(CONTROL!$C$9, $C$13, 100%, $E$13) + CHOOSE(CONTROL!$C$28, 0.0226, 0)</f>
        <v>11.7179</v>
      </c>
      <c r="C47" s="4">
        <f>11.332 * CHOOSE(CONTROL!$C$9, $C$13, 100%, $E$13) + CHOOSE(CONTROL!$C$28, 0.0226, 0)</f>
        <v>11.354600000000001</v>
      </c>
      <c r="D47" s="4">
        <f>18.226 * CHOOSE(CONTROL!$C$9, $C$13, 100%, $E$13) + CHOOSE(CONTROL!$C$28, 0.0021, 0)</f>
        <v>18.228099999999998</v>
      </c>
      <c r="E47" s="4">
        <f>72.14 * CHOOSE(CONTROL!$C$9, $C$13, 100%, $E$13) + CHOOSE(CONTROL!$C$28, 0.0021, 0)</f>
        <v>72.142099999999999</v>
      </c>
    </row>
    <row r="48" spans="1:5" ht="15">
      <c r="A48" s="13">
        <v>42583</v>
      </c>
      <c r="B48" s="4">
        <f>11.7656 * CHOOSE(CONTROL!$C$9, $C$13, 100%, $E$13) + CHOOSE(CONTROL!$C$28, 0.0226, 0)</f>
        <v>11.7882</v>
      </c>
      <c r="C48" s="4">
        <f>11.4023 * CHOOSE(CONTROL!$C$9, $C$13, 100%, $E$13) + CHOOSE(CONTROL!$C$28, 0.0226, 0)</f>
        <v>11.424900000000001</v>
      </c>
      <c r="D48" s="4">
        <f>18.3053 * CHOOSE(CONTROL!$C$9, $C$13, 100%, $E$13) + CHOOSE(CONTROL!$C$28, 0.0021, 0)</f>
        <v>18.307399999999998</v>
      </c>
      <c r="E48" s="4">
        <f>72.37 * CHOOSE(CONTROL!$C$9, $C$13, 100%, $E$13) + CHOOSE(CONTROL!$C$28, 0.0021, 0)</f>
        <v>72.372100000000003</v>
      </c>
    </row>
    <row r="49" spans="1:5" ht="15">
      <c r="A49" s="13">
        <v>42614</v>
      </c>
      <c r="B49" s="4">
        <f>11.8281 * CHOOSE(CONTROL!$C$9, $C$13, 100%, $E$13) + CHOOSE(CONTROL!$C$28, 0.0226, 0)</f>
        <v>11.8507</v>
      </c>
      <c r="C49" s="4">
        <f>11.4648 * CHOOSE(CONTROL!$C$9, $C$13, 100%, $E$13) + CHOOSE(CONTROL!$C$28, 0.0226, 0)</f>
        <v>11.487400000000001</v>
      </c>
      <c r="D49" s="4">
        <f>18.3917 * CHOOSE(CONTROL!$C$9, $C$13, 100%, $E$13) + CHOOSE(CONTROL!$C$28, 0.0021, 0)</f>
        <v>18.393799999999999</v>
      </c>
      <c r="E49" s="4">
        <f>72.63 * CHOOSE(CONTROL!$C$9, $C$13, 100%, $E$13) + CHOOSE(CONTROL!$C$28, 0.0021, 0)</f>
        <v>72.632099999999994</v>
      </c>
    </row>
    <row r="50" spans="1:5" ht="15">
      <c r="A50" s="13">
        <v>42644</v>
      </c>
      <c r="B50" s="4">
        <f>11.8906 * CHOOSE(CONTROL!$C$9, $C$13, 100%, $E$13) + CHOOSE(CONTROL!$C$28, 0.0226, 0)</f>
        <v>11.9132</v>
      </c>
      <c r="C50" s="4">
        <f>11.5273 * CHOOSE(CONTROL!$C$9, $C$13, 100%, $E$13) + CHOOSE(CONTROL!$C$28, 0.0226, 0)</f>
        <v>11.549900000000001</v>
      </c>
      <c r="D50" s="4">
        <f>18.4854 * CHOOSE(CONTROL!$C$9, $C$13, 100%, $E$13) + CHOOSE(CONTROL!$C$28, 0.0021, 0)</f>
        <v>18.487499999999997</v>
      </c>
      <c r="E50" s="4">
        <f>72.9 * CHOOSE(CONTROL!$C$9, $C$13, 100%, $E$13) + CHOOSE(CONTROL!$C$28, 0.0021, 0)</f>
        <v>72.902100000000004</v>
      </c>
    </row>
    <row r="51" spans="1:5" ht="15">
      <c r="A51" s="13">
        <v>42675</v>
      </c>
      <c r="B51" s="4">
        <f>11.9531 * CHOOSE(CONTROL!$C$9, $C$13, 100%, $E$13) + CHOOSE(CONTROL!$C$28, 0.0226, 0)</f>
        <v>11.9757</v>
      </c>
      <c r="C51" s="4">
        <f>11.5898 * CHOOSE(CONTROL!$C$9, $C$13, 100%, $E$13) + CHOOSE(CONTROL!$C$28, 0.0226, 0)</f>
        <v>11.612400000000001</v>
      </c>
      <c r="D51" s="4">
        <f>18.5754 * CHOOSE(CONTROL!$C$9, $C$13, 100%, $E$13) + CHOOSE(CONTROL!$C$28, 0.0021, 0)</f>
        <v>18.577499999999997</v>
      </c>
      <c r="E51" s="4">
        <f>73.2 * CHOOSE(CONTROL!$C$9, $C$13, 100%, $E$13) + CHOOSE(CONTROL!$C$28, 0.0021, 0)</f>
        <v>73.202100000000002</v>
      </c>
    </row>
    <row r="52" spans="1:5" ht="15">
      <c r="A52" s="13">
        <v>42705</v>
      </c>
      <c r="B52" s="4">
        <f>12.0156 * CHOOSE(CONTROL!$C$9, $C$13, 100%, $E$13) + CHOOSE(CONTROL!$C$28, 0.0226, 0)</f>
        <v>12.0382</v>
      </c>
      <c r="C52" s="4">
        <f>11.6523 * CHOOSE(CONTROL!$C$9, $C$13, 100%, $E$13) + CHOOSE(CONTROL!$C$28, 0.0226, 0)</f>
        <v>11.674900000000001</v>
      </c>
      <c r="D52" s="4">
        <f>18.6619 * CHOOSE(CONTROL!$C$9, $C$13, 100%, $E$13) + CHOOSE(CONTROL!$C$28, 0.0021, 0)</f>
        <v>18.663999999999998</v>
      </c>
      <c r="E52" s="4">
        <f>73.5 * CHOOSE(CONTROL!$C$9, $C$13, 100%, $E$13) + CHOOSE(CONTROL!$C$28, 0.0021, 0)</f>
        <v>73.502099999999999</v>
      </c>
    </row>
    <row r="53" spans="1:5" ht="15">
      <c r="A53" s="13">
        <v>42736</v>
      </c>
      <c r="B53" s="4">
        <f>11.0718 * CHOOSE(CONTROL!$C$9, $C$13, 100%, $E$13) + CHOOSE(CONTROL!$C$28, 0.0226, 0)</f>
        <v>11.0944</v>
      </c>
      <c r="C53" s="4">
        <f>10.7085 * CHOOSE(CONTROL!$C$9, $C$13, 100%, $E$13) + CHOOSE(CONTROL!$C$28, 0.0226, 0)</f>
        <v>10.731100000000001</v>
      </c>
      <c r="D53" s="4">
        <f>17.3267 * CHOOSE(CONTROL!$C$9, $C$13, 100%, $E$13) + CHOOSE(CONTROL!$C$28, 0.0021, 0)</f>
        <v>17.328799999999998</v>
      </c>
      <c r="E53" s="4">
        <f>67.5899004713661 * CHOOSE(CONTROL!$C$9, $C$13, 100%, $E$13) + CHOOSE(CONTROL!$C$28, 0.0021, 0)</f>
        <v>67.592000471366092</v>
      </c>
    </row>
    <row r="54" spans="1:5" ht="15">
      <c r="A54" s="13">
        <v>42767</v>
      </c>
      <c r="B54" s="4">
        <f>11.3163 * CHOOSE(CONTROL!$C$9, $C$13, 100%, $E$13) + CHOOSE(CONTROL!$C$28, 0.0226, 0)</f>
        <v>11.338900000000001</v>
      </c>
      <c r="C54" s="4">
        <f>10.953 * CHOOSE(CONTROL!$C$9, $C$13, 100%, $E$13) + CHOOSE(CONTROL!$C$28, 0.0226, 0)</f>
        <v>10.9756</v>
      </c>
      <c r="D54" s="4">
        <f>17.8728 * CHOOSE(CONTROL!$C$9, $C$13, 100%, $E$13) + CHOOSE(CONTROL!$C$28, 0.0021, 0)</f>
        <v>17.8749</v>
      </c>
      <c r="E54" s="4">
        <f>69.1947510742332 * CHOOSE(CONTROL!$C$9, $C$13, 100%, $E$13) + CHOOSE(CONTROL!$C$28, 0.0021, 0)</f>
        <v>69.196851074233194</v>
      </c>
    </row>
    <row r="55" spans="1:5" ht="15">
      <c r="A55" s="13">
        <v>42795</v>
      </c>
      <c r="B55" s="4">
        <f>11.9584 * CHOOSE(CONTROL!$C$9, $C$13, 100%, $E$13) + CHOOSE(CONTROL!$C$28, 0.0226, 0)</f>
        <v>11.981</v>
      </c>
      <c r="C55" s="4">
        <f>11.5951 * CHOOSE(CONTROL!$C$9, $C$13, 100%, $E$13) + CHOOSE(CONTROL!$C$28, 0.0226, 0)</f>
        <v>11.617700000000001</v>
      </c>
      <c r="D55" s="4">
        <f>18.7278 * CHOOSE(CONTROL!$C$9, $C$13, 100%, $E$13) + CHOOSE(CONTROL!$C$28, 0.0021, 0)</f>
        <v>18.729899999999997</v>
      </c>
      <c r="E55" s="4">
        <f>73.4091740443029 * CHOOSE(CONTROL!$C$9, $C$13, 100%, $E$13) + CHOOSE(CONTROL!$C$28, 0.0021, 0)</f>
        <v>73.4112740443029</v>
      </c>
    </row>
    <row r="56" spans="1:5" ht="15">
      <c r="A56" s="13">
        <v>42826</v>
      </c>
      <c r="B56" s="4">
        <f>12.4147 * CHOOSE(CONTROL!$C$9, $C$13, 100%, $E$13) + CHOOSE(CONTROL!$C$28, 0.0226, 0)</f>
        <v>12.4373</v>
      </c>
      <c r="C56" s="4">
        <f>12.0514 * CHOOSE(CONTROL!$C$9, $C$13, 100%, $E$13) + CHOOSE(CONTROL!$C$28, 0.0226, 0)</f>
        <v>12.074</v>
      </c>
      <c r="D56" s="4">
        <f>19.2203 * CHOOSE(CONTROL!$C$9, $C$13, 100%, $E$13) + CHOOSE(CONTROL!$C$28, 0.0021, 0)</f>
        <v>19.2224</v>
      </c>
      <c r="E56" s="4">
        <f>76.403577729108 * CHOOSE(CONTROL!$C$9, $C$13, 100%, $E$13) + CHOOSE(CONTROL!$C$28, 0.0021, 0)</f>
        <v>76.405677729107992</v>
      </c>
    </row>
    <row r="57" spans="1:5" ht="15">
      <c r="A57" s="13">
        <v>42856</v>
      </c>
      <c r="B57" s="4">
        <f>12.6934 * CHOOSE(CONTROL!$C$9, $C$13, 100%, $E$13) + CHOOSE(CONTROL!$C$28, 0.0226, 0)</f>
        <v>12.716000000000001</v>
      </c>
      <c r="C57" s="4">
        <f>12.3301 * CHOOSE(CONTROL!$C$9, $C$13, 100%, $E$13) + CHOOSE(CONTROL!$C$28, 0.0226, 0)</f>
        <v>12.3527</v>
      </c>
      <c r="D57" s="4">
        <f>19.0257 * CHOOSE(CONTROL!$C$9, $C$13, 100%, $E$13) + CHOOSE(CONTROL!$C$28, 0.0021, 0)</f>
        <v>19.027799999999999</v>
      </c>
      <c r="E57" s="4">
        <f>78.2330866146837 * CHOOSE(CONTROL!$C$9, $C$13, 100%, $E$13) + CHOOSE(CONTROL!$C$28, 0.0021, 0)</f>
        <v>78.235186614683698</v>
      </c>
    </row>
    <row r="58" spans="1:5" ht="15">
      <c r="A58" s="13">
        <v>42887</v>
      </c>
      <c r="B58" s="4">
        <f>12.7311 * CHOOSE(CONTROL!$C$9, $C$13, 100%, $E$13) + CHOOSE(CONTROL!$C$28, 0.0226, 0)</f>
        <v>12.7537</v>
      </c>
      <c r="C58" s="4">
        <f>12.3679 * CHOOSE(CONTROL!$C$9, $C$13, 100%, $E$13) + CHOOSE(CONTROL!$C$28, 0.0226, 0)</f>
        <v>12.390500000000001</v>
      </c>
      <c r="D58" s="4">
        <f>19.1842 * CHOOSE(CONTROL!$C$9, $C$13, 100%, $E$13) + CHOOSE(CONTROL!$C$28, 0.0021, 0)</f>
        <v>19.186299999999999</v>
      </c>
      <c r="E58" s="4">
        <f>78.4806267595199 * CHOOSE(CONTROL!$C$9, $C$13, 100%, $E$13) + CHOOSE(CONTROL!$C$28, 0.0021, 0)</f>
        <v>78.482726759519892</v>
      </c>
    </row>
    <row r="59" spans="1:5" ht="15">
      <c r="A59" s="13">
        <v>42917</v>
      </c>
      <c r="B59" s="4">
        <f>12.7273 * CHOOSE(CONTROL!$C$9, $C$13, 100%, $E$13) + CHOOSE(CONTROL!$C$28, 0.0226, 0)</f>
        <v>12.7499</v>
      </c>
      <c r="C59" s="4">
        <f>12.3641 * CHOOSE(CONTROL!$C$9, $C$13, 100%, $E$13) + CHOOSE(CONTROL!$C$28, 0.0226, 0)</f>
        <v>12.386700000000001</v>
      </c>
      <c r="D59" s="4">
        <f>19.4702 * CHOOSE(CONTROL!$C$9, $C$13, 100%, $E$13) + CHOOSE(CONTROL!$C$28, 0.0021, 0)</f>
        <v>19.472299999999997</v>
      </c>
      <c r="E59" s="4">
        <f>78.4556647281079 * CHOOSE(CONTROL!$C$9, $C$13, 100%, $E$13) + CHOOSE(CONTROL!$C$28, 0.0021, 0)</f>
        <v>78.457764728107904</v>
      </c>
    </row>
    <row r="60" spans="1:5" ht="15">
      <c r="A60" s="13">
        <v>42948</v>
      </c>
      <c r="B60" s="4">
        <f>13.0135 * CHOOSE(CONTROL!$C$9, $C$13, 100%, $E$13) + CHOOSE(CONTROL!$C$28, 0.0226, 0)</f>
        <v>13.036100000000001</v>
      </c>
      <c r="C60" s="4">
        <f>12.6503 * CHOOSE(CONTROL!$C$9, $C$13, 100%, $E$13) + CHOOSE(CONTROL!$C$28, 0.0226, 0)</f>
        <v>12.6729</v>
      </c>
      <c r="D60" s="4">
        <f>19.2813 * CHOOSE(CONTROL!$C$9, $C$13, 100%, $E$13) + CHOOSE(CONTROL!$C$28, 0.0021, 0)</f>
        <v>19.2834</v>
      </c>
      <c r="E60" s="4">
        <f>80.3340575918655 * CHOOSE(CONTROL!$C$9, $C$13, 100%, $E$13) + CHOOSE(CONTROL!$C$28, 0.0021, 0)</f>
        <v>80.336157591865501</v>
      </c>
    </row>
    <row r="61" spans="1:5" ht="15">
      <c r="A61" s="13">
        <v>42979</v>
      </c>
      <c r="B61" s="4">
        <f>12.5258 * CHOOSE(CONTROL!$C$9, $C$13, 100%, $E$13) + CHOOSE(CONTROL!$C$28, 0.0226, 0)</f>
        <v>12.548400000000001</v>
      </c>
      <c r="C61" s="4">
        <f>12.1625 * CHOOSE(CONTROL!$C$9, $C$13, 100%, $E$13) + CHOOSE(CONTROL!$C$28, 0.0226, 0)</f>
        <v>12.1851</v>
      </c>
      <c r="D61" s="4">
        <f>19.1921 * CHOOSE(CONTROL!$C$9, $C$13, 100%, $E$13) + CHOOSE(CONTROL!$C$28, 0.0021, 0)</f>
        <v>19.194199999999999</v>
      </c>
      <c r="E61" s="4">
        <f>77.1326770632686 * CHOOSE(CONTROL!$C$9, $C$13, 100%, $E$13) + CHOOSE(CONTROL!$C$28, 0.0021, 0)</f>
        <v>77.134777063268601</v>
      </c>
    </row>
    <row r="62" spans="1:5" ht="15">
      <c r="A62" s="13">
        <v>43009</v>
      </c>
      <c r="B62" s="4">
        <f>12.1353 * CHOOSE(CONTROL!$C$9, $C$13, 100%, $E$13) + CHOOSE(CONTROL!$C$28, 0.0226, 0)</f>
        <v>12.157900000000001</v>
      </c>
      <c r="C62" s="4">
        <f>11.772 * CHOOSE(CONTROL!$C$9, $C$13, 100%, $E$13) + CHOOSE(CONTROL!$C$28, 0.0226, 0)</f>
        <v>11.794600000000001</v>
      </c>
      <c r="D62" s="4">
        <f>18.9532 * CHOOSE(CONTROL!$C$9, $C$13, 100%, $E$13) + CHOOSE(CONTROL!$C$28, 0.0021, 0)</f>
        <v>18.955299999999998</v>
      </c>
      <c r="E62" s="4">
        <f>74.5699085049637 * CHOOSE(CONTROL!$C$9, $C$13, 100%, $E$13) + CHOOSE(CONTROL!$C$28, 0.0021, 0)</f>
        <v>74.572008504963705</v>
      </c>
    </row>
    <row r="63" spans="1:5" ht="15">
      <c r="A63" s="13">
        <v>43040</v>
      </c>
      <c r="B63" s="4">
        <f>11.8838 * CHOOSE(CONTROL!$C$9, $C$13, 100%, $E$13) + CHOOSE(CONTROL!$C$28, 0.0226, 0)</f>
        <v>11.906400000000001</v>
      </c>
      <c r="C63" s="4">
        <f>11.5205 * CHOOSE(CONTROL!$C$9, $C$13, 100%, $E$13) + CHOOSE(CONTROL!$C$28, 0.0226, 0)</f>
        <v>11.543100000000001</v>
      </c>
      <c r="D63" s="4">
        <f>18.871 * CHOOSE(CONTROL!$C$9, $C$13, 100%, $E$13) + CHOOSE(CONTROL!$C$28, 0.0021, 0)</f>
        <v>18.873099999999997</v>
      </c>
      <c r="E63" s="4">
        <f>72.9192941778412 * CHOOSE(CONTROL!$C$9, $C$13, 100%, $E$13) + CHOOSE(CONTROL!$C$28, 0.0021, 0)</f>
        <v>72.921394177841194</v>
      </c>
    </row>
    <row r="64" spans="1:5" ht="15">
      <c r="A64" s="13">
        <v>43070</v>
      </c>
      <c r="B64" s="4">
        <f>11.7098 * CHOOSE(CONTROL!$C$9, $C$13, 100%, $E$13) + CHOOSE(CONTROL!$C$28, 0.0226, 0)</f>
        <v>11.7324</v>
      </c>
      <c r="C64" s="4">
        <f>11.3465 * CHOOSE(CONTROL!$C$9, $C$13, 100%, $E$13) + CHOOSE(CONTROL!$C$28, 0.0226, 0)</f>
        <v>11.369100000000001</v>
      </c>
      <c r="D64" s="4">
        <f>18.2663 * CHOOSE(CONTROL!$C$9, $C$13, 100%, $E$13) + CHOOSE(CONTROL!$C$28, 0.0021, 0)</f>
        <v>18.2684</v>
      </c>
      <c r="E64" s="4">
        <f>71.7772812407394 * CHOOSE(CONTROL!$C$9, $C$13, 100%, $E$13) + CHOOSE(CONTROL!$C$28, 0.0021, 0)</f>
        <v>71.779381240739397</v>
      </c>
    </row>
    <row r="65" spans="1:5" ht="15">
      <c r="A65" s="13">
        <v>43101</v>
      </c>
      <c r="B65" s="4">
        <f>11.438 * CHOOSE(CONTROL!$C$9, $C$13, 100%, $E$13) + CHOOSE(CONTROL!$C$28, 0.0226, 0)</f>
        <v>11.460600000000001</v>
      </c>
      <c r="C65" s="4">
        <f>11.0747 * CHOOSE(CONTROL!$C$9, $C$13, 100%, $E$13) + CHOOSE(CONTROL!$C$28, 0.0226, 0)</f>
        <v>11.097300000000001</v>
      </c>
      <c r="D65" s="4">
        <f>17.6766 * CHOOSE(CONTROL!$C$9, $C$13, 100%, $E$13) + CHOOSE(CONTROL!$C$28, 0.0021, 0)</f>
        <v>17.678699999999999</v>
      </c>
      <c r="E65" s="4">
        <f>71.3011389129408 * CHOOSE(CONTROL!$C$9, $C$13, 100%, $E$13) + CHOOSE(CONTROL!$C$28, 0.0021, 0)</f>
        <v>71.303238912940799</v>
      </c>
    </row>
    <row r="66" spans="1:5" ht="15">
      <c r="A66" s="13">
        <v>43132</v>
      </c>
      <c r="B66" s="4">
        <f>11.6912 * CHOOSE(CONTROL!$C$9, $C$13, 100%, $E$13) + CHOOSE(CONTROL!$C$28, 0.0226, 0)</f>
        <v>11.713800000000001</v>
      </c>
      <c r="C66" s="4">
        <f>11.3279 * CHOOSE(CONTROL!$C$9, $C$13, 100%, $E$13) + CHOOSE(CONTROL!$C$28, 0.0226, 0)</f>
        <v>11.3505</v>
      </c>
      <c r="D66" s="4">
        <f>18.2351 * CHOOSE(CONTROL!$C$9, $C$13, 100%, $E$13) + CHOOSE(CONTROL!$C$28, 0.0021, 0)</f>
        <v>18.237199999999998</v>
      </c>
      <c r="E66" s="4">
        <f>72.9941089420655 * CHOOSE(CONTROL!$C$9, $C$13, 100%, $E$13) + CHOOSE(CONTROL!$C$28, 0.0021, 0)</f>
        <v>72.996208942065493</v>
      </c>
    </row>
    <row r="67" spans="1:5" ht="15">
      <c r="A67" s="13">
        <v>43160</v>
      </c>
      <c r="B67" s="4">
        <f>12.3562 * CHOOSE(CONTROL!$C$9, $C$13, 100%, $E$13) + CHOOSE(CONTROL!$C$28, 0.0226, 0)</f>
        <v>12.3788</v>
      </c>
      <c r="C67" s="4">
        <f>11.9929 * CHOOSE(CONTROL!$C$9, $C$13, 100%, $E$13) + CHOOSE(CONTROL!$C$28, 0.0226, 0)</f>
        <v>12.015500000000001</v>
      </c>
      <c r="D67" s="4">
        <f>19.1094 * CHOOSE(CONTROL!$C$9, $C$13, 100%, $E$13) + CHOOSE(CONTROL!$C$28, 0.0021, 0)</f>
        <v>19.111499999999999</v>
      </c>
      <c r="E67" s="4">
        <f>77.4399382084383 * CHOOSE(CONTROL!$C$9, $C$13, 100%, $E$13) + CHOOSE(CONTROL!$C$28, 0.0021, 0)</f>
        <v>77.442038208438305</v>
      </c>
    </row>
    <row r="68" spans="1:5" ht="15">
      <c r="A68" s="13">
        <v>43191</v>
      </c>
      <c r="B68" s="4">
        <f>12.8286 * CHOOSE(CONTROL!$C$9, $C$13, 100%, $E$13) + CHOOSE(CONTROL!$C$28, 0.0226, 0)</f>
        <v>12.8512</v>
      </c>
      <c r="C68" s="4">
        <f>12.4653 * CHOOSE(CONTROL!$C$9, $C$13, 100%, $E$13) + CHOOSE(CONTROL!$C$28, 0.0226, 0)</f>
        <v>12.4879</v>
      </c>
      <c r="D68" s="4">
        <f>19.613 * CHOOSE(CONTROL!$C$9, $C$13, 100%, $E$13) + CHOOSE(CONTROL!$C$28, 0.0021, 0)</f>
        <v>19.615099999999998</v>
      </c>
      <c r="E68" s="4">
        <f>80.5987591506612 * CHOOSE(CONTROL!$C$9, $C$13, 100%, $E$13) + CHOOSE(CONTROL!$C$28, 0.0021, 0)</f>
        <v>80.600859150661194</v>
      </c>
    </row>
    <row r="69" spans="1:5" ht="15">
      <c r="A69" s="13">
        <v>43221</v>
      </c>
      <c r="B69" s="4">
        <f>13.1173 * CHOOSE(CONTROL!$C$9, $C$13, 100%, $E$13) + CHOOSE(CONTROL!$C$28, 0.0226, 0)</f>
        <v>13.139900000000001</v>
      </c>
      <c r="C69" s="4">
        <f>12.754 * CHOOSE(CONTROL!$C$9, $C$13, 100%, $E$13) + CHOOSE(CONTROL!$C$28, 0.0226, 0)</f>
        <v>12.7766</v>
      </c>
      <c r="D69" s="4">
        <f>19.414 * CHOOSE(CONTROL!$C$9, $C$13, 100%, $E$13) + CHOOSE(CONTROL!$C$28, 0.0021, 0)</f>
        <v>19.4161</v>
      </c>
      <c r="E69" s="4">
        <f>82.5287230399874 * CHOOSE(CONTROL!$C$9, $C$13, 100%, $E$13) + CHOOSE(CONTROL!$C$28, 0.0021, 0)</f>
        <v>82.530823039987396</v>
      </c>
    </row>
    <row r="70" spans="1:5" ht="15">
      <c r="A70" s="13">
        <v>43252</v>
      </c>
      <c r="B70" s="4">
        <f>13.1563 * CHOOSE(CONTROL!$C$9, $C$13, 100%, $E$13) + CHOOSE(CONTROL!$C$28, 0.0226, 0)</f>
        <v>13.178900000000001</v>
      </c>
      <c r="C70" s="4">
        <f>12.7931 * CHOOSE(CONTROL!$C$9, $C$13, 100%, $E$13) + CHOOSE(CONTROL!$C$28, 0.0226, 0)</f>
        <v>12.815700000000001</v>
      </c>
      <c r="D70" s="4">
        <f>19.5761 * CHOOSE(CONTROL!$C$9, $C$13, 100%, $E$13) + CHOOSE(CONTROL!$C$28, 0.0021, 0)</f>
        <v>19.578199999999999</v>
      </c>
      <c r="E70" s="4">
        <f>82.789855163728 * CHOOSE(CONTROL!$C$9, $C$13, 100%, $E$13) + CHOOSE(CONTROL!$C$28, 0.0021, 0)</f>
        <v>82.791955163728005</v>
      </c>
    </row>
    <row r="71" spans="1:5" ht="15">
      <c r="A71" s="13">
        <v>43282</v>
      </c>
      <c r="B71" s="4">
        <f>13.1524 * CHOOSE(CONTROL!$C$9, $C$13, 100%, $E$13) + CHOOSE(CONTROL!$C$28, 0.0226, 0)</f>
        <v>13.175000000000001</v>
      </c>
      <c r="C71" s="4">
        <f>12.7891 * CHOOSE(CONTROL!$C$9, $C$13, 100%, $E$13) + CHOOSE(CONTROL!$C$28, 0.0226, 0)</f>
        <v>12.8117</v>
      </c>
      <c r="D71" s="4">
        <f>19.8685 * CHOOSE(CONTROL!$C$9, $C$13, 100%, $E$13) + CHOOSE(CONTROL!$C$28, 0.0021, 0)</f>
        <v>19.8706</v>
      </c>
      <c r="E71" s="4">
        <f>82.7635225125945 * CHOOSE(CONTROL!$C$9, $C$13, 100%, $E$13) + CHOOSE(CONTROL!$C$28, 0.0021, 0)</f>
        <v>82.765622512594504</v>
      </c>
    </row>
    <row r="72" spans="1:5" ht="15">
      <c r="A72" s="13">
        <v>43313</v>
      </c>
      <c r="B72" s="4">
        <f>13.4488 * CHOOSE(CONTROL!$C$9, $C$13, 100%, $E$13) + CHOOSE(CONTROL!$C$28, 0.0226, 0)</f>
        <v>13.471400000000001</v>
      </c>
      <c r="C72" s="4">
        <f>13.0855 * CHOOSE(CONTROL!$C$9, $C$13, 100%, $E$13) + CHOOSE(CONTROL!$C$28, 0.0226, 0)</f>
        <v>13.1081</v>
      </c>
      <c r="D72" s="4">
        <f>19.6754 * CHOOSE(CONTROL!$C$9, $C$13, 100%, $E$13) + CHOOSE(CONTROL!$C$28, 0.0021, 0)</f>
        <v>19.677499999999998</v>
      </c>
      <c r="E72" s="4">
        <f>84.7450545103904 * CHOOSE(CONTROL!$C$9, $C$13, 100%, $E$13) + CHOOSE(CONTROL!$C$28, 0.0021, 0)</f>
        <v>84.747154510390402</v>
      </c>
    </row>
    <row r="73" spans="1:5" ht="15">
      <c r="A73" s="13">
        <v>43344</v>
      </c>
      <c r="B73" s="4">
        <f>12.9437 * CHOOSE(CONTROL!$C$9, $C$13, 100%, $E$13) + CHOOSE(CONTROL!$C$28, 0.0226, 0)</f>
        <v>12.9663</v>
      </c>
      <c r="C73" s="4">
        <f>12.5804 * CHOOSE(CONTROL!$C$9, $C$13, 100%, $E$13) + CHOOSE(CONTROL!$C$28, 0.0226, 0)</f>
        <v>12.603</v>
      </c>
      <c r="D73" s="4">
        <f>19.5842 * CHOOSE(CONTROL!$C$9, $C$13, 100%, $E$13) + CHOOSE(CONTROL!$C$28, 0.0021, 0)</f>
        <v>19.586299999999998</v>
      </c>
      <c r="E73" s="4">
        <f>81.3678920025189 * CHOOSE(CONTROL!$C$9, $C$13, 100%, $E$13) + CHOOSE(CONTROL!$C$28, 0.0021, 0)</f>
        <v>81.369992002518899</v>
      </c>
    </row>
    <row r="74" spans="1:5" ht="15">
      <c r="A74" s="13">
        <v>43374</v>
      </c>
      <c r="B74" s="4">
        <f>12.5393 * CHOOSE(CONTROL!$C$9, $C$13, 100%, $E$13) + CHOOSE(CONTROL!$C$28, 0.0226, 0)</f>
        <v>12.561900000000001</v>
      </c>
      <c r="C74" s="4">
        <f>12.176 * CHOOSE(CONTROL!$C$9, $C$13, 100%, $E$13) + CHOOSE(CONTROL!$C$28, 0.0226, 0)</f>
        <v>12.198600000000001</v>
      </c>
      <c r="D74" s="4">
        <f>19.3398 * CHOOSE(CONTROL!$C$9, $C$13, 100%, $E$13) + CHOOSE(CONTROL!$C$28, 0.0021, 0)</f>
        <v>19.341899999999999</v>
      </c>
      <c r="E74" s="4">
        <f>78.6644064861461 * CHOOSE(CONTROL!$C$9, $C$13, 100%, $E$13) + CHOOSE(CONTROL!$C$28, 0.0021, 0)</f>
        <v>78.666506486146105</v>
      </c>
    </row>
    <row r="75" spans="1:5" ht="15">
      <c r="A75" s="13">
        <v>43405</v>
      </c>
      <c r="B75" s="4">
        <f>12.2789 * CHOOSE(CONTROL!$C$9, $C$13, 100%, $E$13) + CHOOSE(CONTROL!$C$28, 0.0226, 0)</f>
        <v>12.301500000000001</v>
      </c>
      <c r="C75" s="4">
        <f>11.9156 * CHOOSE(CONTROL!$C$9, $C$13, 100%, $E$13) + CHOOSE(CONTROL!$C$28, 0.0226, 0)</f>
        <v>11.9382</v>
      </c>
      <c r="D75" s="4">
        <f>19.2558 * CHOOSE(CONTROL!$C$9, $C$13, 100%, $E$13) + CHOOSE(CONTROL!$C$28, 0.0021, 0)</f>
        <v>19.257899999999999</v>
      </c>
      <c r="E75" s="4">
        <f>76.9231599299433 * CHOOSE(CONTROL!$C$9, $C$13, 100%, $E$13) + CHOOSE(CONTROL!$C$28, 0.0021, 0)</f>
        <v>76.925259929943294</v>
      </c>
    </row>
    <row r="76" spans="1:5" ht="15">
      <c r="A76" s="13">
        <v>43435</v>
      </c>
      <c r="B76" s="4">
        <f>12.0987 * CHOOSE(CONTROL!$C$9, $C$13, 100%, $E$13) + CHOOSE(CONTROL!$C$28, 0.0226, 0)</f>
        <v>12.1213</v>
      </c>
      <c r="C76" s="4">
        <f>11.7354 * CHOOSE(CONTROL!$C$9, $C$13, 100%, $E$13) + CHOOSE(CONTROL!$C$28, 0.0226, 0)</f>
        <v>11.758000000000001</v>
      </c>
      <c r="D76" s="4">
        <f>18.6374 * CHOOSE(CONTROL!$C$9, $C$13, 100%, $E$13) + CHOOSE(CONTROL!$C$28, 0.0021, 0)</f>
        <v>18.639499999999998</v>
      </c>
      <c r="E76" s="4">
        <f>75.7184411405857 * CHOOSE(CONTROL!$C$9, $C$13, 100%, $E$13) + CHOOSE(CONTROL!$C$28, 0.0021, 0)</f>
        <v>75.720541140585695</v>
      </c>
    </row>
    <row r="77" spans="1:5" ht="15">
      <c r="A77" s="13">
        <v>43466</v>
      </c>
      <c r="B77" s="4">
        <f>12.2573 * CHOOSE(CONTROL!$C$9, $C$13, 100%, $E$13) + CHOOSE(CONTROL!$C$28, 0.0226, 0)</f>
        <v>12.279900000000001</v>
      </c>
      <c r="C77" s="4">
        <f>11.894 * CHOOSE(CONTROL!$C$9, $C$13, 100%, $E$13) + CHOOSE(CONTROL!$C$28, 0.0226, 0)</f>
        <v>11.916600000000001</v>
      </c>
      <c r="D77" s="4">
        <f>18.8001 * CHOOSE(CONTROL!$C$9, $C$13, 100%, $E$13) + CHOOSE(CONTROL!$C$28, 0.0021, 0)</f>
        <v>18.802199999999999</v>
      </c>
      <c r="E77" s="4">
        <f>78.4539365273861 * CHOOSE(CONTROL!$C$9, $C$13, 100%, $E$13) + CHOOSE(CONTROL!$C$28, 0.0021, 0)</f>
        <v>78.456036527386104</v>
      </c>
    </row>
    <row r="78" spans="1:5" ht="15">
      <c r="A78" s="13">
        <v>43497</v>
      </c>
      <c r="B78" s="4">
        <f>12.53 * CHOOSE(CONTROL!$C$9, $C$13, 100%, $E$13) + CHOOSE(CONTROL!$C$28, 0.0226, 0)</f>
        <v>12.5526</v>
      </c>
      <c r="C78" s="4">
        <f>12.1667 * CHOOSE(CONTROL!$C$9, $C$13, 100%, $E$13) + CHOOSE(CONTROL!$C$28, 0.0226, 0)</f>
        <v>12.189300000000001</v>
      </c>
      <c r="D78" s="4">
        <f>19.3982 * CHOOSE(CONTROL!$C$9, $C$13, 100%, $E$13) + CHOOSE(CONTROL!$C$28, 0.0021, 0)</f>
        <v>19.400299999999998</v>
      </c>
      <c r="E78" s="4">
        <f>80.3167421604054 * CHOOSE(CONTROL!$C$9, $C$13, 100%, $E$13) + CHOOSE(CONTROL!$C$28, 0.0021, 0)</f>
        <v>80.318842160405396</v>
      </c>
    </row>
    <row r="79" spans="1:5" ht="15">
      <c r="A79" s="13">
        <v>43525</v>
      </c>
      <c r="B79" s="4">
        <f>13.246 * CHOOSE(CONTROL!$C$9, $C$13, 100%, $E$13) + CHOOSE(CONTROL!$C$28, 0.0226, 0)</f>
        <v>13.268600000000001</v>
      </c>
      <c r="C79" s="4">
        <f>12.8827 * CHOOSE(CONTROL!$C$9, $C$13, 100%, $E$13) + CHOOSE(CONTROL!$C$28, 0.0226, 0)</f>
        <v>12.9053</v>
      </c>
      <c r="D79" s="4">
        <f>20.3346 * CHOOSE(CONTROL!$C$9, $C$13, 100%, $E$13) + CHOOSE(CONTROL!$C$28, 0.0021, 0)</f>
        <v>20.336699999999997</v>
      </c>
      <c r="E79" s="4">
        <f>85.2085687482175 * CHOOSE(CONTROL!$C$9, $C$13, 100%, $E$13) + CHOOSE(CONTROL!$C$28, 0.0021, 0)</f>
        <v>85.2106687482175</v>
      </c>
    </row>
    <row r="80" spans="1:5" ht="15">
      <c r="A80" s="13">
        <v>43556</v>
      </c>
      <c r="B80" s="4">
        <f>13.7548 * CHOOSE(CONTROL!$C$9, $C$13, 100%, $E$13) + CHOOSE(CONTROL!$C$28, 0.0226, 0)</f>
        <v>13.7774</v>
      </c>
      <c r="C80" s="4">
        <f>13.3915 * CHOOSE(CONTROL!$C$9, $C$13, 100%, $E$13) + CHOOSE(CONTROL!$C$28, 0.0226, 0)</f>
        <v>13.414100000000001</v>
      </c>
      <c r="D80" s="4">
        <f>20.874 * CHOOSE(CONTROL!$C$9, $C$13, 100%, $E$13) + CHOOSE(CONTROL!$C$28, 0.0021, 0)</f>
        <v>20.876099999999997</v>
      </c>
      <c r="E80" s="4">
        <f>88.6842767310189 * CHOOSE(CONTROL!$C$9, $C$13, 100%, $E$13) + CHOOSE(CONTROL!$C$28, 0.0021, 0)</f>
        <v>88.686376731018896</v>
      </c>
    </row>
    <row r="81" spans="1:5" ht="15">
      <c r="A81" s="13">
        <v>43586</v>
      </c>
      <c r="B81" s="4">
        <f>14.0656 * CHOOSE(CONTROL!$C$9, $C$13, 100%, $E$13) + CHOOSE(CONTROL!$C$28, 0.0226, 0)</f>
        <v>14.088200000000001</v>
      </c>
      <c r="C81" s="4">
        <f>13.7023 * CHOOSE(CONTROL!$C$9, $C$13, 100%, $E$13) + CHOOSE(CONTROL!$C$28, 0.0226, 0)</f>
        <v>13.7249</v>
      </c>
      <c r="D81" s="4">
        <f>20.6609 * CHOOSE(CONTROL!$C$9, $C$13, 100%, $E$13) + CHOOSE(CONTROL!$C$28, 0.0021, 0)</f>
        <v>20.663</v>
      </c>
      <c r="E81" s="4">
        <f>90.807851007416 * CHOOSE(CONTROL!$C$9, $C$13, 100%, $E$13) + CHOOSE(CONTROL!$C$28, 0.0021, 0)</f>
        <v>90.809951007416004</v>
      </c>
    </row>
    <row r="82" spans="1:5" ht="15">
      <c r="A82" s="13">
        <v>43617</v>
      </c>
      <c r="B82" s="4">
        <f>14.1077 * CHOOSE(CONTROL!$C$9, $C$13, 100%, $E$13) + CHOOSE(CONTROL!$C$28, 0.0226, 0)</f>
        <v>14.1303</v>
      </c>
      <c r="C82" s="4">
        <f>13.7444 * CHOOSE(CONTROL!$C$9, $C$13, 100%, $E$13) + CHOOSE(CONTROL!$C$28, 0.0226, 0)</f>
        <v>13.767000000000001</v>
      </c>
      <c r="D82" s="4">
        <f>20.8345 * CHOOSE(CONTROL!$C$9, $C$13, 100%, $E$13) + CHOOSE(CONTROL!$C$28, 0.0021, 0)</f>
        <v>20.836599999999997</v>
      </c>
      <c r="E82" s="4">
        <f>91.0951794200269 * CHOOSE(CONTROL!$C$9, $C$13, 100%, $E$13) + CHOOSE(CONTROL!$C$28, 0.0021, 0)</f>
        <v>91.097279420026894</v>
      </c>
    </row>
    <row r="83" spans="1:5" ht="15">
      <c r="A83" s="13">
        <v>43647</v>
      </c>
      <c r="B83" s="4">
        <f>14.1034 * CHOOSE(CONTROL!$C$9, $C$13, 100%, $E$13) + CHOOSE(CONTROL!$C$28, 0.0226, 0)</f>
        <v>14.126000000000001</v>
      </c>
      <c r="C83" s="4">
        <f>13.7401 * CHOOSE(CONTROL!$C$9, $C$13, 100%, $E$13) + CHOOSE(CONTROL!$C$28, 0.0226, 0)</f>
        <v>13.762700000000001</v>
      </c>
      <c r="D83" s="4">
        <f>21.1477 * CHOOSE(CONTROL!$C$9, $C$13, 100%, $E$13) + CHOOSE(CONTROL!$C$28, 0.0021, 0)</f>
        <v>21.149799999999999</v>
      </c>
      <c r="E83" s="4">
        <f>91.0662051263183 * CHOOSE(CONTROL!$C$9, $C$13, 100%, $E$13) + CHOOSE(CONTROL!$C$28, 0.0021, 0)</f>
        <v>91.068305126318293</v>
      </c>
    </row>
    <row r="84" spans="1:5" ht="15">
      <c r="A84" s="13">
        <v>43678</v>
      </c>
      <c r="B84" s="4">
        <f>14.4226 * CHOOSE(CONTROL!$C$9, $C$13, 100%, $E$13) + CHOOSE(CONTROL!$C$28, 0.0226, 0)</f>
        <v>14.4452</v>
      </c>
      <c r="C84" s="4">
        <f>14.0593 * CHOOSE(CONTROL!$C$9, $C$13, 100%, $E$13) + CHOOSE(CONTROL!$C$28, 0.0226, 0)</f>
        <v>14.081900000000001</v>
      </c>
      <c r="D84" s="4">
        <f>20.9408 * CHOOSE(CONTROL!$C$9, $C$13, 100%, $E$13) + CHOOSE(CONTROL!$C$28, 0.0021, 0)</f>
        <v>20.942899999999998</v>
      </c>
      <c r="E84" s="4">
        <f>93.2465207278949 * CHOOSE(CONTROL!$C$9, $C$13, 100%, $E$13) + CHOOSE(CONTROL!$C$28, 0.0021, 0)</f>
        <v>93.248620727894902</v>
      </c>
    </row>
    <row r="85" spans="1:5" ht="15">
      <c r="A85" s="13">
        <v>43709</v>
      </c>
      <c r="B85" s="4">
        <f>13.8786 * CHOOSE(CONTROL!$C$9, $C$13, 100%, $E$13) + CHOOSE(CONTROL!$C$28, 0.0226, 0)</f>
        <v>13.901200000000001</v>
      </c>
      <c r="C85" s="4">
        <f>13.5154 * CHOOSE(CONTROL!$C$9, $C$13, 100%, $E$13) + CHOOSE(CONTROL!$C$28, 0.0226, 0)</f>
        <v>13.538</v>
      </c>
      <c r="D85" s="4">
        <f>20.8431 * CHOOSE(CONTROL!$C$9, $C$13, 100%, $E$13) + CHOOSE(CONTROL!$C$28, 0.0021, 0)</f>
        <v>20.845199999999998</v>
      </c>
      <c r="E85" s="4">
        <f>89.5305675597593 * CHOOSE(CONTROL!$C$9, $C$13, 100%, $E$13) + CHOOSE(CONTROL!$C$28, 0.0021, 0)</f>
        <v>89.532667559759304</v>
      </c>
    </row>
    <row r="86" spans="1:5" ht="15">
      <c r="A86" s="13">
        <v>43739</v>
      </c>
      <c r="B86" s="4">
        <f>13.4432 * CHOOSE(CONTROL!$C$9, $C$13, 100%, $E$13) + CHOOSE(CONTROL!$C$28, 0.0226, 0)</f>
        <v>13.4658</v>
      </c>
      <c r="C86" s="4">
        <f>13.0799 * CHOOSE(CONTROL!$C$9, $C$13, 100%, $E$13) + CHOOSE(CONTROL!$C$28, 0.0226, 0)</f>
        <v>13.102500000000001</v>
      </c>
      <c r="D86" s="4">
        <f>20.5814 * CHOOSE(CONTROL!$C$9, $C$13, 100%, $E$13) + CHOOSE(CONTROL!$C$28, 0.0021, 0)</f>
        <v>20.583499999999997</v>
      </c>
      <c r="E86" s="4">
        <f>86.5558734056702 * CHOOSE(CONTROL!$C$9, $C$13, 100%, $E$13) + CHOOSE(CONTROL!$C$28, 0.0021, 0)</f>
        <v>86.557973405670197</v>
      </c>
    </row>
    <row r="87" spans="1:5" ht="15">
      <c r="A87" s="13">
        <v>43770</v>
      </c>
      <c r="B87" s="4">
        <f>13.1628 * CHOOSE(CONTROL!$C$9, $C$13, 100%, $E$13) + CHOOSE(CONTROL!$C$28, 0.0226, 0)</f>
        <v>13.185400000000001</v>
      </c>
      <c r="C87" s="4">
        <f>12.7995 * CHOOSE(CONTROL!$C$9, $C$13, 100%, $E$13) + CHOOSE(CONTROL!$C$28, 0.0226, 0)</f>
        <v>12.822100000000001</v>
      </c>
      <c r="D87" s="4">
        <f>20.4915 * CHOOSE(CONTROL!$C$9, $C$13, 100%, $E$13) + CHOOSE(CONTROL!$C$28, 0.0021, 0)</f>
        <v>20.493599999999997</v>
      </c>
      <c r="E87" s="4">
        <f>84.6399482341851 * CHOOSE(CONTROL!$C$9, $C$13, 100%, $E$13) + CHOOSE(CONTROL!$C$28, 0.0021, 0)</f>
        <v>84.642048234185097</v>
      </c>
    </row>
    <row r="88" spans="1:5" ht="15">
      <c r="A88" s="13">
        <v>43800</v>
      </c>
      <c r="B88" s="4">
        <f>12.9687 * CHOOSE(CONTROL!$C$9, $C$13, 100%, $E$13) + CHOOSE(CONTROL!$C$28, 0.0226, 0)</f>
        <v>12.991300000000001</v>
      </c>
      <c r="C88" s="4">
        <f>12.6055 * CHOOSE(CONTROL!$C$9, $C$13, 100%, $E$13) + CHOOSE(CONTROL!$C$28, 0.0226, 0)</f>
        <v>12.6281</v>
      </c>
      <c r="D88" s="4">
        <f>19.8291 * CHOOSE(CONTROL!$C$9, $C$13, 100%, $E$13) + CHOOSE(CONTROL!$C$28, 0.0021, 0)</f>
        <v>19.831199999999999</v>
      </c>
      <c r="E88" s="4">
        <f>83.3143742970139 * CHOOSE(CONTROL!$C$9, $C$13, 100%, $E$13) + CHOOSE(CONTROL!$C$28, 0.0021, 0)</f>
        <v>83.316474297013897</v>
      </c>
    </row>
    <row r="89" spans="1:5" ht="15">
      <c r="A89" s="13">
        <v>43831</v>
      </c>
      <c r="B89" s="4">
        <f>13.2273 * CHOOSE(CONTROL!$C$9, $C$13, 100%, $E$13) + CHOOSE(CONTROL!$C$28, 0.0226, 0)</f>
        <v>13.2499</v>
      </c>
      <c r="C89" s="4">
        <f>12.864 * CHOOSE(CONTROL!$C$9, $C$13, 100%, $E$13) + CHOOSE(CONTROL!$C$28, 0.0226, 0)</f>
        <v>12.886600000000001</v>
      </c>
      <c r="D89" s="4">
        <f>20.1019 * CHOOSE(CONTROL!$C$9, $C$13, 100%, $E$13) + CHOOSE(CONTROL!$C$28, 0.0021, 0)</f>
        <v>20.103999999999999</v>
      </c>
      <c r="E89" s="4">
        <f>84.6902413791437 * CHOOSE(CONTROL!$C$9, $C$13, 100%, $E$13) + CHOOSE(CONTROL!$C$28, 0.0021, 0)</f>
        <v>84.692341379143699</v>
      </c>
    </row>
    <row r="90" spans="1:5" ht="15">
      <c r="A90" s="13">
        <v>43862</v>
      </c>
      <c r="B90" s="4">
        <f>13.523 * CHOOSE(CONTROL!$C$9, $C$13, 100%, $E$13) + CHOOSE(CONTROL!$C$28, 0.0226, 0)</f>
        <v>13.5456</v>
      </c>
      <c r="C90" s="4">
        <f>13.1597 * CHOOSE(CONTROL!$C$9, $C$13, 100%, $E$13) + CHOOSE(CONTROL!$C$28, 0.0226, 0)</f>
        <v>13.182300000000001</v>
      </c>
      <c r="D90" s="4">
        <f>20.7461 * CHOOSE(CONTROL!$C$9, $C$13, 100%, $E$13) + CHOOSE(CONTROL!$C$28, 0.0021, 0)</f>
        <v>20.748199999999997</v>
      </c>
      <c r="E90" s="4">
        <f>86.7011214660563 * CHOOSE(CONTROL!$C$9, $C$13, 100%, $E$13) + CHOOSE(CONTROL!$C$28, 0.0021, 0)</f>
        <v>86.703221466056306</v>
      </c>
    </row>
    <row r="91" spans="1:5" ht="15">
      <c r="A91" s="13">
        <v>43891</v>
      </c>
      <c r="B91" s="4">
        <f>14.2995 * CHOOSE(CONTROL!$C$9, $C$13, 100%, $E$13) + CHOOSE(CONTROL!$C$28, 0.0226, 0)</f>
        <v>14.322100000000001</v>
      </c>
      <c r="C91" s="4">
        <f>13.9363 * CHOOSE(CONTROL!$C$9, $C$13, 100%, $E$13) + CHOOSE(CONTROL!$C$28, 0.0226, 0)</f>
        <v>13.9589</v>
      </c>
      <c r="D91" s="4">
        <f>21.7544 * CHOOSE(CONTROL!$C$9, $C$13, 100%, $E$13) + CHOOSE(CONTROL!$C$28, 0.0021, 0)</f>
        <v>21.756499999999999</v>
      </c>
      <c r="E91" s="4">
        <f>91.9817994389468 * CHOOSE(CONTROL!$C$9, $C$13, 100%, $E$13) + CHOOSE(CONTROL!$C$28, 0.0021, 0)</f>
        <v>91.983899438946793</v>
      </c>
    </row>
    <row r="92" spans="1:5" ht="15">
      <c r="A92" s="13">
        <v>43922</v>
      </c>
      <c r="B92" s="4">
        <f>14.8513 * CHOOSE(CONTROL!$C$9, $C$13, 100%, $E$13) + CHOOSE(CONTROL!$C$28, 0.0226, 0)</f>
        <v>14.873900000000001</v>
      </c>
      <c r="C92" s="4">
        <f>14.488 * CHOOSE(CONTROL!$C$9, $C$13, 100%, $E$13) + CHOOSE(CONTROL!$C$28, 0.0226, 0)</f>
        <v>14.5106</v>
      </c>
      <c r="D92" s="4">
        <f>22.3352 * CHOOSE(CONTROL!$C$9, $C$13, 100%, $E$13) + CHOOSE(CONTROL!$C$28, 0.0021, 0)</f>
        <v>22.337299999999999</v>
      </c>
      <c r="E92" s="4">
        <f>95.7337915129725 * CHOOSE(CONTROL!$C$9, $C$13, 100%, $E$13) + CHOOSE(CONTROL!$C$28, 0.0021, 0)</f>
        <v>95.735891512972501</v>
      </c>
    </row>
    <row r="93" spans="1:5" ht="15">
      <c r="A93" s="13">
        <v>43952</v>
      </c>
      <c r="B93" s="4">
        <f>15.1884 * CHOOSE(CONTROL!$C$9, $C$13, 100%, $E$13) + CHOOSE(CONTROL!$C$28, 0.0226, 0)</f>
        <v>15.211</v>
      </c>
      <c r="C93" s="4">
        <f>14.8251 * CHOOSE(CONTROL!$C$9, $C$13, 100%, $E$13) + CHOOSE(CONTROL!$C$28, 0.0226, 0)</f>
        <v>14.847700000000001</v>
      </c>
      <c r="D93" s="4">
        <f>22.1057 * CHOOSE(CONTROL!$C$9, $C$13, 100%, $E$13) + CHOOSE(CONTROL!$C$28, 0.0021, 0)</f>
        <v>22.107799999999997</v>
      </c>
      <c r="E93" s="4">
        <f>98.0261687475022 * CHOOSE(CONTROL!$C$9, $C$13, 100%, $E$13) + CHOOSE(CONTROL!$C$28, 0.0021, 0)</f>
        <v>98.028268747502196</v>
      </c>
    </row>
    <row r="94" spans="1:5" ht="15">
      <c r="A94" s="13">
        <v>43983</v>
      </c>
      <c r="B94" s="4">
        <f>15.234 * CHOOSE(CONTROL!$C$9, $C$13, 100%, $E$13) + CHOOSE(CONTROL!$C$28, 0.0226, 0)</f>
        <v>15.256600000000001</v>
      </c>
      <c r="C94" s="4">
        <f>14.8707 * CHOOSE(CONTROL!$C$9, $C$13, 100%, $E$13) + CHOOSE(CONTROL!$C$28, 0.0226, 0)</f>
        <v>14.8933</v>
      </c>
      <c r="D94" s="4">
        <f>22.2926 * CHOOSE(CONTROL!$C$9, $C$13, 100%, $E$13) + CHOOSE(CONTROL!$C$28, 0.0021, 0)</f>
        <v>22.294699999999999</v>
      </c>
      <c r="E94" s="4">
        <f>98.336336900895 * CHOOSE(CONTROL!$C$9, $C$13, 100%, $E$13) + CHOOSE(CONTROL!$C$28, 0.0021, 0)</f>
        <v>98.338436900895005</v>
      </c>
    </row>
    <row r="95" spans="1:5" ht="15">
      <c r="A95" s="13">
        <v>44013</v>
      </c>
      <c r="B95" s="4">
        <f>15.2294 * CHOOSE(CONTROL!$C$9, $C$13, 100%, $E$13) + CHOOSE(CONTROL!$C$28, 0.0226, 0)</f>
        <v>15.252000000000001</v>
      </c>
      <c r="C95" s="4">
        <f>14.8661 * CHOOSE(CONTROL!$C$9, $C$13, 100%, $E$13) + CHOOSE(CONTROL!$C$28, 0.0226, 0)</f>
        <v>14.8887</v>
      </c>
      <c r="D95" s="4">
        <f>22.6299 * CHOOSE(CONTROL!$C$9, $C$13, 100%, $E$13) + CHOOSE(CONTROL!$C$28, 0.0021, 0)</f>
        <v>22.631999999999998</v>
      </c>
      <c r="E95" s="4">
        <f>98.3050594400487 * CHOOSE(CONTROL!$C$9, $C$13, 100%, $E$13) + CHOOSE(CONTROL!$C$28, 0.0021, 0)</f>
        <v>98.307159440048693</v>
      </c>
    </row>
    <row r="96" spans="1:5" ht="15">
      <c r="A96" s="13">
        <v>44044</v>
      </c>
      <c r="B96" s="4">
        <f>15.5755 * CHOOSE(CONTROL!$C$9, $C$13, 100%, $E$13) + CHOOSE(CONTROL!$C$28, 0.0226, 0)</f>
        <v>15.598100000000001</v>
      </c>
      <c r="C96" s="4">
        <f>15.2122 * CHOOSE(CONTROL!$C$9, $C$13, 100%, $E$13) + CHOOSE(CONTROL!$C$28, 0.0226, 0)</f>
        <v>15.2348</v>
      </c>
      <c r="D96" s="4">
        <f>22.4071 * CHOOSE(CONTROL!$C$9, $C$13, 100%, $E$13) + CHOOSE(CONTROL!$C$28, 0.0021, 0)</f>
        <v>22.409199999999998</v>
      </c>
      <c r="E96" s="4">
        <f>100.658688368736 * CHOOSE(CONTROL!$C$9, $C$13, 100%, $E$13) + CHOOSE(CONTROL!$C$28, 0.0021, 0)</f>
        <v>100.66078836873599</v>
      </c>
    </row>
    <row r="97" spans="1:5" ht="15">
      <c r="A97" s="13">
        <v>44075</v>
      </c>
      <c r="B97" s="4">
        <f>14.9856 * CHOOSE(CONTROL!$C$9, $C$13, 100%, $E$13) + CHOOSE(CONTROL!$C$28, 0.0226, 0)</f>
        <v>15.0082</v>
      </c>
      <c r="C97" s="4">
        <f>14.6223 * CHOOSE(CONTROL!$C$9, $C$13, 100%, $E$13) + CHOOSE(CONTROL!$C$28, 0.0226, 0)</f>
        <v>14.6449</v>
      </c>
      <c r="D97" s="4">
        <f>22.3019 * CHOOSE(CONTROL!$C$9, $C$13, 100%, $E$13) + CHOOSE(CONTROL!$C$28, 0.0021, 0)</f>
        <v>22.303999999999998</v>
      </c>
      <c r="E97" s="4">
        <f>96.6473540151927 * CHOOSE(CONTROL!$C$9, $C$13, 100%, $E$13) + CHOOSE(CONTROL!$C$28, 0.0021, 0)</f>
        <v>96.649454015192703</v>
      </c>
    </row>
    <row r="98" spans="1:5" ht="15">
      <c r="A98" s="13">
        <v>44105</v>
      </c>
      <c r="B98" s="4">
        <f>14.5134 * CHOOSE(CONTROL!$C$9, $C$13, 100%, $E$13) + CHOOSE(CONTROL!$C$28, 0.0226, 0)</f>
        <v>14.536000000000001</v>
      </c>
      <c r="C98" s="4">
        <f>14.1501 * CHOOSE(CONTROL!$C$9, $C$13, 100%, $E$13) + CHOOSE(CONTROL!$C$28, 0.0226, 0)</f>
        <v>14.172700000000001</v>
      </c>
      <c r="D98" s="4">
        <f>22.0201 * CHOOSE(CONTROL!$C$9, $C$13, 100%, $E$13) + CHOOSE(CONTROL!$C$28, 0.0021, 0)</f>
        <v>22.022199999999998</v>
      </c>
      <c r="E98" s="4">
        <f>93.4362013683017 * CHOOSE(CONTROL!$C$9, $C$13, 100%, $E$13) + CHOOSE(CONTROL!$C$28, 0.0021, 0)</f>
        <v>93.438301368301694</v>
      </c>
    </row>
    <row r="99" spans="1:5" ht="15">
      <c r="A99" s="13">
        <v>44136</v>
      </c>
      <c r="B99" s="4">
        <f>14.2093 * CHOOSE(CONTROL!$C$9, $C$13, 100%, $E$13) + CHOOSE(CONTROL!$C$28, 0.0226, 0)</f>
        <v>14.231900000000001</v>
      </c>
      <c r="C99" s="4">
        <f>13.846 * CHOOSE(CONTROL!$C$9, $C$13, 100%, $E$13) + CHOOSE(CONTROL!$C$28, 0.0226, 0)</f>
        <v>13.868600000000001</v>
      </c>
      <c r="D99" s="4">
        <f>21.9233 * CHOOSE(CONTROL!$C$9, $C$13, 100%, $E$13) + CHOOSE(CONTROL!$C$28, 0.0021, 0)</f>
        <v>21.9254</v>
      </c>
      <c r="E99" s="4">
        <f>91.3679792698374 * CHOOSE(CONTROL!$C$9, $C$13, 100%, $E$13) + CHOOSE(CONTROL!$C$28, 0.0021, 0)</f>
        <v>91.370079269837404</v>
      </c>
    </row>
    <row r="100" spans="1:5" ht="15">
      <c r="A100" s="13">
        <v>44166</v>
      </c>
      <c r="B100" s="4">
        <f>13.9989 * CHOOSE(CONTROL!$C$9, $C$13, 100%, $E$13) + CHOOSE(CONTROL!$C$28, 0.0226, 0)</f>
        <v>14.021500000000001</v>
      </c>
      <c r="C100" s="4">
        <f>13.6356 * CHOOSE(CONTROL!$C$9, $C$13, 100%, $E$13) + CHOOSE(CONTROL!$C$28, 0.0226, 0)</f>
        <v>13.658200000000001</v>
      </c>
      <c r="D100" s="4">
        <f>21.21 * CHOOSE(CONTROL!$C$9, $C$13, 100%, $E$13) + CHOOSE(CONTROL!$C$28, 0.0021, 0)</f>
        <v>21.2121</v>
      </c>
      <c r="E100" s="4">
        <f>89.9370354361173 * CHOOSE(CONTROL!$C$9, $C$13, 100%, $E$13) + CHOOSE(CONTROL!$C$28, 0.0021, 0)</f>
        <v>89.939135436117297</v>
      </c>
    </row>
    <row r="101" spans="1:5" ht="15">
      <c r="A101" s="13">
        <v>44197</v>
      </c>
      <c r="B101" s="4">
        <f>14.2335 * CHOOSE(CONTROL!$C$9, $C$13, 100%, $E$13) + CHOOSE(CONTROL!$C$28, 0.0226, 0)</f>
        <v>14.2561</v>
      </c>
      <c r="C101" s="4">
        <f>13.8703 * CHOOSE(CONTROL!$C$9, $C$13, 100%, $E$13) + CHOOSE(CONTROL!$C$28, 0.0226, 0)</f>
        <v>13.892900000000001</v>
      </c>
      <c r="D101" s="4">
        <f>21.4268 * CHOOSE(CONTROL!$C$9, $C$13, 100%, $E$13) + CHOOSE(CONTROL!$C$28, 0.0021, 0)</f>
        <v>21.428899999999999</v>
      </c>
      <c r="E101" s="4">
        <f>90.8374136584761 * CHOOSE(CONTROL!$C$9, $C$13, 100%, $E$13) + CHOOSE(CONTROL!$C$28, 0.0021, 0)</f>
        <v>90.839513658476093</v>
      </c>
    </row>
    <row r="102" spans="1:5" ht="15">
      <c r="A102" s="13">
        <v>44228</v>
      </c>
      <c r="B102" s="4">
        <f>14.5531 * CHOOSE(CONTROL!$C$9, $C$13, 100%, $E$13) + CHOOSE(CONTROL!$C$28, 0.0226, 0)</f>
        <v>14.575700000000001</v>
      </c>
      <c r="C102" s="4">
        <f>14.1899 * CHOOSE(CONTROL!$C$9, $C$13, 100%, $E$13) + CHOOSE(CONTROL!$C$28, 0.0226, 0)</f>
        <v>14.2125</v>
      </c>
      <c r="D102" s="4">
        <f>22.1177 * CHOOSE(CONTROL!$C$9, $C$13, 100%, $E$13) + CHOOSE(CONTROL!$C$28, 0.0021, 0)</f>
        <v>22.119799999999998</v>
      </c>
      <c r="E102" s="4">
        <f>92.9942518407494 * CHOOSE(CONTROL!$C$9, $C$13, 100%, $E$13) + CHOOSE(CONTROL!$C$28, 0.0021, 0)</f>
        <v>92.996351840749398</v>
      </c>
    </row>
    <row r="103" spans="1:5" ht="15">
      <c r="A103" s="13">
        <v>44256</v>
      </c>
      <c r="B103" s="4">
        <f>15.3924 * CHOOSE(CONTROL!$C$9, $C$13, 100%, $E$13) + CHOOSE(CONTROL!$C$28, 0.0226, 0)</f>
        <v>15.415000000000001</v>
      </c>
      <c r="C103" s="4">
        <f>15.0291 * CHOOSE(CONTROL!$C$9, $C$13, 100%, $E$13) + CHOOSE(CONTROL!$C$28, 0.0226, 0)</f>
        <v>15.0517</v>
      </c>
      <c r="D103" s="4">
        <f>23.1992 * CHOOSE(CONTROL!$C$9, $C$13, 100%, $E$13) + CHOOSE(CONTROL!$C$28, 0.0021, 0)</f>
        <v>23.2013</v>
      </c>
      <c r="E103" s="4">
        <f>98.6582235287412 * CHOOSE(CONTROL!$C$9, $C$13, 100%, $E$13) + CHOOSE(CONTROL!$C$28, 0.0021, 0)</f>
        <v>98.660323528741202</v>
      </c>
    </row>
    <row r="104" spans="1:5" ht="15">
      <c r="A104" s="13">
        <v>44287</v>
      </c>
      <c r="B104" s="4">
        <f>15.9887 * CHOOSE(CONTROL!$C$9, $C$13, 100%, $E$13) + CHOOSE(CONTROL!$C$28, 0.0226, 0)</f>
        <v>16.011299999999999</v>
      </c>
      <c r="C104" s="4">
        <f>15.6254 * CHOOSE(CONTROL!$C$9, $C$13, 100%, $E$13) + CHOOSE(CONTROL!$C$28, 0.0226, 0)</f>
        <v>15.648000000000001</v>
      </c>
      <c r="D104" s="4">
        <f>23.8222 * CHOOSE(CONTROL!$C$9, $C$13, 100%, $E$13) + CHOOSE(CONTROL!$C$28, 0.0021, 0)</f>
        <v>23.824299999999997</v>
      </c>
      <c r="E104" s="4">
        <f>102.682550895407 * CHOOSE(CONTROL!$C$9, $C$13, 100%, $E$13) + CHOOSE(CONTROL!$C$28, 0.0021, 0)</f>
        <v>102.684650895407</v>
      </c>
    </row>
    <row r="105" spans="1:5" ht="15">
      <c r="A105" s="13">
        <v>44317</v>
      </c>
      <c r="B105" s="4">
        <f>16.3531 * CHOOSE(CONTROL!$C$9, $C$13, 100%, $E$13) + CHOOSE(CONTROL!$C$28, 0.0226, 0)</f>
        <v>16.375700000000002</v>
      </c>
      <c r="C105" s="4">
        <f>15.9898 * CHOOSE(CONTROL!$C$9, $C$13, 100%, $E$13) + CHOOSE(CONTROL!$C$28, 0.0226, 0)</f>
        <v>16.0124</v>
      </c>
      <c r="D105" s="4">
        <f>23.576 * CHOOSE(CONTROL!$C$9, $C$13, 100%, $E$13) + CHOOSE(CONTROL!$C$28, 0.0021, 0)</f>
        <v>23.578099999999999</v>
      </c>
      <c r="E105" s="4">
        <f>105.141318466773 * CHOOSE(CONTROL!$C$9, $C$13, 100%, $E$13) + CHOOSE(CONTROL!$C$28, 0.0021, 0)</f>
        <v>105.143418466773</v>
      </c>
    </row>
    <row r="106" spans="1:5" ht="15">
      <c r="A106" s="13">
        <v>44348</v>
      </c>
      <c r="B106" s="4">
        <f>16.4024 * CHOOSE(CONTROL!$C$9, $C$13, 100%, $E$13) + CHOOSE(CONTROL!$C$28, 0.0226, 0)</f>
        <v>16.425000000000001</v>
      </c>
      <c r="C106" s="4">
        <f>16.0391 * CHOOSE(CONTROL!$C$9, $C$13, 100%, $E$13) + CHOOSE(CONTROL!$C$28, 0.0226, 0)</f>
        <v>16.061700000000002</v>
      </c>
      <c r="D106" s="4">
        <f>23.7765 * CHOOSE(CONTROL!$C$9, $C$13, 100%, $E$13) + CHOOSE(CONTROL!$C$28, 0.0021, 0)</f>
        <v>23.778599999999997</v>
      </c>
      <c r="E106" s="4">
        <f>105.473999923274 * CHOOSE(CONTROL!$C$9, $C$13, 100%, $E$13) + CHOOSE(CONTROL!$C$28, 0.0021, 0)</f>
        <v>105.47609992327399</v>
      </c>
    </row>
    <row r="107" spans="1:5" ht="15">
      <c r="A107" s="13">
        <v>44378</v>
      </c>
      <c r="B107" s="4">
        <f>16.3974 * CHOOSE(CONTROL!$C$9, $C$13, 100%, $E$13) + CHOOSE(CONTROL!$C$28, 0.0226, 0)</f>
        <v>16.420000000000002</v>
      </c>
      <c r="C107" s="4">
        <f>16.0341 * CHOOSE(CONTROL!$C$9, $C$13, 100%, $E$13) + CHOOSE(CONTROL!$C$28, 0.0226, 0)</f>
        <v>16.056699999999999</v>
      </c>
      <c r="D107" s="4">
        <f>24.1383 * CHOOSE(CONTROL!$C$9, $C$13, 100%, $E$13) + CHOOSE(CONTROL!$C$28, 0.0021, 0)</f>
        <v>24.1404</v>
      </c>
      <c r="E107" s="4">
        <f>105.440452213375 * CHOOSE(CONTROL!$C$9, $C$13, 100%, $E$13) + CHOOSE(CONTROL!$C$28, 0.0021, 0)</f>
        <v>105.442552213375</v>
      </c>
    </row>
    <row r="108" spans="1:5" ht="15">
      <c r="A108" s="13">
        <v>44409</v>
      </c>
      <c r="B108" s="4">
        <f>16.7715 * CHOOSE(CONTROL!$C$9, $C$13, 100%, $E$13) + CHOOSE(CONTROL!$C$28, 0.0226, 0)</f>
        <v>16.7941</v>
      </c>
      <c r="C108" s="4">
        <f>16.4082 * CHOOSE(CONTROL!$C$9, $C$13, 100%, $E$13) + CHOOSE(CONTROL!$C$28, 0.0226, 0)</f>
        <v>16.430800000000001</v>
      </c>
      <c r="D108" s="4">
        <f>23.8993 * CHOOSE(CONTROL!$C$9, $C$13, 100%, $E$13) + CHOOSE(CONTROL!$C$28, 0.0021, 0)</f>
        <v>23.901399999999999</v>
      </c>
      <c r="E108" s="4">
        <f>107.964917383294 * CHOOSE(CONTROL!$C$9, $C$13, 100%, $E$13) + CHOOSE(CONTROL!$C$28, 0.0021, 0)</f>
        <v>107.96701738329399</v>
      </c>
    </row>
    <row r="109" spans="1:5" ht="15">
      <c r="A109" s="13">
        <v>44440</v>
      </c>
      <c r="B109" s="4">
        <f>16.1339 * CHOOSE(CONTROL!$C$9, $C$13, 100%, $E$13) + CHOOSE(CONTROL!$C$28, 0.0226, 0)</f>
        <v>16.156500000000001</v>
      </c>
      <c r="C109" s="4">
        <f>15.7706 * CHOOSE(CONTROL!$C$9, $C$13, 100%, $E$13) + CHOOSE(CONTROL!$C$28, 0.0226, 0)</f>
        <v>15.793200000000001</v>
      </c>
      <c r="D109" s="4">
        <f>23.7865 * CHOOSE(CONTROL!$C$9, $C$13, 100%, $E$13) + CHOOSE(CONTROL!$C$28, 0.0021, 0)</f>
        <v>23.788599999999999</v>
      </c>
      <c r="E109" s="4">
        <f>103.662423588714 * CHOOSE(CONTROL!$C$9, $C$13, 100%, $E$13) + CHOOSE(CONTROL!$C$28, 0.0021, 0)</f>
        <v>103.664523588714</v>
      </c>
    </row>
    <row r="110" spans="1:5" ht="15">
      <c r="A110" s="13">
        <v>44470</v>
      </c>
      <c r="B110" s="4">
        <f>15.6236 * CHOOSE(CONTROL!$C$9, $C$13, 100%, $E$13) + CHOOSE(CONTROL!$C$28, 0.0226, 0)</f>
        <v>15.6462</v>
      </c>
      <c r="C110" s="4">
        <f>15.2603 * CHOOSE(CONTROL!$C$9, $C$13, 100%, $E$13) + CHOOSE(CONTROL!$C$28, 0.0226, 0)</f>
        <v>15.282900000000001</v>
      </c>
      <c r="D110" s="4">
        <f>23.4842 * CHOOSE(CONTROL!$C$9, $C$13, 100%, $E$13) + CHOOSE(CONTROL!$C$28, 0.0021, 0)</f>
        <v>23.4863</v>
      </c>
      <c r="E110" s="4">
        <f>100.218192039057 * CHOOSE(CONTROL!$C$9, $C$13, 100%, $E$13) + CHOOSE(CONTROL!$C$28, 0.0021, 0)</f>
        <v>100.220292039057</v>
      </c>
    </row>
    <row r="111" spans="1:5" ht="15">
      <c r="A111" s="13">
        <v>44501</v>
      </c>
      <c r="B111" s="4">
        <f>15.2949 * CHOOSE(CONTROL!$C$9, $C$13, 100%, $E$13) + CHOOSE(CONTROL!$C$28, 0.0226, 0)</f>
        <v>15.317500000000001</v>
      </c>
      <c r="C111" s="4">
        <f>14.9316 * CHOOSE(CONTROL!$C$9, $C$13, 100%, $E$13) + CHOOSE(CONTROL!$C$28, 0.0226, 0)</f>
        <v>14.9542</v>
      </c>
      <c r="D111" s="4">
        <f>23.3803 * CHOOSE(CONTROL!$C$9, $C$13, 100%, $E$13) + CHOOSE(CONTROL!$C$28, 0.0021, 0)</f>
        <v>23.382399999999997</v>
      </c>
      <c r="E111" s="4">
        <f>97.9998497219682 * CHOOSE(CONTROL!$C$9, $C$13, 100%, $E$13) + CHOOSE(CONTROL!$C$28, 0.0021, 0)</f>
        <v>98.001949721968202</v>
      </c>
    </row>
    <row r="112" spans="1:5" ht="15">
      <c r="A112" s="13">
        <v>44531</v>
      </c>
      <c r="B112" s="4">
        <f>15.0674 * CHOOSE(CONTROL!$C$9, $C$13, 100%, $E$13) + CHOOSE(CONTROL!$C$28, 0.0226, 0)</f>
        <v>15.09</v>
      </c>
      <c r="C112" s="4">
        <f>14.7041 * CHOOSE(CONTROL!$C$9, $C$13, 100%, $E$13) + CHOOSE(CONTROL!$C$28, 0.0226, 0)</f>
        <v>14.726700000000001</v>
      </c>
      <c r="D112" s="4">
        <f>22.6153 * CHOOSE(CONTROL!$C$9, $C$13, 100%, $E$13) + CHOOSE(CONTROL!$C$28, 0.0021, 0)</f>
        <v>22.6174</v>
      </c>
      <c r="E112" s="4">
        <f>96.4650419940771 * CHOOSE(CONTROL!$C$9, $C$13, 100%, $E$13) + CHOOSE(CONTROL!$C$28, 0.0021, 0)</f>
        <v>96.467141994077096</v>
      </c>
    </row>
    <row r="113" spans="1:5" ht="15">
      <c r="A113" s="13">
        <v>44562</v>
      </c>
      <c r="B113" s="4">
        <f>15.1175 * CHOOSE(CONTROL!$C$9, $C$13, 100%, $E$13) + CHOOSE(CONTROL!$C$28, 0.0226, 0)</f>
        <v>15.1401</v>
      </c>
      <c r="C113" s="4">
        <f>14.7542 * CHOOSE(CONTROL!$C$9, $C$13, 100%, $E$13) + CHOOSE(CONTROL!$C$28, 0.0226, 0)</f>
        <v>14.776800000000001</v>
      </c>
      <c r="D113" s="4">
        <f>23.1112 * CHOOSE(CONTROL!$C$9, $C$13, 100%, $E$13) + CHOOSE(CONTROL!$C$28, 0.0021, 0)</f>
        <v>23.113299999999999</v>
      </c>
      <c r="E113" s="4">
        <f>97.9711806215981 * CHOOSE(CONTROL!$C$9, $C$13, 100%, $E$13) + CHOOSE(CONTROL!$C$28, 0.0021, 0)</f>
        <v>97.973280621598093</v>
      </c>
    </row>
    <row r="114" spans="1:5" ht="15">
      <c r="A114" s="13">
        <v>44593</v>
      </c>
      <c r="B114" s="4">
        <f>15.4581 * CHOOSE(CONTROL!$C$9, $C$13, 100%, $E$13) + CHOOSE(CONTROL!$C$28, 0.0226, 0)</f>
        <v>15.480700000000001</v>
      </c>
      <c r="C114" s="4">
        <f>15.0948 * CHOOSE(CONTROL!$C$9, $C$13, 100%, $E$13) + CHOOSE(CONTROL!$C$28, 0.0226, 0)</f>
        <v>15.1174</v>
      </c>
      <c r="D114" s="4">
        <f>23.8615 * CHOOSE(CONTROL!$C$9, $C$13, 100%, $E$13) + CHOOSE(CONTROL!$C$28, 0.0021, 0)</f>
        <v>23.863599999999998</v>
      </c>
      <c r="E114" s="4">
        <f>100.297402545105 * CHOOSE(CONTROL!$C$9, $C$13, 100%, $E$13) + CHOOSE(CONTROL!$C$28, 0.0021, 0)</f>
        <v>100.299502545105</v>
      </c>
    </row>
    <row r="115" spans="1:5" ht="15">
      <c r="A115" s="13">
        <v>44621</v>
      </c>
      <c r="B115" s="4">
        <f>16.3525 * CHOOSE(CONTROL!$C$9, $C$13, 100%, $E$13) + CHOOSE(CONTROL!$C$28, 0.0226, 0)</f>
        <v>16.3751</v>
      </c>
      <c r="C115" s="4">
        <f>15.9892 * CHOOSE(CONTROL!$C$9, $C$13, 100%, $E$13) + CHOOSE(CONTROL!$C$28, 0.0226, 0)</f>
        <v>16.011800000000001</v>
      </c>
      <c r="D115" s="4">
        <f>25.0361 * CHOOSE(CONTROL!$C$9, $C$13, 100%, $E$13) + CHOOSE(CONTROL!$C$28, 0.0021, 0)</f>
        <v>25.0382</v>
      </c>
      <c r="E115" s="4">
        <f>106.406184939177 * CHOOSE(CONTROL!$C$9, $C$13, 100%, $E$13) + CHOOSE(CONTROL!$C$28, 0.0021, 0)</f>
        <v>106.40828493917699</v>
      </c>
    </row>
    <row r="116" spans="1:5" ht="15">
      <c r="A116" s="13">
        <v>44652</v>
      </c>
      <c r="B116" s="4">
        <f>16.988 * CHOOSE(CONTROL!$C$9, $C$13, 100%, $E$13) + CHOOSE(CONTROL!$C$28, 0.0226, 0)</f>
        <v>17.0106</v>
      </c>
      <c r="C116" s="4">
        <f>16.6247 * CHOOSE(CONTROL!$C$9, $C$13, 100%, $E$13) + CHOOSE(CONTROL!$C$28, 0.0226, 0)</f>
        <v>16.647300000000001</v>
      </c>
      <c r="D116" s="4">
        <f>25.7127 * CHOOSE(CONTROL!$C$9, $C$13, 100%, $E$13) + CHOOSE(CONTROL!$C$28, 0.0021, 0)</f>
        <v>25.7148</v>
      </c>
      <c r="E116" s="4">
        <f>110.746556240394 * CHOOSE(CONTROL!$C$9, $C$13, 100%, $E$13) + CHOOSE(CONTROL!$C$28, 0.0021, 0)</f>
        <v>110.748656240394</v>
      </c>
    </row>
    <row r="117" spans="1:5" ht="15">
      <c r="A117" s="13">
        <v>44682</v>
      </c>
      <c r="B117" s="4">
        <f>17.3762 * CHOOSE(CONTROL!$C$9, $C$13, 100%, $E$13) + CHOOSE(CONTROL!$C$28, 0.0226, 0)</f>
        <v>17.398800000000001</v>
      </c>
      <c r="C117" s="4">
        <f>17.013 * CHOOSE(CONTROL!$C$9, $C$13, 100%, $E$13) + CHOOSE(CONTROL!$C$28, 0.0226, 0)</f>
        <v>17.035600000000002</v>
      </c>
      <c r="D117" s="4">
        <f>25.4453 * CHOOSE(CONTROL!$C$9, $C$13, 100%, $E$13) + CHOOSE(CONTROL!$C$28, 0.0021, 0)</f>
        <v>25.447399999999998</v>
      </c>
      <c r="E117" s="4">
        <f>113.398419081255 * CHOOSE(CONTROL!$C$9, $C$13, 100%, $E$13) + CHOOSE(CONTROL!$C$28, 0.0021, 0)</f>
        <v>113.400519081255</v>
      </c>
    </row>
    <row r="118" spans="1:5" ht="15">
      <c r="A118" s="13">
        <v>44713</v>
      </c>
      <c r="B118" s="4">
        <f>17.4288 * CHOOSE(CONTROL!$C$9, $C$13, 100%, $E$13) + CHOOSE(CONTROL!$C$28, 0.0226, 0)</f>
        <v>17.4514</v>
      </c>
      <c r="C118" s="4">
        <f>17.0655 * CHOOSE(CONTROL!$C$9, $C$13, 100%, $E$13) + CHOOSE(CONTROL!$C$28, 0.0226, 0)</f>
        <v>17.088100000000001</v>
      </c>
      <c r="D118" s="4">
        <f>25.6631 * CHOOSE(CONTROL!$C$9, $C$13, 100%, $E$13) + CHOOSE(CONTROL!$C$28, 0.0021, 0)</f>
        <v>25.665199999999999</v>
      </c>
      <c r="E118" s="4">
        <f>113.757227129081 * CHOOSE(CONTROL!$C$9, $C$13, 100%, $E$13) + CHOOSE(CONTROL!$C$28, 0.0021, 0)</f>
        <v>113.759327129081</v>
      </c>
    </row>
    <row r="119" spans="1:5" ht="15">
      <c r="A119" s="13">
        <v>44743</v>
      </c>
      <c r="B119" s="4">
        <f>17.4235 * CHOOSE(CONTROL!$C$9, $C$13, 100%, $E$13) + CHOOSE(CONTROL!$C$28, 0.0226, 0)</f>
        <v>17.446100000000001</v>
      </c>
      <c r="C119" s="4">
        <f>17.0602 * CHOOSE(CONTROL!$C$9, $C$13, 100%, $E$13) + CHOOSE(CONTROL!$C$28, 0.0226, 0)</f>
        <v>17.082799999999999</v>
      </c>
      <c r="D119" s="4">
        <f>26.056 * CHOOSE(CONTROL!$C$9, $C$13, 100%, $E$13) + CHOOSE(CONTROL!$C$28, 0.0021, 0)</f>
        <v>26.0581</v>
      </c>
      <c r="E119" s="4">
        <f>113.72104480493 * CHOOSE(CONTROL!$C$9, $C$13, 100%, $E$13) + CHOOSE(CONTROL!$C$28, 0.0021, 0)</f>
        <v>113.72314480493</v>
      </c>
    </row>
    <row r="120" spans="1:5" ht="15">
      <c r="A120" s="13">
        <v>44774</v>
      </c>
      <c r="B120" s="4">
        <f>17.8221 * CHOOSE(CONTROL!$C$9, $C$13, 100%, $E$13) + CHOOSE(CONTROL!$C$28, 0.0226, 0)</f>
        <v>17.8447</v>
      </c>
      <c r="C120" s="4">
        <f>17.4588 * CHOOSE(CONTROL!$C$9, $C$13, 100%, $E$13) + CHOOSE(CONTROL!$C$28, 0.0226, 0)</f>
        <v>17.481400000000001</v>
      </c>
      <c r="D120" s="4">
        <f>25.7965 * CHOOSE(CONTROL!$C$9, $C$13, 100%, $E$13) + CHOOSE(CONTROL!$C$28, 0.0021, 0)</f>
        <v>25.7986</v>
      </c>
      <c r="E120" s="4">
        <f>116.443764697253 * CHOOSE(CONTROL!$C$9, $C$13, 100%, $E$13) + CHOOSE(CONTROL!$C$28, 0.0021, 0)</f>
        <v>116.445864697253</v>
      </c>
    </row>
    <row r="121" spans="1:5" ht="15">
      <c r="A121" s="13">
        <v>44805</v>
      </c>
      <c r="B121" s="4">
        <f>17.1427 * CHOOSE(CONTROL!$C$9, $C$13, 100%, $E$13) + CHOOSE(CONTROL!$C$28, 0.0226, 0)</f>
        <v>17.165300000000002</v>
      </c>
      <c r="C121" s="4">
        <f>16.7794 * CHOOSE(CONTROL!$C$9, $C$13, 100%, $E$13) + CHOOSE(CONTROL!$C$28, 0.0226, 0)</f>
        <v>16.802</v>
      </c>
      <c r="D121" s="4">
        <f>25.6739 * CHOOSE(CONTROL!$C$9, $C$13, 100%, $E$13) + CHOOSE(CONTROL!$C$28, 0.0021, 0)</f>
        <v>25.675999999999998</v>
      </c>
      <c r="E121" s="4">
        <f>111.803381624955 * CHOOSE(CONTROL!$C$9, $C$13, 100%, $E$13) + CHOOSE(CONTROL!$C$28, 0.0021, 0)</f>
        <v>111.80548162495499</v>
      </c>
    </row>
    <row r="122" spans="1:5" ht="15">
      <c r="A122" s="13">
        <v>44835</v>
      </c>
      <c r="B122" s="4">
        <f>16.5988 * CHOOSE(CONTROL!$C$9, $C$13, 100%, $E$13) + CHOOSE(CONTROL!$C$28, 0.0226, 0)</f>
        <v>16.621400000000001</v>
      </c>
      <c r="C122" s="4">
        <f>16.2356 * CHOOSE(CONTROL!$C$9, $C$13, 100%, $E$13) + CHOOSE(CONTROL!$C$28, 0.0226, 0)</f>
        <v>16.258200000000002</v>
      </c>
      <c r="D122" s="4">
        <f>25.3457 * CHOOSE(CONTROL!$C$9, $C$13, 100%, $E$13) + CHOOSE(CONTROL!$C$28, 0.0021, 0)</f>
        <v>25.347799999999999</v>
      </c>
      <c r="E122" s="4">
        <f>108.088663012173 * CHOOSE(CONTROL!$C$9, $C$13, 100%, $E$13) + CHOOSE(CONTROL!$C$28, 0.0021, 0)</f>
        <v>108.090763012173</v>
      </c>
    </row>
    <row r="123" spans="1:5" ht="15">
      <c r="A123" s="13">
        <v>44866</v>
      </c>
      <c r="B123" s="4">
        <f>16.2485 * CHOOSE(CONTROL!$C$9, $C$13, 100%, $E$13) + CHOOSE(CONTROL!$C$28, 0.0226, 0)</f>
        <v>16.271100000000001</v>
      </c>
      <c r="C123" s="4">
        <f>15.8853 * CHOOSE(CONTROL!$C$9, $C$13, 100%, $E$13) + CHOOSE(CONTROL!$C$28, 0.0226, 0)</f>
        <v>15.907900000000001</v>
      </c>
      <c r="D123" s="4">
        <f>25.2328 * CHOOSE(CONTROL!$C$9, $C$13, 100%, $E$13) + CHOOSE(CONTROL!$C$28, 0.0021, 0)</f>
        <v>25.2349</v>
      </c>
      <c r="E123" s="4">
        <f>105.696106827724 * CHOOSE(CONTROL!$C$9, $C$13, 100%, $E$13) + CHOOSE(CONTROL!$C$28, 0.0021, 0)</f>
        <v>105.69820682772399</v>
      </c>
    </row>
    <row r="124" spans="1:5" ht="15">
      <c r="A124" s="13">
        <v>44896</v>
      </c>
      <c r="B124" s="4">
        <f>16.0062 * CHOOSE(CONTROL!$C$9, $C$13, 100%, $E$13) + CHOOSE(CONTROL!$C$28, 0.0226, 0)</f>
        <v>16.0288</v>
      </c>
      <c r="C124" s="4">
        <f>15.6429 * CHOOSE(CONTROL!$C$9, $C$13, 100%, $E$13) + CHOOSE(CONTROL!$C$28, 0.0226, 0)</f>
        <v>15.6655</v>
      </c>
      <c r="D124" s="4">
        <f>24.402 * CHOOSE(CONTROL!$C$9, $C$13, 100%, $E$13) + CHOOSE(CONTROL!$C$28, 0.0021, 0)</f>
        <v>24.4041</v>
      </c>
      <c r="E124" s="4">
        <f>104.04076549784 * CHOOSE(CONTROL!$C$9, $C$13, 100%, $E$13) + CHOOSE(CONTROL!$C$28, 0.0021, 0)</f>
        <v>104.04286549784</v>
      </c>
    </row>
    <row r="125" spans="1:5" ht="15">
      <c r="A125" s="13">
        <v>44927</v>
      </c>
      <c r="B125" s="4">
        <f>16.2404 * CHOOSE(CONTROL!$C$9, $C$13, 100%, $E$13) + CHOOSE(CONTROL!$C$28, 0.0226, 0)</f>
        <v>16.263000000000002</v>
      </c>
      <c r="C125" s="4">
        <f>15.8771 * CHOOSE(CONTROL!$C$9, $C$13, 100%, $E$13) + CHOOSE(CONTROL!$C$28, 0.0226, 0)</f>
        <v>15.899700000000001</v>
      </c>
      <c r="D125" s="4">
        <f>24.6143 * CHOOSE(CONTROL!$C$9, $C$13, 100%, $E$13) + CHOOSE(CONTROL!$C$28, 0.0021, 0)</f>
        <v>24.616399999999999</v>
      </c>
      <c r="E125" s="4">
        <f>105.099031584124 * CHOOSE(CONTROL!$C$9, $C$13, 100%, $E$13) + CHOOSE(CONTROL!$C$28, 0.0021, 0)</f>
        <v>105.101131584124</v>
      </c>
    </row>
    <row r="126" spans="1:5" ht="15">
      <c r="A126" s="13">
        <v>44958</v>
      </c>
      <c r="B126" s="4">
        <f>16.6077 * CHOOSE(CONTROL!$C$9, $C$13, 100%, $E$13) + CHOOSE(CONTROL!$C$28, 0.0226, 0)</f>
        <v>16.630300000000002</v>
      </c>
      <c r="C126" s="4">
        <f>16.2444 * CHOOSE(CONTROL!$C$9, $C$13, 100%, $E$13) + CHOOSE(CONTROL!$C$28, 0.0226, 0)</f>
        <v>16.266999999999999</v>
      </c>
      <c r="D126" s="4">
        <f>25.4177 * CHOOSE(CONTROL!$C$9, $C$13, 100%, $E$13) + CHOOSE(CONTROL!$C$28, 0.0021, 0)</f>
        <v>25.419799999999999</v>
      </c>
      <c r="E126" s="4">
        <f>107.594496779697 * CHOOSE(CONTROL!$C$9, $C$13, 100%, $E$13) + CHOOSE(CONTROL!$C$28, 0.0021, 0)</f>
        <v>107.59659677969699</v>
      </c>
    </row>
    <row r="127" spans="1:5" ht="15">
      <c r="A127" s="13">
        <v>44986</v>
      </c>
      <c r="B127" s="4">
        <f>17.5721 * CHOOSE(CONTROL!$C$9, $C$13, 100%, $E$13) + CHOOSE(CONTROL!$C$28, 0.0226, 0)</f>
        <v>17.5947</v>
      </c>
      <c r="C127" s="4">
        <f>17.2088 * CHOOSE(CONTROL!$C$9, $C$13, 100%, $E$13) + CHOOSE(CONTROL!$C$28, 0.0226, 0)</f>
        <v>17.231400000000001</v>
      </c>
      <c r="D127" s="4">
        <f>26.6754 * CHOOSE(CONTROL!$C$9, $C$13, 100%, $E$13) + CHOOSE(CONTROL!$C$28, 0.0021, 0)</f>
        <v>26.677499999999998</v>
      </c>
      <c r="E127" s="4">
        <f>114.147721000346 * CHOOSE(CONTROL!$C$9, $C$13, 100%, $E$13) + CHOOSE(CONTROL!$C$28, 0.0021, 0)</f>
        <v>114.14982100034599</v>
      </c>
    </row>
    <row r="128" spans="1:5" ht="15">
      <c r="A128" s="13">
        <v>45017</v>
      </c>
      <c r="B128" s="4">
        <f>18.2573 * CHOOSE(CONTROL!$C$9, $C$13, 100%, $E$13) + CHOOSE(CONTROL!$C$28, 0.0226, 0)</f>
        <v>18.279900000000001</v>
      </c>
      <c r="C128" s="4">
        <f>17.894 * CHOOSE(CONTROL!$C$9, $C$13, 100%, $E$13) + CHOOSE(CONTROL!$C$28, 0.0226, 0)</f>
        <v>17.916599999999999</v>
      </c>
      <c r="D128" s="4">
        <f>27.3998 * CHOOSE(CONTROL!$C$9, $C$13, 100%, $E$13) + CHOOSE(CONTROL!$C$28, 0.0021, 0)</f>
        <v>27.401899999999998</v>
      </c>
      <c r="E128" s="4">
        <f>118.803874142312 * CHOOSE(CONTROL!$C$9, $C$13, 100%, $E$13) + CHOOSE(CONTROL!$C$28, 0.0021, 0)</f>
        <v>118.805974142312</v>
      </c>
    </row>
    <row r="129" spans="1:5" ht="15">
      <c r="A129" s="13">
        <v>45047</v>
      </c>
      <c r="B129" s="4">
        <f>18.676 * CHOOSE(CONTROL!$C$9, $C$13, 100%, $E$13) + CHOOSE(CONTROL!$C$28, 0.0226, 0)</f>
        <v>18.698599999999999</v>
      </c>
      <c r="C129" s="4">
        <f>18.3127 * CHOOSE(CONTROL!$C$9, $C$13, 100%, $E$13) + CHOOSE(CONTROL!$C$28, 0.0226, 0)</f>
        <v>18.3353</v>
      </c>
      <c r="D129" s="4">
        <f>27.1135 * CHOOSE(CONTROL!$C$9, $C$13, 100%, $E$13) + CHOOSE(CONTROL!$C$28, 0.0021, 0)</f>
        <v>27.115599999999997</v>
      </c>
      <c r="E129" s="4">
        <f>121.648672119637 * CHOOSE(CONTROL!$C$9, $C$13, 100%, $E$13) + CHOOSE(CONTROL!$C$28, 0.0021, 0)</f>
        <v>121.650772119637</v>
      </c>
    </row>
    <row r="130" spans="1:5" ht="15">
      <c r="A130" s="13">
        <v>45078</v>
      </c>
      <c r="B130" s="4">
        <f>18.7326 * CHOOSE(CONTROL!$C$9, $C$13, 100%, $E$13) + CHOOSE(CONTROL!$C$28, 0.0226, 0)</f>
        <v>18.755200000000002</v>
      </c>
      <c r="C130" s="4">
        <f>18.3693 * CHOOSE(CONTROL!$C$9, $C$13, 100%, $E$13) + CHOOSE(CONTROL!$C$28, 0.0226, 0)</f>
        <v>18.3919</v>
      </c>
      <c r="D130" s="4">
        <f>27.3467 * CHOOSE(CONTROL!$C$9, $C$13, 100%, $E$13) + CHOOSE(CONTROL!$C$28, 0.0021, 0)</f>
        <v>27.348799999999997</v>
      </c>
      <c r="E130" s="4">
        <f>122.033585092124 * CHOOSE(CONTROL!$C$9, $C$13, 100%, $E$13) + CHOOSE(CONTROL!$C$28, 0.0021, 0)</f>
        <v>122.035685092124</v>
      </c>
    </row>
    <row r="131" spans="1:5" ht="15">
      <c r="A131" s="13">
        <v>45108</v>
      </c>
      <c r="B131" s="4">
        <f>18.7269 * CHOOSE(CONTROL!$C$9, $C$13, 100%, $E$13) + CHOOSE(CONTROL!$C$28, 0.0226, 0)</f>
        <v>18.749500000000001</v>
      </c>
      <c r="C131" s="4">
        <f>18.3636 * CHOOSE(CONTROL!$C$9, $C$13, 100%, $E$13) + CHOOSE(CONTROL!$C$28, 0.0226, 0)</f>
        <v>18.386200000000002</v>
      </c>
      <c r="D131" s="4">
        <f>27.7673 * CHOOSE(CONTROL!$C$9, $C$13, 100%, $E$13) + CHOOSE(CONTROL!$C$28, 0.0021, 0)</f>
        <v>27.769399999999997</v>
      </c>
      <c r="E131" s="4">
        <f>121.994770338596 * CHOOSE(CONTROL!$C$9, $C$13, 100%, $E$13) + CHOOSE(CONTROL!$C$28, 0.0021, 0)</f>
        <v>121.996870338596</v>
      </c>
    </row>
    <row r="132" spans="1:5" ht="15">
      <c r="A132" s="13">
        <v>45139</v>
      </c>
      <c r="B132" s="4">
        <f>19.1567 * CHOOSE(CONTROL!$C$9, $C$13, 100%, $E$13) + CHOOSE(CONTROL!$C$28, 0.0226, 0)</f>
        <v>19.179300000000001</v>
      </c>
      <c r="C132" s="4">
        <f>18.7935 * CHOOSE(CONTROL!$C$9, $C$13, 100%, $E$13) + CHOOSE(CONTROL!$C$28, 0.0226, 0)</f>
        <v>18.816100000000002</v>
      </c>
      <c r="D132" s="4">
        <f>27.4895 * CHOOSE(CONTROL!$C$9, $C$13, 100%, $E$13) + CHOOSE(CONTROL!$C$28, 0.0021, 0)</f>
        <v>27.491599999999998</v>
      </c>
      <c r="E132" s="4">
        <f>124.91558054158 * CHOOSE(CONTROL!$C$9, $C$13, 100%, $E$13) + CHOOSE(CONTROL!$C$28, 0.0021, 0)</f>
        <v>124.91768054158</v>
      </c>
    </row>
    <row r="133" spans="1:5" ht="15">
      <c r="A133" s="13">
        <v>45170</v>
      </c>
      <c r="B133" s="4">
        <f>18.4242 * CHOOSE(CONTROL!$C$9, $C$13, 100%, $E$13) + CHOOSE(CONTROL!$C$28, 0.0226, 0)</f>
        <v>18.4468</v>
      </c>
      <c r="C133" s="4">
        <f>18.0609 * CHOOSE(CONTROL!$C$9, $C$13, 100%, $E$13) + CHOOSE(CONTROL!$C$28, 0.0226, 0)</f>
        <v>18.083500000000001</v>
      </c>
      <c r="D133" s="4">
        <f>27.3583 * CHOOSE(CONTROL!$C$9, $C$13, 100%, $E$13) + CHOOSE(CONTROL!$C$28, 0.0021, 0)</f>
        <v>27.360399999999998</v>
      </c>
      <c r="E133" s="4">
        <f>119.93758840161 * CHOOSE(CONTROL!$C$9, $C$13, 100%, $E$13) + CHOOSE(CONTROL!$C$28, 0.0021, 0)</f>
        <v>119.93968840161</v>
      </c>
    </row>
    <row r="134" spans="1:5" ht="15">
      <c r="A134" s="13">
        <v>45200</v>
      </c>
      <c r="B134" s="4">
        <f>17.8377 * CHOOSE(CONTROL!$C$9, $C$13, 100%, $E$13) + CHOOSE(CONTROL!$C$28, 0.0226, 0)</f>
        <v>17.860300000000002</v>
      </c>
      <c r="C134" s="4">
        <f>17.4744 * CHOOSE(CONTROL!$C$9, $C$13, 100%, $E$13) + CHOOSE(CONTROL!$C$28, 0.0226, 0)</f>
        <v>17.497</v>
      </c>
      <c r="D134" s="4">
        <f>27.0068 * CHOOSE(CONTROL!$C$9, $C$13, 100%, $E$13) + CHOOSE(CONTROL!$C$28, 0.0021, 0)</f>
        <v>27.008899999999997</v>
      </c>
      <c r="E134" s="4">
        <f>115.952607039399 * CHOOSE(CONTROL!$C$9, $C$13, 100%, $E$13) + CHOOSE(CONTROL!$C$28, 0.0021, 0)</f>
        <v>115.954707039399</v>
      </c>
    </row>
    <row r="135" spans="1:5" ht="15">
      <c r="A135" s="13">
        <v>45231</v>
      </c>
      <c r="B135" s="4">
        <f>17.46 * CHOOSE(CONTROL!$C$9, $C$13, 100%, $E$13) + CHOOSE(CONTROL!$C$28, 0.0226, 0)</f>
        <v>17.482600000000001</v>
      </c>
      <c r="C135" s="4">
        <f>17.0967 * CHOOSE(CONTROL!$C$9, $C$13, 100%, $E$13) + CHOOSE(CONTROL!$C$28, 0.0226, 0)</f>
        <v>17.119299999999999</v>
      </c>
      <c r="D135" s="4">
        <f>26.886 * CHOOSE(CONTROL!$C$9, $C$13, 100%, $E$13) + CHOOSE(CONTROL!$C$28, 0.0021, 0)</f>
        <v>26.888099999999998</v>
      </c>
      <c r="E135" s="4">
        <f>113.385981462358 * CHOOSE(CONTROL!$C$9, $C$13, 100%, $E$13) + CHOOSE(CONTROL!$C$28, 0.0021, 0)</f>
        <v>113.388081462358</v>
      </c>
    </row>
    <row r="136" spans="1:5" ht="15">
      <c r="A136" s="13">
        <v>45261</v>
      </c>
      <c r="B136" s="4">
        <f>17.1987 * CHOOSE(CONTROL!$C$9, $C$13, 100%, $E$13) + CHOOSE(CONTROL!$C$28, 0.0226, 0)</f>
        <v>17.221299999999999</v>
      </c>
      <c r="C136" s="4">
        <f>16.8354 * CHOOSE(CONTROL!$C$9, $C$13, 100%, $E$13) + CHOOSE(CONTROL!$C$28, 0.0226, 0)</f>
        <v>16.858000000000001</v>
      </c>
      <c r="D136" s="4">
        <f>25.9964 * CHOOSE(CONTROL!$C$9, $C$13, 100%, $E$13) + CHOOSE(CONTROL!$C$28, 0.0021, 0)</f>
        <v>25.9985</v>
      </c>
      <c r="E136" s="4">
        <f>111.610206488451 * CHOOSE(CONTROL!$C$9, $C$13, 100%, $E$13) + CHOOSE(CONTROL!$C$28, 0.0021, 0)</f>
        <v>111.612306488451</v>
      </c>
    </row>
    <row r="137" spans="1:5" ht="15">
      <c r="A137" s="13">
        <v>45292</v>
      </c>
      <c r="B137" s="4">
        <f>17.1825 * CHOOSE(CONTROL!$C$9, $C$13, 100%, $E$13) + CHOOSE(CONTROL!$C$28, 0.0226, 0)</f>
        <v>17.205100000000002</v>
      </c>
      <c r="C137" s="4">
        <f>16.8192 * CHOOSE(CONTROL!$C$9, $C$13, 100%, $E$13) + CHOOSE(CONTROL!$C$28, 0.0226, 0)</f>
        <v>16.841799999999999</v>
      </c>
      <c r="D137" s="4">
        <f>25.7127 * CHOOSE(CONTROL!$C$9, $C$13, 100%, $E$13) + CHOOSE(CONTROL!$C$28, 0.0021, 0)</f>
        <v>25.7148</v>
      </c>
      <c r="E137" s="4">
        <f>110.392040815825 * CHOOSE(CONTROL!$C$9, $C$13, 100%, $E$13) + CHOOSE(CONTROL!$C$28, 0.0021, 0)</f>
        <v>110.394140815825</v>
      </c>
    </row>
    <row r="138" spans="1:5" ht="15">
      <c r="A138" s="13">
        <v>45323</v>
      </c>
      <c r="B138" s="4">
        <f>17.5721 * CHOOSE(CONTROL!$C$9, $C$13, 100%, $E$13) + CHOOSE(CONTROL!$C$28, 0.0226, 0)</f>
        <v>17.5947</v>
      </c>
      <c r="C138" s="4">
        <f>17.2088 * CHOOSE(CONTROL!$C$9, $C$13, 100%, $E$13) + CHOOSE(CONTROL!$C$28, 0.0226, 0)</f>
        <v>17.231400000000001</v>
      </c>
      <c r="D138" s="4">
        <f>26.5548 * CHOOSE(CONTROL!$C$9, $C$13, 100%, $E$13) + CHOOSE(CONTROL!$C$28, 0.0021, 0)</f>
        <v>26.556899999999999</v>
      </c>
      <c r="E138" s="4">
        <f>113.013182909829 * CHOOSE(CONTROL!$C$9, $C$13, 100%, $E$13) + CHOOSE(CONTROL!$C$28, 0.0021, 0)</f>
        <v>113.015282909829</v>
      </c>
    </row>
    <row r="139" spans="1:5" ht="15">
      <c r="A139" s="13">
        <v>45352</v>
      </c>
      <c r="B139" s="4">
        <f>18.5952 * CHOOSE(CONTROL!$C$9, $C$13, 100%, $E$13) + CHOOSE(CONTROL!$C$28, 0.0226, 0)</f>
        <v>18.617799999999999</v>
      </c>
      <c r="C139" s="4">
        <f>18.232 * CHOOSE(CONTROL!$C$9, $C$13, 100%, $E$13) + CHOOSE(CONTROL!$C$28, 0.0226, 0)</f>
        <v>18.2546</v>
      </c>
      <c r="D139" s="4">
        <f>27.8731 * CHOOSE(CONTROL!$C$9, $C$13, 100%, $E$13) + CHOOSE(CONTROL!$C$28, 0.0021, 0)</f>
        <v>27.8752</v>
      </c>
      <c r="E139" s="4">
        <f>119.896441344633 * CHOOSE(CONTROL!$C$9, $C$13, 100%, $E$13) + CHOOSE(CONTROL!$C$28, 0.0021, 0)</f>
        <v>119.898541344633</v>
      </c>
    </row>
    <row r="140" spans="1:5" ht="15">
      <c r="A140" s="13">
        <v>45383</v>
      </c>
      <c r="B140" s="4">
        <f>19.3222 * CHOOSE(CONTROL!$C$9, $C$13, 100%, $E$13) + CHOOSE(CONTROL!$C$28, 0.0226, 0)</f>
        <v>19.344799999999999</v>
      </c>
      <c r="C140" s="4">
        <f>18.9589 * CHOOSE(CONTROL!$C$9, $C$13, 100%, $E$13) + CHOOSE(CONTROL!$C$28, 0.0226, 0)</f>
        <v>18.9815</v>
      </c>
      <c r="D140" s="4">
        <f>28.6325 * CHOOSE(CONTROL!$C$9, $C$13, 100%, $E$13) + CHOOSE(CONTROL!$C$28, 0.0021, 0)</f>
        <v>28.634599999999999</v>
      </c>
      <c r="E140" s="4">
        <f>124.78708819404 * CHOOSE(CONTROL!$C$9, $C$13, 100%, $E$13) + CHOOSE(CONTROL!$C$28, 0.0021, 0)</f>
        <v>124.78918819403999</v>
      </c>
    </row>
    <row r="141" spans="1:5" ht="15">
      <c r="A141" s="13">
        <v>45413</v>
      </c>
      <c r="B141" s="4">
        <f>19.7664 * CHOOSE(CONTROL!$C$9, $C$13, 100%, $E$13) + CHOOSE(CONTROL!$C$28, 0.0226, 0)</f>
        <v>19.789000000000001</v>
      </c>
      <c r="C141" s="4">
        <f>19.4031 * CHOOSE(CONTROL!$C$9, $C$13, 100%, $E$13) + CHOOSE(CONTROL!$C$28, 0.0226, 0)</f>
        <v>19.425699999999999</v>
      </c>
      <c r="D141" s="4">
        <f>28.3324 * CHOOSE(CONTROL!$C$9, $C$13, 100%, $E$13) + CHOOSE(CONTROL!$C$28, 0.0021, 0)</f>
        <v>28.334499999999998</v>
      </c>
      <c r="E141" s="4">
        <f>127.775156206582 * CHOOSE(CONTROL!$C$9, $C$13, 100%, $E$13) + CHOOSE(CONTROL!$C$28, 0.0021, 0)</f>
        <v>127.777256206582</v>
      </c>
    </row>
    <row r="142" spans="1:5" ht="15">
      <c r="A142" s="13">
        <v>45444</v>
      </c>
      <c r="B142" s="4">
        <f>19.8265 * CHOOSE(CONTROL!$C$9, $C$13, 100%, $E$13) + CHOOSE(CONTROL!$C$28, 0.0226, 0)</f>
        <v>19.8491</v>
      </c>
      <c r="C142" s="4">
        <f>19.4632 * CHOOSE(CONTROL!$C$9, $C$13, 100%, $E$13) + CHOOSE(CONTROL!$C$28, 0.0226, 0)</f>
        <v>19.485800000000001</v>
      </c>
      <c r="D142" s="4">
        <f>28.5768 * CHOOSE(CONTROL!$C$9, $C$13, 100%, $E$13) + CHOOSE(CONTROL!$C$28, 0.0021, 0)</f>
        <v>28.578899999999997</v>
      </c>
      <c r="E142" s="4">
        <f>128.179454209416 * CHOOSE(CONTROL!$C$9, $C$13, 100%, $E$13) + CHOOSE(CONTROL!$C$28, 0.0021, 0)</f>
        <v>128.18155420941602</v>
      </c>
    </row>
    <row r="143" spans="1:5" ht="15">
      <c r="A143" s="13">
        <v>45474</v>
      </c>
      <c r="B143" s="4">
        <f>19.8204 * CHOOSE(CONTROL!$C$9, $C$13, 100%, $E$13) + CHOOSE(CONTROL!$C$28, 0.0226, 0)</f>
        <v>19.843</v>
      </c>
      <c r="C143" s="4">
        <f>19.4571 * CHOOSE(CONTROL!$C$9, $C$13, 100%, $E$13) + CHOOSE(CONTROL!$C$28, 0.0226, 0)</f>
        <v>19.479700000000001</v>
      </c>
      <c r="D143" s="4">
        <f>29.0178 * CHOOSE(CONTROL!$C$9, $C$13, 100%, $E$13) + CHOOSE(CONTROL!$C$28, 0.0021, 0)</f>
        <v>29.0199</v>
      </c>
      <c r="E143" s="4">
        <f>128.138684662912 * CHOOSE(CONTROL!$C$9, $C$13, 100%, $E$13) + CHOOSE(CONTROL!$C$28, 0.0021, 0)</f>
        <v>128.14078466291201</v>
      </c>
    </row>
    <row r="144" spans="1:5" ht="15">
      <c r="A144" s="13">
        <v>45505</v>
      </c>
      <c r="B144" s="4">
        <f>20.2764 * CHOOSE(CONTROL!$C$9, $C$13, 100%, $E$13) + CHOOSE(CONTROL!$C$28, 0.0226, 0)</f>
        <v>20.298999999999999</v>
      </c>
      <c r="C144" s="4">
        <f>19.9131 * CHOOSE(CONTROL!$C$9, $C$13, 100%, $E$13) + CHOOSE(CONTROL!$C$28, 0.0226, 0)</f>
        <v>19.935700000000001</v>
      </c>
      <c r="D144" s="4">
        <f>28.7266 * CHOOSE(CONTROL!$C$9, $C$13, 100%, $E$13) + CHOOSE(CONTROL!$C$28, 0.0021, 0)</f>
        <v>28.7287</v>
      </c>
      <c r="E144" s="4">
        <f>131.206593037358 * CHOOSE(CONTROL!$C$9, $C$13, 100%, $E$13) + CHOOSE(CONTROL!$C$28, 0.0021, 0)</f>
        <v>131.20869303735802</v>
      </c>
    </row>
    <row r="145" spans="1:5" ht="15">
      <c r="A145" s="13">
        <v>45536</v>
      </c>
      <c r="B145" s="4">
        <f>19.4992 * CHOOSE(CONTROL!$C$9, $C$13, 100%, $E$13) + CHOOSE(CONTROL!$C$28, 0.0226, 0)</f>
        <v>19.521799999999999</v>
      </c>
      <c r="C145" s="4">
        <f>19.1359 * CHOOSE(CONTROL!$C$9, $C$13, 100%, $E$13) + CHOOSE(CONTROL!$C$28, 0.0226, 0)</f>
        <v>19.1585</v>
      </c>
      <c r="D145" s="4">
        <f>28.589 * CHOOSE(CONTROL!$C$9, $C$13, 100%, $E$13) + CHOOSE(CONTROL!$C$28, 0.0021, 0)</f>
        <v>28.591099999999997</v>
      </c>
      <c r="E145" s="4">
        <f>125.977898698186 * CHOOSE(CONTROL!$C$9, $C$13, 100%, $E$13) + CHOOSE(CONTROL!$C$28, 0.0021, 0)</f>
        <v>125.97999869818599</v>
      </c>
    </row>
    <row r="146" spans="1:5" ht="15">
      <c r="A146" s="13">
        <v>45566</v>
      </c>
      <c r="B146" s="4">
        <f>18.877 * CHOOSE(CONTROL!$C$9, $C$13, 100%, $E$13) + CHOOSE(CONTROL!$C$28, 0.0226, 0)</f>
        <v>18.8996</v>
      </c>
      <c r="C146" s="4">
        <f>18.5138 * CHOOSE(CONTROL!$C$9, $C$13, 100%, $E$13) + CHOOSE(CONTROL!$C$28, 0.0226, 0)</f>
        <v>18.5364</v>
      </c>
      <c r="D146" s="4">
        <f>28.2206 * CHOOSE(CONTROL!$C$9, $C$13, 100%, $E$13) + CHOOSE(CONTROL!$C$28, 0.0021, 0)</f>
        <v>28.2227</v>
      </c>
      <c r="E146" s="4">
        <f>121.792225257081 * CHOOSE(CONTROL!$C$9, $C$13, 100%, $E$13) + CHOOSE(CONTROL!$C$28, 0.0021, 0)</f>
        <v>121.794325257081</v>
      </c>
    </row>
    <row r="147" spans="1:5" ht="15">
      <c r="A147" s="13">
        <v>45597</v>
      </c>
      <c r="B147" s="4">
        <f>18.4763 * CHOOSE(CONTROL!$C$9, $C$13, 100%, $E$13) + CHOOSE(CONTROL!$C$28, 0.0226, 0)</f>
        <v>18.498899999999999</v>
      </c>
      <c r="C147" s="4">
        <f>18.113 * CHOOSE(CONTROL!$C$9, $C$13, 100%, $E$13) + CHOOSE(CONTROL!$C$28, 0.0226, 0)</f>
        <v>18.1356</v>
      </c>
      <c r="D147" s="4">
        <f>28.0939 * CHOOSE(CONTROL!$C$9, $C$13, 100%, $E$13) + CHOOSE(CONTROL!$C$28, 0.0021, 0)</f>
        <v>28.096</v>
      </c>
      <c r="E147" s="4">
        <f>119.096338994486 * CHOOSE(CONTROL!$C$9, $C$13, 100%, $E$13) + CHOOSE(CONTROL!$C$28, 0.0021, 0)</f>
        <v>119.098438994486</v>
      </c>
    </row>
    <row r="148" spans="1:5" ht="15">
      <c r="A148" s="13">
        <v>45627</v>
      </c>
      <c r="B148" s="4">
        <f>18.1991 * CHOOSE(CONTROL!$C$9, $C$13, 100%, $E$13) + CHOOSE(CONTROL!$C$28, 0.0226, 0)</f>
        <v>18.221700000000002</v>
      </c>
      <c r="C148" s="4">
        <f>17.8358 * CHOOSE(CONTROL!$C$9, $C$13, 100%, $E$13) + CHOOSE(CONTROL!$C$28, 0.0226, 0)</f>
        <v>17.8584</v>
      </c>
      <c r="D148" s="4">
        <f>27.1614 * CHOOSE(CONTROL!$C$9, $C$13, 100%, $E$13) + CHOOSE(CONTROL!$C$28, 0.0021, 0)</f>
        <v>27.163499999999999</v>
      </c>
      <c r="E148" s="4">
        <f>117.231132241916 * CHOOSE(CONTROL!$C$9, $C$13, 100%, $E$13) + CHOOSE(CONTROL!$C$28, 0.0021, 0)</f>
        <v>117.233232241916</v>
      </c>
    </row>
    <row r="149" spans="1:5" ht="15">
      <c r="A149" s="13">
        <v>45658</v>
      </c>
      <c r="B149" s="4">
        <f>18.6905 * CHOOSE(CONTROL!$C$9, $C$13, 100%, $E$13) + CHOOSE(CONTROL!$C$28, 0.0226, 0)</f>
        <v>18.713100000000001</v>
      </c>
      <c r="C149" s="4">
        <f>18.3273 * CHOOSE(CONTROL!$C$9, $C$13, 100%, $E$13) + CHOOSE(CONTROL!$C$28, 0.0226, 0)</f>
        <v>18.349900000000002</v>
      </c>
      <c r="D149" s="4">
        <f>27.0362 * CHOOSE(CONTROL!$C$9, $C$13, 100%, $E$13) + CHOOSE(CONTROL!$C$28, 0.0021, 0)</f>
        <v>27.0383</v>
      </c>
      <c r="E149" s="4">
        <f>117.161701702687 * CHOOSE(CONTROL!$C$9, $C$13, 100%, $E$13) + CHOOSE(CONTROL!$C$28, 0.0021, 0)</f>
        <v>117.163801702687</v>
      </c>
    </row>
    <row r="150" spans="1:5" ht="15">
      <c r="A150" s="13">
        <v>45689</v>
      </c>
      <c r="B150" s="4">
        <f>19.116 * CHOOSE(CONTROL!$C$9, $C$13, 100%, $E$13) + CHOOSE(CONTROL!$C$28, 0.0226, 0)</f>
        <v>19.1386</v>
      </c>
      <c r="C150" s="4">
        <f>18.7527 * CHOOSE(CONTROL!$C$9, $C$13, 100%, $E$13) + CHOOSE(CONTROL!$C$28, 0.0226, 0)</f>
        <v>18.775300000000001</v>
      </c>
      <c r="D150" s="4">
        <f>27.925 * CHOOSE(CONTROL!$C$9, $C$13, 100%, $E$13) + CHOOSE(CONTROL!$C$28, 0.0021, 0)</f>
        <v>27.927099999999999</v>
      </c>
      <c r="E150" s="4">
        <f>119.943582224765 * CHOOSE(CONTROL!$C$9, $C$13, 100%, $E$13) + CHOOSE(CONTROL!$C$28, 0.0021, 0)</f>
        <v>119.94568222476499</v>
      </c>
    </row>
    <row r="151" spans="1:5" ht="15">
      <c r="A151" s="13">
        <v>45717</v>
      </c>
      <c r="B151" s="4">
        <f>20.2331 * CHOOSE(CONTROL!$C$9, $C$13, 100%, $E$13) + CHOOSE(CONTROL!$C$28, 0.0226, 0)</f>
        <v>20.255700000000001</v>
      </c>
      <c r="C151" s="4">
        <f>19.8699 * CHOOSE(CONTROL!$C$9, $C$13, 100%, $E$13) + CHOOSE(CONTROL!$C$28, 0.0226, 0)</f>
        <v>19.892500000000002</v>
      </c>
      <c r="D151" s="4">
        <f>29.3164 * CHOOSE(CONTROL!$C$9, $C$13, 100%, $E$13) + CHOOSE(CONTROL!$C$28, 0.0021, 0)</f>
        <v>29.3185</v>
      </c>
      <c r="E151" s="4">
        <f>127.248948313851 * CHOOSE(CONTROL!$C$9, $C$13, 100%, $E$13) + CHOOSE(CONTROL!$C$28, 0.0021, 0)</f>
        <v>127.251048313851</v>
      </c>
    </row>
    <row r="152" spans="1:5" ht="15">
      <c r="A152" s="13">
        <v>45748</v>
      </c>
      <c r="B152" s="4">
        <f>21.0269 * CHOOSE(CONTROL!$C$9, $C$13, 100%, $E$13) + CHOOSE(CONTROL!$C$28, 0.0226, 0)</f>
        <v>21.049500000000002</v>
      </c>
      <c r="C152" s="4">
        <f>20.6636 * CHOOSE(CONTROL!$C$9, $C$13, 100%, $E$13) + CHOOSE(CONTROL!$C$28, 0.0226, 0)</f>
        <v>20.686199999999999</v>
      </c>
      <c r="D152" s="4">
        <f>30.118 * CHOOSE(CONTROL!$C$9, $C$13, 100%, $E$13) + CHOOSE(CONTROL!$C$28, 0.0021, 0)</f>
        <v>30.120099999999997</v>
      </c>
      <c r="E152" s="4">
        <f>132.439508276951 * CHOOSE(CONTROL!$C$9, $C$13, 100%, $E$13) + CHOOSE(CONTROL!$C$28, 0.0021, 0)</f>
        <v>132.441608276951</v>
      </c>
    </row>
    <row r="153" spans="1:5" ht="15">
      <c r="A153" s="13">
        <v>45778</v>
      </c>
      <c r="B153" s="4">
        <f>21.5119 * CHOOSE(CONTROL!$C$9, $C$13, 100%, $E$13) + CHOOSE(CONTROL!$C$28, 0.0226, 0)</f>
        <v>21.534500000000001</v>
      </c>
      <c r="C153" s="4">
        <f>21.1486 * CHOOSE(CONTROL!$C$9, $C$13, 100%, $E$13) + CHOOSE(CONTROL!$C$28, 0.0226, 0)</f>
        <v>21.171199999999999</v>
      </c>
      <c r="D153" s="4">
        <f>29.8012 * CHOOSE(CONTROL!$C$9, $C$13, 100%, $E$13) + CHOOSE(CONTROL!$C$28, 0.0021, 0)</f>
        <v>29.8033</v>
      </c>
      <c r="E153" s="4">
        <f>135.610816014044 * CHOOSE(CONTROL!$C$9, $C$13, 100%, $E$13) + CHOOSE(CONTROL!$C$28, 0.0021, 0)</f>
        <v>135.612916014044</v>
      </c>
    </row>
    <row r="154" spans="1:5" ht="15">
      <c r="A154" s="13">
        <v>45809</v>
      </c>
      <c r="B154" s="4">
        <f>21.5775 * CHOOSE(CONTROL!$C$9, $C$13, 100%, $E$13) + CHOOSE(CONTROL!$C$28, 0.0226, 0)</f>
        <v>21.600100000000001</v>
      </c>
      <c r="C154" s="4">
        <f>21.2142 * CHOOSE(CONTROL!$C$9, $C$13, 100%, $E$13) + CHOOSE(CONTROL!$C$28, 0.0226, 0)</f>
        <v>21.236800000000002</v>
      </c>
      <c r="D154" s="4">
        <f>30.0592 * CHOOSE(CONTROL!$C$9, $C$13, 100%, $E$13) + CHOOSE(CONTROL!$C$28, 0.0021, 0)</f>
        <v>30.061299999999999</v>
      </c>
      <c r="E154" s="4">
        <f>136.039907112071 * CHOOSE(CONTROL!$C$9, $C$13, 100%, $E$13) + CHOOSE(CONTROL!$C$28, 0.0021, 0)</f>
        <v>136.04200711207102</v>
      </c>
    </row>
    <row r="155" spans="1:5" ht="15">
      <c r="A155" s="13">
        <v>45839</v>
      </c>
      <c r="B155" s="4">
        <f>21.5709 * CHOOSE(CONTROL!$C$9, $C$13, 100%, $E$13) + CHOOSE(CONTROL!$C$28, 0.0226, 0)</f>
        <v>21.593500000000002</v>
      </c>
      <c r="C155" s="4">
        <f>21.2076 * CHOOSE(CONTROL!$C$9, $C$13, 100%, $E$13) + CHOOSE(CONTROL!$C$28, 0.0226, 0)</f>
        <v>21.2302</v>
      </c>
      <c r="D155" s="4">
        <f>30.5246 * CHOOSE(CONTROL!$C$9, $C$13, 100%, $E$13) + CHOOSE(CONTROL!$C$28, 0.0021, 0)</f>
        <v>30.526699999999998</v>
      </c>
      <c r="E155" s="4">
        <f>135.996637421513 * CHOOSE(CONTROL!$C$9, $C$13, 100%, $E$13) + CHOOSE(CONTROL!$C$28, 0.0021, 0)</f>
        <v>135.998737421513</v>
      </c>
    </row>
    <row r="156" spans="1:5" ht="15">
      <c r="A156" s="13">
        <v>45870</v>
      </c>
      <c r="B156" s="4">
        <f>22.0688 * CHOOSE(CONTROL!$C$9, $C$13, 100%, $E$13) + CHOOSE(CONTROL!$C$28, 0.0226, 0)</f>
        <v>22.0914</v>
      </c>
      <c r="C156" s="4">
        <f>21.7056 * CHOOSE(CONTROL!$C$9, $C$13, 100%, $E$13) + CHOOSE(CONTROL!$C$28, 0.0226, 0)</f>
        <v>21.728200000000001</v>
      </c>
      <c r="D156" s="4">
        <f>30.2172 * CHOOSE(CONTROL!$C$9, $C$13, 100%, $E$13) + CHOOSE(CONTROL!$C$28, 0.0021, 0)</f>
        <v>30.219299999999997</v>
      </c>
      <c r="E156" s="4">
        <f>139.252681635948 * CHOOSE(CONTROL!$C$9, $C$13, 100%, $E$13) + CHOOSE(CONTROL!$C$28, 0.0021, 0)</f>
        <v>139.25478163594801</v>
      </c>
    </row>
    <row r="157" spans="1:5" ht="15">
      <c r="A157" s="13">
        <v>45901</v>
      </c>
      <c r="B157" s="4">
        <f>21.2202 * CHOOSE(CONTROL!$C$9, $C$13, 100%, $E$13) + CHOOSE(CONTROL!$C$28, 0.0226, 0)</f>
        <v>21.242799999999999</v>
      </c>
      <c r="C157" s="4">
        <f>20.8569 * CHOOSE(CONTROL!$C$9, $C$13, 100%, $E$13) + CHOOSE(CONTROL!$C$28, 0.0226, 0)</f>
        <v>20.8795</v>
      </c>
      <c r="D157" s="4">
        <f>30.072 * CHOOSE(CONTROL!$C$9, $C$13, 100%, $E$13) + CHOOSE(CONTROL!$C$28, 0.0021, 0)</f>
        <v>30.074099999999998</v>
      </c>
      <c r="E157" s="4">
        <f>133.703343821978 * CHOOSE(CONTROL!$C$9, $C$13, 100%, $E$13) + CHOOSE(CONTROL!$C$28, 0.0021, 0)</f>
        <v>133.70544382197801</v>
      </c>
    </row>
    <row r="158" spans="1:5" ht="15">
      <c r="A158" s="13">
        <v>45931</v>
      </c>
      <c r="B158" s="4">
        <f>20.5408 * CHOOSE(CONTROL!$C$9, $C$13, 100%, $E$13) + CHOOSE(CONTROL!$C$28, 0.0226, 0)</f>
        <v>20.563400000000001</v>
      </c>
      <c r="C158" s="4">
        <f>20.1776 * CHOOSE(CONTROL!$C$9, $C$13, 100%, $E$13) + CHOOSE(CONTROL!$C$28, 0.0226, 0)</f>
        <v>20.200200000000002</v>
      </c>
      <c r="D158" s="4">
        <f>29.6832 * CHOOSE(CONTROL!$C$9, $C$13, 100%, $E$13) + CHOOSE(CONTROL!$C$28, 0.0021, 0)</f>
        <v>29.685299999999998</v>
      </c>
      <c r="E158" s="4">
        <f>129.260988924764 * CHOOSE(CONTROL!$C$9, $C$13, 100%, $E$13) + CHOOSE(CONTROL!$C$28, 0.0021, 0)</f>
        <v>129.26308892476402</v>
      </c>
    </row>
    <row r="159" spans="1:5" ht="15">
      <c r="A159" s="13">
        <v>45962</v>
      </c>
      <c r="B159" s="4">
        <f>20.1033 * CHOOSE(CONTROL!$C$9, $C$13, 100%, $E$13) + CHOOSE(CONTROL!$C$28, 0.0226, 0)</f>
        <v>20.125900000000001</v>
      </c>
      <c r="C159" s="4">
        <f>19.74 * CHOOSE(CONTROL!$C$9, $C$13, 100%, $E$13) + CHOOSE(CONTROL!$C$28, 0.0226, 0)</f>
        <v>19.762599999999999</v>
      </c>
      <c r="D159" s="4">
        <f>29.5495 * CHOOSE(CONTROL!$C$9, $C$13, 100%, $E$13) + CHOOSE(CONTROL!$C$28, 0.0021, 0)</f>
        <v>29.551599999999997</v>
      </c>
      <c r="E159" s="4">
        <f>126.399780636665 * CHOOSE(CONTROL!$C$9, $C$13, 100%, $E$13) + CHOOSE(CONTROL!$C$28, 0.0021, 0)</f>
        <v>126.401880636665</v>
      </c>
    </row>
    <row r="160" spans="1:5" ht="15">
      <c r="A160" s="13">
        <v>45992</v>
      </c>
      <c r="B160" s="4">
        <f>19.8006 * CHOOSE(CONTROL!$C$9, $C$13, 100%, $E$13) + CHOOSE(CONTROL!$C$28, 0.0226, 0)</f>
        <v>19.8232</v>
      </c>
      <c r="C160" s="4">
        <f>19.4373 * CHOOSE(CONTROL!$C$9, $C$13, 100%, $E$13) + CHOOSE(CONTROL!$C$28, 0.0226, 0)</f>
        <v>19.459900000000001</v>
      </c>
      <c r="D160" s="4">
        <f>28.5653 * CHOOSE(CONTROL!$C$9, $C$13, 100%, $E$13) + CHOOSE(CONTROL!$C$28, 0.0021, 0)</f>
        <v>28.567399999999999</v>
      </c>
      <c r="E160" s="4">
        <f>124.420192293669 * CHOOSE(CONTROL!$C$9, $C$13, 100%, $E$13) + CHOOSE(CONTROL!$C$28, 0.0021, 0)</f>
        <v>124.422292293669</v>
      </c>
    </row>
    <row r="161" spans="1:5" ht="15">
      <c r="A161" s="13">
        <v>46023</v>
      </c>
      <c r="B161" s="4">
        <f>19.4195 * CHOOSE(CONTROL!$C$9, $C$13, 100%, $E$13) + CHOOSE(CONTROL!$C$28, 0.0226, 0)</f>
        <v>19.4421</v>
      </c>
      <c r="C161" s="4">
        <f>19.0562 * CHOOSE(CONTROL!$C$9, $C$13, 100%, $E$13) + CHOOSE(CONTROL!$C$28, 0.0226, 0)</f>
        <v>19.078800000000001</v>
      </c>
      <c r="D161" s="4">
        <f>27.9514 * CHOOSE(CONTROL!$C$9, $C$13, 100%, $E$13) + CHOOSE(CONTROL!$C$28, 0.0021, 0)</f>
        <v>27.953499999999998</v>
      </c>
      <c r="E161" s="4">
        <f>121.959543750628 * CHOOSE(CONTROL!$C$9, $C$13, 100%, $E$13) + CHOOSE(CONTROL!$C$28, 0.0021, 0)</f>
        <v>121.961643750628</v>
      </c>
    </row>
    <row r="162" spans="1:5" ht="15">
      <c r="A162" s="13">
        <v>46054</v>
      </c>
      <c r="B162" s="4">
        <f>19.8622 * CHOOSE(CONTROL!$C$9, $C$13, 100%, $E$13) + CHOOSE(CONTROL!$C$28, 0.0226, 0)</f>
        <v>19.884800000000002</v>
      </c>
      <c r="C162" s="4">
        <f>19.4989 * CHOOSE(CONTROL!$C$9, $C$13, 100%, $E$13) + CHOOSE(CONTROL!$C$28, 0.0226, 0)</f>
        <v>19.5215</v>
      </c>
      <c r="D162" s="4">
        <f>28.8726 * CHOOSE(CONTROL!$C$9, $C$13, 100%, $E$13) + CHOOSE(CONTROL!$C$28, 0.0021, 0)</f>
        <v>28.874699999999997</v>
      </c>
      <c r="E162" s="4">
        <f>124.855343950786 * CHOOSE(CONTROL!$C$9, $C$13, 100%, $E$13) + CHOOSE(CONTROL!$C$28, 0.0021, 0)</f>
        <v>124.85744395078599</v>
      </c>
    </row>
    <row r="163" spans="1:5" ht="15">
      <c r="A163" s="13">
        <v>46082</v>
      </c>
      <c r="B163" s="4">
        <f>21.0248 * CHOOSE(CONTROL!$C$9, $C$13, 100%, $E$13) + CHOOSE(CONTROL!$C$28, 0.0226, 0)</f>
        <v>21.0474</v>
      </c>
      <c r="C163" s="4">
        <f>20.6616 * CHOOSE(CONTROL!$C$9, $C$13, 100%, $E$13) + CHOOSE(CONTROL!$C$28, 0.0226, 0)</f>
        <v>20.684200000000001</v>
      </c>
      <c r="D163" s="4">
        <f>30.3146 * CHOOSE(CONTROL!$C$9, $C$13, 100%, $E$13) + CHOOSE(CONTROL!$C$28, 0.0021, 0)</f>
        <v>30.316699999999997</v>
      </c>
      <c r="E163" s="4">
        <f>132.459869168567 * CHOOSE(CONTROL!$C$9, $C$13, 100%, $E$13) + CHOOSE(CONTROL!$C$28, 0.0021, 0)</f>
        <v>132.46196916856701</v>
      </c>
    </row>
    <row r="164" spans="1:5" ht="15">
      <c r="A164" s="13">
        <v>46113</v>
      </c>
      <c r="B164" s="4">
        <f>21.8509 * CHOOSE(CONTROL!$C$9, $C$13, 100%, $E$13) + CHOOSE(CONTROL!$C$28, 0.0226, 0)</f>
        <v>21.8735</v>
      </c>
      <c r="C164" s="4">
        <f>21.4876 * CHOOSE(CONTROL!$C$9, $C$13, 100%, $E$13) + CHOOSE(CONTROL!$C$28, 0.0226, 0)</f>
        <v>21.510200000000001</v>
      </c>
      <c r="D164" s="4">
        <f>31.1452 * CHOOSE(CONTROL!$C$9, $C$13, 100%, $E$13) + CHOOSE(CONTROL!$C$28, 0.0021, 0)</f>
        <v>31.147299999999998</v>
      </c>
      <c r="E164" s="4">
        <f>137.862985679425 * CHOOSE(CONTROL!$C$9, $C$13, 100%, $E$13) + CHOOSE(CONTROL!$C$28, 0.0021, 0)</f>
        <v>137.86508567942502</v>
      </c>
    </row>
    <row r="165" spans="1:5" ht="15">
      <c r="A165" s="13">
        <v>46143</v>
      </c>
      <c r="B165" s="4">
        <f>22.3556 * CHOOSE(CONTROL!$C$9, $C$13, 100%, $E$13) + CHOOSE(CONTROL!$C$28, 0.0226, 0)</f>
        <v>22.3782</v>
      </c>
      <c r="C165" s="4">
        <f>21.9923 * CHOOSE(CONTROL!$C$9, $C$13, 100%, $E$13) + CHOOSE(CONTROL!$C$28, 0.0226, 0)</f>
        <v>22.014900000000001</v>
      </c>
      <c r="D165" s="4">
        <f>30.817 * CHOOSE(CONTROL!$C$9, $C$13, 100%, $E$13) + CHOOSE(CONTROL!$C$28, 0.0021, 0)</f>
        <v>30.819099999999999</v>
      </c>
      <c r="E165" s="4">
        <f>141.164160372929 * CHOOSE(CONTROL!$C$9, $C$13, 100%, $E$13) + CHOOSE(CONTROL!$C$28, 0.0021, 0)</f>
        <v>141.166260372929</v>
      </c>
    </row>
    <row r="166" spans="1:5" ht="15">
      <c r="A166" s="13">
        <v>46174</v>
      </c>
      <c r="B166" s="4">
        <f>22.4239 * CHOOSE(CONTROL!$C$9, $C$13, 100%, $E$13) + CHOOSE(CONTROL!$C$28, 0.0226, 0)</f>
        <v>22.4465</v>
      </c>
      <c r="C166" s="4">
        <f>22.0606 * CHOOSE(CONTROL!$C$9, $C$13, 100%, $E$13) + CHOOSE(CONTROL!$C$28, 0.0226, 0)</f>
        <v>22.083200000000001</v>
      </c>
      <c r="D166" s="4">
        <f>31.0843 * CHOOSE(CONTROL!$C$9, $C$13, 100%, $E$13) + CHOOSE(CONTROL!$C$28, 0.0021, 0)</f>
        <v>31.086399999999998</v>
      </c>
      <c r="E166" s="4">
        <f>141.610823009116 * CHOOSE(CONTROL!$C$9, $C$13, 100%, $E$13) + CHOOSE(CONTROL!$C$28, 0.0021, 0)</f>
        <v>141.612923009116</v>
      </c>
    </row>
    <row r="167" spans="1:5" ht="15">
      <c r="A167" s="13">
        <v>46204</v>
      </c>
      <c r="B167" s="4">
        <f>22.417 * CHOOSE(CONTROL!$C$9, $C$13, 100%, $E$13) + CHOOSE(CONTROL!$C$28, 0.0226, 0)</f>
        <v>22.439600000000002</v>
      </c>
      <c r="C167" s="4">
        <f>22.0537 * CHOOSE(CONTROL!$C$9, $C$13, 100%, $E$13) + CHOOSE(CONTROL!$C$28, 0.0226, 0)</f>
        <v>22.0763</v>
      </c>
      <c r="D167" s="4">
        <f>31.5666 * CHOOSE(CONTROL!$C$9, $C$13, 100%, $E$13) + CHOOSE(CONTROL!$C$28, 0.0021, 0)</f>
        <v>31.5687</v>
      </c>
      <c r="E167" s="4">
        <f>141.565781398744 * CHOOSE(CONTROL!$C$9, $C$13, 100%, $E$13) + CHOOSE(CONTROL!$C$28, 0.0021, 0)</f>
        <v>141.56788139874402</v>
      </c>
    </row>
    <row r="168" spans="1:5" ht="15">
      <c r="A168" s="13">
        <v>46235</v>
      </c>
      <c r="B168" s="4">
        <f>22.9352 * CHOOSE(CONTROL!$C$9, $C$13, 100%, $E$13) + CHOOSE(CONTROL!$C$28, 0.0226, 0)</f>
        <v>22.957799999999999</v>
      </c>
      <c r="C168" s="4">
        <f>22.5719 * CHOOSE(CONTROL!$C$9, $C$13, 100%, $E$13) + CHOOSE(CONTROL!$C$28, 0.0226, 0)</f>
        <v>22.5945</v>
      </c>
      <c r="D168" s="4">
        <f>31.2481 * CHOOSE(CONTROL!$C$9, $C$13, 100%, $E$13) + CHOOSE(CONTROL!$C$28, 0.0021, 0)</f>
        <v>31.2502</v>
      </c>
      <c r="E168" s="4">
        <f>144.955162579227 * CHOOSE(CONTROL!$C$9, $C$13, 100%, $E$13) + CHOOSE(CONTROL!$C$28, 0.0021, 0)</f>
        <v>144.95726257922701</v>
      </c>
    </row>
    <row r="169" spans="1:5" ht="15">
      <c r="A169" s="13">
        <v>46266</v>
      </c>
      <c r="B169" s="4">
        <f>22.052 * CHOOSE(CONTROL!$C$9, $C$13, 100%, $E$13) + CHOOSE(CONTROL!$C$28, 0.0226, 0)</f>
        <v>22.0746</v>
      </c>
      <c r="C169" s="4">
        <f>21.6888 * CHOOSE(CONTROL!$C$9, $C$13, 100%, $E$13) + CHOOSE(CONTROL!$C$28, 0.0226, 0)</f>
        <v>21.711400000000001</v>
      </c>
      <c r="D169" s="4">
        <f>31.0976 * CHOOSE(CONTROL!$C$9, $C$13, 100%, $E$13) + CHOOSE(CONTROL!$C$28, 0.0021, 0)</f>
        <v>31.099699999999999</v>
      </c>
      <c r="E169" s="4">
        <f>139.178576049036 * CHOOSE(CONTROL!$C$9, $C$13, 100%, $E$13) + CHOOSE(CONTROL!$C$28, 0.0021, 0)</f>
        <v>139.18067604903601</v>
      </c>
    </row>
    <row r="170" spans="1:5" ht="15">
      <c r="A170" s="13">
        <v>46296</v>
      </c>
      <c r="B170" s="4">
        <f>21.345 * CHOOSE(CONTROL!$C$9, $C$13, 100%, $E$13) + CHOOSE(CONTROL!$C$28, 0.0226, 0)</f>
        <v>21.367599999999999</v>
      </c>
      <c r="C170" s="4">
        <f>20.9818 * CHOOSE(CONTROL!$C$9, $C$13, 100%, $E$13) + CHOOSE(CONTROL!$C$28, 0.0226, 0)</f>
        <v>21.0044</v>
      </c>
      <c r="D170" s="4">
        <f>30.6946 * CHOOSE(CONTROL!$C$9, $C$13, 100%, $E$13) + CHOOSE(CONTROL!$C$28, 0.0021, 0)</f>
        <v>30.6967</v>
      </c>
      <c r="E170" s="4">
        <f>134.554304050859 * CHOOSE(CONTROL!$C$9, $C$13, 100%, $E$13) + CHOOSE(CONTROL!$C$28, 0.0021, 0)</f>
        <v>134.55640405085902</v>
      </c>
    </row>
    <row r="171" spans="1:5" ht="15">
      <c r="A171" s="13">
        <v>46327</v>
      </c>
      <c r="B171" s="4">
        <f>20.8897 * CHOOSE(CONTROL!$C$9, $C$13, 100%, $E$13) + CHOOSE(CONTROL!$C$28, 0.0226, 0)</f>
        <v>20.912300000000002</v>
      </c>
      <c r="C171" s="4">
        <f>20.5264 * CHOOSE(CONTROL!$C$9, $C$13, 100%, $E$13) + CHOOSE(CONTROL!$C$28, 0.0226, 0)</f>
        <v>20.548999999999999</v>
      </c>
      <c r="D171" s="4">
        <f>30.5561 * CHOOSE(CONTROL!$C$9, $C$13, 100%, $E$13) + CHOOSE(CONTROL!$C$28, 0.0021, 0)</f>
        <v>30.558199999999999</v>
      </c>
      <c r="E171" s="4">
        <f>131.57592756502 * CHOOSE(CONTROL!$C$9, $C$13, 100%, $E$13) + CHOOSE(CONTROL!$C$28, 0.0021, 0)</f>
        <v>131.57802756502002</v>
      </c>
    </row>
    <row r="172" spans="1:5" ht="15">
      <c r="A172" s="13">
        <v>46357</v>
      </c>
      <c r="B172" s="4">
        <f>20.5746 * CHOOSE(CONTROL!$C$9, $C$13, 100%, $E$13) + CHOOSE(CONTROL!$C$28, 0.0226, 0)</f>
        <v>20.597200000000001</v>
      </c>
      <c r="C172" s="4">
        <f>20.2114 * CHOOSE(CONTROL!$C$9, $C$13, 100%, $E$13) + CHOOSE(CONTROL!$C$28, 0.0226, 0)</f>
        <v>20.234000000000002</v>
      </c>
      <c r="D172" s="4">
        <f>29.5361 * CHOOSE(CONTROL!$C$9, $C$13, 100%, $E$13) + CHOOSE(CONTROL!$C$28, 0.0021, 0)</f>
        <v>29.5382</v>
      </c>
      <c r="E172" s="4">
        <f>129.515273890507 * CHOOSE(CONTROL!$C$9, $C$13, 100%, $E$13) + CHOOSE(CONTROL!$C$28, 0.0021, 0)</f>
        <v>129.517373890507</v>
      </c>
    </row>
    <row r="173" spans="1:5" ht="15">
      <c r="A173" s="13">
        <v>46388</v>
      </c>
      <c r="B173" s="4">
        <f>20.193 * CHOOSE(CONTROL!$C$9, $C$13, 100%, $E$13) + CHOOSE(CONTROL!$C$28, 0.0226, 0)</f>
        <v>20.215600000000002</v>
      </c>
      <c r="C173" s="4">
        <f>19.8297 * CHOOSE(CONTROL!$C$9, $C$13, 100%, $E$13) + CHOOSE(CONTROL!$C$28, 0.0226, 0)</f>
        <v>19.8523</v>
      </c>
      <c r="D173" s="4">
        <f>28.9005 * CHOOSE(CONTROL!$C$9, $C$13, 100%, $E$13) + CHOOSE(CONTROL!$C$28, 0.0021, 0)</f>
        <v>28.9026</v>
      </c>
      <c r="E173" s="4">
        <f>126.960926522218 * CHOOSE(CONTROL!$C$9, $C$13, 100%, $E$13) + CHOOSE(CONTROL!$C$28, 0.0021, 0)</f>
        <v>126.963026522218</v>
      </c>
    </row>
    <row r="174" spans="1:5" ht="15">
      <c r="A174" s="13">
        <v>46419</v>
      </c>
      <c r="B174" s="4">
        <f>20.6541 * CHOOSE(CONTROL!$C$9, $C$13, 100%, $E$13) + CHOOSE(CONTROL!$C$28, 0.0226, 0)</f>
        <v>20.6767</v>
      </c>
      <c r="C174" s="4">
        <f>20.2908 * CHOOSE(CONTROL!$C$9, $C$13, 100%, $E$13) + CHOOSE(CONTROL!$C$28, 0.0226, 0)</f>
        <v>20.313400000000001</v>
      </c>
      <c r="D174" s="4">
        <f>29.8552 * CHOOSE(CONTROL!$C$9, $C$13, 100%, $E$13) + CHOOSE(CONTROL!$C$28, 0.0021, 0)</f>
        <v>29.857299999999999</v>
      </c>
      <c r="E174" s="4">
        <f>129.975479259369 * CHOOSE(CONTROL!$C$9, $C$13, 100%, $E$13) + CHOOSE(CONTROL!$C$28, 0.0021, 0)</f>
        <v>129.97757925936901</v>
      </c>
    </row>
    <row r="175" spans="1:5" ht="15">
      <c r="A175" s="13">
        <v>46447</v>
      </c>
      <c r="B175" s="4">
        <f>21.8649 * CHOOSE(CONTROL!$C$9, $C$13, 100%, $E$13) + CHOOSE(CONTROL!$C$28, 0.0226, 0)</f>
        <v>21.887499999999999</v>
      </c>
      <c r="C175" s="4">
        <f>21.5016 * CHOOSE(CONTROL!$C$9, $C$13, 100%, $E$13) + CHOOSE(CONTROL!$C$28, 0.0226, 0)</f>
        <v>21.5242</v>
      </c>
      <c r="D175" s="4">
        <f>31.3496 * CHOOSE(CONTROL!$C$9, $C$13, 100%, $E$13) + CHOOSE(CONTROL!$C$28, 0.0021, 0)</f>
        <v>31.351699999999997</v>
      </c>
      <c r="E175" s="4">
        <f>137.891854950191 * CHOOSE(CONTROL!$C$9, $C$13, 100%, $E$13) + CHOOSE(CONTROL!$C$28, 0.0021, 0)</f>
        <v>137.89395495019102</v>
      </c>
    </row>
    <row r="176" spans="1:5" ht="15">
      <c r="A176" s="13">
        <v>46478</v>
      </c>
      <c r="B176" s="4">
        <f>22.7252 * CHOOSE(CONTROL!$C$9, $C$13, 100%, $E$13) + CHOOSE(CONTROL!$C$28, 0.0226, 0)</f>
        <v>22.747800000000002</v>
      </c>
      <c r="C176" s="4">
        <f>22.362 * CHOOSE(CONTROL!$C$9, $C$13, 100%, $E$13) + CHOOSE(CONTROL!$C$28, 0.0226, 0)</f>
        <v>22.384599999999999</v>
      </c>
      <c r="D176" s="4">
        <f>32.2104 * CHOOSE(CONTROL!$C$9, $C$13, 100%, $E$13) + CHOOSE(CONTROL!$C$28, 0.0021, 0)</f>
        <v>32.212499999999999</v>
      </c>
      <c r="E176" s="4">
        <f>143.516545378097 * CHOOSE(CONTROL!$C$9, $C$13, 100%, $E$13) + CHOOSE(CONTROL!$C$28, 0.0021, 0)</f>
        <v>143.51864537809701</v>
      </c>
    </row>
    <row r="177" spans="1:5" ht="15">
      <c r="A177" s="13">
        <v>46508</v>
      </c>
      <c r="B177" s="4">
        <f>23.2509 * CHOOSE(CONTROL!$C$9, $C$13, 100%, $E$13) + CHOOSE(CONTROL!$C$28, 0.0226, 0)</f>
        <v>23.273500000000002</v>
      </c>
      <c r="C177" s="4">
        <f>22.8876 * CHOOSE(CONTROL!$C$9, $C$13, 100%, $E$13) + CHOOSE(CONTROL!$C$28, 0.0226, 0)</f>
        <v>22.9102</v>
      </c>
      <c r="D177" s="4">
        <f>31.8703 * CHOOSE(CONTROL!$C$9, $C$13, 100%, $E$13) + CHOOSE(CONTROL!$C$28, 0.0021, 0)</f>
        <v>31.872399999999999</v>
      </c>
      <c r="E177" s="4">
        <f>146.953096424532 * CHOOSE(CONTROL!$C$9, $C$13, 100%, $E$13) + CHOOSE(CONTROL!$C$28, 0.0021, 0)</f>
        <v>146.95519642453201</v>
      </c>
    </row>
    <row r="178" spans="1:5" ht="15">
      <c r="A178" s="13">
        <v>46539</v>
      </c>
      <c r="B178" s="4">
        <f>23.322 * CHOOSE(CONTROL!$C$9, $C$13, 100%, $E$13) + CHOOSE(CONTROL!$C$28, 0.0226, 0)</f>
        <v>23.3446</v>
      </c>
      <c r="C178" s="4">
        <f>22.9587 * CHOOSE(CONTROL!$C$9, $C$13, 100%, $E$13) + CHOOSE(CONTROL!$C$28, 0.0226, 0)</f>
        <v>22.981300000000001</v>
      </c>
      <c r="D178" s="4">
        <f>32.1473 * CHOOSE(CONTROL!$C$9, $C$13, 100%, $E$13) + CHOOSE(CONTROL!$C$28, 0.0021, 0)</f>
        <v>32.1494</v>
      </c>
      <c r="E178" s="4">
        <f>147.418076043094 * CHOOSE(CONTROL!$C$9, $C$13, 100%, $E$13) + CHOOSE(CONTROL!$C$28, 0.0021, 0)</f>
        <v>147.42017604309402</v>
      </c>
    </row>
    <row r="179" spans="1:5" ht="15">
      <c r="A179" s="13">
        <v>46569</v>
      </c>
      <c r="B179" s="4">
        <f>23.3148 * CHOOSE(CONTROL!$C$9, $C$13, 100%, $E$13) + CHOOSE(CONTROL!$C$28, 0.0226, 0)</f>
        <v>23.337400000000002</v>
      </c>
      <c r="C179" s="4">
        <f>22.9516 * CHOOSE(CONTROL!$C$9, $C$13, 100%, $E$13) + CHOOSE(CONTROL!$C$28, 0.0226, 0)</f>
        <v>22.9742</v>
      </c>
      <c r="D179" s="4">
        <f>32.6472 * CHOOSE(CONTROL!$C$9, $C$13, 100%, $E$13) + CHOOSE(CONTROL!$C$28, 0.0021, 0)</f>
        <v>32.649299999999997</v>
      </c>
      <c r="E179" s="4">
        <f>147.371187342063 * CHOOSE(CONTROL!$C$9, $C$13, 100%, $E$13) + CHOOSE(CONTROL!$C$28, 0.0021, 0)</f>
        <v>147.37328734206301</v>
      </c>
    </row>
    <row r="180" spans="1:5" ht="15">
      <c r="A180" s="13">
        <v>46600</v>
      </c>
      <c r="B180" s="4">
        <f>23.8545 * CHOOSE(CONTROL!$C$9, $C$13, 100%, $E$13) + CHOOSE(CONTROL!$C$28, 0.0226, 0)</f>
        <v>23.877100000000002</v>
      </c>
      <c r="C180" s="4">
        <f>23.4912 * CHOOSE(CONTROL!$C$9, $C$13, 100%, $E$13) + CHOOSE(CONTROL!$C$28, 0.0226, 0)</f>
        <v>23.5138</v>
      </c>
      <c r="D180" s="4">
        <f>32.3171 * CHOOSE(CONTROL!$C$9, $C$13, 100%, $E$13) + CHOOSE(CONTROL!$C$28, 0.0021, 0)</f>
        <v>32.319200000000002</v>
      </c>
      <c r="E180" s="4">
        <f>150.899562094685 * CHOOSE(CONTROL!$C$9, $C$13, 100%, $E$13) + CHOOSE(CONTROL!$C$28, 0.0021, 0)</f>
        <v>150.90166209468501</v>
      </c>
    </row>
    <row r="181" spans="1:5" ht="15">
      <c r="A181" s="13">
        <v>46631</v>
      </c>
      <c r="B181" s="4">
        <f>22.9347 * CHOOSE(CONTROL!$C$9, $C$13, 100%, $E$13) + CHOOSE(CONTROL!$C$28, 0.0226, 0)</f>
        <v>22.9573</v>
      </c>
      <c r="C181" s="4">
        <f>22.5714 * CHOOSE(CONTROL!$C$9, $C$13, 100%, $E$13) + CHOOSE(CONTROL!$C$28, 0.0226, 0)</f>
        <v>22.594000000000001</v>
      </c>
      <c r="D181" s="4">
        <f>32.1611 * CHOOSE(CONTROL!$C$9, $C$13, 100%, $E$13) + CHOOSE(CONTROL!$C$28, 0.0021, 0)</f>
        <v>32.163199999999996</v>
      </c>
      <c r="E181" s="4">
        <f>144.886086187392 * CHOOSE(CONTROL!$C$9, $C$13, 100%, $E$13) + CHOOSE(CONTROL!$C$28, 0.0021, 0)</f>
        <v>144.88818618739202</v>
      </c>
    </row>
    <row r="182" spans="1:5" ht="15">
      <c r="A182" s="13">
        <v>46661</v>
      </c>
      <c r="B182" s="4">
        <f>22.1984 * CHOOSE(CONTROL!$C$9, $C$13, 100%, $E$13) + CHOOSE(CONTROL!$C$28, 0.0226, 0)</f>
        <v>22.221</v>
      </c>
      <c r="C182" s="4">
        <f>21.8351 * CHOOSE(CONTROL!$C$9, $C$13, 100%, $E$13) + CHOOSE(CONTROL!$C$28, 0.0226, 0)</f>
        <v>21.857700000000001</v>
      </c>
      <c r="D182" s="4">
        <f>31.7435 * CHOOSE(CONTROL!$C$9, $C$13, 100%, $E$13) + CHOOSE(CONTROL!$C$28, 0.0021, 0)</f>
        <v>31.7456</v>
      </c>
      <c r="E182" s="4">
        <f>140.072179548156 * CHOOSE(CONTROL!$C$9, $C$13, 100%, $E$13) + CHOOSE(CONTROL!$C$28, 0.0021, 0)</f>
        <v>140.074279548156</v>
      </c>
    </row>
    <row r="183" spans="1:5" ht="15">
      <c r="A183" s="13">
        <v>46692</v>
      </c>
      <c r="B183" s="4">
        <f>21.7242 * CHOOSE(CONTROL!$C$9, $C$13, 100%, $E$13) + CHOOSE(CONTROL!$C$28, 0.0226, 0)</f>
        <v>21.7468</v>
      </c>
      <c r="C183" s="4">
        <f>21.3609 * CHOOSE(CONTROL!$C$9, $C$13, 100%, $E$13) + CHOOSE(CONTROL!$C$28, 0.0226, 0)</f>
        <v>21.383500000000002</v>
      </c>
      <c r="D183" s="4">
        <f>31.5999 * CHOOSE(CONTROL!$C$9, $C$13, 100%, $E$13) + CHOOSE(CONTROL!$C$28, 0.0021, 0)</f>
        <v>31.602</v>
      </c>
      <c r="E183" s="4">
        <f>136.971664192447 * CHOOSE(CONTROL!$C$9, $C$13, 100%, $E$13) + CHOOSE(CONTROL!$C$28, 0.0021, 0)</f>
        <v>136.97376419244702</v>
      </c>
    </row>
    <row r="184" spans="1:5" ht="15">
      <c r="A184" s="13">
        <v>46722</v>
      </c>
      <c r="B184" s="4">
        <f>21.396 * CHOOSE(CONTROL!$C$9, $C$13, 100%, $E$13) + CHOOSE(CONTROL!$C$28, 0.0226, 0)</f>
        <v>21.418600000000001</v>
      </c>
      <c r="C184" s="4">
        <f>21.0328 * CHOOSE(CONTROL!$C$9, $C$13, 100%, $E$13) + CHOOSE(CONTROL!$C$28, 0.0226, 0)</f>
        <v>21.055400000000002</v>
      </c>
      <c r="D184" s="4">
        <f>30.5428 * CHOOSE(CONTROL!$C$9, $C$13, 100%, $E$13) + CHOOSE(CONTROL!$C$28, 0.0021, 0)</f>
        <v>30.544899999999998</v>
      </c>
      <c r="E184" s="4">
        <f>134.826506120255 * CHOOSE(CONTROL!$C$9, $C$13, 100%, $E$13) + CHOOSE(CONTROL!$C$28, 0.0021, 0)</f>
        <v>134.82860612025502</v>
      </c>
    </row>
    <row r="185" spans="1:5" ht="15">
      <c r="A185" s="13">
        <v>46753</v>
      </c>
      <c r="B185" s="4">
        <f>20.9616 * CHOOSE(CONTROL!$C$9, $C$13, 100%, $E$13) + CHOOSE(CONTROL!$C$28, 0.0226, 0)</f>
        <v>20.984200000000001</v>
      </c>
      <c r="C185" s="4">
        <f>20.5983 * CHOOSE(CONTROL!$C$9, $C$13, 100%, $E$13) + CHOOSE(CONTROL!$C$28, 0.0226, 0)</f>
        <v>20.620899999999999</v>
      </c>
      <c r="D185" s="4">
        <f>29.8301 * CHOOSE(CONTROL!$C$9, $C$13, 100%, $E$13) + CHOOSE(CONTROL!$C$28, 0.0021, 0)</f>
        <v>29.8322</v>
      </c>
      <c r="E185" s="4">
        <f>132.156690202796 * CHOOSE(CONTROL!$C$9, $C$13, 100%, $E$13) + CHOOSE(CONTROL!$C$28, 0.0021, 0)</f>
        <v>132.15879020279601</v>
      </c>
    </row>
    <row r="186" spans="1:5" ht="15">
      <c r="A186" s="13">
        <v>46784</v>
      </c>
      <c r="B186" s="4">
        <f>21.441 * CHOOSE(CONTROL!$C$9, $C$13, 100%, $E$13) + CHOOSE(CONTROL!$C$28, 0.0226, 0)</f>
        <v>21.4636</v>
      </c>
      <c r="C186" s="4">
        <f>21.0777 * CHOOSE(CONTROL!$C$9, $C$13, 100%, $E$13) + CHOOSE(CONTROL!$C$28, 0.0226, 0)</f>
        <v>21.100300000000001</v>
      </c>
      <c r="D186" s="4">
        <f>30.8176 * CHOOSE(CONTROL!$C$9, $C$13, 100%, $E$13) + CHOOSE(CONTROL!$C$28, 0.0021, 0)</f>
        <v>30.819699999999997</v>
      </c>
      <c r="E186" s="4">
        <f>135.294610845758 * CHOOSE(CONTROL!$C$9, $C$13, 100%, $E$13) + CHOOSE(CONTROL!$C$28, 0.0021, 0)</f>
        <v>135.29671084575801</v>
      </c>
    </row>
    <row r="187" spans="1:5" ht="15">
      <c r="A187" s="13">
        <v>46813</v>
      </c>
      <c r="B187" s="4">
        <f>22.6998 * CHOOSE(CONTROL!$C$9, $C$13, 100%, $E$13) + CHOOSE(CONTROL!$C$28, 0.0226, 0)</f>
        <v>22.7224</v>
      </c>
      <c r="C187" s="4">
        <f>22.3365 * CHOOSE(CONTROL!$C$9, $C$13, 100%, $E$13) + CHOOSE(CONTROL!$C$28, 0.0226, 0)</f>
        <v>22.359100000000002</v>
      </c>
      <c r="D187" s="4">
        <f>32.3634 * CHOOSE(CONTROL!$C$9, $C$13, 100%, $E$13) + CHOOSE(CONTROL!$C$28, 0.0021, 0)</f>
        <v>32.365499999999997</v>
      </c>
      <c r="E187" s="4">
        <f>143.534957213408 * CHOOSE(CONTROL!$C$9, $C$13, 100%, $E$13) + CHOOSE(CONTROL!$C$28, 0.0021, 0)</f>
        <v>143.53705721340802</v>
      </c>
    </row>
    <row r="188" spans="1:5" ht="15">
      <c r="A188" s="13">
        <v>46844</v>
      </c>
      <c r="B188" s="4">
        <f>23.5941 * CHOOSE(CONTROL!$C$9, $C$13, 100%, $E$13) + CHOOSE(CONTROL!$C$28, 0.0226, 0)</f>
        <v>23.616700000000002</v>
      </c>
      <c r="C188" s="4">
        <f>23.2309 * CHOOSE(CONTROL!$C$9, $C$13, 100%, $E$13) + CHOOSE(CONTROL!$C$28, 0.0226, 0)</f>
        <v>23.253499999999999</v>
      </c>
      <c r="D188" s="4">
        <f>33.2538 * CHOOSE(CONTROL!$C$9, $C$13, 100%, $E$13) + CHOOSE(CONTROL!$C$28, 0.0021, 0)</f>
        <v>33.255899999999997</v>
      </c>
      <c r="E188" s="4">
        <f>149.389833124678 * CHOOSE(CONTROL!$C$9, $C$13, 100%, $E$13) + CHOOSE(CONTROL!$C$28, 0.0021, 0)</f>
        <v>149.39193312467802</v>
      </c>
    </row>
    <row r="189" spans="1:5" ht="15">
      <c r="A189" s="13">
        <v>46874</v>
      </c>
      <c r="B189" s="4">
        <f>24.1406 * CHOOSE(CONTROL!$C$9, $C$13, 100%, $E$13) + CHOOSE(CONTROL!$C$28, 0.0226, 0)</f>
        <v>24.1632</v>
      </c>
      <c r="C189" s="4">
        <f>23.7773 * CHOOSE(CONTROL!$C$9, $C$13, 100%, $E$13) + CHOOSE(CONTROL!$C$28, 0.0226, 0)</f>
        <v>23.799900000000001</v>
      </c>
      <c r="D189" s="4">
        <f>32.902 * CHOOSE(CONTROL!$C$9, $C$13, 100%, $E$13) + CHOOSE(CONTROL!$C$28, 0.0021, 0)</f>
        <v>32.9041</v>
      </c>
      <c r="E189" s="4">
        <f>152.967021984672 * CHOOSE(CONTROL!$C$9, $C$13, 100%, $E$13) + CHOOSE(CONTROL!$C$28, 0.0021, 0)</f>
        <v>152.969121984672</v>
      </c>
    </row>
    <row r="190" spans="1:5" ht="15">
      <c r="A190" s="13">
        <v>46905</v>
      </c>
      <c r="B190" s="4">
        <f>24.2145 * CHOOSE(CONTROL!$C$9, $C$13, 100%, $E$13) + CHOOSE(CONTROL!$C$28, 0.0226, 0)</f>
        <v>24.237100000000002</v>
      </c>
      <c r="C190" s="4">
        <f>23.8512 * CHOOSE(CONTROL!$C$9, $C$13, 100%, $E$13) + CHOOSE(CONTROL!$C$28, 0.0226, 0)</f>
        <v>23.873799999999999</v>
      </c>
      <c r="D190" s="4">
        <f>33.1885 * CHOOSE(CONTROL!$C$9, $C$13, 100%, $E$13) + CHOOSE(CONTROL!$C$28, 0.0021, 0)</f>
        <v>33.190599999999996</v>
      </c>
      <c r="E190" s="4">
        <f>153.451030483068 * CHOOSE(CONTROL!$C$9, $C$13, 100%, $E$13) + CHOOSE(CONTROL!$C$28, 0.0021, 0)</f>
        <v>153.45313048306801</v>
      </c>
    </row>
    <row r="191" spans="1:5" ht="15">
      <c r="A191" s="13">
        <v>46935</v>
      </c>
      <c r="B191" s="4">
        <f>24.2071 * CHOOSE(CONTROL!$C$9, $C$13, 100%, $E$13) + CHOOSE(CONTROL!$C$28, 0.0226, 0)</f>
        <v>24.229700000000001</v>
      </c>
      <c r="C191" s="4">
        <f>23.8438 * CHOOSE(CONTROL!$C$9, $C$13, 100%, $E$13) + CHOOSE(CONTROL!$C$28, 0.0226, 0)</f>
        <v>23.866400000000002</v>
      </c>
      <c r="D191" s="4">
        <f>33.7056 * CHOOSE(CONTROL!$C$9, $C$13, 100%, $E$13) + CHOOSE(CONTROL!$C$28, 0.0021, 0)</f>
        <v>33.707699999999996</v>
      </c>
      <c r="E191" s="4">
        <f>153.402222903398 * CHOOSE(CONTROL!$C$9, $C$13, 100%, $E$13) + CHOOSE(CONTROL!$C$28, 0.0021, 0)</f>
        <v>153.40432290339803</v>
      </c>
    </row>
    <row r="192" spans="1:5" ht="15">
      <c r="A192" s="13">
        <v>46966</v>
      </c>
      <c r="B192" s="4">
        <f>24.7681 * CHOOSE(CONTROL!$C$9, $C$13, 100%, $E$13) + CHOOSE(CONTROL!$C$28, 0.0226, 0)</f>
        <v>24.790700000000001</v>
      </c>
      <c r="C192" s="4">
        <f>24.4048 * CHOOSE(CONTROL!$C$9, $C$13, 100%, $E$13) + CHOOSE(CONTROL!$C$28, 0.0226, 0)</f>
        <v>24.427400000000002</v>
      </c>
      <c r="D192" s="4">
        <f>33.3641 * CHOOSE(CONTROL!$C$9, $C$13, 100%, $E$13) + CHOOSE(CONTROL!$C$28, 0.0021, 0)</f>
        <v>33.366199999999999</v>
      </c>
      <c r="E192" s="4">
        <f>157.074993273579 * CHOOSE(CONTROL!$C$9, $C$13, 100%, $E$13) + CHOOSE(CONTROL!$C$28, 0.0021, 0)</f>
        <v>157.07709327357901</v>
      </c>
    </row>
    <row r="193" spans="1:5" ht="15">
      <c r="A193" s="13">
        <v>46997</v>
      </c>
      <c r="B193" s="4">
        <f>23.8119 * CHOOSE(CONTROL!$C$9, $C$13, 100%, $E$13) + CHOOSE(CONTROL!$C$28, 0.0226, 0)</f>
        <v>23.834500000000002</v>
      </c>
      <c r="C193" s="4">
        <f>23.4486 * CHOOSE(CONTROL!$C$9, $C$13, 100%, $E$13) + CHOOSE(CONTROL!$C$28, 0.0226, 0)</f>
        <v>23.4712</v>
      </c>
      <c r="D193" s="4">
        <f>33.2028 * CHOOSE(CONTROL!$C$9, $C$13, 100%, $E$13) + CHOOSE(CONTROL!$C$28, 0.0021, 0)</f>
        <v>33.204900000000002</v>
      </c>
      <c r="E193" s="4">
        <f>150.815421180878 * CHOOSE(CONTROL!$C$9, $C$13, 100%, $E$13) + CHOOSE(CONTROL!$C$28, 0.0021, 0)</f>
        <v>150.817521180878</v>
      </c>
    </row>
    <row r="194" spans="1:5" ht="15">
      <c r="A194" s="13">
        <v>47027</v>
      </c>
      <c r="B194" s="4">
        <f>23.0464 * CHOOSE(CONTROL!$C$9, $C$13, 100%, $E$13) + CHOOSE(CONTROL!$C$28, 0.0226, 0)</f>
        <v>23.068999999999999</v>
      </c>
      <c r="C194" s="4">
        <f>22.6832 * CHOOSE(CONTROL!$C$9, $C$13, 100%, $E$13) + CHOOSE(CONTROL!$C$28, 0.0226, 0)</f>
        <v>22.7058</v>
      </c>
      <c r="D194" s="4">
        <f>32.7708 * CHOOSE(CONTROL!$C$9, $C$13, 100%, $E$13) + CHOOSE(CONTROL!$C$28, 0.0021, 0)</f>
        <v>32.7729</v>
      </c>
      <c r="E194" s="4">
        <f>145.804509668072 * CHOOSE(CONTROL!$C$9, $C$13, 100%, $E$13) + CHOOSE(CONTROL!$C$28, 0.0021, 0)</f>
        <v>145.80660966807201</v>
      </c>
    </row>
    <row r="195" spans="1:5" ht="15">
      <c r="A195" s="13">
        <v>47058</v>
      </c>
      <c r="B195" s="4">
        <f>22.5534 * CHOOSE(CONTROL!$C$9, $C$13, 100%, $E$13) + CHOOSE(CONTROL!$C$28, 0.0226, 0)</f>
        <v>22.576000000000001</v>
      </c>
      <c r="C195" s="4">
        <f>22.1902 * CHOOSE(CONTROL!$C$9, $C$13, 100%, $E$13) + CHOOSE(CONTROL!$C$28, 0.0226, 0)</f>
        <v>22.212800000000001</v>
      </c>
      <c r="D195" s="4">
        <f>32.6223 * CHOOSE(CONTROL!$C$9, $C$13, 100%, $E$13) + CHOOSE(CONTROL!$C$28, 0.0021, 0)</f>
        <v>32.624400000000001</v>
      </c>
      <c r="E195" s="4">
        <f>142.577108462381 * CHOOSE(CONTROL!$C$9, $C$13, 100%, $E$13) + CHOOSE(CONTROL!$C$28, 0.0021, 0)</f>
        <v>142.57920846238102</v>
      </c>
    </row>
    <row r="196" spans="1:5" ht="15">
      <c r="A196" s="13">
        <v>47088</v>
      </c>
      <c r="B196" s="4">
        <f>22.2123 * CHOOSE(CONTROL!$C$9, $C$13, 100%, $E$13) + CHOOSE(CONTROL!$C$28, 0.0226, 0)</f>
        <v>22.2349</v>
      </c>
      <c r="C196" s="4">
        <f>21.849 * CHOOSE(CONTROL!$C$9, $C$13, 100%, $E$13) + CHOOSE(CONTROL!$C$28, 0.0226, 0)</f>
        <v>21.871600000000001</v>
      </c>
      <c r="D196" s="4">
        <f>31.5289 * CHOOSE(CONTROL!$C$9, $C$13, 100%, $E$13) + CHOOSE(CONTROL!$C$28, 0.0021, 0)</f>
        <v>31.530999999999999</v>
      </c>
      <c r="E196" s="4">
        <f>140.34416169247 * CHOOSE(CONTROL!$C$9, $C$13, 100%, $E$13) + CHOOSE(CONTROL!$C$28, 0.0021, 0)</f>
        <v>140.34626169247002</v>
      </c>
    </row>
    <row r="197" spans="1:5" ht="15">
      <c r="A197" s="13">
        <v>47119</v>
      </c>
      <c r="B197" s="4">
        <f>21.8058 * CHOOSE(CONTROL!$C$9, $C$13, 100%, $E$13) + CHOOSE(CONTROL!$C$28, 0.0226, 0)</f>
        <v>21.828400000000002</v>
      </c>
      <c r="C197" s="4">
        <f>21.4425 * CHOOSE(CONTROL!$C$9, $C$13, 100%, $E$13) + CHOOSE(CONTROL!$C$28, 0.0226, 0)</f>
        <v>21.4651</v>
      </c>
      <c r="D197" s="4">
        <f>30.7512 * CHOOSE(CONTROL!$C$9, $C$13, 100%, $E$13) + CHOOSE(CONTROL!$C$28, 0.0021, 0)</f>
        <v>30.753299999999999</v>
      </c>
      <c r="E197" s="4">
        <f>137.564713648645 * CHOOSE(CONTROL!$C$9, $C$13, 100%, $E$13) + CHOOSE(CONTROL!$C$28, 0.0021, 0)</f>
        <v>137.56681364864502</v>
      </c>
    </row>
    <row r="198" spans="1:5" ht="15">
      <c r="A198" s="13">
        <v>47150</v>
      </c>
      <c r="B198" s="4">
        <f>22.3052 * CHOOSE(CONTROL!$C$9, $C$13, 100%, $E$13) + CHOOSE(CONTROL!$C$28, 0.0226, 0)</f>
        <v>22.3278</v>
      </c>
      <c r="C198" s="4">
        <f>21.9419 * CHOOSE(CONTROL!$C$9, $C$13, 100%, $E$13) + CHOOSE(CONTROL!$C$28, 0.0226, 0)</f>
        <v>21.964500000000001</v>
      </c>
      <c r="D198" s="4">
        <f>31.7712 * CHOOSE(CONTROL!$C$9, $C$13, 100%, $E$13) + CHOOSE(CONTROL!$C$28, 0.0021, 0)</f>
        <v>31.773299999999999</v>
      </c>
      <c r="E198" s="4">
        <f>140.831042080742 * CHOOSE(CONTROL!$C$9, $C$13, 100%, $E$13) + CHOOSE(CONTROL!$C$28, 0.0021, 0)</f>
        <v>140.83314208074202</v>
      </c>
    </row>
    <row r="199" spans="1:5" ht="15">
      <c r="A199" s="13">
        <v>47178</v>
      </c>
      <c r="B199" s="4">
        <f>23.6166 * CHOOSE(CONTROL!$C$9, $C$13, 100%, $E$13) + CHOOSE(CONTROL!$C$28, 0.0226, 0)</f>
        <v>23.639199999999999</v>
      </c>
      <c r="C199" s="4">
        <f>23.2534 * CHOOSE(CONTROL!$C$9, $C$13, 100%, $E$13) + CHOOSE(CONTROL!$C$28, 0.0226, 0)</f>
        <v>23.276</v>
      </c>
      <c r="D199" s="4">
        <f>33.3679 * CHOOSE(CONTROL!$C$9, $C$13, 100%, $E$13) + CHOOSE(CONTROL!$C$28, 0.0021, 0)</f>
        <v>33.369999999999997</v>
      </c>
      <c r="E199" s="4">
        <f>149.408594126665 * CHOOSE(CONTROL!$C$9, $C$13, 100%, $E$13) + CHOOSE(CONTROL!$C$28, 0.0021, 0)</f>
        <v>149.41069412666502</v>
      </c>
    </row>
    <row r="200" spans="1:5" ht="15">
      <c r="A200" s="13">
        <v>47209</v>
      </c>
      <c r="B200" s="4">
        <f>24.5484 * CHOOSE(CONTROL!$C$9, $C$13, 100%, $E$13) + CHOOSE(CONTROL!$C$28, 0.0226, 0)</f>
        <v>24.571000000000002</v>
      </c>
      <c r="C200" s="4">
        <f>24.1851 * CHOOSE(CONTROL!$C$9, $C$13, 100%, $E$13) + CHOOSE(CONTROL!$C$28, 0.0226, 0)</f>
        <v>24.207699999999999</v>
      </c>
      <c r="D200" s="4">
        <f>34.2876 * CHOOSE(CONTROL!$C$9, $C$13, 100%, $E$13) + CHOOSE(CONTROL!$C$28, 0.0021, 0)</f>
        <v>34.289699999999996</v>
      </c>
      <c r="E200" s="4">
        <f>155.503059166204 * CHOOSE(CONTROL!$C$9, $C$13, 100%, $E$13) + CHOOSE(CONTROL!$C$28, 0.0021, 0)</f>
        <v>155.50515916620401</v>
      </c>
    </row>
    <row r="201" spans="1:5" ht="15">
      <c r="A201" s="13">
        <v>47239</v>
      </c>
      <c r="B201" s="4">
        <f>25.1177 * CHOOSE(CONTROL!$C$9, $C$13, 100%, $E$13) + CHOOSE(CONTROL!$C$28, 0.0226, 0)</f>
        <v>25.1403</v>
      </c>
      <c r="C201" s="4">
        <f>24.7544 * CHOOSE(CONTROL!$C$9, $C$13, 100%, $E$13) + CHOOSE(CONTROL!$C$28, 0.0226, 0)</f>
        <v>24.777000000000001</v>
      </c>
      <c r="D201" s="4">
        <f>33.9242 * CHOOSE(CONTROL!$C$9, $C$13, 100%, $E$13) + CHOOSE(CONTROL!$C$28, 0.0021, 0)</f>
        <v>33.926299999999998</v>
      </c>
      <c r="E201" s="4">
        <f>159.226631241421 * CHOOSE(CONTROL!$C$9, $C$13, 100%, $E$13) + CHOOSE(CONTROL!$C$28, 0.0021, 0)</f>
        <v>159.228731241421</v>
      </c>
    </row>
    <row r="202" spans="1:5" ht="15">
      <c r="A202" s="13">
        <v>47270</v>
      </c>
      <c r="B202" s="4">
        <f>25.1948 * CHOOSE(CONTROL!$C$9, $C$13, 100%, $E$13) + CHOOSE(CONTROL!$C$28, 0.0226, 0)</f>
        <v>25.217400000000001</v>
      </c>
      <c r="C202" s="4">
        <f>24.8315 * CHOOSE(CONTROL!$C$9, $C$13, 100%, $E$13) + CHOOSE(CONTROL!$C$28, 0.0226, 0)</f>
        <v>24.854099999999999</v>
      </c>
      <c r="D202" s="4">
        <f>34.2202 * CHOOSE(CONTROL!$C$9, $C$13, 100%, $E$13) + CHOOSE(CONTROL!$C$28, 0.0021, 0)</f>
        <v>34.222299999999997</v>
      </c>
      <c r="E202" s="4">
        <f>159.73044599634 * CHOOSE(CONTROL!$C$9, $C$13, 100%, $E$13) + CHOOSE(CONTROL!$C$28, 0.0021, 0)</f>
        <v>159.73254599634001</v>
      </c>
    </row>
    <row r="203" spans="1:5" ht="15">
      <c r="A203" s="13">
        <v>47300</v>
      </c>
      <c r="B203" s="4">
        <f>25.187 * CHOOSE(CONTROL!$C$9, $C$13, 100%, $E$13) + CHOOSE(CONTROL!$C$28, 0.0226, 0)</f>
        <v>25.209600000000002</v>
      </c>
      <c r="C203" s="4">
        <f>24.8237 * CHOOSE(CONTROL!$C$9, $C$13, 100%, $E$13) + CHOOSE(CONTROL!$C$28, 0.0226, 0)</f>
        <v>24.846299999999999</v>
      </c>
      <c r="D203" s="4">
        <f>34.7543 * CHOOSE(CONTROL!$C$9, $C$13, 100%, $E$13) + CHOOSE(CONTROL!$C$28, 0.0021, 0)</f>
        <v>34.756399999999999</v>
      </c>
      <c r="E203" s="4">
        <f>159.679641147104 * CHOOSE(CONTROL!$C$9, $C$13, 100%, $E$13) + CHOOSE(CONTROL!$C$28, 0.0021, 0)</f>
        <v>159.68174114710402</v>
      </c>
    </row>
    <row r="204" spans="1:5" ht="15">
      <c r="A204" s="13">
        <v>47331</v>
      </c>
      <c r="B204" s="4">
        <f>25.7715 * CHOOSE(CONTROL!$C$9, $C$13, 100%, $E$13) + CHOOSE(CONTROL!$C$28, 0.0226, 0)</f>
        <v>25.7941</v>
      </c>
      <c r="C204" s="4">
        <f>25.4082 * CHOOSE(CONTROL!$C$9, $C$13, 100%, $E$13) + CHOOSE(CONTROL!$C$28, 0.0226, 0)</f>
        <v>25.430800000000001</v>
      </c>
      <c r="D204" s="4">
        <f>34.4016 * CHOOSE(CONTROL!$C$9, $C$13, 100%, $E$13) + CHOOSE(CONTROL!$C$28, 0.0021, 0)</f>
        <v>34.403700000000001</v>
      </c>
      <c r="E204" s="4">
        <f>163.502706052074 * CHOOSE(CONTROL!$C$9, $C$13, 100%, $E$13) + CHOOSE(CONTROL!$C$28, 0.0021, 0)</f>
        <v>163.504806052074</v>
      </c>
    </row>
    <row r="205" spans="1:5" ht="15">
      <c r="A205" s="13">
        <v>47362</v>
      </c>
      <c r="B205" s="4">
        <f>24.7753 * CHOOSE(CONTROL!$C$9, $C$13, 100%, $E$13) + CHOOSE(CONTROL!$C$28, 0.0226, 0)</f>
        <v>24.797900000000002</v>
      </c>
      <c r="C205" s="4">
        <f>24.412 * CHOOSE(CONTROL!$C$9, $C$13, 100%, $E$13) + CHOOSE(CONTROL!$C$28, 0.0226, 0)</f>
        <v>24.4346</v>
      </c>
      <c r="D205" s="4">
        <f>34.2349 * CHOOSE(CONTROL!$C$9, $C$13, 100%, $E$13) + CHOOSE(CONTROL!$C$28, 0.0021, 0)</f>
        <v>34.237000000000002</v>
      </c>
      <c r="E205" s="4">
        <f>156.986984137624 * CHOOSE(CONTROL!$C$9, $C$13, 100%, $E$13) + CHOOSE(CONTROL!$C$28, 0.0021, 0)</f>
        <v>156.98908413762402</v>
      </c>
    </row>
    <row r="206" spans="1:5" ht="15">
      <c r="A206" s="13">
        <v>47392</v>
      </c>
      <c r="B206" s="4">
        <f>23.9778 * CHOOSE(CONTROL!$C$9, $C$13, 100%, $E$13) + CHOOSE(CONTROL!$C$28, 0.0226, 0)</f>
        <v>24.000399999999999</v>
      </c>
      <c r="C206" s="4">
        <f>23.6145 * CHOOSE(CONTROL!$C$9, $C$13, 100%, $E$13) + CHOOSE(CONTROL!$C$28, 0.0226, 0)</f>
        <v>23.6371</v>
      </c>
      <c r="D206" s="4">
        <f>33.7887 * CHOOSE(CONTROL!$C$9, $C$13, 100%, $E$13) + CHOOSE(CONTROL!$C$28, 0.0021, 0)</f>
        <v>33.790799999999997</v>
      </c>
      <c r="E206" s="4">
        <f>151.771019616115 * CHOOSE(CONTROL!$C$9, $C$13, 100%, $E$13) + CHOOSE(CONTROL!$C$28, 0.0021, 0)</f>
        <v>151.77311961611503</v>
      </c>
    </row>
    <row r="207" spans="1:5" ht="15">
      <c r="A207" s="13">
        <v>47423</v>
      </c>
      <c r="B207" s="4">
        <f>23.4642 * CHOOSE(CONTROL!$C$9, $C$13, 100%, $E$13) + CHOOSE(CONTROL!$C$28, 0.0226, 0)</f>
        <v>23.486800000000002</v>
      </c>
      <c r="C207" s="4">
        <f>23.1009 * CHOOSE(CONTROL!$C$9, $C$13, 100%, $E$13) + CHOOSE(CONTROL!$C$28, 0.0226, 0)</f>
        <v>23.1235</v>
      </c>
      <c r="D207" s="4">
        <f>33.6353 * CHOOSE(CONTROL!$C$9, $C$13, 100%, $E$13) + CHOOSE(CONTROL!$C$28, 0.0021, 0)</f>
        <v>33.6374</v>
      </c>
      <c r="E207" s="4">
        <f>148.411548960419 * CHOOSE(CONTROL!$C$9, $C$13, 100%, $E$13) + CHOOSE(CONTROL!$C$28, 0.0021, 0)</f>
        <v>148.41364896041901</v>
      </c>
    </row>
    <row r="208" spans="1:5" ht="15">
      <c r="A208" s="13">
        <v>47453</v>
      </c>
      <c r="B208" s="4">
        <f>23.1088 * CHOOSE(CONTROL!$C$9, $C$13, 100%, $E$13) + CHOOSE(CONTROL!$C$28, 0.0226, 0)</f>
        <v>23.131399999999999</v>
      </c>
      <c r="C208" s="4">
        <f>22.7455 * CHOOSE(CONTROL!$C$9, $C$13, 100%, $E$13) + CHOOSE(CONTROL!$C$28, 0.0226, 0)</f>
        <v>22.7681</v>
      </c>
      <c r="D208" s="4">
        <f>32.5059 * CHOOSE(CONTROL!$C$9, $C$13, 100%, $E$13) + CHOOSE(CONTROL!$C$28, 0.0021, 0)</f>
        <v>32.507999999999996</v>
      </c>
      <c r="E208" s="4">
        <f>146.087227107896 * CHOOSE(CONTROL!$C$9, $C$13, 100%, $E$13) + CHOOSE(CONTROL!$C$28, 0.0021, 0)</f>
        <v>146.08932710789603</v>
      </c>
    </row>
    <row r="209" spans="1:5" ht="15">
      <c r="A209" s="13">
        <v>47484</v>
      </c>
      <c r="B209" s="4">
        <f>22.686 * CHOOSE(CONTROL!$C$9, $C$13, 100%, $E$13) + CHOOSE(CONTROL!$C$28, 0.0226, 0)</f>
        <v>22.708600000000001</v>
      </c>
      <c r="C209" s="4">
        <f>22.3227 * CHOOSE(CONTROL!$C$9, $C$13, 100%, $E$13) + CHOOSE(CONTROL!$C$28, 0.0226, 0)</f>
        <v>22.345300000000002</v>
      </c>
      <c r="D209" s="4">
        <f>31.7202 * CHOOSE(CONTROL!$C$9, $C$13, 100%, $E$13) + CHOOSE(CONTROL!$C$28, 0.0021, 0)</f>
        <v>31.722299999999997</v>
      </c>
      <c r="E209" s="4">
        <f>143.202641555372 * CHOOSE(CONTROL!$C$9, $C$13, 100%, $E$13) + CHOOSE(CONTROL!$C$28, 0.0021, 0)</f>
        <v>143.20474155537201</v>
      </c>
    </row>
    <row r="210" spans="1:5" ht="15">
      <c r="A210" s="13">
        <v>47515</v>
      </c>
      <c r="B210" s="4">
        <f>23.2063 * CHOOSE(CONTROL!$C$9, $C$13, 100%, $E$13) + CHOOSE(CONTROL!$C$28, 0.0226, 0)</f>
        <v>23.228899999999999</v>
      </c>
      <c r="C210" s="4">
        <f>22.843 * CHOOSE(CONTROL!$C$9, $C$13, 100%, $E$13) + CHOOSE(CONTROL!$C$28, 0.0226, 0)</f>
        <v>22.865600000000001</v>
      </c>
      <c r="D210" s="4">
        <f>32.7743 * CHOOSE(CONTROL!$C$9, $C$13, 100%, $E$13) + CHOOSE(CONTROL!$C$28, 0.0021, 0)</f>
        <v>32.776399999999995</v>
      </c>
      <c r="E210" s="4">
        <f>146.602836614539 * CHOOSE(CONTROL!$C$9, $C$13, 100%, $E$13) + CHOOSE(CONTROL!$C$28, 0.0021, 0)</f>
        <v>146.60493661453901</v>
      </c>
    </row>
    <row r="211" spans="1:5" ht="15">
      <c r="A211" s="13">
        <v>47543</v>
      </c>
      <c r="B211" s="4">
        <f>24.5726 * CHOOSE(CONTROL!$C$9, $C$13, 100%, $E$13) + CHOOSE(CONTROL!$C$28, 0.0226, 0)</f>
        <v>24.595200000000002</v>
      </c>
      <c r="C211" s="4">
        <f>24.2093 * CHOOSE(CONTROL!$C$9, $C$13, 100%, $E$13) + CHOOSE(CONTROL!$C$28, 0.0226, 0)</f>
        <v>24.2319</v>
      </c>
      <c r="D211" s="4">
        <f>34.4246 * CHOOSE(CONTROL!$C$9, $C$13, 100%, $E$13) + CHOOSE(CONTROL!$C$28, 0.0021, 0)</f>
        <v>34.426699999999997</v>
      </c>
      <c r="E211" s="4">
        <f>155.53192953725 * CHOOSE(CONTROL!$C$9, $C$13, 100%, $E$13) + CHOOSE(CONTROL!$C$28, 0.0021, 0)</f>
        <v>155.53402953725001</v>
      </c>
    </row>
    <row r="212" spans="1:5" ht="15">
      <c r="A212" s="13">
        <v>47574</v>
      </c>
      <c r="B212" s="4">
        <f>25.5434 * CHOOSE(CONTROL!$C$9, $C$13, 100%, $E$13) + CHOOSE(CONTROL!$C$28, 0.0226, 0)</f>
        <v>25.565999999999999</v>
      </c>
      <c r="C212" s="4">
        <f>25.1801 * CHOOSE(CONTROL!$C$9, $C$13, 100%, $E$13) + CHOOSE(CONTROL!$C$28, 0.0226, 0)</f>
        <v>25.2027</v>
      </c>
      <c r="D212" s="4">
        <f>35.3751 * CHOOSE(CONTROL!$C$9, $C$13, 100%, $E$13) + CHOOSE(CONTROL!$C$28, 0.0021, 0)</f>
        <v>35.377200000000002</v>
      </c>
      <c r="E212" s="4">
        <f>161.876169054645 * CHOOSE(CONTROL!$C$9, $C$13, 100%, $E$13) + CHOOSE(CONTROL!$C$28, 0.0021, 0)</f>
        <v>161.87826905464502</v>
      </c>
    </row>
    <row r="213" spans="1:5" ht="15">
      <c r="A213" s="13">
        <v>47604</v>
      </c>
      <c r="B213" s="4">
        <f>26.1365 * CHOOSE(CONTROL!$C$9, $C$13, 100%, $E$13) + CHOOSE(CONTROL!$C$28, 0.0226, 0)</f>
        <v>26.159100000000002</v>
      </c>
      <c r="C213" s="4">
        <f>25.7732 * CHOOSE(CONTROL!$C$9, $C$13, 100%, $E$13) + CHOOSE(CONTROL!$C$28, 0.0226, 0)</f>
        <v>25.7958</v>
      </c>
      <c r="D213" s="4">
        <f>34.9995 * CHOOSE(CONTROL!$C$9, $C$13, 100%, $E$13) + CHOOSE(CONTROL!$C$28, 0.0021, 0)</f>
        <v>35.001599999999996</v>
      </c>
      <c r="E213" s="4">
        <f>165.752347349573 * CHOOSE(CONTROL!$C$9, $C$13, 100%, $E$13) + CHOOSE(CONTROL!$C$28, 0.0021, 0)</f>
        <v>165.75444734957301</v>
      </c>
    </row>
    <row r="214" spans="1:5" ht="15">
      <c r="A214" s="13">
        <v>47635</v>
      </c>
      <c r="B214" s="4">
        <f>26.2168 * CHOOSE(CONTROL!$C$9, $C$13, 100%, $E$13) + CHOOSE(CONTROL!$C$28, 0.0226, 0)</f>
        <v>26.2394</v>
      </c>
      <c r="C214" s="4">
        <f>25.8535 * CHOOSE(CONTROL!$C$9, $C$13, 100%, $E$13) + CHOOSE(CONTROL!$C$28, 0.0226, 0)</f>
        <v>25.876100000000001</v>
      </c>
      <c r="D214" s="4">
        <f>35.3054 * CHOOSE(CONTROL!$C$9, $C$13, 100%, $E$13) + CHOOSE(CONTROL!$C$28, 0.0021, 0)</f>
        <v>35.307499999999997</v>
      </c>
      <c r="E214" s="4">
        <f>166.276810359347 * CHOOSE(CONTROL!$C$9, $C$13, 100%, $E$13) + CHOOSE(CONTROL!$C$28, 0.0021, 0)</f>
        <v>166.27891035934701</v>
      </c>
    </row>
    <row r="215" spans="1:5" ht="15">
      <c r="A215" s="13">
        <v>47665</v>
      </c>
      <c r="B215" s="4">
        <f>26.2087 * CHOOSE(CONTROL!$C$9, $C$13, 100%, $E$13) + CHOOSE(CONTROL!$C$28, 0.0226, 0)</f>
        <v>26.231300000000001</v>
      </c>
      <c r="C215" s="4">
        <f>25.8454 * CHOOSE(CONTROL!$C$9, $C$13, 100%, $E$13) + CHOOSE(CONTROL!$C$28, 0.0226, 0)</f>
        <v>25.868000000000002</v>
      </c>
      <c r="D215" s="4">
        <f>35.8574 * CHOOSE(CONTROL!$C$9, $C$13, 100%, $E$13) + CHOOSE(CONTROL!$C$28, 0.0021, 0)</f>
        <v>35.859499999999997</v>
      </c>
      <c r="E215" s="4">
        <f>166.223923333152 * CHOOSE(CONTROL!$C$9, $C$13, 100%, $E$13) + CHOOSE(CONTROL!$C$28, 0.0021, 0)</f>
        <v>166.226023333152</v>
      </c>
    </row>
    <row r="216" spans="1:5" ht="15">
      <c r="A216" s="13">
        <v>47696</v>
      </c>
      <c r="B216" s="4">
        <f>26.8176 * CHOOSE(CONTROL!$C$9, $C$13, 100%, $E$13) + CHOOSE(CONTROL!$C$28, 0.0226, 0)</f>
        <v>26.840199999999999</v>
      </c>
      <c r="C216" s="4">
        <f>26.4544 * CHOOSE(CONTROL!$C$9, $C$13, 100%, $E$13) + CHOOSE(CONTROL!$C$28, 0.0226, 0)</f>
        <v>26.477</v>
      </c>
      <c r="D216" s="4">
        <f>35.4929 * CHOOSE(CONTROL!$C$9, $C$13, 100%, $E$13) + CHOOSE(CONTROL!$C$28, 0.0021, 0)</f>
        <v>35.494999999999997</v>
      </c>
      <c r="E216" s="4">
        <f>170.203672054379 * CHOOSE(CONTROL!$C$9, $C$13, 100%, $E$13) + CHOOSE(CONTROL!$C$28, 0.0021, 0)</f>
        <v>170.20577205437903</v>
      </c>
    </row>
    <row r="217" spans="1:5" ht="15">
      <c r="A217" s="13">
        <v>47727</v>
      </c>
      <c r="B217" s="4">
        <f>25.7798 * CHOOSE(CONTROL!$C$9, $C$13, 100%, $E$13) + CHOOSE(CONTROL!$C$28, 0.0226, 0)</f>
        <v>25.802400000000002</v>
      </c>
      <c r="C217" s="4">
        <f>25.4165 * CHOOSE(CONTROL!$C$9, $C$13, 100%, $E$13) + CHOOSE(CONTROL!$C$28, 0.0226, 0)</f>
        <v>25.4391</v>
      </c>
      <c r="D217" s="4">
        <f>35.3206 * CHOOSE(CONTROL!$C$9, $C$13, 100%, $E$13) + CHOOSE(CONTROL!$C$28, 0.0021, 0)</f>
        <v>35.322699999999998</v>
      </c>
      <c r="E217" s="4">
        <f>163.420910944778 * CHOOSE(CONTROL!$C$9, $C$13, 100%, $E$13) + CHOOSE(CONTROL!$C$28, 0.0021, 0)</f>
        <v>163.42301094477801</v>
      </c>
    </row>
    <row r="218" spans="1:5" ht="15">
      <c r="A218" s="13">
        <v>47757</v>
      </c>
      <c r="B218" s="4">
        <f>24.9489 * CHOOSE(CONTROL!$C$9, $C$13, 100%, $E$13) + CHOOSE(CONTROL!$C$28, 0.0226, 0)</f>
        <v>24.971499999999999</v>
      </c>
      <c r="C218" s="4">
        <f>24.5856 * CHOOSE(CONTROL!$C$9, $C$13, 100%, $E$13) + CHOOSE(CONTROL!$C$28, 0.0226, 0)</f>
        <v>24.6082</v>
      </c>
      <c r="D218" s="4">
        <f>34.8595 * CHOOSE(CONTROL!$C$9, $C$13, 100%, $E$13) + CHOOSE(CONTROL!$C$28, 0.0021, 0)</f>
        <v>34.861599999999996</v>
      </c>
      <c r="E218" s="4">
        <f>157.991176255351 * CHOOSE(CONTROL!$C$9, $C$13, 100%, $E$13) + CHOOSE(CONTROL!$C$28, 0.0021, 0)</f>
        <v>157.99327625535102</v>
      </c>
    </row>
    <row r="219" spans="1:5" ht="15">
      <c r="A219" s="13">
        <v>47788</v>
      </c>
      <c r="B219" s="4">
        <f>24.4138 * CHOOSE(CONTROL!$C$9, $C$13, 100%, $E$13) + CHOOSE(CONTROL!$C$28, 0.0226, 0)</f>
        <v>24.436399999999999</v>
      </c>
      <c r="C219" s="4">
        <f>24.0505 * CHOOSE(CONTROL!$C$9, $C$13, 100%, $E$13) + CHOOSE(CONTROL!$C$28, 0.0226, 0)</f>
        <v>24.0731</v>
      </c>
      <c r="D219" s="4">
        <f>34.7009 * CHOOSE(CONTROL!$C$9, $C$13, 100%, $E$13) + CHOOSE(CONTROL!$C$28, 0.0021, 0)</f>
        <v>34.702999999999996</v>
      </c>
      <c r="E219" s="4">
        <f>154.494021648159 * CHOOSE(CONTROL!$C$9, $C$13, 100%, $E$13) + CHOOSE(CONTROL!$C$28, 0.0021, 0)</f>
        <v>154.496121648159</v>
      </c>
    </row>
    <row r="220" spans="1:5" ht="15">
      <c r="A220" s="13">
        <v>47818</v>
      </c>
      <c r="B220" s="4">
        <f>24.0435 * CHOOSE(CONTROL!$C$9, $C$13, 100%, $E$13) + CHOOSE(CONTROL!$C$28, 0.0226, 0)</f>
        <v>24.066100000000002</v>
      </c>
      <c r="C220" s="4">
        <f>23.6803 * CHOOSE(CONTROL!$C$9, $C$13, 100%, $E$13) + CHOOSE(CONTROL!$C$28, 0.0226, 0)</f>
        <v>23.7029</v>
      </c>
      <c r="D220" s="4">
        <f>33.5337 * CHOOSE(CONTROL!$C$9, $C$13, 100%, $E$13) + CHOOSE(CONTROL!$C$28, 0.0021, 0)</f>
        <v>33.535800000000002</v>
      </c>
      <c r="E220" s="4">
        <f>152.074440199705 * CHOOSE(CONTROL!$C$9, $C$13, 100%, $E$13) + CHOOSE(CONTROL!$C$28, 0.0021, 0)</f>
        <v>152.07654019970502</v>
      </c>
    </row>
    <row r="221" spans="1:5" ht="15">
      <c r="A221" s="13">
        <v>47849</v>
      </c>
      <c r="B221" s="4">
        <f>23.3634 * CHOOSE(CONTROL!$C$9, $C$13, 100%, $E$13) + CHOOSE(CONTROL!$C$28, 0.0226, 0)</f>
        <v>23.385999999999999</v>
      </c>
      <c r="C221" s="4">
        <f>23.0001 * CHOOSE(CONTROL!$C$9, $C$13, 100%, $E$13) + CHOOSE(CONTROL!$C$28, 0.0226, 0)</f>
        <v>23.0227</v>
      </c>
      <c r="D221" s="4">
        <f>32.4715 * CHOOSE(CONTROL!$C$9, $C$13, 100%, $E$13) + CHOOSE(CONTROL!$C$28, 0.0021, 0)</f>
        <v>32.473599999999998</v>
      </c>
      <c r="E221" s="4">
        <f>147.587176236882 * CHOOSE(CONTROL!$C$9, $C$13, 100%, $E$13) + CHOOSE(CONTROL!$C$28, 0.0021, 0)</f>
        <v>147.589276236882</v>
      </c>
    </row>
    <row r="222" spans="1:5" ht="15">
      <c r="A222" s="13">
        <v>47880</v>
      </c>
      <c r="B222" s="4">
        <f>23.8997 * CHOOSE(CONTROL!$C$9, $C$13, 100%, $E$13) + CHOOSE(CONTROL!$C$28, 0.0226, 0)</f>
        <v>23.9223</v>
      </c>
      <c r="C222" s="4">
        <f>23.5364 * CHOOSE(CONTROL!$C$9, $C$13, 100%, $E$13) + CHOOSE(CONTROL!$C$28, 0.0226, 0)</f>
        <v>23.559000000000001</v>
      </c>
      <c r="D222" s="4">
        <f>33.5522 * CHOOSE(CONTROL!$C$9, $C$13, 100%, $E$13) + CHOOSE(CONTROL!$C$28, 0.0021, 0)</f>
        <v>33.554299999999998</v>
      </c>
      <c r="E222" s="4">
        <f>151.091477428441 * CHOOSE(CONTROL!$C$9, $C$13, 100%, $E$13) + CHOOSE(CONTROL!$C$28, 0.0021, 0)</f>
        <v>151.09357742844102</v>
      </c>
    </row>
    <row r="223" spans="1:5" ht="15">
      <c r="A223" s="13">
        <v>47908</v>
      </c>
      <c r="B223" s="4">
        <f>25.3083 * CHOOSE(CONTROL!$C$9, $C$13, 100%, $E$13) + CHOOSE(CONTROL!$C$28, 0.0226, 0)</f>
        <v>25.3309</v>
      </c>
      <c r="C223" s="4">
        <f>24.945 * CHOOSE(CONTROL!$C$9, $C$13, 100%, $E$13) + CHOOSE(CONTROL!$C$28, 0.0226, 0)</f>
        <v>24.967600000000001</v>
      </c>
      <c r="D223" s="4">
        <f>35.2439 * CHOOSE(CONTROL!$C$9, $C$13, 100%, $E$13) + CHOOSE(CONTROL!$C$28, 0.0021, 0)</f>
        <v>35.245999999999995</v>
      </c>
      <c r="E223" s="4">
        <f>160.293958587353 * CHOOSE(CONTROL!$C$9, $C$13, 100%, $E$13) + CHOOSE(CONTROL!$C$28, 0.0021, 0)</f>
        <v>160.296058587353</v>
      </c>
    </row>
    <row r="224" spans="1:5" ht="15">
      <c r="A224" s="13">
        <v>47939</v>
      </c>
      <c r="B224" s="4">
        <f>26.3091 * CHOOSE(CONTROL!$C$9, $C$13, 100%, $E$13) + CHOOSE(CONTROL!$C$28, 0.0226, 0)</f>
        <v>26.331700000000001</v>
      </c>
      <c r="C224" s="4">
        <f>25.9458 * CHOOSE(CONTROL!$C$9, $C$13, 100%, $E$13) + CHOOSE(CONTROL!$C$28, 0.0226, 0)</f>
        <v>25.968399999999999</v>
      </c>
      <c r="D224" s="4">
        <f>36.2184 * CHOOSE(CONTROL!$C$9, $C$13, 100%, $E$13) + CHOOSE(CONTROL!$C$28, 0.0021, 0)</f>
        <v>36.220500000000001</v>
      </c>
      <c r="E224" s="4">
        <f>166.832444089945 * CHOOSE(CONTROL!$C$9, $C$13, 100%, $E$13) + CHOOSE(CONTROL!$C$28, 0.0021, 0)</f>
        <v>166.83454408994501</v>
      </c>
    </row>
    <row r="225" spans="1:5" ht="15">
      <c r="A225" s="13">
        <v>47969</v>
      </c>
      <c r="B225" s="4">
        <f>26.9205 * CHOOSE(CONTROL!$C$9, $C$13, 100%, $E$13) + CHOOSE(CONTROL!$C$28, 0.0226, 0)</f>
        <v>26.943100000000001</v>
      </c>
      <c r="C225" s="4">
        <f>26.5572 * CHOOSE(CONTROL!$C$9, $C$13, 100%, $E$13) + CHOOSE(CONTROL!$C$28, 0.0226, 0)</f>
        <v>26.579800000000002</v>
      </c>
      <c r="D225" s="4">
        <f>35.8333 * CHOOSE(CONTROL!$C$9, $C$13, 100%, $E$13) + CHOOSE(CONTROL!$C$28, 0.0021, 0)</f>
        <v>35.8354</v>
      </c>
      <c r="E225" s="4">
        <f>170.827302026402 * CHOOSE(CONTROL!$C$9, $C$13, 100%, $E$13) + CHOOSE(CONTROL!$C$28, 0.0021, 0)</f>
        <v>170.82940202640202</v>
      </c>
    </row>
    <row r="226" spans="1:5" ht="15">
      <c r="A226" s="13">
        <v>48000</v>
      </c>
      <c r="B226" s="4">
        <f>27.0033 * CHOOSE(CONTROL!$C$9, $C$13, 100%, $E$13) + CHOOSE(CONTROL!$C$28, 0.0226, 0)</f>
        <v>27.0259</v>
      </c>
      <c r="C226" s="4">
        <f>26.64 * CHOOSE(CONTROL!$C$9, $C$13, 100%, $E$13) + CHOOSE(CONTROL!$C$28, 0.0226, 0)</f>
        <v>26.662600000000001</v>
      </c>
      <c r="D226" s="4">
        <f>36.1469 * CHOOSE(CONTROL!$C$9, $C$13, 100%, $E$13) + CHOOSE(CONTROL!$C$28, 0.0021, 0)</f>
        <v>36.149000000000001</v>
      </c>
      <c r="E226" s="4">
        <f>171.367822884206 * CHOOSE(CONTROL!$C$9, $C$13, 100%, $E$13) + CHOOSE(CONTROL!$C$28, 0.0021, 0)</f>
        <v>171.36992288420601</v>
      </c>
    </row>
    <row r="227" spans="1:5" ht="15">
      <c r="A227" s="13">
        <v>48030</v>
      </c>
      <c r="B227" s="4">
        <f>26.9949 * CHOOSE(CONTROL!$C$9, $C$13, 100%, $E$13) + CHOOSE(CONTROL!$C$28, 0.0226, 0)</f>
        <v>27.017500000000002</v>
      </c>
      <c r="C227" s="4">
        <f>26.6316 * CHOOSE(CONTROL!$C$9, $C$13, 100%, $E$13) + CHOOSE(CONTROL!$C$28, 0.0226, 0)</f>
        <v>26.654199999999999</v>
      </c>
      <c r="D227" s="4">
        <f>36.7128 * CHOOSE(CONTROL!$C$9, $C$13, 100%, $E$13) + CHOOSE(CONTROL!$C$28, 0.0021, 0)</f>
        <v>36.7149</v>
      </c>
      <c r="E227" s="4">
        <f>171.313316579218 * CHOOSE(CONTROL!$C$9, $C$13, 100%, $E$13) + CHOOSE(CONTROL!$C$28, 0.0021, 0)</f>
        <v>171.31541657921801</v>
      </c>
    </row>
    <row r="228" spans="1:5" ht="15">
      <c r="A228" s="13">
        <v>48061</v>
      </c>
      <c r="B228" s="4">
        <f>27.6227 * CHOOSE(CONTROL!$C$9, $C$13, 100%, $E$13) + CHOOSE(CONTROL!$C$28, 0.0226, 0)</f>
        <v>27.645299999999999</v>
      </c>
      <c r="C228" s="4">
        <f>27.2594 * CHOOSE(CONTROL!$C$9, $C$13, 100%, $E$13) + CHOOSE(CONTROL!$C$28, 0.0226, 0)</f>
        <v>27.282</v>
      </c>
      <c r="D228" s="4">
        <f>36.3391 * CHOOSE(CONTROL!$C$9, $C$13, 100%, $E$13) + CHOOSE(CONTROL!$C$28, 0.0021, 0)</f>
        <v>36.341200000000001</v>
      </c>
      <c r="E228" s="4">
        <f>175.414916029611 * CHOOSE(CONTROL!$C$9, $C$13, 100%, $E$13) + CHOOSE(CONTROL!$C$28, 0.0021, 0)</f>
        <v>175.41701602961101</v>
      </c>
    </row>
    <row r="229" spans="1:5" ht="15">
      <c r="A229" s="13">
        <v>48092</v>
      </c>
      <c r="B229" s="4">
        <f>26.5527 * CHOOSE(CONTROL!$C$9, $C$13, 100%, $E$13) + CHOOSE(CONTROL!$C$28, 0.0226, 0)</f>
        <v>26.575300000000002</v>
      </c>
      <c r="C229" s="4">
        <f>26.1895 * CHOOSE(CONTROL!$C$9, $C$13, 100%, $E$13) + CHOOSE(CONTROL!$C$28, 0.0226, 0)</f>
        <v>26.2121</v>
      </c>
      <c r="D229" s="4">
        <f>36.1625 * CHOOSE(CONTROL!$C$9, $C$13, 100%, $E$13) + CHOOSE(CONTROL!$C$28, 0.0021, 0)</f>
        <v>36.1646</v>
      </c>
      <c r="E229" s="4">
        <f>168.424482414821 * CHOOSE(CONTROL!$C$9, $C$13, 100%, $E$13) + CHOOSE(CONTROL!$C$28, 0.0021, 0)</f>
        <v>168.42658241482101</v>
      </c>
    </row>
    <row r="230" spans="1:5" ht="15">
      <c r="A230" s="13">
        <v>48122</v>
      </c>
      <c r="B230" s="4">
        <f>25.6962 * CHOOSE(CONTROL!$C$9, $C$13, 100%, $E$13) + CHOOSE(CONTROL!$C$28, 0.0226, 0)</f>
        <v>25.718800000000002</v>
      </c>
      <c r="C230" s="4">
        <f>25.3329 * CHOOSE(CONTROL!$C$9, $C$13, 100%, $E$13) + CHOOSE(CONTROL!$C$28, 0.0226, 0)</f>
        <v>25.355499999999999</v>
      </c>
      <c r="D230" s="4">
        <f>35.6898 * CHOOSE(CONTROL!$C$9, $C$13, 100%, $E$13) + CHOOSE(CONTROL!$C$28, 0.0021, 0)</f>
        <v>35.691899999999997</v>
      </c>
      <c r="E230" s="4">
        <f>162.828501769323 * CHOOSE(CONTROL!$C$9, $C$13, 100%, $E$13) + CHOOSE(CONTROL!$C$28, 0.0021, 0)</f>
        <v>162.83060176932301</v>
      </c>
    </row>
    <row r="231" spans="1:5" ht="15">
      <c r="A231" s="13">
        <v>48153</v>
      </c>
      <c r="B231" s="4">
        <f>25.1445 * CHOOSE(CONTROL!$C$9, $C$13, 100%, $E$13) + CHOOSE(CONTROL!$C$28, 0.0226, 0)</f>
        <v>25.167100000000001</v>
      </c>
      <c r="C231" s="4">
        <f>24.7813 * CHOOSE(CONTROL!$C$9, $C$13, 100%, $E$13) + CHOOSE(CONTROL!$C$28, 0.0226, 0)</f>
        <v>24.803900000000002</v>
      </c>
      <c r="D231" s="4">
        <f>35.5272 * CHOOSE(CONTROL!$C$9, $C$13, 100%, $E$13) + CHOOSE(CONTROL!$C$28, 0.0021, 0)</f>
        <v>35.529299999999999</v>
      </c>
      <c r="E231" s="4">
        <f>159.224272351951 * CHOOSE(CONTROL!$C$9, $C$13, 100%, $E$13) + CHOOSE(CONTROL!$C$28, 0.0021, 0)</f>
        <v>159.226372351951</v>
      </c>
    </row>
    <row r="232" spans="1:5" ht="15">
      <c r="A232" s="13">
        <v>48183</v>
      </c>
      <c r="B232" s="4">
        <f>24.7629 * CHOOSE(CONTROL!$C$9, $C$13, 100%, $E$13) + CHOOSE(CONTROL!$C$28, 0.0226, 0)</f>
        <v>24.785499999999999</v>
      </c>
      <c r="C232" s="4">
        <f>24.3996 * CHOOSE(CONTROL!$C$9, $C$13, 100%, $E$13) + CHOOSE(CONTROL!$C$28, 0.0226, 0)</f>
        <v>24.4222</v>
      </c>
      <c r="D232" s="4">
        <f>34.3306 * CHOOSE(CONTROL!$C$9, $C$13, 100%, $E$13) + CHOOSE(CONTROL!$C$28, 0.0021, 0)</f>
        <v>34.332699999999996</v>
      </c>
      <c r="E232" s="4">
        <f>156.730608898722 * CHOOSE(CONTROL!$C$9, $C$13, 100%, $E$13) + CHOOSE(CONTROL!$C$28, 0.0021, 0)</f>
        <v>156.73270889872202</v>
      </c>
    </row>
    <row r="233" spans="1:5" ht="15">
      <c r="A233" s="13">
        <v>48214</v>
      </c>
      <c r="B233" s="4">
        <f>24.0554 * CHOOSE(CONTROL!$C$9, $C$13, 100%, $E$13) + CHOOSE(CONTROL!$C$28, 0.0226, 0)</f>
        <v>24.077999999999999</v>
      </c>
      <c r="C233" s="4">
        <f>23.6921 * CHOOSE(CONTROL!$C$9, $C$13, 100%, $E$13) + CHOOSE(CONTROL!$C$28, 0.0226, 0)</f>
        <v>23.714700000000001</v>
      </c>
      <c r="D233" s="4">
        <f>33.2235 * CHOOSE(CONTROL!$C$9, $C$13, 100%, $E$13) + CHOOSE(CONTROL!$C$28, 0.0021, 0)</f>
        <v>33.2256</v>
      </c>
      <c r="E233" s="4">
        <f>151.975237102681 * CHOOSE(CONTROL!$C$9, $C$13, 100%, $E$13) + CHOOSE(CONTROL!$C$28, 0.0021, 0)</f>
        <v>151.97733710268102</v>
      </c>
    </row>
    <row r="234" spans="1:5" ht="15">
      <c r="A234" s="13">
        <v>48245</v>
      </c>
      <c r="B234" s="4">
        <f>24.6082 * CHOOSE(CONTROL!$C$9, $C$13, 100%, $E$13) + CHOOSE(CONTROL!$C$28, 0.0226, 0)</f>
        <v>24.630800000000001</v>
      </c>
      <c r="C234" s="4">
        <f>24.2449 * CHOOSE(CONTROL!$C$9, $C$13, 100%, $E$13) + CHOOSE(CONTROL!$C$28, 0.0226, 0)</f>
        <v>24.267500000000002</v>
      </c>
      <c r="D234" s="4">
        <f>34.3307 * CHOOSE(CONTROL!$C$9, $C$13, 100%, $E$13) + CHOOSE(CONTROL!$C$28, 0.0021, 0)</f>
        <v>34.332799999999999</v>
      </c>
      <c r="E234" s="4">
        <f>155.583728152145 * CHOOSE(CONTROL!$C$9, $C$13, 100%, $E$13) + CHOOSE(CONTROL!$C$28, 0.0021, 0)</f>
        <v>155.58582815214501</v>
      </c>
    </row>
    <row r="235" spans="1:5" ht="15">
      <c r="A235" s="13">
        <v>48274</v>
      </c>
      <c r="B235" s="4">
        <f>26.0599 * CHOOSE(CONTROL!$C$9, $C$13, 100%, $E$13) + CHOOSE(CONTROL!$C$28, 0.0226, 0)</f>
        <v>26.0825</v>
      </c>
      <c r="C235" s="4">
        <f>25.6966 * CHOOSE(CONTROL!$C$9, $C$13, 100%, $E$13) + CHOOSE(CONTROL!$C$28, 0.0226, 0)</f>
        <v>25.719200000000001</v>
      </c>
      <c r="D235" s="4">
        <f>36.064 * CHOOSE(CONTROL!$C$9, $C$13, 100%, $E$13) + CHOOSE(CONTROL!$C$28, 0.0021, 0)</f>
        <v>36.066099999999999</v>
      </c>
      <c r="E235" s="4">
        <f>165.059817414899 * CHOOSE(CONTROL!$C$9, $C$13, 100%, $E$13) + CHOOSE(CONTROL!$C$28, 0.0021, 0)</f>
        <v>165.061917414899</v>
      </c>
    </row>
    <row r="236" spans="1:5" ht="15">
      <c r="A236" s="13">
        <v>48305</v>
      </c>
      <c r="B236" s="4">
        <f>27.0914 * CHOOSE(CONTROL!$C$9, $C$13, 100%, $E$13) + CHOOSE(CONTROL!$C$28, 0.0226, 0)</f>
        <v>27.114000000000001</v>
      </c>
      <c r="C236" s="4">
        <f>26.7281 * CHOOSE(CONTROL!$C$9, $C$13, 100%, $E$13) + CHOOSE(CONTROL!$C$28, 0.0226, 0)</f>
        <v>26.750700000000002</v>
      </c>
      <c r="D236" s="4">
        <f>37.0624 * CHOOSE(CONTROL!$C$9, $C$13, 100%, $E$13) + CHOOSE(CONTROL!$C$28, 0.0021, 0)</f>
        <v>37.064499999999995</v>
      </c>
      <c r="E236" s="4">
        <f>171.792705121579 * CHOOSE(CONTROL!$C$9, $C$13, 100%, $E$13) + CHOOSE(CONTROL!$C$28, 0.0021, 0)</f>
        <v>171.794805121579</v>
      </c>
    </row>
    <row r="237" spans="1:5" ht="15">
      <c r="A237" s="13">
        <v>48335</v>
      </c>
      <c r="B237" s="4">
        <f>27.7216 * CHOOSE(CONTROL!$C$9, $C$13, 100%, $E$13) + CHOOSE(CONTROL!$C$28, 0.0226, 0)</f>
        <v>27.744199999999999</v>
      </c>
      <c r="C237" s="4">
        <f>27.3583 * CHOOSE(CONTROL!$C$9, $C$13, 100%, $E$13) + CHOOSE(CONTROL!$C$28, 0.0226, 0)</f>
        <v>27.3809</v>
      </c>
      <c r="D237" s="4">
        <f>36.6679 * CHOOSE(CONTROL!$C$9, $C$13, 100%, $E$13) + CHOOSE(CONTROL!$C$28, 0.0021, 0)</f>
        <v>36.67</v>
      </c>
      <c r="E237" s="4">
        <f>175.906338145564 * CHOOSE(CONTROL!$C$9, $C$13, 100%, $E$13) + CHOOSE(CONTROL!$C$28, 0.0021, 0)</f>
        <v>175.90843814556402</v>
      </c>
    </row>
    <row r="238" spans="1:5" ht="15">
      <c r="A238" s="13">
        <v>48366</v>
      </c>
      <c r="B238" s="4">
        <f>27.8068 * CHOOSE(CONTROL!$C$9, $C$13, 100%, $E$13) + CHOOSE(CONTROL!$C$28, 0.0226, 0)</f>
        <v>27.8294</v>
      </c>
      <c r="C238" s="4">
        <f>27.4436 * CHOOSE(CONTROL!$C$9, $C$13, 100%, $E$13) + CHOOSE(CONTROL!$C$28, 0.0226, 0)</f>
        <v>27.466200000000001</v>
      </c>
      <c r="D238" s="4">
        <f>36.9892 * CHOOSE(CONTROL!$C$9, $C$13, 100%, $E$13) + CHOOSE(CONTROL!$C$28, 0.0021, 0)</f>
        <v>36.991299999999995</v>
      </c>
      <c r="E238" s="4">
        <f>176.462929765637 * CHOOSE(CONTROL!$C$9, $C$13, 100%, $E$13) + CHOOSE(CONTROL!$C$28, 0.0021, 0)</f>
        <v>176.46502976563701</v>
      </c>
    </row>
    <row r="239" spans="1:5" ht="15">
      <c r="A239" s="13">
        <v>48396</v>
      </c>
      <c r="B239" s="4">
        <f>27.7982 * CHOOSE(CONTROL!$C$9, $C$13, 100%, $E$13) + CHOOSE(CONTROL!$C$28, 0.0226, 0)</f>
        <v>27.820800000000002</v>
      </c>
      <c r="C239" s="4">
        <f>27.435 * CHOOSE(CONTROL!$C$9, $C$13, 100%, $E$13) + CHOOSE(CONTROL!$C$28, 0.0226, 0)</f>
        <v>27.457599999999999</v>
      </c>
      <c r="D239" s="4">
        <f>37.569 * CHOOSE(CONTROL!$C$9, $C$13, 100%, $E$13) + CHOOSE(CONTROL!$C$28, 0.0021, 0)</f>
        <v>37.571100000000001</v>
      </c>
      <c r="E239" s="4">
        <f>176.406802879579 * CHOOSE(CONTROL!$C$9, $C$13, 100%, $E$13) + CHOOSE(CONTROL!$C$28, 0.0021, 0)</f>
        <v>176.40890287957902</v>
      </c>
    </row>
    <row r="240" spans="1:5" ht="15">
      <c r="A240" s="13">
        <v>48427</v>
      </c>
      <c r="B240" s="4">
        <f>28.4453 * CHOOSE(CONTROL!$C$9, $C$13, 100%, $E$13) + CHOOSE(CONTROL!$C$28, 0.0226, 0)</f>
        <v>28.4679</v>
      </c>
      <c r="C240" s="4">
        <f>28.082 * CHOOSE(CONTROL!$C$9, $C$13, 100%, $E$13) + CHOOSE(CONTROL!$C$28, 0.0226, 0)</f>
        <v>28.104600000000001</v>
      </c>
      <c r="D240" s="4">
        <f>37.1861 * CHOOSE(CONTROL!$C$9, $C$13, 100%, $E$13) + CHOOSE(CONTROL!$C$28, 0.0021, 0)</f>
        <v>37.188200000000002</v>
      </c>
      <c r="E240" s="4">
        <f>180.630351055426 * CHOOSE(CONTROL!$C$9, $C$13, 100%, $E$13) + CHOOSE(CONTROL!$C$28, 0.0021, 0)</f>
        <v>180.632451055426</v>
      </c>
    </row>
    <row r="241" spans="1:5" ht="15">
      <c r="A241" s="13">
        <v>48458</v>
      </c>
      <c r="B241" s="4">
        <f>27.3425 * CHOOSE(CONTROL!$C$9, $C$13, 100%, $E$13) + CHOOSE(CONTROL!$C$28, 0.0226, 0)</f>
        <v>27.365100000000002</v>
      </c>
      <c r="C241" s="4">
        <f>26.9792 * CHOOSE(CONTROL!$C$9, $C$13, 100%, $E$13) + CHOOSE(CONTROL!$C$28, 0.0226, 0)</f>
        <v>27.001799999999999</v>
      </c>
      <c r="D241" s="4">
        <f>37.0052 * CHOOSE(CONTROL!$C$9, $C$13, 100%, $E$13) + CHOOSE(CONTROL!$C$28, 0.0021, 0)</f>
        <v>37.007300000000001</v>
      </c>
      <c r="E241" s="4">
        <f>173.432077918517 * CHOOSE(CONTROL!$C$9, $C$13, 100%, $E$13) + CHOOSE(CONTROL!$C$28, 0.0021, 0)</f>
        <v>173.43417791851701</v>
      </c>
    </row>
    <row r="242" spans="1:5" ht="15">
      <c r="A242" s="13">
        <v>48488</v>
      </c>
      <c r="B242" s="4">
        <f>26.4598 * CHOOSE(CONTROL!$C$9, $C$13, 100%, $E$13) + CHOOSE(CONTROL!$C$28, 0.0226, 0)</f>
        <v>26.482400000000002</v>
      </c>
      <c r="C242" s="4">
        <f>26.0965 * CHOOSE(CONTROL!$C$9, $C$13, 100%, $E$13) + CHOOSE(CONTROL!$C$28, 0.0226, 0)</f>
        <v>26.1191</v>
      </c>
      <c r="D242" s="4">
        <f>36.5208 * CHOOSE(CONTROL!$C$9, $C$13, 100%, $E$13) + CHOOSE(CONTROL!$C$28, 0.0021, 0)</f>
        <v>36.5229</v>
      </c>
      <c r="E242" s="4">
        <f>167.669717616586 * CHOOSE(CONTROL!$C$9, $C$13, 100%, $E$13) + CHOOSE(CONTROL!$C$28, 0.0021, 0)</f>
        <v>167.67181761658603</v>
      </c>
    </row>
    <row r="243" spans="1:5" ht="15">
      <c r="A243" s="13">
        <v>48519</v>
      </c>
      <c r="B243" s="4">
        <f>25.8912 * CHOOSE(CONTROL!$C$9, $C$13, 100%, $E$13) + CHOOSE(CONTROL!$C$28, 0.0226, 0)</f>
        <v>25.913800000000002</v>
      </c>
      <c r="C243" s="4">
        <f>25.5279 * CHOOSE(CONTROL!$C$9, $C$13, 100%, $E$13) + CHOOSE(CONTROL!$C$28, 0.0226, 0)</f>
        <v>25.5505</v>
      </c>
      <c r="D243" s="4">
        <f>36.3543 * CHOOSE(CONTROL!$C$9, $C$13, 100%, $E$13) + CHOOSE(CONTROL!$C$28, 0.0021, 0)</f>
        <v>36.356400000000001</v>
      </c>
      <c r="E243" s="4">
        <f>163.958327276015 * CHOOSE(CONTROL!$C$9, $C$13, 100%, $E$13) + CHOOSE(CONTROL!$C$28, 0.0021, 0)</f>
        <v>163.96042727601503</v>
      </c>
    </row>
    <row r="244" spans="1:5" ht="15">
      <c r="A244" s="13">
        <v>48549</v>
      </c>
      <c r="B244" s="4">
        <f>25.4978 * CHOOSE(CONTROL!$C$9, $C$13, 100%, $E$13) + CHOOSE(CONTROL!$C$28, 0.0226, 0)</f>
        <v>25.520400000000002</v>
      </c>
      <c r="C244" s="4">
        <f>25.1345 * CHOOSE(CONTROL!$C$9, $C$13, 100%, $E$13) + CHOOSE(CONTROL!$C$28, 0.0226, 0)</f>
        <v>25.1571</v>
      </c>
      <c r="D244" s="4">
        <f>35.1283 * CHOOSE(CONTROL!$C$9, $C$13, 100%, $E$13) + CHOOSE(CONTROL!$C$28, 0.0021, 0)</f>
        <v>35.130400000000002</v>
      </c>
      <c r="E244" s="4">
        <f>161.390522238872 * CHOOSE(CONTROL!$C$9, $C$13, 100%, $E$13) + CHOOSE(CONTROL!$C$28, 0.0021, 0)</f>
        <v>161.39262223887201</v>
      </c>
    </row>
    <row r="245" spans="1:5" ht="15">
      <c r="A245" s="13">
        <v>48580</v>
      </c>
      <c r="B245" s="4">
        <f>24.7475 * CHOOSE(CONTROL!$C$9, $C$13, 100%, $E$13) + CHOOSE(CONTROL!$C$28, 0.0226, 0)</f>
        <v>24.770099999999999</v>
      </c>
      <c r="C245" s="4">
        <f>24.3842 * CHOOSE(CONTROL!$C$9, $C$13, 100%, $E$13) + CHOOSE(CONTROL!$C$28, 0.0226, 0)</f>
        <v>24.4068</v>
      </c>
      <c r="D245" s="4">
        <f>33.9755 * CHOOSE(CONTROL!$C$9, $C$13, 100%, $E$13) + CHOOSE(CONTROL!$C$28, 0.0021, 0)</f>
        <v>33.977599999999995</v>
      </c>
      <c r="E245" s="4">
        <f>156.362884743759 * CHOOSE(CONTROL!$C$9, $C$13, 100%, $E$13) + CHOOSE(CONTROL!$C$28, 0.0021, 0)</f>
        <v>156.36498474375901</v>
      </c>
    </row>
    <row r="246" spans="1:5" ht="15">
      <c r="A246" s="13">
        <v>48611</v>
      </c>
      <c r="B246" s="4">
        <f>25.3167 * CHOOSE(CONTROL!$C$9, $C$13, 100%, $E$13) + CHOOSE(CONTROL!$C$28, 0.0226, 0)</f>
        <v>25.339300000000001</v>
      </c>
      <c r="C246" s="4">
        <f>24.9534 * CHOOSE(CONTROL!$C$9, $C$13, 100%, $E$13) + CHOOSE(CONTROL!$C$28, 0.0226, 0)</f>
        <v>24.975999999999999</v>
      </c>
      <c r="D246" s="4">
        <f>35.1092 * CHOOSE(CONTROL!$C$9, $C$13, 100%, $E$13) + CHOOSE(CONTROL!$C$28, 0.0021, 0)</f>
        <v>35.1113</v>
      </c>
      <c r="E246" s="4">
        <f>160.075555839544 * CHOOSE(CONTROL!$C$9, $C$13, 100%, $E$13) + CHOOSE(CONTROL!$C$28, 0.0021, 0)</f>
        <v>160.07765583954401</v>
      </c>
    </row>
    <row r="247" spans="1:5" ht="15">
      <c r="A247" s="13">
        <v>48639</v>
      </c>
      <c r="B247" s="4">
        <f>26.8116 * CHOOSE(CONTROL!$C$9, $C$13, 100%, $E$13) + CHOOSE(CONTROL!$C$28, 0.0226, 0)</f>
        <v>26.834199999999999</v>
      </c>
      <c r="C247" s="4">
        <f>26.4483 * CHOOSE(CONTROL!$C$9, $C$13, 100%, $E$13) + CHOOSE(CONTROL!$C$28, 0.0226, 0)</f>
        <v>26.4709</v>
      </c>
      <c r="D247" s="4">
        <f>36.8841 * CHOOSE(CONTROL!$C$9, $C$13, 100%, $E$13) + CHOOSE(CONTROL!$C$28, 0.0021, 0)</f>
        <v>36.886199999999995</v>
      </c>
      <c r="E247" s="4">
        <f>169.825227440402 * CHOOSE(CONTROL!$C$9, $C$13, 100%, $E$13) + CHOOSE(CONTROL!$C$28, 0.0021, 0)</f>
        <v>169.827327440402</v>
      </c>
    </row>
    <row r="248" spans="1:5" ht="15">
      <c r="A248" s="13">
        <v>48670</v>
      </c>
      <c r="B248" s="4">
        <f>27.8737 * CHOOSE(CONTROL!$C$9, $C$13, 100%, $E$13) + CHOOSE(CONTROL!$C$28, 0.0226, 0)</f>
        <v>27.8963</v>
      </c>
      <c r="C248" s="4">
        <f>27.5104 * CHOOSE(CONTROL!$C$9, $C$13, 100%, $E$13) + CHOOSE(CONTROL!$C$28, 0.0226, 0)</f>
        <v>27.533000000000001</v>
      </c>
      <c r="D248" s="4">
        <f>37.9064 * CHOOSE(CONTROL!$C$9, $C$13, 100%, $E$13) + CHOOSE(CONTROL!$C$28, 0.0021, 0)</f>
        <v>37.908499999999997</v>
      </c>
      <c r="E248" s="4">
        <f>176.752499044268 * CHOOSE(CONTROL!$C$9, $C$13, 100%, $E$13) + CHOOSE(CONTROL!$C$28, 0.0021, 0)</f>
        <v>176.75459904426802</v>
      </c>
    </row>
    <row r="249" spans="1:5" ht="15">
      <c r="A249" s="13">
        <v>48700</v>
      </c>
      <c r="B249" s="4">
        <f>28.5226 * CHOOSE(CONTROL!$C$9, $C$13, 100%, $E$13) + CHOOSE(CONTROL!$C$28, 0.0226, 0)</f>
        <v>28.545200000000001</v>
      </c>
      <c r="C249" s="4">
        <f>28.1593 * CHOOSE(CONTROL!$C$9, $C$13, 100%, $E$13) + CHOOSE(CONTROL!$C$28, 0.0226, 0)</f>
        <v>28.181900000000002</v>
      </c>
      <c r="D249" s="4">
        <f>37.5025 * CHOOSE(CONTROL!$C$9, $C$13, 100%, $E$13) + CHOOSE(CONTROL!$C$28, 0.0021, 0)</f>
        <v>37.504599999999996</v>
      </c>
      <c r="E249" s="4">
        <f>180.984895970702 * CHOOSE(CONTROL!$C$9, $C$13, 100%, $E$13) + CHOOSE(CONTROL!$C$28, 0.0021, 0)</f>
        <v>180.98699597070203</v>
      </c>
    </row>
    <row r="250" spans="1:5" ht="15">
      <c r="A250" s="13">
        <v>48731</v>
      </c>
      <c r="B250" s="4">
        <f>28.6104 * CHOOSE(CONTROL!$C$9, $C$13, 100%, $E$13) + CHOOSE(CONTROL!$C$28, 0.0226, 0)</f>
        <v>28.632999999999999</v>
      </c>
      <c r="C250" s="4">
        <f>28.2471 * CHOOSE(CONTROL!$C$9, $C$13, 100%, $E$13) + CHOOSE(CONTROL!$C$28, 0.0226, 0)</f>
        <v>28.2697</v>
      </c>
      <c r="D250" s="4">
        <f>37.8315 * CHOOSE(CONTROL!$C$9, $C$13, 100%, $E$13) + CHOOSE(CONTROL!$C$28, 0.0021, 0)</f>
        <v>37.833599999999997</v>
      </c>
      <c r="E250" s="4">
        <f>181.557556839656 * CHOOSE(CONTROL!$C$9, $C$13, 100%, $E$13) + CHOOSE(CONTROL!$C$28, 0.0021, 0)</f>
        <v>181.55965683965601</v>
      </c>
    </row>
    <row r="251" spans="1:5" ht="15">
      <c r="A251" s="13">
        <v>48761</v>
      </c>
      <c r="B251" s="4">
        <f>28.6016 * CHOOSE(CONTROL!$C$9, $C$13, 100%, $E$13) + CHOOSE(CONTROL!$C$28, 0.0226, 0)</f>
        <v>28.624200000000002</v>
      </c>
      <c r="C251" s="4">
        <f>28.2383 * CHOOSE(CONTROL!$C$9, $C$13, 100%, $E$13) + CHOOSE(CONTROL!$C$28, 0.0226, 0)</f>
        <v>28.260899999999999</v>
      </c>
      <c r="D251" s="4">
        <f>38.4251 * CHOOSE(CONTROL!$C$9, $C$13, 100%, $E$13) + CHOOSE(CONTROL!$C$28, 0.0021, 0)</f>
        <v>38.427199999999999</v>
      </c>
      <c r="E251" s="4">
        <f>181.49980952514 * CHOOSE(CONTROL!$C$9, $C$13, 100%, $E$13) + CHOOSE(CONTROL!$C$28, 0.0021, 0)</f>
        <v>181.50190952514001</v>
      </c>
    </row>
    <row r="252" spans="1:5" ht="15">
      <c r="A252" s="13">
        <v>48792</v>
      </c>
      <c r="B252" s="4">
        <f>29.2678 * CHOOSE(CONTROL!$C$9, $C$13, 100%, $E$13) + CHOOSE(CONTROL!$C$28, 0.0226, 0)</f>
        <v>29.290400000000002</v>
      </c>
      <c r="C252" s="4">
        <f>28.9045 * CHOOSE(CONTROL!$C$9, $C$13, 100%, $E$13) + CHOOSE(CONTROL!$C$28, 0.0226, 0)</f>
        <v>28.927099999999999</v>
      </c>
      <c r="D252" s="4">
        <f>38.0331 * CHOOSE(CONTROL!$C$9, $C$13, 100%, $E$13) + CHOOSE(CONTROL!$C$28, 0.0021, 0)</f>
        <v>38.035199999999996</v>
      </c>
      <c r="E252" s="4">
        <f>185.845294942501 * CHOOSE(CONTROL!$C$9, $C$13, 100%, $E$13) + CHOOSE(CONTROL!$C$28, 0.0021, 0)</f>
        <v>185.84739494250101</v>
      </c>
    </row>
    <row r="253" spans="1:5" ht="15">
      <c r="A253" s="13">
        <v>48823</v>
      </c>
      <c r="B253" s="4">
        <f>28.1323 * CHOOSE(CONTROL!$C$9, $C$13, 100%, $E$13) + CHOOSE(CONTROL!$C$28, 0.0226, 0)</f>
        <v>28.154900000000001</v>
      </c>
      <c r="C253" s="4">
        <f>27.769 * CHOOSE(CONTROL!$C$9, $C$13, 100%, $E$13) + CHOOSE(CONTROL!$C$28, 0.0226, 0)</f>
        <v>27.791599999999999</v>
      </c>
      <c r="D253" s="4">
        <f>37.8478 * CHOOSE(CONTROL!$C$9, $C$13, 100%, $E$13) + CHOOSE(CONTROL!$C$28, 0.0021, 0)</f>
        <v>37.849899999999998</v>
      </c>
      <c r="E253" s="4">
        <f>178.439201855769 * CHOOSE(CONTROL!$C$9, $C$13, 100%, $E$13) + CHOOSE(CONTROL!$C$28, 0.0021, 0)</f>
        <v>178.44130185576901</v>
      </c>
    </row>
    <row r="254" spans="1:5" ht="15">
      <c r="A254" s="13">
        <v>48853</v>
      </c>
      <c r="B254" s="4">
        <f>27.2233 * CHOOSE(CONTROL!$C$9, $C$13, 100%, $E$13) + CHOOSE(CONTROL!$C$28, 0.0226, 0)</f>
        <v>27.245899999999999</v>
      </c>
      <c r="C254" s="4">
        <f>26.86 * CHOOSE(CONTROL!$C$9, $C$13, 100%, $E$13) + CHOOSE(CONTROL!$C$28, 0.0226, 0)</f>
        <v>26.8826</v>
      </c>
      <c r="D254" s="4">
        <f>37.3519 * CHOOSE(CONTROL!$C$9, $C$13, 100%, $E$13) + CHOOSE(CONTROL!$C$28, 0.0021, 0)</f>
        <v>37.353999999999999</v>
      </c>
      <c r="E254" s="4">
        <f>172.510477565415 * CHOOSE(CONTROL!$C$9, $C$13, 100%, $E$13) + CHOOSE(CONTROL!$C$28, 0.0021, 0)</f>
        <v>172.512577565415</v>
      </c>
    </row>
    <row r="255" spans="1:5" ht="15">
      <c r="A255" s="13">
        <v>48884</v>
      </c>
      <c r="B255" s="4">
        <f>26.6378 * CHOOSE(CONTROL!$C$9, $C$13, 100%, $E$13) + CHOOSE(CONTROL!$C$28, 0.0226, 0)</f>
        <v>26.660399999999999</v>
      </c>
      <c r="C255" s="4">
        <f>26.2745 * CHOOSE(CONTROL!$C$9, $C$13, 100%, $E$13) + CHOOSE(CONTROL!$C$28, 0.0226, 0)</f>
        <v>26.2971</v>
      </c>
      <c r="D255" s="4">
        <f>37.1813 * CHOOSE(CONTROL!$C$9, $C$13, 100%, $E$13) + CHOOSE(CONTROL!$C$28, 0.0021, 0)</f>
        <v>37.183399999999999</v>
      </c>
      <c r="E255" s="4">
        <f>168.691936393017 * CHOOSE(CONTROL!$C$9, $C$13, 100%, $E$13) + CHOOSE(CONTROL!$C$28, 0.0021, 0)</f>
        <v>168.694036393017</v>
      </c>
    </row>
    <row r="256" spans="1:5" ht="15">
      <c r="A256" s="13">
        <v>48914</v>
      </c>
      <c r="B256" s="4">
        <f>26.2328 * CHOOSE(CONTROL!$C$9, $C$13, 100%, $E$13) + CHOOSE(CONTROL!$C$28, 0.0226, 0)</f>
        <v>26.255400000000002</v>
      </c>
      <c r="C256" s="4">
        <f>25.8695 * CHOOSE(CONTROL!$C$9, $C$13, 100%, $E$13) + CHOOSE(CONTROL!$C$28, 0.0226, 0)</f>
        <v>25.892099999999999</v>
      </c>
      <c r="D256" s="4">
        <f>35.9259 * CHOOSE(CONTROL!$C$9, $C$13, 100%, $E$13) + CHOOSE(CONTROL!$C$28, 0.0021, 0)</f>
        <v>35.927999999999997</v>
      </c>
      <c r="E256" s="4">
        <f>166.04999675389 * CHOOSE(CONTROL!$C$9, $C$13, 100%, $E$13) + CHOOSE(CONTROL!$C$28, 0.0021, 0)</f>
        <v>166.05209675389003</v>
      </c>
    </row>
    <row r="257" spans="1:5" ht="15">
      <c r="A257" s="13">
        <v>48945</v>
      </c>
      <c r="B257" s="4">
        <f>25.4396 * CHOOSE(CONTROL!$C$9, $C$13, 100%, $E$13) + CHOOSE(CONTROL!$C$28, 0.0226, 0)</f>
        <v>25.462199999999999</v>
      </c>
      <c r="C257" s="4">
        <f>25.0763 * CHOOSE(CONTROL!$C$9, $C$13, 100%, $E$13) + CHOOSE(CONTROL!$C$28, 0.0226, 0)</f>
        <v>25.0989</v>
      </c>
      <c r="D257" s="4">
        <f>34.7275 * CHOOSE(CONTROL!$C$9, $C$13, 100%, $E$13) + CHOOSE(CONTROL!$C$28, 0.0021, 0)</f>
        <v>34.729599999999998</v>
      </c>
      <c r="E257" s="4">
        <f>160.750105385958 * CHOOSE(CONTROL!$C$9, $C$13, 100%, $E$13) + CHOOSE(CONTROL!$C$28, 0.0021, 0)</f>
        <v>160.75220538595801</v>
      </c>
    </row>
    <row r="258" spans="1:5" ht="15">
      <c r="A258" s="13">
        <v>48976</v>
      </c>
      <c r="B258" s="4">
        <f>26.0252 * CHOOSE(CONTROL!$C$9, $C$13, 100%, $E$13) + CHOOSE(CONTROL!$C$28, 0.0226, 0)</f>
        <v>26.047800000000002</v>
      </c>
      <c r="C258" s="4">
        <f>25.662 * CHOOSE(CONTROL!$C$9, $C$13, 100%, $E$13) + CHOOSE(CONTROL!$C$28, 0.0226, 0)</f>
        <v>25.6846</v>
      </c>
      <c r="D258" s="4">
        <f>35.8878 * CHOOSE(CONTROL!$C$9, $C$13, 100%, $E$13) + CHOOSE(CONTROL!$C$28, 0.0021, 0)</f>
        <v>35.889899999999997</v>
      </c>
      <c r="E258" s="4">
        <f>164.566946389428 * CHOOSE(CONTROL!$C$9, $C$13, 100%, $E$13) + CHOOSE(CONTROL!$C$28, 0.0021, 0)</f>
        <v>164.56904638942802</v>
      </c>
    </row>
    <row r="259" spans="1:5" ht="15">
      <c r="A259" s="13">
        <v>49004</v>
      </c>
      <c r="B259" s="4">
        <f>27.5632 * CHOOSE(CONTROL!$C$9, $C$13, 100%, $E$13) + CHOOSE(CONTROL!$C$28, 0.0226, 0)</f>
        <v>27.585799999999999</v>
      </c>
      <c r="C259" s="4">
        <f>27.2 * CHOOSE(CONTROL!$C$9, $C$13, 100%, $E$13) + CHOOSE(CONTROL!$C$28, 0.0226, 0)</f>
        <v>27.2226</v>
      </c>
      <c r="D259" s="4">
        <f>37.7042 * CHOOSE(CONTROL!$C$9, $C$13, 100%, $E$13) + CHOOSE(CONTROL!$C$28, 0.0021, 0)</f>
        <v>37.706299999999999</v>
      </c>
      <c r="E259" s="4">
        <f>174.590173703792 * CHOOSE(CONTROL!$C$9, $C$13, 100%, $E$13) + CHOOSE(CONTROL!$C$28, 0.0021, 0)</f>
        <v>174.59227370379202</v>
      </c>
    </row>
    <row r="260" spans="1:5" ht="15">
      <c r="A260" s="13">
        <v>49035</v>
      </c>
      <c r="B260" s="4">
        <f>28.656 * CHOOSE(CONTROL!$C$9, $C$13, 100%, $E$13) + CHOOSE(CONTROL!$C$28, 0.0226, 0)</f>
        <v>28.678599999999999</v>
      </c>
      <c r="C260" s="4">
        <f>28.2927 * CHOOSE(CONTROL!$C$9, $C$13, 100%, $E$13) + CHOOSE(CONTROL!$C$28, 0.0226, 0)</f>
        <v>28.315300000000001</v>
      </c>
      <c r="D260" s="4">
        <f>38.7505 * CHOOSE(CONTROL!$C$9, $C$13, 100%, $E$13) + CHOOSE(CONTROL!$C$28, 0.0021, 0)</f>
        <v>38.752600000000001</v>
      </c>
      <c r="E260" s="4">
        <f>181.711810287714 * CHOOSE(CONTROL!$C$9, $C$13, 100%, $E$13) + CHOOSE(CONTROL!$C$28, 0.0021, 0)</f>
        <v>181.71391028771401</v>
      </c>
    </row>
    <row r="261" spans="1:5" ht="15">
      <c r="A261" s="13">
        <v>49065</v>
      </c>
      <c r="B261" s="4">
        <f>29.3237 * CHOOSE(CONTROL!$C$9, $C$13, 100%, $E$13) + CHOOSE(CONTROL!$C$28, 0.0226, 0)</f>
        <v>29.346299999999999</v>
      </c>
      <c r="C261" s="4">
        <f>28.9604 * CHOOSE(CONTROL!$C$9, $C$13, 100%, $E$13) + CHOOSE(CONTROL!$C$28, 0.0226, 0)</f>
        <v>28.983000000000001</v>
      </c>
      <c r="D261" s="4">
        <f>38.337 * CHOOSE(CONTROL!$C$9, $C$13, 100%, $E$13) + CHOOSE(CONTROL!$C$28, 0.0021, 0)</f>
        <v>38.339100000000002</v>
      </c>
      <c r="E261" s="4">
        <f>186.062959558682 * CHOOSE(CONTROL!$C$9, $C$13, 100%, $E$13) + CHOOSE(CONTROL!$C$28, 0.0021, 0)</f>
        <v>186.06505955868201</v>
      </c>
    </row>
    <row r="262" spans="1:5" ht="15">
      <c r="A262" s="13">
        <v>49096</v>
      </c>
      <c r="B262" s="4">
        <f>29.414 * CHOOSE(CONTROL!$C$9, $C$13, 100%, $E$13) + CHOOSE(CONTROL!$C$28, 0.0226, 0)</f>
        <v>29.436600000000002</v>
      </c>
      <c r="C262" s="4">
        <f>29.0507 * CHOOSE(CONTROL!$C$9, $C$13, 100%, $E$13) + CHOOSE(CONTROL!$C$28, 0.0226, 0)</f>
        <v>29.0733</v>
      </c>
      <c r="D262" s="4">
        <f>38.6737 * CHOOSE(CONTROL!$C$9, $C$13, 100%, $E$13) + CHOOSE(CONTROL!$C$28, 0.0021, 0)</f>
        <v>38.675799999999995</v>
      </c>
      <c r="E262" s="4">
        <f>186.651688112685 * CHOOSE(CONTROL!$C$9, $C$13, 100%, $E$13) + CHOOSE(CONTROL!$C$28, 0.0021, 0)</f>
        <v>186.65378811268502</v>
      </c>
    </row>
    <row r="263" spans="1:5" ht="15">
      <c r="A263" s="13">
        <v>49126</v>
      </c>
      <c r="B263" s="4">
        <f>29.4049 * CHOOSE(CONTROL!$C$9, $C$13, 100%, $E$13) + CHOOSE(CONTROL!$C$28, 0.0226, 0)</f>
        <v>29.427500000000002</v>
      </c>
      <c r="C263" s="4">
        <f>29.0416 * CHOOSE(CONTROL!$C$9, $C$13, 100%, $E$13) + CHOOSE(CONTROL!$C$28, 0.0226, 0)</f>
        <v>29.0642</v>
      </c>
      <c r="D263" s="4">
        <f>39.2813 * CHOOSE(CONTROL!$C$9, $C$13, 100%, $E$13) + CHOOSE(CONTROL!$C$28, 0.0021, 0)</f>
        <v>39.2834</v>
      </c>
      <c r="E263" s="4">
        <f>186.592320527407 * CHOOSE(CONTROL!$C$9, $C$13, 100%, $E$13) + CHOOSE(CONTROL!$C$28, 0.0021, 0)</f>
        <v>186.59442052740701</v>
      </c>
    </row>
    <row r="264" spans="1:5" ht="15">
      <c r="A264" s="13">
        <v>49157</v>
      </c>
      <c r="B264" s="4">
        <f>30.0904 * CHOOSE(CONTROL!$C$9, $C$13, 100%, $E$13) + CHOOSE(CONTROL!$C$28, 0.0226, 0)</f>
        <v>30.113</v>
      </c>
      <c r="C264" s="4">
        <f>29.7271 * CHOOSE(CONTROL!$C$9, $C$13, 100%, $E$13) + CHOOSE(CONTROL!$C$28, 0.0226, 0)</f>
        <v>29.749700000000001</v>
      </c>
      <c r="D264" s="4">
        <f>38.8801 * CHOOSE(CONTROL!$C$9, $C$13, 100%, $E$13) + CHOOSE(CONTROL!$C$28, 0.0021, 0)</f>
        <v>38.882199999999997</v>
      </c>
      <c r="E264" s="4">
        <f>191.059731319544 * CHOOSE(CONTROL!$C$9, $C$13, 100%, $E$13) + CHOOSE(CONTROL!$C$28, 0.0021, 0)</f>
        <v>191.06183131954401</v>
      </c>
    </row>
    <row r="265" spans="1:5" ht="15">
      <c r="A265" s="13">
        <v>49188</v>
      </c>
      <c r="B265" s="4">
        <f>28.9221 * CHOOSE(CONTROL!$C$9, $C$13, 100%, $E$13) + CHOOSE(CONTROL!$C$28, 0.0226, 0)</f>
        <v>28.944700000000001</v>
      </c>
      <c r="C265" s="4">
        <f>28.5588 * CHOOSE(CONTROL!$C$9, $C$13, 100%, $E$13) + CHOOSE(CONTROL!$C$28, 0.0226, 0)</f>
        <v>28.581400000000002</v>
      </c>
      <c r="D265" s="4">
        <f>38.6905 * CHOOSE(CONTROL!$C$9, $C$13, 100%, $E$13) + CHOOSE(CONTROL!$C$28, 0.0021, 0)</f>
        <v>38.692599999999999</v>
      </c>
      <c r="E265" s="4">
        <f>183.445838507696 * CHOOSE(CONTROL!$C$9, $C$13, 100%, $E$13) + CHOOSE(CONTROL!$C$28, 0.0021, 0)</f>
        <v>183.44793850769602</v>
      </c>
    </row>
    <row r="266" spans="1:5" ht="15">
      <c r="A266" s="13">
        <v>49218</v>
      </c>
      <c r="B266" s="4">
        <f>27.9868 * CHOOSE(CONTROL!$C$9, $C$13, 100%, $E$13) + CHOOSE(CONTROL!$C$28, 0.0226, 0)</f>
        <v>28.009399999999999</v>
      </c>
      <c r="C266" s="4">
        <f>27.6236 * CHOOSE(CONTROL!$C$9, $C$13, 100%, $E$13) + CHOOSE(CONTROL!$C$28, 0.0226, 0)</f>
        <v>27.6462</v>
      </c>
      <c r="D266" s="4">
        <f>38.1829 * CHOOSE(CONTROL!$C$9, $C$13, 100%, $E$13) + CHOOSE(CONTROL!$C$28, 0.0021, 0)</f>
        <v>38.184999999999995</v>
      </c>
      <c r="E266" s="4">
        <f>177.350766419199 * CHOOSE(CONTROL!$C$9, $C$13, 100%, $E$13) + CHOOSE(CONTROL!$C$28, 0.0021, 0)</f>
        <v>177.35286641919902</v>
      </c>
    </row>
    <row r="267" spans="1:5" ht="15">
      <c r="A267" s="13">
        <v>49249</v>
      </c>
      <c r="B267" s="4">
        <f>27.3845 * CHOOSE(CONTROL!$C$9, $C$13, 100%, $E$13) + CHOOSE(CONTROL!$C$28, 0.0226, 0)</f>
        <v>27.4071</v>
      </c>
      <c r="C267" s="4">
        <f>27.0212 * CHOOSE(CONTROL!$C$9, $C$13, 100%, $E$13) + CHOOSE(CONTROL!$C$28, 0.0226, 0)</f>
        <v>27.043800000000001</v>
      </c>
      <c r="D267" s="4">
        <f>38.0084 * CHOOSE(CONTROL!$C$9, $C$13, 100%, $E$13) + CHOOSE(CONTROL!$C$28, 0.0021, 0)</f>
        <v>38.0105</v>
      </c>
      <c r="E267" s="4">
        <f>173.425084842719 * CHOOSE(CONTROL!$C$9, $C$13, 100%, $E$13) + CHOOSE(CONTROL!$C$28, 0.0021, 0)</f>
        <v>173.42718484271902</v>
      </c>
    </row>
    <row r="268" spans="1:5" ht="15">
      <c r="A268" s="13">
        <v>49279</v>
      </c>
      <c r="B268" s="4">
        <f>26.9677 * CHOOSE(CONTROL!$C$9, $C$13, 100%, $E$13) + CHOOSE(CONTROL!$C$28, 0.0226, 0)</f>
        <v>26.990300000000001</v>
      </c>
      <c r="C268" s="4">
        <f>26.6044 * CHOOSE(CONTROL!$C$9, $C$13, 100%, $E$13) + CHOOSE(CONTROL!$C$28, 0.0226, 0)</f>
        <v>26.626999999999999</v>
      </c>
      <c r="D268" s="4">
        <f>36.7236 * CHOOSE(CONTROL!$C$9, $C$13, 100%, $E$13) + CHOOSE(CONTROL!$C$28, 0.0021, 0)</f>
        <v>36.725699999999996</v>
      </c>
      <c r="E268" s="4">
        <f>170.70901781627 * CHOOSE(CONTROL!$C$9, $C$13, 100%, $E$13) + CHOOSE(CONTROL!$C$28, 0.0021, 0)</f>
        <v>170.71111781627002</v>
      </c>
    </row>
    <row r="269" spans="1:5" ht="15">
      <c r="A269" s="13">
        <v>49310</v>
      </c>
      <c r="B269" s="4">
        <f>26.1316 * CHOOSE(CONTROL!$C$9, $C$13, 100%, $E$13) + CHOOSE(CONTROL!$C$28, 0.0226, 0)</f>
        <v>26.154199999999999</v>
      </c>
      <c r="C269" s="4">
        <f>25.7683 * CHOOSE(CONTROL!$C$9, $C$13, 100%, $E$13) + CHOOSE(CONTROL!$C$28, 0.0226, 0)</f>
        <v>25.790900000000001</v>
      </c>
      <c r="D269" s="4">
        <f>35.5046 * CHOOSE(CONTROL!$C$9, $C$13, 100%, $E$13) + CHOOSE(CONTROL!$C$28, 0.0021, 0)</f>
        <v>35.506700000000002</v>
      </c>
      <c r="E269" s="4">
        <f>165.136912803435 * CHOOSE(CONTROL!$C$9, $C$13, 100%, $E$13) + CHOOSE(CONTROL!$C$28, 0.0021, 0)</f>
        <v>165.13901280343501</v>
      </c>
    </row>
    <row r="270" spans="1:5" ht="15">
      <c r="A270" s="13">
        <v>49341</v>
      </c>
      <c r="B270" s="4">
        <f>26.7337 * CHOOSE(CONTROL!$C$9, $C$13, 100%, $E$13) + CHOOSE(CONTROL!$C$28, 0.0226, 0)</f>
        <v>26.7563</v>
      </c>
      <c r="C270" s="4">
        <f>26.3705 * CHOOSE(CONTROL!$C$9, $C$13, 100%, $E$13) + CHOOSE(CONTROL!$C$28, 0.0226, 0)</f>
        <v>26.3931</v>
      </c>
      <c r="D270" s="4">
        <f>36.6923 * CHOOSE(CONTROL!$C$9, $C$13, 100%, $E$13) + CHOOSE(CONTROL!$C$28, 0.0021, 0)</f>
        <v>36.694400000000002</v>
      </c>
      <c r="E270" s="4">
        <f>169.057913903007 * CHOOSE(CONTROL!$C$9, $C$13, 100%, $E$13) + CHOOSE(CONTROL!$C$28, 0.0021, 0)</f>
        <v>169.06001390300702</v>
      </c>
    </row>
    <row r="271" spans="1:5" ht="15">
      <c r="A271" s="13">
        <v>49369</v>
      </c>
      <c r="B271" s="4">
        <f>28.3149 * CHOOSE(CONTROL!$C$9, $C$13, 100%, $E$13) + CHOOSE(CONTROL!$C$28, 0.0226, 0)</f>
        <v>28.337500000000002</v>
      </c>
      <c r="C271" s="4">
        <f>27.9516 * CHOOSE(CONTROL!$C$9, $C$13, 100%, $E$13) + CHOOSE(CONTROL!$C$28, 0.0226, 0)</f>
        <v>27.9742</v>
      </c>
      <c r="D271" s="4">
        <f>38.5516 * CHOOSE(CONTROL!$C$9, $C$13, 100%, $E$13) + CHOOSE(CONTROL!$C$28, 0.0021, 0)</f>
        <v>38.553699999999999</v>
      </c>
      <c r="E271" s="4">
        <f>179.354671165137 * CHOOSE(CONTROL!$C$9, $C$13, 100%, $E$13) + CHOOSE(CONTROL!$C$28, 0.0021, 0)</f>
        <v>179.35677116513702</v>
      </c>
    </row>
    <row r="272" spans="1:5" ht="15">
      <c r="A272" s="13">
        <v>49400</v>
      </c>
      <c r="B272" s="4">
        <f>29.4383 * CHOOSE(CONTROL!$C$9, $C$13, 100%, $E$13) + CHOOSE(CONTROL!$C$28, 0.0226, 0)</f>
        <v>29.460900000000002</v>
      </c>
      <c r="C272" s="4">
        <f>29.075 * CHOOSE(CONTROL!$C$9, $C$13, 100%, $E$13) + CHOOSE(CONTROL!$C$28, 0.0226, 0)</f>
        <v>29.0976</v>
      </c>
      <c r="D272" s="4">
        <f>39.6226 * CHOOSE(CONTROL!$C$9, $C$13, 100%, $E$13) + CHOOSE(CONTROL!$C$28, 0.0021, 0)</f>
        <v>39.624699999999997</v>
      </c>
      <c r="E272" s="4">
        <f>186.670654422213 * CHOOSE(CONTROL!$C$9, $C$13, 100%, $E$13) + CHOOSE(CONTROL!$C$28, 0.0021, 0)</f>
        <v>186.67275442221302</v>
      </c>
    </row>
    <row r="273" spans="1:5" ht="15">
      <c r="A273" s="13">
        <v>49430</v>
      </c>
      <c r="B273" s="4">
        <f>30.1247 * CHOOSE(CONTROL!$C$9, $C$13, 100%, $E$13) + CHOOSE(CONTROL!$C$28, 0.0226, 0)</f>
        <v>30.147300000000001</v>
      </c>
      <c r="C273" s="4">
        <f>29.7614 * CHOOSE(CONTROL!$C$9, $C$13, 100%, $E$13) + CHOOSE(CONTROL!$C$28, 0.0226, 0)</f>
        <v>29.783999999999999</v>
      </c>
      <c r="D273" s="4">
        <f>39.1994 * CHOOSE(CONTROL!$C$9, $C$13, 100%, $E$13) + CHOOSE(CONTROL!$C$28, 0.0021, 0)</f>
        <v>39.201499999999996</v>
      </c>
      <c r="E273" s="4">
        <f>191.14054485264 * CHOOSE(CONTROL!$C$9, $C$13, 100%, $E$13) + CHOOSE(CONTROL!$C$28, 0.0021, 0)</f>
        <v>191.14264485264002</v>
      </c>
    </row>
    <row r="274" spans="1:5" ht="15">
      <c r="A274" s="14">
        <v>49461</v>
      </c>
      <c r="B274" s="4">
        <f>30.2176 * CHOOSE(CONTROL!$C$9, $C$13, 100%, $E$13) + CHOOSE(CONTROL!$C$28, 0.0226, 0)</f>
        <v>30.240200000000002</v>
      </c>
      <c r="C274" s="4">
        <f>29.8543 * CHOOSE(CONTROL!$C$9, $C$13, 100%, $E$13) + CHOOSE(CONTROL!$C$28, 0.0226, 0)</f>
        <v>29.876899999999999</v>
      </c>
      <c r="D274" s="4">
        <f>39.5441 * CHOOSE(CONTROL!$C$9, $C$13, 100%, $E$13) + CHOOSE(CONTROL!$C$28, 0.0021, 0)</f>
        <v>39.546199999999999</v>
      </c>
      <c r="E274" s="4">
        <f>191.745339578303 * CHOOSE(CONTROL!$C$9, $C$13, 100%, $E$13) + CHOOSE(CONTROL!$C$28, 0.0021, 0)</f>
        <v>191.74743957830302</v>
      </c>
    </row>
    <row r="275" spans="1:5" ht="15">
      <c r="A275" s="14">
        <v>49491</v>
      </c>
      <c r="B275" s="4">
        <f>30.2082 * CHOOSE(CONTROL!$C$9, $C$13, 100%, $E$13) + CHOOSE(CONTROL!$C$28, 0.0226, 0)</f>
        <v>30.230800000000002</v>
      </c>
      <c r="C275" s="4">
        <f>29.8449 * CHOOSE(CONTROL!$C$9, $C$13, 100%, $E$13) + CHOOSE(CONTROL!$C$28, 0.0226, 0)</f>
        <v>29.8675</v>
      </c>
      <c r="D275" s="4">
        <f>40.166 * CHOOSE(CONTROL!$C$9, $C$13, 100%, $E$13) + CHOOSE(CONTROL!$C$28, 0.0021, 0)</f>
        <v>40.168099999999995</v>
      </c>
      <c r="E275" s="4">
        <f>191.684351874874 * CHOOSE(CONTROL!$C$9, $C$13, 100%, $E$13) + CHOOSE(CONTROL!$C$28, 0.0021, 0)</f>
        <v>191.68645187487402</v>
      </c>
    </row>
    <row r="276" spans="1:5" ht="15">
      <c r="A276" s="14">
        <v>49522</v>
      </c>
      <c r="B276" s="4">
        <f>30.9129 * CHOOSE(CONTROL!$C$9, $C$13, 100%, $E$13) + CHOOSE(CONTROL!$C$28, 0.0226, 0)</f>
        <v>30.935500000000001</v>
      </c>
      <c r="C276" s="4">
        <f>30.5497 * CHOOSE(CONTROL!$C$9, $C$13, 100%, $E$13) + CHOOSE(CONTROL!$C$28, 0.0226, 0)</f>
        <v>30.572300000000002</v>
      </c>
      <c r="D276" s="4">
        <f>39.7553 * CHOOSE(CONTROL!$C$9, $C$13, 100%, $E$13) + CHOOSE(CONTROL!$C$28, 0.0021, 0)</f>
        <v>39.757399999999997</v>
      </c>
      <c r="E276" s="4">
        <f>196.273676557848 * CHOOSE(CONTROL!$C$9, $C$13, 100%, $E$13) + CHOOSE(CONTROL!$C$28, 0.0021, 0)</f>
        <v>196.27577655784802</v>
      </c>
    </row>
    <row r="277" spans="1:5" ht="15">
      <c r="A277" s="14">
        <v>49553</v>
      </c>
      <c r="B277" s="4">
        <f>29.7119 * CHOOSE(CONTROL!$C$9, $C$13, 100%, $E$13) + CHOOSE(CONTROL!$C$28, 0.0226, 0)</f>
        <v>29.734500000000001</v>
      </c>
      <c r="C277" s="4">
        <f>29.3486 * CHOOSE(CONTROL!$C$9, $C$13, 100%, $E$13) + CHOOSE(CONTROL!$C$28, 0.0226, 0)</f>
        <v>29.371200000000002</v>
      </c>
      <c r="D277" s="4">
        <f>39.5612 * CHOOSE(CONTROL!$C$9, $C$13, 100%, $E$13) + CHOOSE(CONTROL!$C$28, 0.0021, 0)</f>
        <v>39.563299999999998</v>
      </c>
      <c r="E277" s="4">
        <f>188.452003593179 * CHOOSE(CONTROL!$C$9, $C$13, 100%, $E$13) + CHOOSE(CONTROL!$C$28, 0.0021, 0)</f>
        <v>188.45410359317901</v>
      </c>
    </row>
    <row r="278" spans="1:5" ht="15">
      <c r="A278" s="14">
        <v>49583</v>
      </c>
      <c r="B278" s="4">
        <f>28.7504 * CHOOSE(CONTROL!$C$9, $C$13, 100%, $E$13) + CHOOSE(CONTROL!$C$28, 0.0226, 0)</f>
        <v>28.773</v>
      </c>
      <c r="C278" s="4">
        <f>28.3871 * CHOOSE(CONTROL!$C$9, $C$13, 100%, $E$13) + CHOOSE(CONTROL!$C$28, 0.0226, 0)</f>
        <v>28.409700000000001</v>
      </c>
      <c r="D278" s="4">
        <f>39.0417 * CHOOSE(CONTROL!$C$9, $C$13, 100%, $E$13) + CHOOSE(CONTROL!$C$28, 0.0021, 0)</f>
        <v>39.043799999999997</v>
      </c>
      <c r="E278" s="4">
        <f>182.190599374549 * CHOOSE(CONTROL!$C$9, $C$13, 100%, $E$13) + CHOOSE(CONTROL!$C$28, 0.0021, 0)</f>
        <v>182.19269937454902</v>
      </c>
    </row>
    <row r="279" spans="1:5" ht="15">
      <c r="A279" s="14">
        <v>49614</v>
      </c>
      <c r="B279" s="4">
        <f>28.1311 * CHOOSE(CONTROL!$C$9, $C$13, 100%, $E$13) + CHOOSE(CONTROL!$C$28, 0.0226, 0)</f>
        <v>28.153700000000001</v>
      </c>
      <c r="C279" s="4">
        <f>27.7678 * CHOOSE(CONTROL!$C$9, $C$13, 100%, $E$13) + CHOOSE(CONTROL!$C$28, 0.0226, 0)</f>
        <v>27.790400000000002</v>
      </c>
      <c r="D279" s="4">
        <f>38.863 * CHOOSE(CONTROL!$C$9, $C$13, 100%, $E$13) + CHOOSE(CONTROL!$C$28, 0.0021, 0)</f>
        <v>38.865099999999998</v>
      </c>
      <c r="E279" s="4">
        <f>178.157787485359 * CHOOSE(CONTROL!$C$9, $C$13, 100%, $E$13) + CHOOSE(CONTROL!$C$28, 0.0021, 0)</f>
        <v>178.15988748535901</v>
      </c>
    </row>
    <row r="280" spans="1:5" ht="15">
      <c r="A280" s="14">
        <v>49644</v>
      </c>
      <c r="B280" s="4">
        <f>27.7026 * CHOOSE(CONTROL!$C$9, $C$13, 100%, $E$13) + CHOOSE(CONTROL!$C$28, 0.0226, 0)</f>
        <v>27.725200000000001</v>
      </c>
      <c r="C280" s="4">
        <f>27.3394 * CHOOSE(CONTROL!$C$9, $C$13, 100%, $E$13) + CHOOSE(CONTROL!$C$28, 0.0226, 0)</f>
        <v>27.362000000000002</v>
      </c>
      <c r="D280" s="4">
        <f>37.5479 * CHOOSE(CONTROL!$C$9, $C$13, 100%, $E$13) + CHOOSE(CONTROL!$C$28, 0.0021, 0)</f>
        <v>37.549999999999997</v>
      </c>
      <c r="E280" s="4">
        <f>175.367600053518 * CHOOSE(CONTROL!$C$9, $C$13, 100%, $E$13) + CHOOSE(CONTROL!$C$28, 0.0021, 0)</f>
        <v>175.36970005351802</v>
      </c>
    </row>
    <row r="281" spans="1:5" ht="15">
      <c r="A281" s="14">
        <v>49675</v>
      </c>
      <c r="B281" s="4">
        <f>26.5304 * CHOOSE(CONTROL!$C$9, $C$13, 100%, $E$13) + CHOOSE(CONTROL!$C$28, 0.0226, 0)</f>
        <v>26.553000000000001</v>
      </c>
      <c r="C281" s="4">
        <f>26.1671 * CHOOSE(CONTROL!$C$9, $C$13, 100%, $E$13) + CHOOSE(CONTROL!$C$28, 0.0226, 0)</f>
        <v>26.189700000000002</v>
      </c>
      <c r="D281" s="4">
        <f>36.0992 * CHOOSE(CONTROL!$C$9, $C$13, 100%, $E$13) + CHOOSE(CONTROL!$C$28, 0.0021, 0)</f>
        <v>36.101300000000002</v>
      </c>
      <c r="E281" s="4">
        <f>168.062826920808 * CHOOSE(CONTROL!$C$9, $C$13, 100%, $E$13) + CHOOSE(CONTROL!$C$28, 0.0021, 0)</f>
        <v>168.06492692080801</v>
      </c>
    </row>
    <row r="282" spans="1:5" ht="15">
      <c r="A282" s="14">
        <v>49706</v>
      </c>
      <c r="B282" s="4">
        <f>27.142 * CHOOSE(CONTROL!$C$9, $C$13, 100%, $E$13) + CHOOSE(CONTROL!$C$28, 0.0226, 0)</f>
        <v>27.1646</v>
      </c>
      <c r="C282" s="4">
        <f>26.7787 * CHOOSE(CONTROL!$C$9, $C$13, 100%, $E$13) + CHOOSE(CONTROL!$C$28, 0.0226, 0)</f>
        <v>26.801300000000001</v>
      </c>
      <c r="D282" s="4">
        <f>37.3079 * CHOOSE(CONTROL!$C$9, $C$13, 100%, $E$13) + CHOOSE(CONTROL!$C$28, 0.0021, 0)</f>
        <v>37.309999999999995</v>
      </c>
      <c r="E282" s="4">
        <f>172.053300752289 * CHOOSE(CONTROL!$C$9, $C$13, 100%, $E$13) + CHOOSE(CONTROL!$C$28, 0.0021, 0)</f>
        <v>172.05540075228902</v>
      </c>
    </row>
    <row r="283" spans="1:5" ht="15">
      <c r="A283" s="14">
        <v>49735</v>
      </c>
      <c r="B283" s="4">
        <f>28.748 * CHOOSE(CONTROL!$C$9, $C$13, 100%, $E$13) + CHOOSE(CONTROL!$C$28, 0.0226, 0)</f>
        <v>28.770600000000002</v>
      </c>
      <c r="C283" s="4">
        <f>28.3847 * CHOOSE(CONTROL!$C$9, $C$13, 100%, $E$13) + CHOOSE(CONTROL!$C$28, 0.0226, 0)</f>
        <v>28.407299999999999</v>
      </c>
      <c r="D283" s="4">
        <f>39.2 * CHOOSE(CONTROL!$C$9, $C$13, 100%, $E$13) + CHOOSE(CONTROL!$C$28, 0.0021, 0)</f>
        <v>39.202100000000002</v>
      </c>
      <c r="E283" s="4">
        <f>182.532497100417 * CHOOSE(CONTROL!$C$9, $C$13, 100%, $E$13) + CHOOSE(CONTROL!$C$28, 0.0021, 0)</f>
        <v>182.53459710041702</v>
      </c>
    </row>
    <row r="284" spans="1:5" ht="15">
      <c r="A284" s="14">
        <v>49766</v>
      </c>
      <c r="B284" s="4">
        <f>29.8891 * CHOOSE(CONTROL!$C$9, $C$13, 100%, $E$13) + CHOOSE(CONTROL!$C$28, 0.0226, 0)</f>
        <v>29.9117</v>
      </c>
      <c r="C284" s="4">
        <f>29.5258 * CHOOSE(CONTROL!$C$9, $C$13, 100%, $E$13) + CHOOSE(CONTROL!$C$28, 0.0226, 0)</f>
        <v>29.548400000000001</v>
      </c>
      <c r="D284" s="4">
        <f>40.29 * CHOOSE(CONTROL!$C$9, $C$13, 100%, $E$13) + CHOOSE(CONTROL!$C$28, 0.0021, 0)</f>
        <v>40.292099999999998</v>
      </c>
      <c r="E284" s="4">
        <f>189.978105759416 * CHOOSE(CONTROL!$C$9, $C$13, 100%, $E$13) + CHOOSE(CONTROL!$C$28, 0.0021, 0)</f>
        <v>189.98020575941601</v>
      </c>
    </row>
    <row r="285" spans="1:5" ht="15">
      <c r="A285" s="14">
        <v>49796</v>
      </c>
      <c r="B285" s="4">
        <f>30.5863 * CHOOSE(CONTROL!$C$9, $C$13, 100%, $E$13) + CHOOSE(CONTROL!$C$28, 0.0226, 0)</f>
        <v>30.608900000000002</v>
      </c>
      <c r="C285" s="4">
        <f>30.223 * CHOOSE(CONTROL!$C$9, $C$13, 100%, $E$13) + CHOOSE(CONTROL!$C$28, 0.0226, 0)</f>
        <v>30.2456</v>
      </c>
      <c r="D285" s="4">
        <f>39.8593 * CHOOSE(CONTROL!$C$9, $C$13, 100%, $E$13) + CHOOSE(CONTROL!$C$28, 0.0021, 0)</f>
        <v>39.861399999999996</v>
      </c>
      <c r="E285" s="4">
        <f>194.527194203729 * CHOOSE(CONTROL!$C$9, $C$13, 100%, $E$13) + CHOOSE(CONTROL!$C$28, 0.0021, 0)</f>
        <v>194.52929420372902</v>
      </c>
    </row>
    <row r="286" spans="1:5" ht="15">
      <c r="A286" s="14">
        <v>49827</v>
      </c>
      <c r="B286" s="4">
        <f>30.6806 * CHOOSE(CONTROL!$C$9, $C$13, 100%, $E$13) + CHOOSE(CONTROL!$C$28, 0.0226, 0)</f>
        <v>30.703199999999999</v>
      </c>
      <c r="C286" s="4">
        <f>30.3173 * CHOOSE(CONTROL!$C$9, $C$13, 100%, $E$13) + CHOOSE(CONTROL!$C$28, 0.0226, 0)</f>
        <v>30.3399</v>
      </c>
      <c r="D286" s="4">
        <f>40.2101 * CHOOSE(CONTROL!$C$9, $C$13, 100%, $E$13) + CHOOSE(CONTROL!$C$28, 0.0021, 0)</f>
        <v>40.212199999999996</v>
      </c>
      <c r="E286" s="4">
        <f>195.14270474935 * CHOOSE(CONTROL!$C$9, $C$13, 100%, $E$13) + CHOOSE(CONTROL!$C$28, 0.0021, 0)</f>
        <v>195.14480474935002</v>
      </c>
    </row>
    <row r="287" spans="1:5" ht="15">
      <c r="A287" s="14">
        <v>49857</v>
      </c>
      <c r="B287" s="4">
        <f>30.6711 * CHOOSE(CONTROL!$C$9, $C$13, 100%, $E$13) + CHOOSE(CONTROL!$C$28, 0.0226, 0)</f>
        <v>30.6937</v>
      </c>
      <c r="C287" s="4">
        <f>30.3078 * CHOOSE(CONTROL!$C$9, $C$13, 100%, $E$13) + CHOOSE(CONTROL!$C$28, 0.0226, 0)</f>
        <v>30.330400000000001</v>
      </c>
      <c r="D287" s="4">
        <f>40.843 * CHOOSE(CONTROL!$C$9, $C$13, 100%, $E$13) + CHOOSE(CONTROL!$C$28, 0.0021, 0)</f>
        <v>40.845100000000002</v>
      </c>
      <c r="E287" s="4">
        <f>195.080636459035 * CHOOSE(CONTROL!$C$9, $C$13, 100%, $E$13) + CHOOSE(CONTROL!$C$28, 0.0021, 0)</f>
        <v>195.082736459035</v>
      </c>
    </row>
    <row r="288" spans="1:5" ht="15">
      <c r="A288" s="14">
        <v>49888</v>
      </c>
      <c r="B288" s="4">
        <f>31.3869 * CHOOSE(CONTROL!$C$9, $C$13, 100%, $E$13) + CHOOSE(CONTROL!$C$28, 0.0226, 0)</f>
        <v>31.409500000000001</v>
      </c>
      <c r="C288" s="4">
        <f>31.0236 * CHOOSE(CONTROL!$C$9, $C$13, 100%, $E$13) + CHOOSE(CONTROL!$C$28, 0.0226, 0)</f>
        <v>31.046199999999999</v>
      </c>
      <c r="D288" s="4">
        <f>40.425 * CHOOSE(CONTROL!$C$9, $C$13, 100%, $E$13) + CHOOSE(CONTROL!$C$28, 0.0021, 0)</f>
        <v>40.427099999999996</v>
      </c>
      <c r="E288" s="4">
        <f>199.751275305215 * CHOOSE(CONTROL!$C$9, $C$13, 100%, $E$13) + CHOOSE(CONTROL!$C$28, 0.0021, 0)</f>
        <v>199.753375305215</v>
      </c>
    </row>
    <row r="289" spans="1:5" ht="15">
      <c r="A289" s="14">
        <v>49919</v>
      </c>
      <c r="B289" s="4">
        <f>30.1669 * CHOOSE(CONTROL!$C$9, $C$13, 100%, $E$13) + CHOOSE(CONTROL!$C$28, 0.0226, 0)</f>
        <v>30.189499999999999</v>
      </c>
      <c r="C289" s="4">
        <f>29.8036 * CHOOSE(CONTROL!$C$9, $C$13, 100%, $E$13) + CHOOSE(CONTROL!$C$28, 0.0226, 0)</f>
        <v>29.8262</v>
      </c>
      <c r="D289" s="4">
        <f>40.2275 * CHOOSE(CONTROL!$C$9, $C$13, 100%, $E$13) + CHOOSE(CONTROL!$C$28, 0.0021, 0)</f>
        <v>40.229599999999998</v>
      </c>
      <c r="E289" s="4">
        <f>191.791017072357 * CHOOSE(CONTROL!$C$9, $C$13, 100%, $E$13) + CHOOSE(CONTROL!$C$28, 0.0021, 0)</f>
        <v>191.79311707235701</v>
      </c>
    </row>
    <row r="290" spans="1:5" ht="15">
      <c r="A290" s="14">
        <v>49949</v>
      </c>
      <c r="B290" s="4">
        <f>29.1903 * CHOOSE(CONTROL!$C$9, $C$13, 100%, $E$13) + CHOOSE(CONTROL!$C$28, 0.0226, 0)</f>
        <v>29.212900000000001</v>
      </c>
      <c r="C290" s="4">
        <f>28.827 * CHOOSE(CONTROL!$C$9, $C$13, 100%, $E$13) + CHOOSE(CONTROL!$C$28, 0.0226, 0)</f>
        <v>28.849600000000002</v>
      </c>
      <c r="D290" s="4">
        <f>39.6987 * CHOOSE(CONTROL!$C$9, $C$13, 100%, $E$13) + CHOOSE(CONTROL!$C$28, 0.0021, 0)</f>
        <v>39.700800000000001</v>
      </c>
      <c r="E290" s="4">
        <f>185.41867260005 * CHOOSE(CONTROL!$C$9, $C$13, 100%, $E$13) + CHOOSE(CONTROL!$C$28, 0.0021, 0)</f>
        <v>185.42077260005001</v>
      </c>
    </row>
    <row r="291" spans="1:5" ht="15">
      <c r="A291" s="14">
        <v>49980</v>
      </c>
      <c r="B291" s="4">
        <f>28.5613 * CHOOSE(CONTROL!$C$9, $C$13, 100%, $E$13) + CHOOSE(CONTROL!$C$28, 0.0226, 0)</f>
        <v>28.5839</v>
      </c>
      <c r="C291" s="4">
        <f>28.198 * CHOOSE(CONTROL!$C$9, $C$13, 100%, $E$13) + CHOOSE(CONTROL!$C$28, 0.0226, 0)</f>
        <v>28.220600000000001</v>
      </c>
      <c r="D291" s="4">
        <f>39.5169 * CHOOSE(CONTROL!$C$9, $C$13, 100%, $E$13) + CHOOSE(CONTROL!$C$28, 0.0021, 0)</f>
        <v>39.518999999999998</v>
      </c>
      <c r="E291" s="4">
        <f>181.314406902992 * CHOOSE(CONTROL!$C$9, $C$13, 100%, $E$13) + CHOOSE(CONTROL!$C$28, 0.0021, 0)</f>
        <v>181.31650690299202</v>
      </c>
    </row>
    <row r="292" spans="1:5" ht="15">
      <c r="A292" s="14">
        <v>50010</v>
      </c>
      <c r="B292" s="4">
        <f>28.1261 * CHOOSE(CONTROL!$C$9, $C$13, 100%, $E$13) + CHOOSE(CONTROL!$C$28, 0.0226, 0)</f>
        <v>28.148700000000002</v>
      </c>
      <c r="C292" s="4">
        <f>27.7628 * CHOOSE(CONTROL!$C$9, $C$13, 100%, $E$13) + CHOOSE(CONTROL!$C$28, 0.0226, 0)</f>
        <v>27.785399999999999</v>
      </c>
      <c r="D292" s="4">
        <f>38.1786 * CHOOSE(CONTROL!$C$9, $C$13, 100%, $E$13) + CHOOSE(CONTROL!$C$28, 0.0021, 0)</f>
        <v>38.180700000000002</v>
      </c>
      <c r="E292" s="4">
        <f>178.474782621095 * CHOOSE(CONTROL!$C$9, $C$13, 100%, $E$13) + CHOOSE(CONTROL!$C$28, 0.0021, 0)</f>
        <v>178.476882621095</v>
      </c>
    </row>
    <row r="293" spans="1:5" ht="15">
      <c r="A293" s="14">
        <v>50041</v>
      </c>
      <c r="B293" s="4">
        <f>26.9354 * CHOOSE(CONTROL!$C$9, $C$13, 100%, $E$13) + CHOOSE(CONTROL!$C$28, 0.0226, 0)</f>
        <v>26.958000000000002</v>
      </c>
      <c r="C293" s="4">
        <f>26.5721 * CHOOSE(CONTROL!$C$9, $C$13, 100%, $E$13) + CHOOSE(CONTROL!$C$28, 0.0226, 0)</f>
        <v>26.5947</v>
      </c>
      <c r="D293" s="4">
        <f>36.7042 * CHOOSE(CONTROL!$C$9, $C$13, 100%, $E$13) + CHOOSE(CONTROL!$C$28, 0.0021, 0)</f>
        <v>36.706299999999999</v>
      </c>
      <c r="E293" s="4">
        <f>171.040582708689 * CHOOSE(CONTROL!$C$9, $C$13, 100%, $E$13) + CHOOSE(CONTROL!$C$28, 0.0021, 0)</f>
        <v>171.042682708689</v>
      </c>
    </row>
    <row r="294" spans="1:5" ht="15">
      <c r="A294" s="14">
        <v>50072</v>
      </c>
      <c r="B294" s="4">
        <f>27.5566 * CHOOSE(CONTROL!$C$9, $C$13, 100%, $E$13) + CHOOSE(CONTROL!$C$28, 0.0226, 0)</f>
        <v>27.5792</v>
      </c>
      <c r="C294" s="4">
        <f>27.1933 * CHOOSE(CONTROL!$C$9, $C$13, 100%, $E$13) + CHOOSE(CONTROL!$C$28, 0.0226, 0)</f>
        <v>27.215900000000001</v>
      </c>
      <c r="D294" s="4">
        <f>37.9343 * CHOOSE(CONTROL!$C$9, $C$13, 100%, $E$13) + CHOOSE(CONTROL!$C$28, 0.0021, 0)</f>
        <v>37.936399999999999</v>
      </c>
      <c r="E294" s="4">
        <f>175.10176019764 * CHOOSE(CONTROL!$C$9, $C$13, 100%, $E$13) + CHOOSE(CONTROL!$C$28, 0.0021, 0)</f>
        <v>175.10386019764002</v>
      </c>
    </row>
    <row r="295" spans="1:5" ht="15">
      <c r="A295" s="14">
        <v>50100</v>
      </c>
      <c r="B295" s="4">
        <f>29.1879 * CHOOSE(CONTROL!$C$9, $C$13, 100%, $E$13) + CHOOSE(CONTROL!$C$28, 0.0226, 0)</f>
        <v>29.2105</v>
      </c>
      <c r="C295" s="4">
        <f>28.8246 * CHOOSE(CONTROL!$C$9, $C$13, 100%, $E$13) + CHOOSE(CONTROL!$C$28, 0.0226, 0)</f>
        <v>28.847200000000001</v>
      </c>
      <c r="D295" s="4">
        <f>39.8599 * CHOOSE(CONTROL!$C$9, $C$13, 100%, $E$13) + CHOOSE(CONTROL!$C$28, 0.0021, 0)</f>
        <v>39.862000000000002</v>
      </c>
      <c r="E295" s="4">
        <f>185.766628107706 * CHOOSE(CONTROL!$C$9, $C$13, 100%, $E$13) + CHOOSE(CONTROL!$C$28, 0.0021, 0)</f>
        <v>185.76872810770601</v>
      </c>
    </row>
    <row r="296" spans="1:5" ht="15">
      <c r="A296" s="14">
        <v>50131</v>
      </c>
      <c r="B296" s="4">
        <f>30.3469 * CHOOSE(CONTROL!$C$9, $C$13, 100%, $E$13) + CHOOSE(CONTROL!$C$28, 0.0226, 0)</f>
        <v>30.369500000000002</v>
      </c>
      <c r="C296" s="4">
        <f>29.9836 * CHOOSE(CONTROL!$C$9, $C$13, 100%, $E$13) + CHOOSE(CONTROL!$C$28, 0.0226, 0)</f>
        <v>30.0062</v>
      </c>
      <c r="D296" s="4">
        <f>40.9691 * CHOOSE(CONTROL!$C$9, $C$13, 100%, $E$13) + CHOOSE(CONTROL!$C$28, 0.0021, 0)</f>
        <v>40.971199999999996</v>
      </c>
      <c r="E296" s="4">
        <f>193.344158885859 * CHOOSE(CONTROL!$C$9, $C$13, 100%, $E$13) + CHOOSE(CONTROL!$C$28, 0.0021, 0)</f>
        <v>193.34625888585902</v>
      </c>
    </row>
    <row r="297" spans="1:5" ht="15">
      <c r="A297" s="14">
        <v>50161</v>
      </c>
      <c r="B297" s="4">
        <f>31.0551 * CHOOSE(CONTROL!$C$9, $C$13, 100%, $E$13) + CHOOSE(CONTROL!$C$28, 0.0226, 0)</f>
        <v>31.0777</v>
      </c>
      <c r="C297" s="4">
        <f>30.6918 * CHOOSE(CONTROL!$C$9, $C$13, 100%, $E$13) + CHOOSE(CONTROL!$C$28, 0.0226, 0)</f>
        <v>30.714400000000001</v>
      </c>
      <c r="D297" s="4">
        <f>40.5308 * CHOOSE(CONTROL!$C$9, $C$13, 100%, $E$13) + CHOOSE(CONTROL!$C$28, 0.0021, 0)</f>
        <v>40.532899999999998</v>
      </c>
      <c r="E297" s="4">
        <f>197.973848583245 * CHOOSE(CONTROL!$C$9, $C$13, 100%, $E$13) + CHOOSE(CONTROL!$C$28, 0.0021, 0)</f>
        <v>197.97594858324501</v>
      </c>
    </row>
    <row r="298" spans="1:5" ht="15">
      <c r="A298" s="14">
        <v>50192</v>
      </c>
      <c r="B298" s="4">
        <f>31.1509 * CHOOSE(CONTROL!$C$9, $C$13, 100%, $E$13) + CHOOSE(CONTROL!$C$28, 0.0226, 0)</f>
        <v>31.173500000000001</v>
      </c>
      <c r="C298" s="4">
        <f>30.7876 * CHOOSE(CONTROL!$C$9, $C$13, 100%, $E$13) + CHOOSE(CONTROL!$C$28, 0.0226, 0)</f>
        <v>30.810200000000002</v>
      </c>
      <c r="D298" s="4">
        <f>40.8878 * CHOOSE(CONTROL!$C$9, $C$13, 100%, $E$13) + CHOOSE(CONTROL!$C$28, 0.0021, 0)</f>
        <v>40.889899999999997</v>
      </c>
      <c r="E298" s="4">
        <f>198.600264812908 * CHOOSE(CONTROL!$C$9, $C$13, 100%, $E$13) + CHOOSE(CONTROL!$C$28, 0.0021, 0)</f>
        <v>198.60236481290801</v>
      </c>
    </row>
    <row r="299" spans="1:5" ht="15">
      <c r="A299" s="14">
        <v>50222</v>
      </c>
      <c r="B299" s="4">
        <f>31.1412 * CHOOSE(CONTROL!$C$9, $C$13, 100%, $E$13) + CHOOSE(CONTROL!$C$28, 0.0226, 0)</f>
        <v>31.163800000000002</v>
      </c>
      <c r="C299" s="4">
        <f>30.7779 * CHOOSE(CONTROL!$C$9, $C$13, 100%, $E$13) + CHOOSE(CONTROL!$C$28, 0.0226, 0)</f>
        <v>30.8005</v>
      </c>
      <c r="D299" s="4">
        <f>41.5319 * CHOOSE(CONTROL!$C$9, $C$13, 100%, $E$13) + CHOOSE(CONTROL!$C$28, 0.0021, 0)</f>
        <v>41.533999999999999</v>
      </c>
      <c r="E299" s="4">
        <f>198.537096789749 * CHOOSE(CONTROL!$C$9, $C$13, 100%, $E$13) + CHOOSE(CONTROL!$C$28, 0.0021, 0)</f>
        <v>198.53919678974901</v>
      </c>
    </row>
    <row r="300" spans="1:5" ht="15">
      <c r="A300" s="14">
        <v>50253</v>
      </c>
      <c r="B300" s="4">
        <f>31.8683 * CHOOSE(CONTROL!$C$9, $C$13, 100%, $E$13) + CHOOSE(CONTROL!$C$28, 0.0226, 0)</f>
        <v>31.890900000000002</v>
      </c>
      <c r="C300" s="4">
        <f>31.505 * CHOOSE(CONTROL!$C$9, $C$13, 100%, $E$13) + CHOOSE(CONTROL!$C$28, 0.0226, 0)</f>
        <v>31.5276</v>
      </c>
      <c r="D300" s="4">
        <f>41.1065 * CHOOSE(CONTROL!$C$9, $C$13, 100%, $E$13) + CHOOSE(CONTROL!$C$28, 0.0021, 0)</f>
        <v>41.108599999999996</v>
      </c>
      <c r="E300" s="4">
        <f>203.290490532488 * CHOOSE(CONTROL!$C$9, $C$13, 100%, $E$13) + CHOOSE(CONTROL!$C$28, 0.0021, 0)</f>
        <v>203.29259053248802</v>
      </c>
    </row>
    <row r="301" spans="1:5" ht="15">
      <c r="A301" s="14">
        <v>50284</v>
      </c>
      <c r="B301" s="4">
        <f>30.6291 * CHOOSE(CONTROL!$C$9, $C$13, 100%, $E$13) + CHOOSE(CONTROL!$C$28, 0.0226, 0)</f>
        <v>30.651700000000002</v>
      </c>
      <c r="C301" s="4">
        <f>30.2658 * CHOOSE(CONTROL!$C$9, $C$13, 100%, $E$13) + CHOOSE(CONTROL!$C$28, 0.0226, 0)</f>
        <v>30.288399999999999</v>
      </c>
      <c r="D301" s="4">
        <f>40.9055 * CHOOSE(CONTROL!$C$9, $C$13, 100%, $E$13) + CHOOSE(CONTROL!$C$28, 0.0021, 0)</f>
        <v>40.907600000000002</v>
      </c>
      <c r="E301" s="4">
        <f>195.189191562305 * CHOOSE(CONTROL!$C$9, $C$13, 100%, $E$13) + CHOOSE(CONTROL!$C$28, 0.0021, 0)</f>
        <v>195.19129156230503</v>
      </c>
    </row>
    <row r="302" spans="1:5" ht="15">
      <c r="A302" s="14">
        <v>50314</v>
      </c>
      <c r="B302" s="4">
        <f>29.6372 * CHOOSE(CONTROL!$C$9, $C$13, 100%, $E$13) + CHOOSE(CONTROL!$C$28, 0.0226, 0)</f>
        <v>29.659800000000001</v>
      </c>
      <c r="C302" s="4">
        <f>29.2739 * CHOOSE(CONTROL!$C$9, $C$13, 100%, $E$13) + CHOOSE(CONTROL!$C$28, 0.0226, 0)</f>
        <v>29.296500000000002</v>
      </c>
      <c r="D302" s="4">
        <f>40.3674 * CHOOSE(CONTROL!$C$9, $C$13, 100%, $E$13) + CHOOSE(CONTROL!$C$28, 0.0021, 0)</f>
        <v>40.369500000000002</v>
      </c>
      <c r="E302" s="4">
        <f>188.703941184614 * CHOOSE(CONTROL!$C$9, $C$13, 100%, $E$13) + CHOOSE(CONTROL!$C$28, 0.0021, 0)</f>
        <v>188.70604118461401</v>
      </c>
    </row>
    <row r="303" spans="1:5" ht="15">
      <c r="A303" s="14">
        <v>50345</v>
      </c>
      <c r="B303" s="4">
        <f>28.9983 * CHOOSE(CONTROL!$C$9, $C$13, 100%, $E$13) + CHOOSE(CONTROL!$C$28, 0.0226, 0)</f>
        <v>29.020900000000001</v>
      </c>
      <c r="C303" s="4">
        <f>28.635 * CHOOSE(CONTROL!$C$9, $C$13, 100%, $E$13) + CHOOSE(CONTROL!$C$28, 0.0226, 0)</f>
        <v>28.657600000000002</v>
      </c>
      <c r="D303" s="4">
        <f>40.1824 * CHOOSE(CONTROL!$C$9, $C$13, 100%, $E$13) + CHOOSE(CONTROL!$C$28, 0.0021, 0)</f>
        <v>40.1845</v>
      </c>
      <c r="E303" s="4">
        <f>184.526955653204 * CHOOSE(CONTROL!$C$9, $C$13, 100%, $E$13) + CHOOSE(CONTROL!$C$28, 0.0021, 0)</f>
        <v>184.52905565320401</v>
      </c>
    </row>
    <row r="304" spans="1:5" ht="15">
      <c r="A304" s="14">
        <v>50375</v>
      </c>
      <c r="B304" s="4">
        <f>28.5562 * CHOOSE(CONTROL!$C$9, $C$13, 100%, $E$13) + CHOOSE(CONTROL!$C$28, 0.0226, 0)</f>
        <v>28.578800000000001</v>
      </c>
      <c r="C304" s="4">
        <f>28.1929 * CHOOSE(CONTROL!$C$9, $C$13, 100%, $E$13) + CHOOSE(CONTROL!$C$28, 0.0226, 0)</f>
        <v>28.215500000000002</v>
      </c>
      <c r="D304" s="4">
        <f>38.8204 * CHOOSE(CONTROL!$C$9, $C$13, 100%, $E$13) + CHOOSE(CONTROL!$C$28, 0.0021, 0)</f>
        <v>38.822499999999998</v>
      </c>
      <c r="E304" s="4">
        <f>181.637018593665 * CHOOSE(CONTROL!$C$9, $C$13, 100%, $E$13) + CHOOSE(CONTROL!$C$28, 0.0021, 0)</f>
        <v>181.63911859366502</v>
      </c>
    </row>
    <row r="305" spans="1:5" ht="15">
      <c r="A305" s="13">
        <v>50436</v>
      </c>
      <c r="B305" s="4">
        <f>27.3468 * CHOOSE(CONTROL!$C$9, $C$13, 100%, $E$13) + CHOOSE(CONTROL!$C$28, 0.0226, 0)</f>
        <v>27.369400000000002</v>
      </c>
      <c r="C305" s="4">
        <f>26.9835 * CHOOSE(CONTROL!$C$9, $C$13, 100%, $E$13) + CHOOSE(CONTROL!$C$28, 0.0226, 0)</f>
        <v>27.0061</v>
      </c>
      <c r="D305" s="4">
        <f>37.32 * CHOOSE(CONTROL!$C$9, $C$13, 100%, $E$13) + CHOOSE(CONTROL!$C$28, 0.0021, 0)</f>
        <v>37.322099999999999</v>
      </c>
      <c r="E305" s="4">
        <f>174.071098703539 * CHOOSE(CONTROL!$C$9, $C$13, 100%, $E$13) + CHOOSE(CONTROL!$C$28, 0.0021, 0)</f>
        <v>174.07319870353902</v>
      </c>
    </row>
    <row r="306" spans="1:5" ht="15">
      <c r="A306" s="13">
        <v>50464</v>
      </c>
      <c r="B306" s="4">
        <f>27.9778 * CHOOSE(CONTROL!$C$9, $C$13, 100%, $E$13) + CHOOSE(CONTROL!$C$28, 0.0226, 0)</f>
        <v>28.000399999999999</v>
      </c>
      <c r="C306" s="4">
        <f>27.6145 * CHOOSE(CONTROL!$C$9, $C$13, 100%, $E$13) + CHOOSE(CONTROL!$C$28, 0.0226, 0)</f>
        <v>27.6371</v>
      </c>
      <c r="D306" s="4">
        <f>38.5718 * CHOOSE(CONTROL!$C$9, $C$13, 100%, $E$13) + CHOOSE(CONTROL!$C$28, 0.0021, 0)</f>
        <v>38.573900000000002</v>
      </c>
      <c r="E306" s="4">
        <f>178.204232585198 * CHOOSE(CONTROL!$C$9, $C$13, 100%, $E$13) + CHOOSE(CONTROL!$C$28, 0.0021, 0)</f>
        <v>178.20633258519803</v>
      </c>
    </row>
    <row r="307" spans="1:5" ht="15">
      <c r="A307" s="13">
        <v>50495</v>
      </c>
      <c r="B307" s="4">
        <f>29.6347 * CHOOSE(CONTROL!$C$9, $C$13, 100%, $E$13) + CHOOSE(CONTROL!$C$28, 0.0226, 0)</f>
        <v>29.657299999999999</v>
      </c>
      <c r="C307" s="4">
        <f>29.2714 * CHOOSE(CONTROL!$C$9, $C$13, 100%, $E$13) + CHOOSE(CONTROL!$C$28, 0.0226, 0)</f>
        <v>29.294</v>
      </c>
      <c r="D307" s="4">
        <f>40.5315 * CHOOSE(CONTROL!$C$9, $C$13, 100%, $E$13) + CHOOSE(CONTROL!$C$28, 0.0021, 0)</f>
        <v>40.5336</v>
      </c>
      <c r="E307" s="4">
        <f>189.058061806506 * CHOOSE(CONTROL!$C$9, $C$13, 100%, $E$13) + CHOOSE(CONTROL!$C$28, 0.0021, 0)</f>
        <v>189.06016180650602</v>
      </c>
    </row>
    <row r="308" spans="1:5" ht="15">
      <c r="A308" s="13">
        <v>50525</v>
      </c>
      <c r="B308" s="4">
        <f>30.812 * CHOOSE(CONTROL!$C$9, $C$13, 100%, $E$13) + CHOOSE(CONTROL!$C$28, 0.0226, 0)</f>
        <v>30.834600000000002</v>
      </c>
      <c r="C308" s="4">
        <f>30.4487 * CHOOSE(CONTROL!$C$9, $C$13, 100%, $E$13) + CHOOSE(CONTROL!$C$28, 0.0226, 0)</f>
        <v>30.471299999999999</v>
      </c>
      <c r="D308" s="4">
        <f>41.6603 * CHOOSE(CONTROL!$C$9, $C$13, 100%, $E$13) + CHOOSE(CONTROL!$C$28, 0.0021, 0)</f>
        <v>41.662399999999998</v>
      </c>
      <c r="E308" s="4">
        <f>196.769852114539 * CHOOSE(CONTROL!$C$9, $C$13, 100%, $E$13) + CHOOSE(CONTROL!$C$28, 0.0021, 0)</f>
        <v>196.771952114539</v>
      </c>
    </row>
    <row r="309" spans="1:5" ht="15">
      <c r="A309" s="13">
        <v>50556</v>
      </c>
      <c r="B309" s="4">
        <f>31.5312 * CHOOSE(CONTROL!$C$9, $C$13, 100%, $E$13) + CHOOSE(CONTROL!$C$28, 0.0226, 0)</f>
        <v>31.553799999999999</v>
      </c>
      <c r="C309" s="4">
        <f>31.168 * CHOOSE(CONTROL!$C$9, $C$13, 100%, $E$13) + CHOOSE(CONTROL!$C$28, 0.0226, 0)</f>
        <v>31.1906</v>
      </c>
      <c r="D309" s="4">
        <f>41.2142 * CHOOSE(CONTROL!$C$9, $C$13, 100%, $E$13) + CHOOSE(CONTROL!$C$28, 0.0021, 0)</f>
        <v>41.216299999999997</v>
      </c>
      <c r="E309" s="4">
        <f>201.481571166928 * CHOOSE(CONTROL!$C$9, $C$13, 100%, $E$13) + CHOOSE(CONTROL!$C$28, 0.0021, 0)</f>
        <v>201.48367116692802</v>
      </c>
    </row>
    <row r="310" spans="1:5" ht="15">
      <c r="A310" s="13">
        <v>50586</v>
      </c>
      <c r="B310" s="4">
        <f>31.6286 * CHOOSE(CONTROL!$C$9, $C$13, 100%, $E$13) + CHOOSE(CONTROL!$C$28, 0.0226, 0)</f>
        <v>31.651199999999999</v>
      </c>
      <c r="C310" s="4">
        <f>31.2653 * CHOOSE(CONTROL!$C$9, $C$13, 100%, $E$13) + CHOOSE(CONTROL!$C$28, 0.0226, 0)</f>
        <v>31.2879</v>
      </c>
      <c r="D310" s="4">
        <f>41.5775 * CHOOSE(CONTROL!$C$9, $C$13, 100%, $E$13) + CHOOSE(CONTROL!$C$28, 0.0021, 0)</f>
        <v>41.579599999999999</v>
      </c>
      <c r="E310" s="4">
        <f>202.119086308752 * CHOOSE(CONTROL!$C$9, $C$13, 100%, $E$13) + CHOOSE(CONTROL!$C$28, 0.0021, 0)</f>
        <v>202.12118630875202</v>
      </c>
    </row>
    <row r="311" spans="1:5" ht="15">
      <c r="A311" s="13">
        <v>50617</v>
      </c>
      <c r="B311" s="4">
        <f>31.6187 * CHOOSE(CONTROL!$C$9, $C$13, 100%, $E$13) + CHOOSE(CONTROL!$C$28, 0.0226, 0)</f>
        <v>31.641300000000001</v>
      </c>
      <c r="C311" s="4">
        <f>31.2555 * CHOOSE(CONTROL!$C$9, $C$13, 100%, $E$13) + CHOOSE(CONTROL!$C$28, 0.0226, 0)</f>
        <v>31.278100000000002</v>
      </c>
      <c r="D311" s="4">
        <f>42.233 * CHOOSE(CONTROL!$C$9, $C$13, 100%, $E$13) + CHOOSE(CONTROL!$C$28, 0.0021, 0)</f>
        <v>42.235099999999996</v>
      </c>
      <c r="E311" s="4">
        <f>202.05479906756 * CHOOSE(CONTROL!$C$9, $C$13, 100%, $E$13) + CHOOSE(CONTROL!$C$28, 0.0021, 0)</f>
        <v>202.05689906756001</v>
      </c>
    </row>
    <row r="312" spans="1:5" ht="15">
      <c r="A312" s="13">
        <v>50648</v>
      </c>
      <c r="B312" s="4">
        <f>32.3572 * CHOOSE(CONTROL!$C$9, $C$13, 100%, $E$13) + CHOOSE(CONTROL!$C$28, 0.0226, 0)</f>
        <v>32.379799999999996</v>
      </c>
      <c r="C312" s="4">
        <f>31.994 * CHOOSE(CONTROL!$C$9, $C$13, 100%, $E$13) + CHOOSE(CONTROL!$C$28, 0.0226, 0)</f>
        <v>32.016599999999997</v>
      </c>
      <c r="D312" s="4">
        <f>41.8001 * CHOOSE(CONTROL!$C$9, $C$13, 100%, $E$13) + CHOOSE(CONTROL!$C$28, 0.0021, 0)</f>
        <v>41.802199999999999</v>
      </c>
      <c r="E312" s="4">
        <f>206.892413967284 * CHOOSE(CONTROL!$C$9, $C$13, 100%, $E$13) + CHOOSE(CONTROL!$C$28, 0.0021, 0)</f>
        <v>206.89451396728401</v>
      </c>
    </row>
    <row r="313" spans="1:5" ht="15">
      <c r="A313" s="13">
        <v>50678</v>
      </c>
      <c r="B313" s="4">
        <f>31.0986 * CHOOSE(CONTROL!$C$9, $C$13, 100%, $E$13) + CHOOSE(CONTROL!$C$28, 0.0226, 0)</f>
        <v>31.121200000000002</v>
      </c>
      <c r="C313" s="4">
        <f>30.7353 * CHOOSE(CONTROL!$C$9, $C$13, 100%, $E$13) + CHOOSE(CONTROL!$C$28, 0.0226, 0)</f>
        <v>30.757899999999999</v>
      </c>
      <c r="D313" s="4">
        <f>41.5956 * CHOOSE(CONTROL!$C$9, $C$13, 100%, $E$13) + CHOOSE(CONTROL!$C$28, 0.0021, 0)</f>
        <v>41.597699999999996</v>
      </c>
      <c r="E313" s="4">
        <f>198.647575284365 * CHOOSE(CONTROL!$C$9, $C$13, 100%, $E$13) + CHOOSE(CONTROL!$C$28, 0.0021, 0)</f>
        <v>198.649675284365</v>
      </c>
    </row>
    <row r="314" spans="1:5" ht="15">
      <c r="A314" s="13">
        <v>50709</v>
      </c>
      <c r="B314" s="4">
        <f>30.091 * CHOOSE(CONTROL!$C$9, $C$13, 100%, $E$13) + CHOOSE(CONTROL!$C$28, 0.0226, 0)</f>
        <v>30.113600000000002</v>
      </c>
      <c r="C314" s="4">
        <f>29.7278 * CHOOSE(CONTROL!$C$9, $C$13, 100%, $E$13) + CHOOSE(CONTROL!$C$28, 0.0226, 0)</f>
        <v>29.750399999999999</v>
      </c>
      <c r="D314" s="4">
        <f>41.0479 * CHOOSE(CONTROL!$C$9, $C$13, 100%, $E$13) + CHOOSE(CONTROL!$C$28, 0.0021, 0)</f>
        <v>41.05</v>
      </c>
      <c r="E314" s="4">
        <f>192.04741852195 * CHOOSE(CONTROL!$C$9, $C$13, 100%, $E$13) + CHOOSE(CONTROL!$C$28, 0.0021, 0)</f>
        <v>192.04951852195001</v>
      </c>
    </row>
    <row r="315" spans="1:5" ht="15">
      <c r="A315" s="13">
        <v>50739</v>
      </c>
      <c r="B315" s="4">
        <f>29.4421 * CHOOSE(CONTROL!$C$9, $C$13, 100%, $E$13) + CHOOSE(CONTROL!$C$28, 0.0226, 0)</f>
        <v>29.464700000000001</v>
      </c>
      <c r="C315" s="4">
        <f>29.0788 * CHOOSE(CONTROL!$C$9, $C$13, 100%, $E$13) + CHOOSE(CONTROL!$C$28, 0.0226, 0)</f>
        <v>29.101400000000002</v>
      </c>
      <c r="D315" s="4">
        <f>40.8597 * CHOOSE(CONTROL!$C$9, $C$13, 100%, $E$13) + CHOOSE(CONTROL!$C$28, 0.0021, 0)</f>
        <v>40.861799999999995</v>
      </c>
      <c r="E315" s="4">
        <f>187.796424698106 * CHOOSE(CONTROL!$C$9, $C$13, 100%, $E$13) + CHOOSE(CONTROL!$C$28, 0.0021, 0)</f>
        <v>187.79852469810601</v>
      </c>
    </row>
    <row r="316" spans="1:5" ht="15">
      <c r="A316" s="13">
        <v>50770</v>
      </c>
      <c r="B316" s="4">
        <f>28.9931 * CHOOSE(CONTROL!$C$9, $C$13, 100%, $E$13) + CHOOSE(CONTROL!$C$28, 0.0226, 0)</f>
        <v>29.015699999999999</v>
      </c>
      <c r="C316" s="4">
        <f>28.6298 * CHOOSE(CONTROL!$C$9, $C$13, 100%, $E$13) + CHOOSE(CONTROL!$C$28, 0.0226, 0)</f>
        <v>28.6524</v>
      </c>
      <c r="D316" s="4">
        <f>39.4736 * CHOOSE(CONTROL!$C$9, $C$13, 100%, $E$13) + CHOOSE(CONTROL!$C$28, 0.0021, 0)</f>
        <v>39.475699999999996</v>
      </c>
      <c r="E316" s="4">
        <f>184.855283413556 * CHOOSE(CONTROL!$C$9, $C$13, 100%, $E$13) + CHOOSE(CONTROL!$C$28, 0.0021, 0)</f>
        <v>184.85738341355602</v>
      </c>
    </row>
    <row r="317" spans="1:5" ht="15">
      <c r="A317" s="13">
        <v>50801</v>
      </c>
      <c r="B317" s="4">
        <f>27.7647 * CHOOSE(CONTROL!$C$9, $C$13, 100%, $E$13) + CHOOSE(CONTROL!$C$28, 0.0226, 0)</f>
        <v>27.787300000000002</v>
      </c>
      <c r="C317" s="4">
        <f>27.4014 * CHOOSE(CONTROL!$C$9, $C$13, 100%, $E$13) + CHOOSE(CONTROL!$C$28, 0.0226, 0)</f>
        <v>27.423999999999999</v>
      </c>
      <c r="D317" s="4">
        <f>37.9467 * CHOOSE(CONTROL!$C$9, $C$13, 100%, $E$13) + CHOOSE(CONTROL!$C$28, 0.0021, 0)</f>
        <v>37.948799999999999</v>
      </c>
      <c r="E317" s="4">
        <f>177.155309716552 * CHOOSE(CONTROL!$C$9, $C$13, 100%, $E$13) + CHOOSE(CONTROL!$C$28, 0.0021, 0)</f>
        <v>177.15740971655202</v>
      </c>
    </row>
    <row r="318" spans="1:5" ht="15">
      <c r="A318" s="13">
        <v>50829</v>
      </c>
      <c r="B318" s="4">
        <f>28.4056 * CHOOSE(CONTROL!$C$9, $C$13, 100%, $E$13) + CHOOSE(CONTROL!$C$28, 0.0226, 0)</f>
        <v>28.4282</v>
      </c>
      <c r="C318" s="4">
        <f>28.0423 * CHOOSE(CONTROL!$C$9, $C$13, 100%, $E$13) + CHOOSE(CONTROL!$C$28, 0.0226, 0)</f>
        <v>28.064900000000002</v>
      </c>
      <c r="D318" s="4">
        <f>39.2206 * CHOOSE(CONTROL!$C$9, $C$13, 100%, $E$13) + CHOOSE(CONTROL!$C$28, 0.0021, 0)</f>
        <v>39.222699999999996</v>
      </c>
      <c r="E318" s="4">
        <f>181.361674922256 * CHOOSE(CONTROL!$C$9, $C$13, 100%, $E$13) + CHOOSE(CONTROL!$C$28, 0.0021, 0)</f>
        <v>181.363774922256</v>
      </c>
    </row>
    <row r="319" spans="1:5" ht="15">
      <c r="A319" s="13">
        <v>50860</v>
      </c>
      <c r="B319" s="4">
        <f>30.0885 * CHOOSE(CONTROL!$C$9, $C$13, 100%, $E$13) + CHOOSE(CONTROL!$C$28, 0.0226, 0)</f>
        <v>30.1111</v>
      </c>
      <c r="C319" s="4">
        <f>29.7252 * CHOOSE(CONTROL!$C$9, $C$13, 100%, $E$13) + CHOOSE(CONTROL!$C$28, 0.0226, 0)</f>
        <v>29.747800000000002</v>
      </c>
      <c r="D319" s="4">
        <f>41.2149 * CHOOSE(CONTROL!$C$9, $C$13, 100%, $E$13) + CHOOSE(CONTROL!$C$28, 0.0021, 0)</f>
        <v>41.216999999999999</v>
      </c>
      <c r="E319" s="4">
        <f>192.407813492256 * CHOOSE(CONTROL!$C$9, $C$13, 100%, $E$13) + CHOOSE(CONTROL!$C$28, 0.0021, 0)</f>
        <v>192.40991349225601</v>
      </c>
    </row>
    <row r="320" spans="1:5" ht="15">
      <c r="A320" s="13">
        <v>50890</v>
      </c>
      <c r="B320" s="4">
        <f>31.2843 * CHOOSE(CONTROL!$C$9, $C$13, 100%, $E$13) + CHOOSE(CONTROL!$C$28, 0.0226, 0)</f>
        <v>31.306900000000002</v>
      </c>
      <c r="C320" s="4">
        <f>30.921 * CHOOSE(CONTROL!$C$9, $C$13, 100%, $E$13) + CHOOSE(CONTROL!$C$28, 0.0226, 0)</f>
        <v>30.9436</v>
      </c>
      <c r="D320" s="4">
        <f>42.3636 * CHOOSE(CONTROL!$C$9, $C$13, 100%, $E$13) + CHOOSE(CONTROL!$C$28, 0.0021, 0)</f>
        <v>42.365699999999997</v>
      </c>
      <c r="E320" s="4">
        <f>200.256242155393 * CHOOSE(CONTROL!$C$9, $C$13, 100%, $E$13) + CHOOSE(CONTROL!$C$28, 0.0021, 0)</f>
        <v>200.25834215539302</v>
      </c>
    </row>
    <row r="321" spans="1:5" ht="15">
      <c r="A321" s="13">
        <v>50921</v>
      </c>
      <c r="B321" s="4">
        <f>32.0149 * CHOOSE(CONTROL!$C$9, $C$13, 100%, $E$13) + CHOOSE(CONTROL!$C$28, 0.0226, 0)</f>
        <v>32.037499999999994</v>
      </c>
      <c r="C321" s="4">
        <f>31.6516 * CHOOSE(CONTROL!$C$9, $C$13, 100%, $E$13) + CHOOSE(CONTROL!$C$28, 0.0226, 0)</f>
        <v>31.674199999999999</v>
      </c>
      <c r="D321" s="4">
        <f>41.9097 * CHOOSE(CONTROL!$C$9, $C$13, 100%, $E$13) + CHOOSE(CONTROL!$C$28, 0.0021, 0)</f>
        <v>41.911799999999999</v>
      </c>
      <c r="E321" s="4">
        <f>205.051443967987 * CHOOSE(CONTROL!$C$9, $C$13, 100%, $E$13) + CHOOSE(CONTROL!$C$28, 0.0021, 0)</f>
        <v>205.05354396798703</v>
      </c>
    </row>
    <row r="322" spans="1:5" ht="15">
      <c r="A322" s="13">
        <v>50951</v>
      </c>
      <c r="B322" s="4">
        <f>32.1138 * CHOOSE(CONTROL!$C$9, $C$13, 100%, $E$13) + CHOOSE(CONTROL!$C$28, 0.0226, 0)</f>
        <v>32.136399999999995</v>
      </c>
      <c r="C322" s="4">
        <f>31.7505 * CHOOSE(CONTROL!$C$9, $C$13, 100%, $E$13) + CHOOSE(CONTROL!$C$28, 0.0226, 0)</f>
        <v>31.773099999999999</v>
      </c>
      <c r="D322" s="4">
        <f>42.2794 * CHOOSE(CONTROL!$C$9, $C$13, 100%, $E$13) + CHOOSE(CONTROL!$C$28, 0.0021, 0)</f>
        <v>42.281500000000001</v>
      </c>
      <c r="E322" s="4">
        <f>205.700254673727 * CHOOSE(CONTROL!$C$9, $C$13, 100%, $E$13) + CHOOSE(CONTROL!$C$28, 0.0021, 0)</f>
        <v>205.702354673727</v>
      </c>
    </row>
    <row r="323" spans="1:5" ht="15">
      <c r="A323" s="13">
        <v>50982</v>
      </c>
      <c r="B323" s="4">
        <f>32.1038 * CHOOSE(CONTROL!$C$9, $C$13, 100%, $E$13) + CHOOSE(CONTROL!$C$28, 0.0226, 0)</f>
        <v>32.126399999999997</v>
      </c>
      <c r="C323" s="4">
        <f>31.7405 * CHOOSE(CONTROL!$C$9, $C$13, 100%, $E$13) + CHOOSE(CONTROL!$C$28, 0.0226, 0)</f>
        <v>31.763100000000001</v>
      </c>
      <c r="D323" s="4">
        <f>42.9464 * CHOOSE(CONTROL!$C$9, $C$13, 100%, $E$13) + CHOOSE(CONTROL!$C$28, 0.0021, 0)</f>
        <v>42.948499999999996</v>
      </c>
      <c r="E323" s="4">
        <f>205.634828384073 * CHOOSE(CONTROL!$C$9, $C$13, 100%, $E$13) + CHOOSE(CONTROL!$C$28, 0.0021, 0)</f>
        <v>205.636928384073</v>
      </c>
    </row>
    <row r="324" spans="1:5" ht="15">
      <c r="A324" s="13">
        <v>51013</v>
      </c>
      <c r="B324" s="4">
        <f>32.8539 * CHOOSE(CONTROL!$C$9, $C$13, 100%, $E$13) + CHOOSE(CONTROL!$C$28, 0.0226, 0)</f>
        <v>32.8765</v>
      </c>
      <c r="C324" s="4">
        <f>32.4906 * CHOOSE(CONTROL!$C$9, $C$13, 100%, $E$13) + CHOOSE(CONTROL!$C$28, 0.0226, 0)</f>
        <v>32.513199999999998</v>
      </c>
      <c r="D324" s="4">
        <f>42.5059 * CHOOSE(CONTROL!$C$9, $C$13, 100%, $E$13) + CHOOSE(CONTROL!$C$28, 0.0021, 0)</f>
        <v>42.507999999999996</v>
      </c>
      <c r="E324" s="4">
        <f>210.558156680573 * CHOOSE(CONTROL!$C$9, $C$13, 100%, $E$13) + CHOOSE(CONTROL!$C$28, 0.0021, 0)</f>
        <v>210.56025668057302</v>
      </c>
    </row>
    <row r="325" spans="1:5" ht="15">
      <c r="A325" s="13">
        <v>51043</v>
      </c>
      <c r="B325" s="4">
        <f>31.5755 * CHOOSE(CONTROL!$C$9, $C$13, 100%, $E$13) + CHOOSE(CONTROL!$C$28, 0.0226, 0)</f>
        <v>31.598100000000002</v>
      </c>
      <c r="C325" s="4">
        <f>31.2122 * CHOOSE(CONTROL!$C$9, $C$13, 100%, $E$13) + CHOOSE(CONTROL!$C$28, 0.0226, 0)</f>
        <v>31.2348</v>
      </c>
      <c r="D325" s="4">
        <f>42.2978 * CHOOSE(CONTROL!$C$9, $C$13, 100%, $E$13) + CHOOSE(CONTROL!$C$28, 0.0021, 0)</f>
        <v>42.299900000000001</v>
      </c>
      <c r="E325" s="4">
        <f>202.167235032384 * CHOOSE(CONTROL!$C$9, $C$13, 100%, $E$13) + CHOOSE(CONTROL!$C$28, 0.0021, 0)</f>
        <v>202.16933503238403</v>
      </c>
    </row>
    <row r="326" spans="1:5" ht="15">
      <c r="A326" s="13">
        <v>51074</v>
      </c>
      <c r="B326" s="4">
        <f>30.5521 * CHOOSE(CONTROL!$C$9, $C$13, 100%, $E$13) + CHOOSE(CONTROL!$C$28, 0.0226, 0)</f>
        <v>30.5747</v>
      </c>
      <c r="C326" s="4">
        <f>30.1888 * CHOOSE(CONTROL!$C$9, $C$13, 100%, $E$13) + CHOOSE(CONTROL!$C$28, 0.0226, 0)</f>
        <v>30.211400000000001</v>
      </c>
      <c r="D326" s="4">
        <f>41.7405 * CHOOSE(CONTROL!$C$9, $C$13, 100%, $E$13) + CHOOSE(CONTROL!$C$28, 0.0021, 0)</f>
        <v>41.742599999999996</v>
      </c>
      <c r="E326" s="4">
        <f>195.45013596119 * CHOOSE(CONTROL!$C$9, $C$13, 100%, $E$13) + CHOOSE(CONTROL!$C$28, 0.0021, 0)</f>
        <v>195.45223596119001</v>
      </c>
    </row>
    <row r="327" spans="1:5" ht="15">
      <c r="A327" s="13">
        <v>51104</v>
      </c>
      <c r="B327" s="4">
        <f>29.8929 * CHOOSE(CONTROL!$C$9, $C$13, 100%, $E$13) + CHOOSE(CONTROL!$C$28, 0.0226, 0)</f>
        <v>29.915500000000002</v>
      </c>
      <c r="C327" s="4">
        <f>29.5296 * CHOOSE(CONTROL!$C$9, $C$13, 100%, $E$13) + CHOOSE(CONTROL!$C$28, 0.0226, 0)</f>
        <v>29.552199999999999</v>
      </c>
      <c r="D327" s="4">
        <f>41.5489 * CHOOSE(CONTROL!$C$9, $C$13, 100%, $E$13) + CHOOSE(CONTROL!$C$28, 0.0021, 0)</f>
        <v>41.551000000000002</v>
      </c>
      <c r="E327" s="4">
        <f>191.123822557786 * CHOOSE(CONTROL!$C$9, $C$13, 100%, $E$13) + CHOOSE(CONTROL!$C$28, 0.0021, 0)</f>
        <v>191.12592255778603</v>
      </c>
    </row>
    <row r="328" spans="1:5" ht="15">
      <c r="A328" s="13">
        <v>51135</v>
      </c>
      <c r="B328" s="4">
        <f>29.4369 * CHOOSE(CONTROL!$C$9, $C$13, 100%, $E$13) + CHOOSE(CONTROL!$C$28, 0.0226, 0)</f>
        <v>29.459500000000002</v>
      </c>
      <c r="C328" s="4">
        <f>29.0736 * CHOOSE(CONTROL!$C$9, $C$13, 100%, $E$13) + CHOOSE(CONTROL!$C$28, 0.0226, 0)</f>
        <v>29.0962</v>
      </c>
      <c r="D328" s="4">
        <f>40.1383 * CHOOSE(CONTROL!$C$9, $C$13, 100%, $E$13) + CHOOSE(CONTROL!$C$28, 0.0021, 0)</f>
        <v>40.1404</v>
      </c>
      <c r="E328" s="4">
        <f>188.130569806093 * CHOOSE(CONTROL!$C$9, $C$13, 100%, $E$13) + CHOOSE(CONTROL!$C$28, 0.0021, 0)</f>
        <v>188.13266980609302</v>
      </c>
    </row>
    <row r="329" spans="1:5" ht="15">
      <c r="A329" s="13">
        <v>51166</v>
      </c>
      <c r="B329" s="4">
        <f>28.1891 * CHOOSE(CONTROL!$C$9, $C$13, 100%, $E$13) + CHOOSE(CONTROL!$C$28, 0.0226, 0)</f>
        <v>28.2117</v>
      </c>
      <c r="C329" s="4">
        <f>27.8258 * CHOOSE(CONTROL!$C$9, $C$13, 100%, $E$13) + CHOOSE(CONTROL!$C$28, 0.0226, 0)</f>
        <v>27.848400000000002</v>
      </c>
      <c r="D329" s="4">
        <f>38.5844 * CHOOSE(CONTROL!$C$9, $C$13, 100%, $E$13) + CHOOSE(CONTROL!$C$28, 0.0021, 0)</f>
        <v>38.586500000000001</v>
      </c>
      <c r="E329" s="4">
        <f>180.294167122008 * CHOOSE(CONTROL!$C$9, $C$13, 100%, $E$13) + CHOOSE(CONTROL!$C$28, 0.0021, 0)</f>
        <v>180.296267122008</v>
      </c>
    </row>
    <row r="330" spans="1:5" ht="15">
      <c r="A330" s="13">
        <v>51194</v>
      </c>
      <c r="B330" s="4">
        <f>28.8401 * CHOOSE(CONTROL!$C$9, $C$13, 100%, $E$13) + CHOOSE(CONTROL!$C$28, 0.0226, 0)</f>
        <v>28.8627</v>
      </c>
      <c r="C330" s="4">
        <f>28.4768 * CHOOSE(CONTROL!$C$9, $C$13, 100%, $E$13) + CHOOSE(CONTROL!$C$28, 0.0226, 0)</f>
        <v>28.499400000000001</v>
      </c>
      <c r="D330" s="4">
        <f>39.8809 * CHOOSE(CONTROL!$C$9, $C$13, 100%, $E$13) + CHOOSE(CONTROL!$C$28, 0.0021, 0)</f>
        <v>39.882999999999996</v>
      </c>
      <c r="E330" s="4">
        <f>184.57506117247 * CHOOSE(CONTROL!$C$9, $C$13, 100%, $E$13) + CHOOSE(CONTROL!$C$28, 0.0021, 0)</f>
        <v>184.57716117247</v>
      </c>
    </row>
    <row r="331" spans="1:5" ht="15">
      <c r="A331" s="13">
        <v>51226</v>
      </c>
      <c r="B331" s="4">
        <f>30.5495 * CHOOSE(CONTROL!$C$9, $C$13, 100%, $E$13) + CHOOSE(CONTROL!$C$28, 0.0226, 0)</f>
        <v>30.572099999999999</v>
      </c>
      <c r="C331" s="4">
        <f>30.1862 * CHOOSE(CONTROL!$C$9, $C$13, 100%, $E$13) + CHOOSE(CONTROL!$C$28, 0.0226, 0)</f>
        <v>30.2088</v>
      </c>
      <c r="D331" s="4">
        <f>41.9103 * CHOOSE(CONTROL!$C$9, $C$13, 100%, $E$13) + CHOOSE(CONTROL!$C$28, 0.0021, 0)</f>
        <v>41.912399999999998</v>
      </c>
      <c r="E331" s="4">
        <f>195.816916449509 * CHOOSE(CONTROL!$C$9, $C$13, 100%, $E$13) + CHOOSE(CONTROL!$C$28, 0.0021, 0)</f>
        <v>195.81901644950901</v>
      </c>
    </row>
    <row r="332" spans="1:5" ht="15">
      <c r="A332" s="13">
        <v>51256</v>
      </c>
      <c r="B332" s="4">
        <f>31.7641 * CHOOSE(CONTROL!$C$9, $C$13, 100%, $E$13) + CHOOSE(CONTROL!$C$28, 0.0226, 0)</f>
        <v>31.7867</v>
      </c>
      <c r="C332" s="4">
        <f>31.4008 * CHOOSE(CONTROL!$C$9, $C$13, 100%, $E$13) + CHOOSE(CONTROL!$C$28, 0.0226, 0)</f>
        <v>31.423400000000001</v>
      </c>
      <c r="D332" s="4">
        <f>43.0794 * CHOOSE(CONTROL!$C$9, $C$13, 100%, $E$13) + CHOOSE(CONTROL!$C$28, 0.0021, 0)</f>
        <v>43.081499999999998</v>
      </c>
      <c r="E332" s="4">
        <f>203.804404441265 * CHOOSE(CONTROL!$C$9, $C$13, 100%, $E$13) + CHOOSE(CONTROL!$C$28, 0.0021, 0)</f>
        <v>203.80650444126502</v>
      </c>
    </row>
    <row r="333" spans="1:5" ht="15">
      <c r="A333" s="13">
        <v>51287</v>
      </c>
      <c r="B333" s="4">
        <f>32.5062 * CHOOSE(CONTROL!$C$9, $C$13, 100%, $E$13) + CHOOSE(CONTROL!$C$28, 0.0226, 0)</f>
        <v>32.528799999999997</v>
      </c>
      <c r="C333" s="4">
        <f>32.1429 * CHOOSE(CONTROL!$C$9, $C$13, 100%, $E$13) + CHOOSE(CONTROL!$C$28, 0.0226, 0)</f>
        <v>32.165499999999994</v>
      </c>
      <c r="D333" s="4">
        <f>42.6174 * CHOOSE(CONTROL!$C$9, $C$13, 100%, $E$13) + CHOOSE(CONTROL!$C$28, 0.0021, 0)</f>
        <v>42.619500000000002</v>
      </c>
      <c r="E333" s="4">
        <f>208.684568170858 * CHOOSE(CONTROL!$C$9, $C$13, 100%, $E$13) + CHOOSE(CONTROL!$C$28, 0.0021, 0)</f>
        <v>208.68666817085801</v>
      </c>
    </row>
    <row r="334" spans="1:5" ht="15">
      <c r="A334" s="13">
        <v>51317</v>
      </c>
      <c r="B334" s="4">
        <f>32.6066 * CHOOSE(CONTROL!$C$9, $C$13, 100%, $E$13) + CHOOSE(CONTROL!$C$28, 0.0226, 0)</f>
        <v>32.629199999999997</v>
      </c>
      <c r="C334" s="4">
        <f>32.2433 * CHOOSE(CONTROL!$C$9, $C$13, 100%, $E$13) + CHOOSE(CONTROL!$C$28, 0.0226, 0)</f>
        <v>32.265899999999995</v>
      </c>
      <c r="D334" s="4">
        <f>42.9937 * CHOOSE(CONTROL!$C$9, $C$13, 100%, $E$13) + CHOOSE(CONTROL!$C$28, 0.0021, 0)</f>
        <v>42.995799999999996</v>
      </c>
      <c r="E334" s="4">
        <f>209.344874576568 * CHOOSE(CONTROL!$C$9, $C$13, 100%, $E$13) + CHOOSE(CONTROL!$C$28, 0.0021, 0)</f>
        <v>209.34697457656802</v>
      </c>
    </row>
    <row r="335" spans="1:5" ht="15">
      <c r="A335" s="13">
        <v>51348</v>
      </c>
      <c r="B335" s="4">
        <f>32.5965 * CHOOSE(CONTROL!$C$9, $C$13, 100%, $E$13) + CHOOSE(CONTROL!$C$28, 0.0226, 0)</f>
        <v>32.619099999999996</v>
      </c>
      <c r="C335" s="4">
        <f>32.2332 * CHOOSE(CONTROL!$C$9, $C$13, 100%, $E$13) + CHOOSE(CONTROL!$C$28, 0.0226, 0)</f>
        <v>32.255799999999994</v>
      </c>
      <c r="D335" s="4">
        <f>43.6725 * CHOOSE(CONTROL!$C$9, $C$13, 100%, $E$13) + CHOOSE(CONTROL!$C$28, 0.0021, 0)</f>
        <v>43.674599999999998</v>
      </c>
      <c r="E335" s="4">
        <f>209.278289056664 * CHOOSE(CONTROL!$C$9, $C$13, 100%, $E$13) + CHOOSE(CONTROL!$C$28, 0.0021, 0)</f>
        <v>209.28038905666401</v>
      </c>
    </row>
    <row r="336" spans="1:5" ht="15">
      <c r="A336" s="13">
        <v>51379</v>
      </c>
      <c r="B336" s="4">
        <f>33.3584 * CHOOSE(CONTROL!$C$9, $C$13, 100%, $E$13) + CHOOSE(CONTROL!$C$28, 0.0226, 0)</f>
        <v>33.381</v>
      </c>
      <c r="C336" s="4">
        <f>32.9951 * CHOOSE(CONTROL!$C$9, $C$13, 100%, $E$13) + CHOOSE(CONTROL!$C$28, 0.0226, 0)</f>
        <v>33.017699999999998</v>
      </c>
      <c r="D336" s="4">
        <f>43.2242 * CHOOSE(CONTROL!$C$9, $C$13, 100%, $E$13) + CHOOSE(CONTROL!$C$28, 0.0021, 0)</f>
        <v>43.226300000000002</v>
      </c>
      <c r="E336" s="4">
        <f>214.288849429402 * CHOOSE(CONTROL!$C$9, $C$13, 100%, $E$13) + CHOOSE(CONTROL!$C$28, 0.0021, 0)</f>
        <v>214.29094942940202</v>
      </c>
    </row>
    <row r="337" spans="1:5" ht="15">
      <c r="A337" s="13">
        <v>51409</v>
      </c>
      <c r="B337" s="4">
        <f>32.0598 * CHOOSE(CONTROL!$C$9, $C$13, 100%, $E$13) + CHOOSE(CONTROL!$C$28, 0.0226, 0)</f>
        <v>32.0824</v>
      </c>
      <c r="C337" s="4">
        <f>31.6965 * CHOOSE(CONTROL!$C$9, $C$13, 100%, $E$13) + CHOOSE(CONTROL!$C$28, 0.0226, 0)</f>
        <v>31.719100000000001</v>
      </c>
      <c r="D337" s="4">
        <f>43.0124 * CHOOSE(CONTROL!$C$9, $C$13, 100%, $E$13) + CHOOSE(CONTROL!$C$28, 0.0021, 0)</f>
        <v>43.014499999999998</v>
      </c>
      <c r="E337" s="4">
        <f>205.749256501779 * CHOOSE(CONTROL!$C$9, $C$13, 100%, $E$13) + CHOOSE(CONTROL!$C$28, 0.0021, 0)</f>
        <v>205.75135650177901</v>
      </c>
    </row>
    <row r="338" spans="1:5" ht="15">
      <c r="A338" s="13">
        <v>51440</v>
      </c>
      <c r="B338" s="4">
        <f>31.0203 * CHOOSE(CONTROL!$C$9, $C$13, 100%, $E$13) + CHOOSE(CONTROL!$C$28, 0.0226, 0)</f>
        <v>31.042899999999999</v>
      </c>
      <c r="C338" s="4">
        <f>30.657 * CHOOSE(CONTROL!$C$9, $C$13, 100%, $E$13) + CHOOSE(CONTROL!$C$28, 0.0226, 0)</f>
        <v>30.679600000000001</v>
      </c>
      <c r="D338" s="4">
        <f>42.4452 * CHOOSE(CONTROL!$C$9, $C$13, 100%, $E$13) + CHOOSE(CONTROL!$C$28, 0.0021, 0)</f>
        <v>42.447299999999998</v>
      </c>
      <c r="E338" s="4">
        <f>198.913143125021 * CHOOSE(CONTROL!$C$9, $C$13, 100%, $E$13) + CHOOSE(CONTROL!$C$28, 0.0021, 0)</f>
        <v>198.91524312502102</v>
      </c>
    </row>
    <row r="339" spans="1:5" ht="15">
      <c r="A339" s="13">
        <v>51470</v>
      </c>
      <c r="B339" s="4">
        <f>30.3508 * CHOOSE(CONTROL!$C$9, $C$13, 100%, $E$13) + CHOOSE(CONTROL!$C$28, 0.0226, 0)</f>
        <v>30.3734</v>
      </c>
      <c r="C339" s="4">
        <f>29.9875 * CHOOSE(CONTROL!$C$9, $C$13, 100%, $E$13) + CHOOSE(CONTROL!$C$28, 0.0226, 0)</f>
        <v>30.010100000000001</v>
      </c>
      <c r="D339" s="4">
        <f>42.2502 * CHOOSE(CONTROL!$C$9, $C$13, 100%, $E$13) + CHOOSE(CONTROL!$C$28, 0.0021, 0)</f>
        <v>42.252299999999998</v>
      </c>
      <c r="E339" s="4">
        <f>194.510175621403 * CHOOSE(CONTROL!$C$9, $C$13, 100%, $E$13) + CHOOSE(CONTROL!$C$28, 0.0021, 0)</f>
        <v>194.51227562140301</v>
      </c>
    </row>
    <row r="340" spans="1:5" ht="15">
      <c r="A340" s="13">
        <v>51501</v>
      </c>
      <c r="B340" s="4">
        <f>29.8876 * CHOOSE(CONTROL!$C$9, $C$13, 100%, $E$13) + CHOOSE(CONTROL!$C$28, 0.0226, 0)</f>
        <v>29.9102</v>
      </c>
      <c r="C340" s="4">
        <f>29.5243 * CHOOSE(CONTROL!$C$9, $C$13, 100%, $E$13) + CHOOSE(CONTROL!$C$28, 0.0226, 0)</f>
        <v>29.546900000000001</v>
      </c>
      <c r="D340" s="4">
        <f>40.8147 * CHOOSE(CONTROL!$C$9, $C$13, 100%, $E$13) + CHOOSE(CONTROL!$C$28, 0.0021, 0)</f>
        <v>40.816800000000001</v>
      </c>
      <c r="E340" s="4">
        <f>191.463888085818 * CHOOSE(CONTROL!$C$9, $C$13, 100%, $E$13) + CHOOSE(CONTROL!$C$28, 0.0021, 0)</f>
        <v>191.46598808581803</v>
      </c>
    </row>
    <row r="341" spans="1:5" ht="15">
      <c r="A341" s="13">
        <v>51532</v>
      </c>
      <c r="B341" s="4">
        <f>28.6202 * CHOOSE(CONTROL!$C$9, $C$13, 100%, $E$13) + CHOOSE(CONTROL!$C$28, 0.0226, 0)</f>
        <v>28.642800000000001</v>
      </c>
      <c r="C341" s="4">
        <f>28.2569 * CHOOSE(CONTROL!$C$9, $C$13, 100%, $E$13) + CHOOSE(CONTROL!$C$28, 0.0226, 0)</f>
        <v>28.279500000000002</v>
      </c>
      <c r="D341" s="4">
        <f>39.2334 * CHOOSE(CONTROL!$C$9, $C$13, 100%, $E$13) + CHOOSE(CONTROL!$C$28, 0.0021, 0)</f>
        <v>39.235500000000002</v>
      </c>
      <c r="E341" s="4">
        <f>183.488639150743 * CHOOSE(CONTROL!$C$9, $C$13, 100%, $E$13) + CHOOSE(CONTROL!$C$28, 0.0021, 0)</f>
        <v>183.49073915074302</v>
      </c>
    </row>
    <row r="342" spans="1:5" ht="15">
      <c r="A342" s="13">
        <v>51560</v>
      </c>
      <c r="B342" s="4">
        <f>29.2814 * CHOOSE(CONTROL!$C$9, $C$13, 100%, $E$13) + CHOOSE(CONTROL!$C$28, 0.0226, 0)</f>
        <v>29.304000000000002</v>
      </c>
      <c r="C342" s="4">
        <f>28.9181 * CHOOSE(CONTROL!$C$9, $C$13, 100%, $E$13) + CHOOSE(CONTROL!$C$28, 0.0226, 0)</f>
        <v>28.9407</v>
      </c>
      <c r="D342" s="4">
        <f>40.5528 * CHOOSE(CONTROL!$C$9, $C$13, 100%, $E$13) + CHOOSE(CONTROL!$C$28, 0.0021, 0)</f>
        <v>40.554899999999996</v>
      </c>
      <c r="E342" s="4">
        <f>187.845382556292 * CHOOSE(CONTROL!$C$9, $C$13, 100%, $E$13) + CHOOSE(CONTROL!$C$28, 0.0021, 0)</f>
        <v>187.84748255629202</v>
      </c>
    </row>
    <row r="343" spans="1:5" ht="15">
      <c r="A343" s="13">
        <v>51591</v>
      </c>
      <c r="B343" s="4">
        <f>31.0177 * CHOOSE(CONTROL!$C$9, $C$13, 100%, $E$13) + CHOOSE(CONTROL!$C$28, 0.0226, 0)</f>
        <v>31.040300000000002</v>
      </c>
      <c r="C343" s="4">
        <f>30.6545 * CHOOSE(CONTROL!$C$9, $C$13, 100%, $E$13) + CHOOSE(CONTROL!$C$28, 0.0226, 0)</f>
        <v>30.677099999999999</v>
      </c>
      <c r="D343" s="4">
        <f>42.6181 * CHOOSE(CONTROL!$C$9, $C$13, 100%, $E$13) + CHOOSE(CONTROL!$C$28, 0.0021, 0)</f>
        <v>42.620199999999997</v>
      </c>
      <c r="E343" s="4">
        <f>199.28642227067 * CHOOSE(CONTROL!$C$9, $C$13, 100%, $E$13) + CHOOSE(CONTROL!$C$28, 0.0021, 0)</f>
        <v>199.28852227067</v>
      </c>
    </row>
    <row r="344" spans="1:5" ht="15">
      <c r="A344" s="13">
        <v>51621</v>
      </c>
      <c r="B344" s="4">
        <f>32.2514 * CHOOSE(CONTROL!$C$9, $C$13, 100%, $E$13) + CHOOSE(CONTROL!$C$28, 0.0226, 0)</f>
        <v>32.273999999999994</v>
      </c>
      <c r="C344" s="4">
        <f>31.8881 * CHOOSE(CONTROL!$C$9, $C$13, 100%, $E$13) + CHOOSE(CONTROL!$C$28, 0.0226, 0)</f>
        <v>31.910700000000002</v>
      </c>
      <c r="D344" s="4">
        <f>43.8078 * CHOOSE(CONTROL!$C$9, $C$13, 100%, $E$13) + CHOOSE(CONTROL!$C$28, 0.0021, 0)</f>
        <v>43.809899999999999</v>
      </c>
      <c r="E344" s="4">
        <f>207.415433459636 * CHOOSE(CONTROL!$C$9, $C$13, 100%, $E$13) + CHOOSE(CONTROL!$C$28, 0.0021, 0)</f>
        <v>207.41753345963602</v>
      </c>
    </row>
    <row r="345" spans="1:5" ht="15">
      <c r="A345" s="13">
        <v>51652</v>
      </c>
      <c r="B345" s="4">
        <f>33.0052 * CHOOSE(CONTROL!$C$9, $C$13, 100%, $E$13) + CHOOSE(CONTROL!$C$28, 0.0226, 0)</f>
        <v>33.027799999999999</v>
      </c>
      <c r="C345" s="4">
        <f>32.6419 * CHOOSE(CONTROL!$C$9, $C$13, 100%, $E$13) + CHOOSE(CONTROL!$C$28, 0.0226, 0)</f>
        <v>32.664499999999997</v>
      </c>
      <c r="D345" s="4">
        <f>43.3377 * CHOOSE(CONTROL!$C$9, $C$13, 100%, $E$13) + CHOOSE(CONTROL!$C$28, 0.0021, 0)</f>
        <v>43.339799999999997</v>
      </c>
      <c r="E345" s="4">
        <f>212.382064470887 * CHOOSE(CONTROL!$C$9, $C$13, 100%, $E$13) + CHOOSE(CONTROL!$C$28, 0.0021, 0)</f>
        <v>212.38416447088701</v>
      </c>
    </row>
    <row r="346" spans="1:5" ht="15">
      <c r="A346" s="13">
        <v>51682</v>
      </c>
      <c r="B346" s="4">
        <f>33.1072 * CHOOSE(CONTROL!$C$9, $C$13, 100%, $E$13) + CHOOSE(CONTROL!$C$28, 0.0226, 0)</f>
        <v>33.129799999999996</v>
      </c>
      <c r="C346" s="4">
        <f>32.7439 * CHOOSE(CONTROL!$C$9, $C$13, 100%, $E$13) + CHOOSE(CONTROL!$C$28, 0.0226, 0)</f>
        <v>32.766499999999994</v>
      </c>
      <c r="D346" s="4">
        <f>43.7206 * CHOOSE(CONTROL!$C$9, $C$13, 100%, $E$13) + CHOOSE(CONTROL!$C$28, 0.0021, 0)</f>
        <v>43.722699999999996</v>
      </c>
      <c r="E346" s="4">
        <f>213.054070258652 * CHOOSE(CONTROL!$C$9, $C$13, 100%, $E$13) + CHOOSE(CONTROL!$C$28, 0.0021, 0)</f>
        <v>213.056170258652</v>
      </c>
    </row>
    <row r="347" spans="1:5" ht="15">
      <c r="A347" s="13">
        <v>51713</v>
      </c>
      <c r="B347" s="4">
        <f>33.0969 * CHOOSE(CONTROL!$C$9, $C$13, 100%, $E$13) + CHOOSE(CONTROL!$C$28, 0.0226, 0)</f>
        <v>33.119499999999995</v>
      </c>
      <c r="C347" s="4">
        <f>32.7336 * CHOOSE(CONTROL!$C$9, $C$13, 100%, $E$13) + CHOOSE(CONTROL!$C$28, 0.0226, 0)</f>
        <v>32.7562</v>
      </c>
      <c r="D347" s="4">
        <f>44.4114 * CHOOSE(CONTROL!$C$9, $C$13, 100%, $E$13) + CHOOSE(CONTROL!$C$28, 0.0021, 0)</f>
        <v>44.413499999999999</v>
      </c>
      <c r="E347" s="4">
        <f>212.98630496913 * CHOOSE(CONTROL!$C$9, $C$13, 100%, $E$13) + CHOOSE(CONTROL!$C$28, 0.0021, 0)</f>
        <v>212.98840496913002</v>
      </c>
    </row>
    <row r="348" spans="1:5" ht="15">
      <c r="A348" s="13">
        <v>51744</v>
      </c>
      <c r="B348" s="4">
        <f>33.8708 * CHOOSE(CONTROL!$C$9, $C$13, 100%, $E$13) + CHOOSE(CONTROL!$C$28, 0.0226, 0)</f>
        <v>33.8934</v>
      </c>
      <c r="C348" s="4">
        <f>33.5075 * CHOOSE(CONTROL!$C$9, $C$13, 100%, $E$13) + CHOOSE(CONTROL!$C$28, 0.0226, 0)</f>
        <v>33.530099999999997</v>
      </c>
      <c r="D348" s="4">
        <f>43.9552 * CHOOSE(CONTROL!$C$9, $C$13, 100%, $E$13) + CHOOSE(CONTROL!$C$28, 0.0021, 0)</f>
        <v>43.957299999999996</v>
      </c>
      <c r="E348" s="4">
        <f>218.085643005696 * CHOOSE(CONTROL!$C$9, $C$13, 100%, $E$13) + CHOOSE(CONTROL!$C$28, 0.0021, 0)</f>
        <v>218.08774300569601</v>
      </c>
    </row>
    <row r="349" spans="1:5" ht="15">
      <c r="A349" s="13">
        <v>51774</v>
      </c>
      <c r="B349" s="4">
        <f>32.5518 * CHOOSE(CONTROL!$C$9, $C$13, 100%, $E$13) + CHOOSE(CONTROL!$C$28, 0.0226, 0)</f>
        <v>32.574399999999997</v>
      </c>
      <c r="C349" s="4">
        <f>32.1885 * CHOOSE(CONTROL!$C$9, $C$13, 100%, $E$13) + CHOOSE(CONTROL!$C$28, 0.0226, 0)</f>
        <v>32.211099999999995</v>
      </c>
      <c r="D349" s="4">
        <f>43.7396 * CHOOSE(CONTROL!$C$9, $C$13, 100%, $E$13) + CHOOSE(CONTROL!$C$28, 0.0021, 0)</f>
        <v>43.741700000000002</v>
      </c>
      <c r="E349" s="4">
        <f>209.394744624439 * CHOOSE(CONTROL!$C$9, $C$13, 100%, $E$13) + CHOOSE(CONTROL!$C$28, 0.0021, 0)</f>
        <v>209.39684462443901</v>
      </c>
    </row>
    <row r="350" spans="1:5" ht="15">
      <c r="A350" s="13">
        <v>51805</v>
      </c>
      <c r="B350" s="4">
        <f>31.496 * CHOOSE(CONTROL!$C$9, $C$13, 100%, $E$13) + CHOOSE(CONTROL!$C$28, 0.0226, 0)</f>
        <v>31.518599999999999</v>
      </c>
      <c r="C350" s="4">
        <f>31.1327 * CHOOSE(CONTROL!$C$9, $C$13, 100%, $E$13) + CHOOSE(CONTROL!$C$28, 0.0226, 0)</f>
        <v>31.1553</v>
      </c>
      <c r="D350" s="4">
        <f>43.1624 * CHOOSE(CONTROL!$C$9, $C$13, 100%, $E$13) + CHOOSE(CONTROL!$C$28, 0.0021, 0)</f>
        <v>43.164499999999997</v>
      </c>
      <c r="E350" s="4">
        <f>202.437508233465 * CHOOSE(CONTROL!$C$9, $C$13, 100%, $E$13) + CHOOSE(CONTROL!$C$28, 0.0021, 0)</f>
        <v>202.43960823346501</v>
      </c>
    </row>
    <row r="351" spans="1:5" ht="15">
      <c r="A351" s="13">
        <v>51835</v>
      </c>
      <c r="B351" s="4">
        <f>30.8159 * CHOOSE(CONTROL!$C$9, $C$13, 100%, $E$13) + CHOOSE(CONTROL!$C$28, 0.0226, 0)</f>
        <v>30.8385</v>
      </c>
      <c r="C351" s="4">
        <f>30.4526 * CHOOSE(CONTROL!$C$9, $C$13, 100%, $E$13) + CHOOSE(CONTROL!$C$28, 0.0226, 0)</f>
        <v>30.475200000000001</v>
      </c>
      <c r="D351" s="4">
        <f>42.964 * CHOOSE(CONTROL!$C$9, $C$13, 100%, $E$13) + CHOOSE(CONTROL!$C$28, 0.0021, 0)</f>
        <v>42.966099999999997</v>
      </c>
      <c r="E351" s="4">
        <f>197.956528463791 * CHOOSE(CONTROL!$C$9, $C$13, 100%, $E$13) + CHOOSE(CONTROL!$C$28, 0.0021, 0)</f>
        <v>197.958628463791</v>
      </c>
    </row>
    <row r="352" spans="1:5" ht="15">
      <c r="A352" s="13">
        <v>51866</v>
      </c>
      <c r="B352" s="4">
        <f>30.3454 * CHOOSE(CONTROL!$C$9, $C$13, 100%, $E$13) + CHOOSE(CONTROL!$C$28, 0.0226, 0)</f>
        <v>30.368000000000002</v>
      </c>
      <c r="C352" s="4">
        <f>29.9821 * CHOOSE(CONTROL!$C$9, $C$13, 100%, $E$13) + CHOOSE(CONTROL!$C$28, 0.0226, 0)</f>
        <v>30.0047</v>
      </c>
      <c r="D352" s="4">
        <f>41.5031 * CHOOSE(CONTROL!$C$9, $C$13, 100%, $E$13) + CHOOSE(CONTROL!$C$28, 0.0021, 0)</f>
        <v>41.505200000000002</v>
      </c>
      <c r="E352" s="4">
        <f>194.856266468138 * CHOOSE(CONTROL!$C$9, $C$13, 100%, $E$13) + CHOOSE(CONTROL!$C$28, 0.0021, 0)</f>
        <v>194.858366468138</v>
      </c>
    </row>
    <row r="353" spans="1:5" ht="15">
      <c r="A353" s="13">
        <v>51897</v>
      </c>
      <c r="B353" s="4">
        <f>29.0581 * CHOOSE(CONTROL!$C$9, $C$13, 100%, $E$13) + CHOOSE(CONTROL!$C$28, 0.0226, 0)</f>
        <v>29.0807</v>
      </c>
      <c r="C353" s="4">
        <f>28.6948 * CHOOSE(CONTROL!$C$9, $C$13, 100%, $E$13) + CHOOSE(CONTROL!$C$28, 0.0226, 0)</f>
        <v>28.717400000000001</v>
      </c>
      <c r="D353" s="4">
        <f>39.8939 * CHOOSE(CONTROL!$C$9, $C$13, 100%, $E$13) + CHOOSE(CONTROL!$C$28, 0.0021, 0)</f>
        <v>39.896000000000001</v>
      </c>
      <c r="E353" s="4">
        <f>186.739711188815 * CHOOSE(CONTROL!$C$9, $C$13, 100%, $E$13) + CHOOSE(CONTROL!$C$28, 0.0021, 0)</f>
        <v>186.74181118881501</v>
      </c>
    </row>
    <row r="354" spans="1:5" ht="15">
      <c r="A354" s="13">
        <v>51925</v>
      </c>
      <c r="B354" s="4">
        <f>29.7297 * CHOOSE(CONTROL!$C$9, $C$13, 100%, $E$13) + CHOOSE(CONTROL!$C$28, 0.0226, 0)</f>
        <v>29.752300000000002</v>
      </c>
      <c r="C354" s="4">
        <f>29.3664 * CHOOSE(CONTROL!$C$9, $C$13, 100%, $E$13) + CHOOSE(CONTROL!$C$28, 0.0226, 0)</f>
        <v>29.388999999999999</v>
      </c>
      <c r="D354" s="4">
        <f>41.2366 * CHOOSE(CONTROL!$C$9, $C$13, 100%, $E$13) + CHOOSE(CONTROL!$C$28, 0.0021, 0)</f>
        <v>41.238700000000001</v>
      </c>
      <c r="E354" s="4">
        <f>191.173647856728 * CHOOSE(CONTROL!$C$9, $C$13, 100%, $E$13) + CHOOSE(CONTROL!$C$28, 0.0021, 0)</f>
        <v>191.17574785672801</v>
      </c>
    </row>
    <row r="355" spans="1:5" ht="15">
      <c r="A355" s="13">
        <v>51956</v>
      </c>
      <c r="B355" s="4">
        <f>31.4933 * CHOOSE(CONTROL!$C$9, $C$13, 100%, $E$13) + CHOOSE(CONTROL!$C$28, 0.0226, 0)</f>
        <v>31.515900000000002</v>
      </c>
      <c r="C355" s="4">
        <f>31.13 * CHOOSE(CONTROL!$C$9, $C$13, 100%, $E$13) + CHOOSE(CONTROL!$C$28, 0.0226, 0)</f>
        <v>31.1526</v>
      </c>
      <c r="D355" s="4">
        <f>43.3384 * CHOOSE(CONTROL!$C$9, $C$13, 100%, $E$13) + CHOOSE(CONTROL!$C$28, 0.0021, 0)</f>
        <v>43.340499999999999</v>
      </c>
      <c r="E355" s="4">
        <f>202.817401180373 * CHOOSE(CONTROL!$C$9, $C$13, 100%, $E$13) + CHOOSE(CONTROL!$C$28, 0.0021, 0)</f>
        <v>202.81950118037301</v>
      </c>
    </row>
    <row r="356" spans="1:5" ht="15">
      <c r="A356" s="13">
        <v>51986</v>
      </c>
      <c r="B356" s="4">
        <f>32.7464 * CHOOSE(CONTROL!$C$9, $C$13, 100%, $E$13) + CHOOSE(CONTROL!$C$28, 0.0226, 0)</f>
        <v>32.768999999999998</v>
      </c>
      <c r="C356" s="4">
        <f>32.3831 * CHOOSE(CONTROL!$C$9, $C$13, 100%, $E$13) + CHOOSE(CONTROL!$C$28, 0.0226, 0)</f>
        <v>32.405699999999996</v>
      </c>
      <c r="D356" s="4">
        <f>44.5491 * CHOOSE(CONTROL!$C$9, $C$13, 100%, $E$13) + CHOOSE(CONTROL!$C$28, 0.0021, 0)</f>
        <v>44.551200000000001</v>
      </c>
      <c r="E356" s="4">
        <f>211.090443090239 * CHOOSE(CONTROL!$C$9, $C$13, 100%, $E$13) + CHOOSE(CONTROL!$C$28, 0.0021, 0)</f>
        <v>211.09254309023902</v>
      </c>
    </row>
    <row r="357" spans="1:5" ht="15">
      <c r="A357" s="13">
        <v>52017</v>
      </c>
      <c r="B357" s="4">
        <f>33.512 * CHOOSE(CONTROL!$C$9, $C$13, 100%, $E$13) + CHOOSE(CONTROL!$C$28, 0.0226, 0)</f>
        <v>33.534599999999998</v>
      </c>
      <c r="C357" s="4">
        <f>33.1487 * CHOOSE(CONTROL!$C$9, $C$13, 100%, $E$13) + CHOOSE(CONTROL!$C$28, 0.0226, 0)</f>
        <v>33.171299999999995</v>
      </c>
      <c r="D357" s="4">
        <f>44.0707 * CHOOSE(CONTROL!$C$9, $C$13, 100%, $E$13) + CHOOSE(CONTROL!$C$28, 0.0021, 0)</f>
        <v>44.072800000000001</v>
      </c>
      <c r="E357" s="4">
        <f>216.145073420024 * CHOOSE(CONTROL!$C$9, $C$13, 100%, $E$13) + CHOOSE(CONTROL!$C$28, 0.0021, 0)</f>
        <v>216.14717342002402</v>
      </c>
    </row>
    <row r="358" spans="1:5" ht="15">
      <c r="A358" s="13">
        <v>52047</v>
      </c>
      <c r="B358" s="4">
        <f>33.6156 * CHOOSE(CONTROL!$C$9, $C$13, 100%, $E$13) + CHOOSE(CONTROL!$C$28, 0.0226, 0)</f>
        <v>33.638199999999998</v>
      </c>
      <c r="C358" s="4">
        <f>33.2523 * CHOOSE(CONTROL!$C$9, $C$13, 100%, $E$13) + CHOOSE(CONTROL!$C$28, 0.0226, 0)</f>
        <v>33.274899999999995</v>
      </c>
      <c r="D358" s="4">
        <f>44.4603 * CHOOSE(CONTROL!$C$9, $C$13, 100%, $E$13) + CHOOSE(CONTROL!$C$28, 0.0021, 0)</f>
        <v>44.462399999999995</v>
      </c>
      <c r="E358" s="4">
        <f>216.828985880791 * CHOOSE(CONTROL!$C$9, $C$13, 100%, $E$13) + CHOOSE(CONTROL!$C$28, 0.0021, 0)</f>
        <v>216.83108588079102</v>
      </c>
    </row>
    <row r="359" spans="1:5" ht="15">
      <c r="A359" s="13">
        <v>52078</v>
      </c>
      <c r="B359" s="4">
        <f>33.6052 * CHOOSE(CONTROL!$C$9, $C$13, 100%, $E$13) + CHOOSE(CONTROL!$C$28, 0.0226, 0)</f>
        <v>33.627800000000001</v>
      </c>
      <c r="C359" s="4">
        <f>33.2419 * CHOOSE(CONTROL!$C$9, $C$13, 100%, $E$13) + CHOOSE(CONTROL!$C$28, 0.0226, 0)</f>
        <v>33.264499999999998</v>
      </c>
      <c r="D359" s="4">
        <f>45.1634 * CHOOSE(CONTROL!$C$9, $C$13, 100%, $E$13) + CHOOSE(CONTROL!$C$28, 0.0021, 0)</f>
        <v>45.165500000000002</v>
      </c>
      <c r="E359" s="4">
        <f>216.760019918361 * CHOOSE(CONTROL!$C$9, $C$13, 100%, $E$13) + CHOOSE(CONTROL!$C$28, 0.0021, 0)</f>
        <v>216.76211991836101</v>
      </c>
    </row>
    <row r="360" spans="1:5" ht="15">
      <c r="A360" s="13">
        <v>52109</v>
      </c>
      <c r="B360" s="4">
        <f>34.3912 * CHOOSE(CONTROL!$C$9, $C$13, 100%, $E$13) + CHOOSE(CONTROL!$C$28, 0.0226, 0)</f>
        <v>34.413799999999995</v>
      </c>
      <c r="C360" s="4">
        <f>34.0279 * CHOOSE(CONTROL!$C$9, $C$13, 100%, $E$13) + CHOOSE(CONTROL!$C$28, 0.0226, 0)</f>
        <v>34.0505</v>
      </c>
      <c r="D360" s="4">
        <f>44.6991 * CHOOSE(CONTROL!$C$9, $C$13, 100%, $E$13) + CHOOSE(CONTROL!$C$28, 0.0021, 0)</f>
        <v>44.7012</v>
      </c>
      <c r="E360" s="4">
        <f>221.949708591239 * CHOOSE(CONTROL!$C$9, $C$13, 100%, $E$13) + CHOOSE(CONTROL!$C$28, 0.0021, 0)</f>
        <v>221.951808591239</v>
      </c>
    </row>
    <row r="361" spans="1:5" ht="15">
      <c r="A361" s="13">
        <v>52139</v>
      </c>
      <c r="B361" s="4">
        <f>33.0515 * CHOOSE(CONTROL!$C$9, $C$13, 100%, $E$13) + CHOOSE(CONTROL!$C$28, 0.0226, 0)</f>
        <v>33.074099999999994</v>
      </c>
      <c r="C361" s="4">
        <f>32.6882 * CHOOSE(CONTROL!$C$9, $C$13, 100%, $E$13) + CHOOSE(CONTROL!$C$28, 0.0226, 0)</f>
        <v>32.710799999999999</v>
      </c>
      <c r="D361" s="4">
        <f>44.4797 * CHOOSE(CONTROL!$C$9, $C$13, 100%, $E$13) + CHOOSE(CONTROL!$C$28, 0.0021, 0)</f>
        <v>44.4818</v>
      </c>
      <c r="E361" s="4">
        <f>213.104823909556 * CHOOSE(CONTROL!$C$9, $C$13, 100%, $E$13) + CHOOSE(CONTROL!$C$28, 0.0021, 0)</f>
        <v>213.106923909556</v>
      </c>
    </row>
    <row r="362" spans="1:5" ht="15">
      <c r="A362" s="13">
        <v>52170</v>
      </c>
      <c r="B362" s="4">
        <f>31.9791 * CHOOSE(CONTROL!$C$9, $C$13, 100%, $E$13) + CHOOSE(CONTROL!$C$28, 0.0226, 0)</f>
        <v>32.0017</v>
      </c>
      <c r="C362" s="4">
        <f>31.6158 * CHOOSE(CONTROL!$C$9, $C$13, 100%, $E$13) + CHOOSE(CONTROL!$C$28, 0.0226, 0)</f>
        <v>31.638400000000001</v>
      </c>
      <c r="D362" s="4">
        <f>43.8923 * CHOOSE(CONTROL!$C$9, $C$13, 100%, $E$13) + CHOOSE(CONTROL!$C$28, 0.0021, 0)</f>
        <v>43.894399999999997</v>
      </c>
      <c r="E362" s="4">
        <f>206.024318433381 * CHOOSE(CONTROL!$C$9, $C$13, 100%, $E$13) + CHOOSE(CONTROL!$C$28, 0.0021, 0)</f>
        <v>206.02641843338102</v>
      </c>
    </row>
    <row r="363" spans="1:5" ht="15">
      <c r="A363" s="13">
        <v>52200</v>
      </c>
      <c r="B363" s="4">
        <f>31.2883 * CHOOSE(CONTROL!$C$9, $C$13, 100%, $E$13) + CHOOSE(CONTROL!$C$28, 0.0226, 0)</f>
        <v>31.3109</v>
      </c>
      <c r="C363" s="4">
        <f>30.925 * CHOOSE(CONTROL!$C$9, $C$13, 100%, $E$13) + CHOOSE(CONTROL!$C$28, 0.0226, 0)</f>
        <v>30.947600000000001</v>
      </c>
      <c r="D363" s="4">
        <f>43.6904 * CHOOSE(CONTROL!$C$9, $C$13, 100%, $E$13) + CHOOSE(CONTROL!$C$28, 0.0021, 0)</f>
        <v>43.692499999999995</v>
      </c>
      <c r="E363" s="4">
        <f>201.463944167679 * CHOOSE(CONTROL!$C$9, $C$13, 100%, $E$13) + CHOOSE(CONTROL!$C$28, 0.0021, 0)</f>
        <v>201.466044167679</v>
      </c>
    </row>
    <row r="364" spans="1:5" ht="15">
      <c r="A364" s="13">
        <v>52231</v>
      </c>
      <c r="B364" s="4">
        <f>30.8104 * CHOOSE(CONTROL!$C$9, $C$13, 100%, $E$13) + CHOOSE(CONTROL!$C$28, 0.0226, 0)</f>
        <v>30.833000000000002</v>
      </c>
      <c r="C364" s="4">
        <f>30.4471 * CHOOSE(CONTROL!$C$9, $C$13, 100%, $E$13) + CHOOSE(CONTROL!$C$28, 0.0226, 0)</f>
        <v>30.4697</v>
      </c>
      <c r="D364" s="4">
        <f>42.2037 * CHOOSE(CONTROL!$C$9, $C$13, 100%, $E$13) + CHOOSE(CONTROL!$C$28, 0.0021, 0)</f>
        <v>42.205799999999996</v>
      </c>
      <c r="E364" s="4">
        <f>198.308751386494 * CHOOSE(CONTROL!$C$9, $C$13, 100%, $E$13) + CHOOSE(CONTROL!$C$28, 0.0021, 0)</f>
        <v>198.31085138649402</v>
      </c>
    </row>
    <row r="365" spans="1:5" ht="15">
      <c r="A365" s="13">
        <v>52262</v>
      </c>
      <c r="B365" s="4">
        <f>29.5029 * CHOOSE(CONTROL!$C$9, $C$13, 100%, $E$13) + CHOOSE(CONTROL!$C$28, 0.0226, 0)</f>
        <v>29.525500000000001</v>
      </c>
      <c r="C365" s="4">
        <f>29.1396 * CHOOSE(CONTROL!$C$9, $C$13, 100%, $E$13) + CHOOSE(CONTROL!$C$28, 0.0226, 0)</f>
        <v>29.162200000000002</v>
      </c>
      <c r="D365" s="4">
        <f>40.566 * CHOOSE(CONTROL!$C$9, $C$13, 100%, $E$13) + CHOOSE(CONTROL!$C$28, 0.0021, 0)</f>
        <v>40.568100000000001</v>
      </c>
      <c r="E365" s="4">
        <f>190.048386081459 * CHOOSE(CONTROL!$C$9, $C$13, 100%, $E$13) + CHOOSE(CONTROL!$C$28, 0.0021, 0)</f>
        <v>190.05048608145901</v>
      </c>
    </row>
    <row r="366" spans="1:5" ht="15">
      <c r="A366" s="13">
        <v>52290</v>
      </c>
      <c r="B366" s="4">
        <f>30.185 * CHOOSE(CONTROL!$C$9, $C$13, 100%, $E$13) + CHOOSE(CONTROL!$C$28, 0.0226, 0)</f>
        <v>30.207599999999999</v>
      </c>
      <c r="C366" s="4">
        <f>29.8217 * CHOOSE(CONTROL!$C$9, $C$13, 100%, $E$13) + CHOOSE(CONTROL!$C$28, 0.0226, 0)</f>
        <v>29.8443</v>
      </c>
      <c r="D366" s="4">
        <f>41.9324 * CHOOSE(CONTROL!$C$9, $C$13, 100%, $E$13) + CHOOSE(CONTROL!$C$28, 0.0021, 0)</f>
        <v>41.9345</v>
      </c>
      <c r="E366" s="4">
        <f>194.560883730512 * CHOOSE(CONTROL!$C$9, $C$13, 100%, $E$13) + CHOOSE(CONTROL!$C$28, 0.0021, 0)</f>
        <v>194.562983730512</v>
      </c>
    </row>
    <row r="367" spans="1:5" ht="15">
      <c r="A367" s="13">
        <v>52321</v>
      </c>
      <c r="B367" s="4">
        <f>31.9764 * CHOOSE(CONTROL!$C$9, $C$13, 100%, $E$13) + CHOOSE(CONTROL!$C$28, 0.0226, 0)</f>
        <v>31.999000000000002</v>
      </c>
      <c r="C367" s="4">
        <f>31.6131 * CHOOSE(CONTROL!$C$9, $C$13, 100%, $E$13) + CHOOSE(CONTROL!$C$28, 0.0226, 0)</f>
        <v>31.6357</v>
      </c>
      <c r="D367" s="4">
        <f>44.0714 * CHOOSE(CONTROL!$C$9, $C$13, 100%, $E$13) + CHOOSE(CONTROL!$C$28, 0.0021, 0)</f>
        <v>44.073499999999996</v>
      </c>
      <c r="E367" s="4">
        <f>206.410942365613 * CHOOSE(CONTROL!$C$9, $C$13, 100%, $E$13) + CHOOSE(CONTROL!$C$28, 0.0021, 0)</f>
        <v>206.41304236561302</v>
      </c>
    </row>
    <row r="368" spans="1:5" ht="15">
      <c r="A368" s="13">
        <v>52351</v>
      </c>
      <c r="B368" s="4">
        <f>33.2492 * CHOOSE(CONTROL!$C$9, $C$13, 100%, $E$13) + CHOOSE(CONTROL!$C$28, 0.0226, 0)</f>
        <v>33.271799999999999</v>
      </c>
      <c r="C368" s="4">
        <f>32.8859 * CHOOSE(CONTROL!$C$9, $C$13, 100%, $E$13) + CHOOSE(CONTROL!$C$28, 0.0226, 0)</f>
        <v>32.908499999999997</v>
      </c>
      <c r="D368" s="4">
        <f>45.3035 * CHOOSE(CONTROL!$C$9, $C$13, 100%, $E$13) + CHOOSE(CONTROL!$C$28, 0.0021, 0)</f>
        <v>45.305599999999998</v>
      </c>
      <c r="E368" s="4">
        <f>214.830566948648 * CHOOSE(CONTROL!$C$9, $C$13, 100%, $E$13) + CHOOSE(CONTROL!$C$28, 0.0021, 0)</f>
        <v>214.83266694864801</v>
      </c>
    </row>
    <row r="369" spans="1:5" ht="15">
      <c r="A369" s="13">
        <v>52382</v>
      </c>
      <c r="B369" s="4">
        <f>34.0268 * CHOOSE(CONTROL!$C$9, $C$13, 100%, $E$13) + CHOOSE(CONTROL!$C$28, 0.0226, 0)</f>
        <v>34.049399999999999</v>
      </c>
      <c r="C369" s="4">
        <f>33.6635 * CHOOSE(CONTROL!$C$9, $C$13, 100%, $E$13) + CHOOSE(CONTROL!$C$28, 0.0226, 0)</f>
        <v>33.686099999999996</v>
      </c>
      <c r="D369" s="4">
        <f>44.8166 * CHOOSE(CONTROL!$C$9, $C$13, 100%, $E$13) + CHOOSE(CONTROL!$C$28, 0.0021, 0)</f>
        <v>44.8187</v>
      </c>
      <c r="E369" s="4">
        <f>219.974755778644 * CHOOSE(CONTROL!$C$9, $C$13, 100%, $E$13) + CHOOSE(CONTROL!$C$28, 0.0021, 0)</f>
        <v>219.97685577864402</v>
      </c>
    </row>
    <row r="370" spans="1:5" ht="15">
      <c r="A370" s="13">
        <v>52412</v>
      </c>
      <c r="B370" s="4">
        <f>34.132 * CHOOSE(CONTROL!$C$9, $C$13, 100%, $E$13) + CHOOSE(CONTROL!$C$28, 0.0226, 0)</f>
        <v>34.154599999999995</v>
      </c>
      <c r="C370" s="4">
        <f>33.7688 * CHOOSE(CONTROL!$C$9, $C$13, 100%, $E$13) + CHOOSE(CONTROL!$C$28, 0.0226, 0)</f>
        <v>33.791399999999996</v>
      </c>
      <c r="D370" s="4">
        <f>45.2131 * CHOOSE(CONTROL!$C$9, $C$13, 100%, $E$13) + CHOOSE(CONTROL!$C$28, 0.0021, 0)</f>
        <v>45.215199999999996</v>
      </c>
      <c r="E370" s="4">
        <f>220.670785876165 * CHOOSE(CONTROL!$C$9, $C$13, 100%, $E$13) + CHOOSE(CONTROL!$C$28, 0.0021, 0)</f>
        <v>220.67288587616503</v>
      </c>
    </row>
    <row r="371" spans="1:5" ht="15">
      <c r="A371" s="13">
        <v>52443</v>
      </c>
      <c r="B371" s="4">
        <f>34.1214 * CHOOSE(CONTROL!$C$9, $C$13, 100%, $E$13) + CHOOSE(CONTROL!$C$28, 0.0226, 0)</f>
        <v>34.143999999999998</v>
      </c>
      <c r="C371" s="4">
        <f>33.7581 * CHOOSE(CONTROL!$C$9, $C$13, 100%, $E$13) + CHOOSE(CONTROL!$C$28, 0.0226, 0)</f>
        <v>33.780699999999996</v>
      </c>
      <c r="D371" s="4">
        <f>45.9286 * CHOOSE(CONTROL!$C$9, $C$13, 100%, $E$13) + CHOOSE(CONTROL!$C$28, 0.0021, 0)</f>
        <v>45.930700000000002</v>
      </c>
      <c r="E371" s="4">
        <f>220.600597967171 * CHOOSE(CONTROL!$C$9, $C$13, 100%, $E$13) + CHOOSE(CONTROL!$C$28, 0.0021, 0)</f>
        <v>220.60269796717103</v>
      </c>
    </row>
    <row r="372" spans="1:5" ht="15">
      <c r="A372" s="13">
        <v>52474</v>
      </c>
      <c r="B372" s="4">
        <f>34.9199 * CHOOSE(CONTROL!$C$9, $C$13, 100%, $E$13) + CHOOSE(CONTROL!$C$28, 0.0226, 0)</f>
        <v>34.942499999999995</v>
      </c>
      <c r="C372" s="4">
        <f>34.5566 * CHOOSE(CONTROL!$C$9, $C$13, 100%, $E$13) + CHOOSE(CONTROL!$C$28, 0.0226, 0)</f>
        <v>34.5792</v>
      </c>
      <c r="D372" s="4">
        <f>45.4561 * CHOOSE(CONTROL!$C$9, $C$13, 100%, $E$13) + CHOOSE(CONTROL!$C$28, 0.0021, 0)</f>
        <v>45.458199999999998</v>
      </c>
      <c r="E372" s="4">
        <f>225.882238118947 * CHOOSE(CONTROL!$C$9, $C$13, 100%, $E$13) + CHOOSE(CONTROL!$C$28, 0.0021, 0)</f>
        <v>225.884338118947</v>
      </c>
    </row>
    <row r="373" spans="1:5" ht="15">
      <c r="A373" s="13">
        <v>52504</v>
      </c>
      <c r="B373" s="4">
        <f>33.5591 * CHOOSE(CONTROL!$C$9, $C$13, 100%, $E$13) + CHOOSE(CONTROL!$C$28, 0.0226, 0)</f>
        <v>33.581699999999998</v>
      </c>
      <c r="C373" s="4">
        <f>33.1958 * CHOOSE(CONTROL!$C$9, $C$13, 100%, $E$13) + CHOOSE(CONTROL!$C$28, 0.0226, 0)</f>
        <v>33.218399999999995</v>
      </c>
      <c r="D373" s="4">
        <f>45.2329 * CHOOSE(CONTROL!$C$9, $C$13, 100%, $E$13) + CHOOSE(CONTROL!$C$28, 0.0021, 0)</f>
        <v>45.234999999999999</v>
      </c>
      <c r="E373" s="4">
        <f>216.880638790506 * CHOOSE(CONTROL!$C$9, $C$13, 100%, $E$13) + CHOOSE(CONTROL!$C$28, 0.0021, 0)</f>
        <v>216.88273879050601</v>
      </c>
    </row>
    <row r="374" spans="1:5" ht="15">
      <c r="A374" s="13">
        <v>52535</v>
      </c>
      <c r="B374" s="4">
        <f>32.4698 * CHOOSE(CONTROL!$C$9, $C$13, 100%, $E$13) + CHOOSE(CONTROL!$C$28, 0.0226, 0)</f>
        <v>32.492399999999996</v>
      </c>
      <c r="C374" s="4">
        <f>32.1065 * CHOOSE(CONTROL!$C$9, $C$13, 100%, $E$13) + CHOOSE(CONTROL!$C$28, 0.0226, 0)</f>
        <v>32.129099999999994</v>
      </c>
      <c r="D374" s="4">
        <f>44.6351 * CHOOSE(CONTROL!$C$9, $C$13, 100%, $E$13) + CHOOSE(CONTROL!$C$28, 0.0021, 0)</f>
        <v>44.6372</v>
      </c>
      <c r="E374" s="4">
        <f>209.67468013382 * CHOOSE(CONTROL!$C$9, $C$13, 100%, $E$13) + CHOOSE(CONTROL!$C$28, 0.0021, 0)</f>
        <v>209.67678013382002</v>
      </c>
    </row>
    <row r="375" spans="1:5" ht="15">
      <c r="A375" s="13">
        <v>52565</v>
      </c>
      <c r="B375" s="4">
        <f>31.7682 * CHOOSE(CONTROL!$C$9, $C$13, 100%, $E$13) + CHOOSE(CONTROL!$C$28, 0.0226, 0)</f>
        <v>31.790800000000001</v>
      </c>
      <c r="C375" s="4">
        <f>31.4049 * CHOOSE(CONTROL!$C$9, $C$13, 100%, $E$13) + CHOOSE(CONTROL!$C$28, 0.0226, 0)</f>
        <v>31.427500000000002</v>
      </c>
      <c r="D375" s="4">
        <f>44.4296 * CHOOSE(CONTROL!$C$9, $C$13, 100%, $E$13) + CHOOSE(CONTROL!$C$28, 0.0021, 0)</f>
        <v>44.431699999999999</v>
      </c>
      <c r="E375" s="4">
        <f>205.033504651612 * CHOOSE(CONTROL!$C$9, $C$13, 100%, $E$13) + CHOOSE(CONTROL!$C$28, 0.0021, 0)</f>
        <v>205.035604651612</v>
      </c>
    </row>
    <row r="376" spans="1:5" ht="15">
      <c r="A376" s="13">
        <v>52596</v>
      </c>
      <c r="B376" s="4">
        <f>31.2827 * CHOOSE(CONTROL!$C$9, $C$13, 100%, $E$13) + CHOOSE(CONTROL!$C$28, 0.0226, 0)</f>
        <v>31.305299999999999</v>
      </c>
      <c r="C376" s="4">
        <f>30.9195 * CHOOSE(CONTROL!$C$9, $C$13, 100%, $E$13) + CHOOSE(CONTROL!$C$28, 0.0226, 0)</f>
        <v>30.9421</v>
      </c>
      <c r="D376" s="4">
        <f>42.9167 * CHOOSE(CONTROL!$C$9, $C$13, 100%, $E$13) + CHOOSE(CONTROL!$C$28, 0.0021, 0)</f>
        <v>42.918799999999997</v>
      </c>
      <c r="E376" s="4">
        <f>201.822407815151 * CHOOSE(CONTROL!$C$9, $C$13, 100%, $E$13) + CHOOSE(CONTROL!$C$28, 0.0021, 0)</f>
        <v>201.82450781515101</v>
      </c>
    </row>
    <row r="377" spans="1:5" ht="15">
      <c r="A377" s="13">
        <v>52627</v>
      </c>
      <c r="B377" s="4">
        <f>29.9546 * CHOOSE(CONTROL!$C$9, $C$13, 100%, $E$13) + CHOOSE(CONTROL!$C$28, 0.0226, 0)</f>
        <v>29.9772</v>
      </c>
      <c r="C377" s="4">
        <f>29.5914 * CHOOSE(CONTROL!$C$9, $C$13, 100%, $E$13) + CHOOSE(CONTROL!$C$28, 0.0226, 0)</f>
        <v>29.614000000000001</v>
      </c>
      <c r="D377" s="4">
        <f>41.25 * CHOOSE(CONTROL!$C$9, $C$13, 100%, $E$13) + CHOOSE(CONTROL!$C$28, 0.0021, 0)</f>
        <v>41.252099999999999</v>
      </c>
      <c r="E377" s="4">
        <f>193.415684442435 * CHOOSE(CONTROL!$C$9, $C$13, 100%, $E$13) + CHOOSE(CONTROL!$C$28, 0.0021, 0)</f>
        <v>193.41778444243502</v>
      </c>
    </row>
    <row r="378" spans="1:5" ht="15">
      <c r="A378" s="13">
        <v>52655</v>
      </c>
      <c r="B378" s="4">
        <f>30.6475 * CHOOSE(CONTROL!$C$9, $C$13, 100%, $E$13) + CHOOSE(CONTROL!$C$28, 0.0226, 0)</f>
        <v>30.670100000000001</v>
      </c>
      <c r="C378" s="4">
        <f>30.2842 * CHOOSE(CONTROL!$C$9, $C$13, 100%, $E$13) + CHOOSE(CONTROL!$C$28, 0.0226, 0)</f>
        <v>30.306799999999999</v>
      </c>
      <c r="D378" s="4">
        <f>42.6406 * CHOOSE(CONTROL!$C$9, $C$13, 100%, $E$13) + CHOOSE(CONTROL!$C$28, 0.0021, 0)</f>
        <v>42.642699999999998</v>
      </c>
      <c r="E378" s="4">
        <f>198.008135024796 * CHOOSE(CONTROL!$C$9, $C$13, 100%, $E$13) + CHOOSE(CONTROL!$C$28, 0.0021, 0)</f>
        <v>198.010235024796</v>
      </c>
    </row>
    <row r="379" spans="1:5" ht="15">
      <c r="A379" s="13">
        <v>52687</v>
      </c>
      <c r="B379" s="4">
        <f>32.4671 * CHOOSE(CONTROL!$C$9, $C$13, 100%, $E$13) + CHOOSE(CONTROL!$C$28, 0.0226, 0)</f>
        <v>32.489699999999999</v>
      </c>
      <c r="C379" s="4">
        <f>32.1038 * CHOOSE(CONTROL!$C$9, $C$13, 100%, $E$13) + CHOOSE(CONTROL!$C$28, 0.0226, 0)</f>
        <v>32.126399999999997</v>
      </c>
      <c r="D379" s="4">
        <f>44.8173 * CHOOSE(CONTROL!$C$9, $C$13, 100%, $E$13) + CHOOSE(CONTROL!$C$28, 0.0021, 0)</f>
        <v>44.819400000000002</v>
      </c>
      <c r="E379" s="4">
        <f>210.068154311719 * CHOOSE(CONTROL!$C$9, $C$13, 100%, $E$13) + CHOOSE(CONTROL!$C$28, 0.0021, 0)</f>
        <v>210.07025431171903</v>
      </c>
    </row>
    <row r="380" spans="1:5" ht="15">
      <c r="A380" s="13">
        <v>52717</v>
      </c>
      <c r="B380" s="4">
        <f>33.7599 * CHOOSE(CONTROL!$C$9, $C$13, 100%, $E$13) + CHOOSE(CONTROL!$C$28, 0.0226, 0)</f>
        <v>33.782499999999999</v>
      </c>
      <c r="C380" s="4">
        <f>33.3966 * CHOOSE(CONTROL!$C$9, $C$13, 100%, $E$13) + CHOOSE(CONTROL!$C$28, 0.0226, 0)</f>
        <v>33.419199999999996</v>
      </c>
      <c r="D380" s="4">
        <f>46.0712 * CHOOSE(CONTROL!$C$9, $C$13, 100%, $E$13) + CHOOSE(CONTROL!$C$28, 0.0021, 0)</f>
        <v>46.073299999999996</v>
      </c>
      <c r="E380" s="4">
        <f>218.636958735968 * CHOOSE(CONTROL!$C$9, $C$13, 100%, $E$13) + CHOOSE(CONTROL!$C$28, 0.0021, 0)</f>
        <v>218.63905873596801</v>
      </c>
    </row>
    <row r="381" spans="1:5" ht="15">
      <c r="A381" s="13">
        <v>52748</v>
      </c>
      <c r="B381" s="4">
        <f>34.5497 * CHOOSE(CONTROL!$C$9, $C$13, 100%, $E$13) + CHOOSE(CONTROL!$C$28, 0.0226, 0)</f>
        <v>34.572299999999998</v>
      </c>
      <c r="C381" s="4">
        <f>34.1864 * CHOOSE(CONTROL!$C$9, $C$13, 100%, $E$13) + CHOOSE(CONTROL!$C$28, 0.0226, 0)</f>
        <v>34.208999999999996</v>
      </c>
      <c r="D381" s="4">
        <f>45.5757 * CHOOSE(CONTROL!$C$9, $C$13, 100%, $E$13) + CHOOSE(CONTROL!$C$28, 0.0021, 0)</f>
        <v>45.577799999999996</v>
      </c>
      <c r="E381" s="4">
        <f>223.872292873603 * CHOOSE(CONTROL!$C$9, $C$13, 100%, $E$13) + CHOOSE(CONTROL!$C$28, 0.0021, 0)</f>
        <v>223.874392873603</v>
      </c>
    </row>
    <row r="382" spans="1:5" ht="15">
      <c r="A382" s="13">
        <v>52778</v>
      </c>
      <c r="B382" s="4">
        <f>34.6566 * CHOOSE(CONTROL!$C$9, $C$13, 100%, $E$13) + CHOOSE(CONTROL!$C$28, 0.0226, 0)</f>
        <v>34.679199999999994</v>
      </c>
      <c r="C382" s="4">
        <f>34.2933 * CHOOSE(CONTROL!$C$9, $C$13, 100%, $E$13) + CHOOSE(CONTROL!$C$28, 0.0226, 0)</f>
        <v>34.315899999999999</v>
      </c>
      <c r="D382" s="4">
        <f>45.9792 * CHOOSE(CONTROL!$C$9, $C$13, 100%, $E$13) + CHOOSE(CONTROL!$C$28, 0.0021, 0)</f>
        <v>45.981299999999997</v>
      </c>
      <c r="E382" s="4">
        <f>224.580655309508 * CHOOSE(CONTROL!$C$9, $C$13, 100%, $E$13) + CHOOSE(CONTROL!$C$28, 0.0021, 0)</f>
        <v>224.582755309508</v>
      </c>
    </row>
    <row r="383" spans="1:5" ht="15">
      <c r="A383" s="13">
        <v>52809</v>
      </c>
      <c r="B383" s="4">
        <f>34.6458 * CHOOSE(CONTROL!$C$9, $C$13, 100%, $E$13) + CHOOSE(CONTROL!$C$28, 0.0226, 0)</f>
        <v>34.668399999999998</v>
      </c>
      <c r="C383" s="4">
        <f>34.2825 * CHOOSE(CONTROL!$C$9, $C$13, 100%, $E$13) + CHOOSE(CONTROL!$C$28, 0.0226, 0)</f>
        <v>34.305099999999996</v>
      </c>
      <c r="D383" s="4">
        <f>46.7074 * CHOOSE(CONTROL!$C$9, $C$13, 100%, $E$13) + CHOOSE(CONTROL!$C$28, 0.0021, 0)</f>
        <v>46.709499999999998</v>
      </c>
      <c r="E383" s="4">
        <f>224.509223803367 * CHOOSE(CONTROL!$C$9, $C$13, 100%, $E$13) + CHOOSE(CONTROL!$C$28, 0.0021, 0)</f>
        <v>224.51132380336702</v>
      </c>
    </row>
    <row r="384" spans="1:5" ht="15">
      <c r="A384" s="13">
        <v>52840</v>
      </c>
      <c r="B384" s="4">
        <f>35.4568 * CHOOSE(CONTROL!$C$9, $C$13, 100%, $E$13) + CHOOSE(CONTROL!$C$28, 0.0226, 0)</f>
        <v>35.479399999999998</v>
      </c>
      <c r="C384" s="4">
        <f>35.0935 * CHOOSE(CONTROL!$C$9, $C$13, 100%, $E$13) + CHOOSE(CONTROL!$C$28, 0.0226, 0)</f>
        <v>35.116099999999996</v>
      </c>
      <c r="D384" s="4">
        <f>46.2265 * CHOOSE(CONTROL!$C$9, $C$13, 100%, $E$13) + CHOOSE(CONTROL!$C$28, 0.0021, 0)</f>
        <v>46.2286</v>
      </c>
      <c r="E384" s="4">
        <f>229.88444464053 * CHOOSE(CONTROL!$C$9, $C$13, 100%, $E$13) + CHOOSE(CONTROL!$C$28, 0.0021, 0)</f>
        <v>229.88654464053002</v>
      </c>
    </row>
    <row r="385" spans="1:5" ht="15">
      <c r="A385" s="13">
        <v>52870</v>
      </c>
      <c r="B385" s="4">
        <f>34.0746 * CHOOSE(CONTROL!$C$9, $C$13, 100%, $E$13) + CHOOSE(CONTROL!$C$28, 0.0226, 0)</f>
        <v>34.097199999999994</v>
      </c>
      <c r="C385" s="4">
        <f>33.7114 * CHOOSE(CONTROL!$C$9, $C$13, 100%, $E$13) + CHOOSE(CONTROL!$C$28, 0.0226, 0)</f>
        <v>33.733999999999995</v>
      </c>
      <c r="D385" s="4">
        <f>45.9993 * CHOOSE(CONTROL!$C$9, $C$13, 100%, $E$13) + CHOOSE(CONTROL!$C$28, 0.0021, 0)</f>
        <v>46.001399999999997</v>
      </c>
      <c r="E385" s="4">
        <f>220.723353977857 * CHOOSE(CONTROL!$C$9, $C$13, 100%, $E$13) + CHOOSE(CONTROL!$C$28, 0.0021, 0)</f>
        <v>220.725453977857</v>
      </c>
    </row>
    <row r="386" spans="1:5" ht="15">
      <c r="A386" s="13">
        <v>52901</v>
      </c>
      <c r="B386" s="4">
        <f>32.9682 * CHOOSE(CONTROL!$C$9, $C$13, 100%, $E$13) + CHOOSE(CONTROL!$C$28, 0.0226, 0)</f>
        <v>32.9908</v>
      </c>
      <c r="C386" s="4">
        <f>32.6049 * CHOOSE(CONTROL!$C$9, $C$13, 100%, $E$13) + CHOOSE(CONTROL!$C$28, 0.0226, 0)</f>
        <v>32.627499999999998</v>
      </c>
      <c r="D386" s="4">
        <f>45.391 * CHOOSE(CONTROL!$C$9, $C$13, 100%, $E$13) + CHOOSE(CONTROL!$C$28, 0.0021, 0)</f>
        <v>45.393099999999997</v>
      </c>
      <c r="E386" s="4">
        <f>213.389719347309 * CHOOSE(CONTROL!$C$9, $C$13, 100%, $E$13) + CHOOSE(CONTROL!$C$28, 0.0021, 0)</f>
        <v>213.39181934730902</v>
      </c>
    </row>
    <row r="387" spans="1:5" ht="15">
      <c r="A387" s="13">
        <v>52931</v>
      </c>
      <c r="B387" s="4">
        <f>32.2556 * CHOOSE(CONTROL!$C$9, $C$13, 100%, $E$13) + CHOOSE(CONTROL!$C$28, 0.0226, 0)</f>
        <v>32.278199999999998</v>
      </c>
      <c r="C387" s="4">
        <f>31.8923 * CHOOSE(CONTROL!$C$9, $C$13, 100%, $E$13) + CHOOSE(CONTROL!$C$28, 0.0226, 0)</f>
        <v>31.914899999999999</v>
      </c>
      <c r="D387" s="4">
        <f>45.1819 * CHOOSE(CONTROL!$C$9, $C$13, 100%, $E$13) + CHOOSE(CONTROL!$C$28, 0.0021, 0)</f>
        <v>45.183999999999997</v>
      </c>
      <c r="E387" s="4">
        <f>208.666311003688 * CHOOSE(CONTROL!$C$9, $C$13, 100%, $E$13) + CHOOSE(CONTROL!$C$28, 0.0021, 0)</f>
        <v>208.66841100368802</v>
      </c>
    </row>
    <row r="388" spans="1:5" ht="15">
      <c r="A388" s="13">
        <v>52962</v>
      </c>
      <c r="B388" s="4">
        <f>31.7625 * CHOOSE(CONTROL!$C$9, $C$13, 100%, $E$13) + CHOOSE(CONTROL!$C$28, 0.0226, 0)</f>
        <v>31.7851</v>
      </c>
      <c r="C388" s="4">
        <f>31.3992 * CHOOSE(CONTROL!$C$9, $C$13, 100%, $E$13) + CHOOSE(CONTROL!$C$28, 0.0226, 0)</f>
        <v>31.421800000000001</v>
      </c>
      <c r="D388" s="4">
        <f>43.6422 * CHOOSE(CONTROL!$C$9, $C$13, 100%, $E$13) + CHOOSE(CONTROL!$C$28, 0.0021, 0)</f>
        <v>43.644300000000001</v>
      </c>
      <c r="E388" s="4">
        <f>205.398319597706 * CHOOSE(CONTROL!$C$9, $C$13, 100%, $E$13) + CHOOSE(CONTROL!$C$28, 0.0021, 0)</f>
        <v>205.40041959770602</v>
      </c>
    </row>
    <row r="389" spans="1:5" ht="15">
      <c r="A389" s="13">
        <v>52993</v>
      </c>
      <c r="B389" s="4">
        <f>30.4135 * CHOOSE(CONTROL!$C$9, $C$13, 100%, $E$13) + CHOOSE(CONTROL!$C$28, 0.0226, 0)</f>
        <v>30.4361</v>
      </c>
      <c r="C389" s="4">
        <f>30.0502 * CHOOSE(CONTROL!$C$9, $C$13, 100%, $E$13) + CHOOSE(CONTROL!$C$28, 0.0226, 0)</f>
        <v>30.072800000000001</v>
      </c>
      <c r="D389" s="4">
        <f>41.9461 * CHOOSE(CONTROL!$C$9, $C$13, 100%, $E$13) + CHOOSE(CONTROL!$C$28, 0.0021, 0)</f>
        <v>41.9482</v>
      </c>
      <c r="E389" s="4">
        <f>196.842644968851 * CHOOSE(CONTROL!$C$9, $C$13, 100%, $E$13) + CHOOSE(CONTROL!$C$28, 0.0021, 0)</f>
        <v>196.84474496885102</v>
      </c>
    </row>
    <row r="390" spans="1:5" ht="15">
      <c r="A390" s="13">
        <v>53021</v>
      </c>
      <c r="B390" s="4">
        <f>31.1173 * CHOOSE(CONTROL!$C$9, $C$13, 100%, $E$13) + CHOOSE(CONTROL!$C$28, 0.0226, 0)</f>
        <v>31.139900000000001</v>
      </c>
      <c r="C390" s="4">
        <f>30.754 * CHOOSE(CONTROL!$C$9, $C$13, 100%, $E$13) + CHOOSE(CONTROL!$C$28, 0.0226, 0)</f>
        <v>30.776600000000002</v>
      </c>
      <c r="D390" s="4">
        <f>43.3612 * CHOOSE(CONTROL!$C$9, $C$13, 100%, $E$13) + CHOOSE(CONTROL!$C$28, 0.0021, 0)</f>
        <v>43.363299999999995</v>
      </c>
      <c r="E390" s="4">
        <f>201.516465099449 * CHOOSE(CONTROL!$C$9, $C$13, 100%, $E$13) + CHOOSE(CONTROL!$C$28, 0.0021, 0)</f>
        <v>201.51856509944901</v>
      </c>
    </row>
    <row r="391" spans="1:5" ht="15">
      <c r="A391" s="13">
        <v>53052</v>
      </c>
      <c r="B391" s="4">
        <f>32.9654 * CHOOSE(CONTROL!$C$9, $C$13, 100%, $E$13) + CHOOSE(CONTROL!$C$28, 0.0226, 0)</f>
        <v>32.988</v>
      </c>
      <c r="C391" s="4">
        <f>32.6022 * CHOOSE(CONTROL!$C$9, $C$13, 100%, $E$13) + CHOOSE(CONTROL!$C$28, 0.0226, 0)</f>
        <v>32.6248</v>
      </c>
      <c r="D391" s="4">
        <f>45.5764 * CHOOSE(CONTROL!$C$9, $C$13, 100%, $E$13) + CHOOSE(CONTROL!$C$28, 0.0021, 0)</f>
        <v>45.578499999999998</v>
      </c>
      <c r="E391" s="4">
        <f>213.790165144287 * CHOOSE(CONTROL!$C$9, $C$13, 100%, $E$13) + CHOOSE(CONTROL!$C$28, 0.0021, 0)</f>
        <v>213.792265144287</v>
      </c>
    </row>
    <row r="392" spans="1:5" ht="15">
      <c r="A392" s="13">
        <v>53082</v>
      </c>
      <c r="B392" s="4">
        <f>34.2786 * CHOOSE(CONTROL!$C$9, $C$13, 100%, $E$13) + CHOOSE(CONTROL!$C$28, 0.0226, 0)</f>
        <v>34.301199999999994</v>
      </c>
      <c r="C392" s="4">
        <f>33.9153 * CHOOSE(CONTROL!$C$9, $C$13, 100%, $E$13) + CHOOSE(CONTROL!$C$28, 0.0226, 0)</f>
        <v>33.937899999999999</v>
      </c>
      <c r="D392" s="4">
        <f>46.8525 * CHOOSE(CONTROL!$C$9, $C$13, 100%, $E$13) + CHOOSE(CONTROL!$C$28, 0.0021, 0)</f>
        <v>46.854599999999998</v>
      </c>
      <c r="E392" s="4">
        <f>222.510792594703 * CHOOSE(CONTROL!$C$9, $C$13, 100%, $E$13) + CHOOSE(CONTROL!$C$28, 0.0021, 0)</f>
        <v>222.512892594703</v>
      </c>
    </row>
    <row r="393" spans="1:5" ht="15">
      <c r="A393" s="13">
        <v>53113</v>
      </c>
      <c r="B393" s="4">
        <f>35.0809 * CHOOSE(CONTROL!$C$9, $C$13, 100%, $E$13) + CHOOSE(CONTROL!$C$28, 0.0226, 0)</f>
        <v>35.103499999999997</v>
      </c>
      <c r="C393" s="4">
        <f>34.7176 * CHOOSE(CONTROL!$C$9, $C$13, 100%, $E$13) + CHOOSE(CONTROL!$C$28, 0.0226, 0)</f>
        <v>34.740199999999994</v>
      </c>
      <c r="D393" s="4">
        <f>46.3483 * CHOOSE(CONTROL!$C$9, $C$13, 100%, $E$13) + CHOOSE(CONTROL!$C$28, 0.0021, 0)</f>
        <v>46.3504</v>
      </c>
      <c r="E393" s="4">
        <f>227.838886962638 * CHOOSE(CONTROL!$C$9, $C$13, 100%, $E$13) + CHOOSE(CONTROL!$C$28, 0.0021, 0)</f>
        <v>227.84098696263803</v>
      </c>
    </row>
    <row r="394" spans="1:5" ht="15">
      <c r="A394" s="13">
        <v>53143</v>
      </c>
      <c r="B394" s="4">
        <f>35.1894 * CHOOSE(CONTROL!$C$9, $C$13, 100%, $E$13) + CHOOSE(CONTROL!$C$28, 0.0226, 0)</f>
        <v>35.211999999999996</v>
      </c>
      <c r="C394" s="4">
        <f>34.8261 * CHOOSE(CONTROL!$C$9, $C$13, 100%, $E$13) + CHOOSE(CONTROL!$C$28, 0.0226, 0)</f>
        <v>34.848699999999994</v>
      </c>
      <c r="D394" s="4">
        <f>46.7589 * CHOOSE(CONTROL!$C$9, $C$13, 100%, $E$13) + CHOOSE(CONTROL!$C$28, 0.0021, 0)</f>
        <v>46.760999999999996</v>
      </c>
      <c r="E394" s="4">
        <f>228.559800242665 * CHOOSE(CONTROL!$C$9, $C$13, 100%, $E$13) + CHOOSE(CONTROL!$C$28, 0.0021, 0)</f>
        <v>228.56190024266502</v>
      </c>
    </row>
    <row r="395" spans="1:5" ht="15">
      <c r="A395" s="13">
        <v>53174</v>
      </c>
      <c r="B395" s="4">
        <f>35.1785 * CHOOSE(CONTROL!$C$9, $C$13, 100%, $E$13) + CHOOSE(CONTROL!$C$28, 0.0226, 0)</f>
        <v>35.201099999999997</v>
      </c>
      <c r="C395" s="4">
        <f>34.8152 * CHOOSE(CONTROL!$C$9, $C$13, 100%, $E$13) + CHOOSE(CONTROL!$C$28, 0.0226, 0)</f>
        <v>34.837799999999994</v>
      </c>
      <c r="D395" s="4">
        <f>47.4999 * CHOOSE(CONTROL!$C$9, $C$13, 100%, $E$13) + CHOOSE(CONTROL!$C$28, 0.0021, 0)</f>
        <v>47.501999999999995</v>
      </c>
      <c r="E395" s="4">
        <f>228.487103105183 * CHOOSE(CONTROL!$C$9, $C$13, 100%, $E$13) + CHOOSE(CONTROL!$C$28, 0.0021, 0)</f>
        <v>228.48920310518301</v>
      </c>
    </row>
    <row r="396" spans="1:5" ht="15">
      <c r="A396" s="13">
        <v>53205</v>
      </c>
      <c r="B396" s="4">
        <f>36.0022 * CHOOSE(CONTROL!$C$9, $C$13, 100%, $E$13) + CHOOSE(CONTROL!$C$28, 0.0226, 0)</f>
        <v>36.024799999999999</v>
      </c>
      <c r="C396" s="4">
        <f>35.6389 * CHOOSE(CONTROL!$C$9, $C$13, 100%, $E$13) + CHOOSE(CONTROL!$C$28, 0.0226, 0)</f>
        <v>35.661499999999997</v>
      </c>
      <c r="D396" s="4">
        <f>47.0105 * CHOOSE(CONTROL!$C$9, $C$13, 100%, $E$13) + CHOOSE(CONTROL!$C$28, 0.0021, 0)</f>
        <v>47.012599999999999</v>
      </c>
      <c r="E396" s="4">
        <f>233.957562700686 * CHOOSE(CONTROL!$C$9, $C$13, 100%, $E$13) + CHOOSE(CONTROL!$C$28, 0.0021, 0)</f>
        <v>233.95966270068601</v>
      </c>
    </row>
    <row r="397" spans="1:5" ht="15">
      <c r="A397" s="13">
        <v>53235</v>
      </c>
      <c r="B397" s="4">
        <f>34.5983 * CHOOSE(CONTROL!$C$9, $C$13, 100%, $E$13) + CHOOSE(CONTROL!$C$28, 0.0226, 0)</f>
        <v>34.620899999999999</v>
      </c>
      <c r="C397" s="4">
        <f>34.235 * CHOOSE(CONTROL!$C$9, $C$13, 100%, $E$13) + CHOOSE(CONTROL!$C$28, 0.0226, 0)</f>
        <v>34.257599999999996</v>
      </c>
      <c r="D397" s="4">
        <f>46.7793 * CHOOSE(CONTROL!$C$9, $C$13, 100%, $E$13) + CHOOSE(CONTROL!$C$28, 0.0021, 0)</f>
        <v>46.781399999999998</v>
      </c>
      <c r="E397" s="4">
        <f>224.63415481865 * CHOOSE(CONTROL!$C$9, $C$13, 100%, $E$13) + CHOOSE(CONTROL!$C$28, 0.0021, 0)</f>
        <v>224.63625481865</v>
      </c>
    </row>
    <row r="398" spans="1:5" ht="15">
      <c r="A398" s="13">
        <v>53266</v>
      </c>
      <c r="B398" s="4">
        <f>33.4745 * CHOOSE(CONTROL!$C$9, $C$13, 100%, $E$13) + CHOOSE(CONTROL!$C$28, 0.0226, 0)</f>
        <v>33.497099999999996</v>
      </c>
      <c r="C398" s="4">
        <f>33.1112 * CHOOSE(CONTROL!$C$9, $C$13, 100%, $E$13) + CHOOSE(CONTROL!$C$28, 0.0226, 0)</f>
        <v>33.133799999999994</v>
      </c>
      <c r="D398" s="4">
        <f>46.1603 * CHOOSE(CONTROL!$C$9, $C$13, 100%, $E$13) + CHOOSE(CONTROL!$C$28, 0.0021, 0)</f>
        <v>46.162399999999998</v>
      </c>
      <c r="E398" s="4">
        <f>217.170582037189 * CHOOSE(CONTROL!$C$9, $C$13, 100%, $E$13) + CHOOSE(CONTROL!$C$28, 0.0021, 0)</f>
        <v>217.17268203718902</v>
      </c>
    </row>
    <row r="399" spans="1:5" ht="15">
      <c r="A399" s="13">
        <v>53296</v>
      </c>
      <c r="B399" s="4">
        <f>32.7506 * CHOOSE(CONTROL!$C$9, $C$13, 100%, $E$13) + CHOOSE(CONTROL!$C$28, 0.0226, 0)</f>
        <v>32.773199999999996</v>
      </c>
      <c r="C399" s="4">
        <f>32.3873 * CHOOSE(CONTROL!$C$9, $C$13, 100%, $E$13) + CHOOSE(CONTROL!$C$28, 0.0226, 0)</f>
        <v>32.4099</v>
      </c>
      <c r="D399" s="4">
        <f>45.9475 * CHOOSE(CONTROL!$C$9, $C$13, 100%, $E$13) + CHOOSE(CONTROL!$C$28, 0.0021, 0)</f>
        <v>45.949599999999997</v>
      </c>
      <c r="E399" s="4">
        <f>212.363483821207 * CHOOSE(CONTROL!$C$9, $C$13, 100%, $E$13) + CHOOSE(CONTROL!$C$28, 0.0021, 0)</f>
        <v>212.36558382120703</v>
      </c>
    </row>
    <row r="400" spans="1:5" ht="15">
      <c r="A400" s="13">
        <v>53327</v>
      </c>
      <c r="B400" s="4">
        <f>32.2498 * CHOOSE(CONTROL!$C$9, $C$13, 100%, $E$13) + CHOOSE(CONTROL!$C$28, 0.0226, 0)</f>
        <v>32.272399999999998</v>
      </c>
      <c r="C400" s="4">
        <f>31.8865 * CHOOSE(CONTROL!$C$9, $C$13, 100%, $E$13) + CHOOSE(CONTROL!$C$28, 0.0226, 0)</f>
        <v>31.909100000000002</v>
      </c>
      <c r="D400" s="4">
        <f>44.3806 * CHOOSE(CONTROL!$C$9, $C$13, 100%, $E$13) + CHOOSE(CONTROL!$C$28, 0.0021, 0)</f>
        <v>44.3827</v>
      </c>
      <c r="E400" s="4">
        <f>209.037589781417 * CHOOSE(CONTROL!$C$9, $C$13, 100%, $E$13) + CHOOSE(CONTROL!$C$28, 0.0021, 0)</f>
        <v>209.03968978141702</v>
      </c>
    </row>
    <row r="401" spans="1:5" ht="15">
      <c r="A401" s="13">
        <v>53358</v>
      </c>
      <c r="B401" s="4">
        <f>30.8796 * CHOOSE(CONTROL!$C$9, $C$13, 100%, $E$13) + CHOOSE(CONTROL!$C$28, 0.0226, 0)</f>
        <v>30.902200000000001</v>
      </c>
      <c r="C401" s="4">
        <f>30.5163 * CHOOSE(CONTROL!$C$9, $C$13, 100%, $E$13) + CHOOSE(CONTROL!$C$28, 0.0226, 0)</f>
        <v>30.538900000000002</v>
      </c>
      <c r="D401" s="4">
        <f>42.6545 * CHOOSE(CONTROL!$C$9, $C$13, 100%, $E$13) + CHOOSE(CONTROL!$C$28, 0.0021, 0)</f>
        <v>42.656599999999997</v>
      </c>
      <c r="E401" s="4">
        <f>200.330324761563 * CHOOSE(CONTROL!$C$9, $C$13, 100%, $E$13) + CHOOSE(CONTROL!$C$28, 0.0021, 0)</f>
        <v>200.332424761563</v>
      </c>
    </row>
    <row r="402" spans="1:5" ht="15">
      <c r="A402" s="13">
        <v>53386</v>
      </c>
      <c r="B402" s="4">
        <f>31.5944 * CHOOSE(CONTROL!$C$9, $C$13, 100%, $E$13) + CHOOSE(CONTROL!$C$28, 0.0226, 0)</f>
        <v>31.617000000000001</v>
      </c>
      <c r="C402" s="4">
        <f>31.2312 * CHOOSE(CONTROL!$C$9, $C$13, 100%, $E$13) + CHOOSE(CONTROL!$C$28, 0.0226, 0)</f>
        <v>31.253800000000002</v>
      </c>
      <c r="D402" s="4">
        <f>44.0946 * CHOOSE(CONTROL!$C$9, $C$13, 100%, $E$13) + CHOOSE(CONTROL!$C$28, 0.0021, 0)</f>
        <v>44.096699999999998</v>
      </c>
      <c r="E402" s="4">
        <f>205.08695615507 * CHOOSE(CONTROL!$C$9, $C$13, 100%, $E$13) + CHOOSE(CONTROL!$C$28, 0.0021, 0)</f>
        <v>205.08905615507001</v>
      </c>
    </row>
    <row r="403" spans="1:5" ht="15">
      <c r="A403" s="13">
        <v>53417</v>
      </c>
      <c r="B403" s="4">
        <f>33.4717 * CHOOSE(CONTROL!$C$9, $C$13, 100%, $E$13) + CHOOSE(CONTROL!$C$28, 0.0226, 0)</f>
        <v>33.494299999999996</v>
      </c>
      <c r="C403" s="4">
        <f>33.1084 * CHOOSE(CONTROL!$C$9, $C$13, 100%, $E$13) + CHOOSE(CONTROL!$C$28, 0.0226, 0)</f>
        <v>33.131</v>
      </c>
      <c r="D403" s="4">
        <f>46.349 * CHOOSE(CONTROL!$C$9, $C$13, 100%, $E$13) + CHOOSE(CONTROL!$C$28, 0.0021, 0)</f>
        <v>46.351099999999995</v>
      </c>
      <c r="E403" s="4">
        <f>217.578122977165 * CHOOSE(CONTROL!$C$9, $C$13, 100%, $E$13) + CHOOSE(CONTROL!$C$28, 0.0021, 0)</f>
        <v>217.58022297716502</v>
      </c>
    </row>
    <row r="404" spans="1:5" ht="15">
      <c r="A404" s="13">
        <v>53447</v>
      </c>
      <c r="B404" s="4">
        <f>34.8054 * CHOOSE(CONTROL!$C$9, $C$13, 100%, $E$13) + CHOOSE(CONTROL!$C$28, 0.0226, 0)</f>
        <v>34.827999999999996</v>
      </c>
      <c r="C404" s="4">
        <f>34.4422 * CHOOSE(CONTROL!$C$9, $C$13, 100%, $E$13) + CHOOSE(CONTROL!$C$28, 0.0226, 0)</f>
        <v>34.464799999999997</v>
      </c>
      <c r="D404" s="4">
        <f>47.6476 * CHOOSE(CONTROL!$C$9, $C$13, 100%, $E$13) + CHOOSE(CONTROL!$C$28, 0.0021, 0)</f>
        <v>47.649699999999996</v>
      </c>
      <c r="E404" s="4">
        <f>226.453263470949 * CHOOSE(CONTROL!$C$9, $C$13, 100%, $E$13) + CHOOSE(CONTROL!$C$28, 0.0021, 0)</f>
        <v>226.45536347094901</v>
      </c>
    </row>
    <row r="405" spans="1:5" ht="15">
      <c r="A405" s="13">
        <v>53478</v>
      </c>
      <c r="B405" s="4">
        <f>35.6203 * CHOOSE(CONTROL!$C$9, $C$13, 100%, $E$13) + CHOOSE(CONTROL!$C$28, 0.0226, 0)</f>
        <v>35.642899999999997</v>
      </c>
      <c r="C405" s="4">
        <f>35.2571 * CHOOSE(CONTROL!$C$9, $C$13, 100%, $E$13) + CHOOSE(CONTROL!$C$28, 0.0226, 0)</f>
        <v>35.279699999999998</v>
      </c>
      <c r="D405" s="4">
        <f>47.1344 * CHOOSE(CONTROL!$C$9, $C$13, 100%, $E$13) + CHOOSE(CONTROL!$C$28, 0.0021, 0)</f>
        <v>47.136499999999998</v>
      </c>
      <c r="E405" s="4">
        <f>231.87576160522 * CHOOSE(CONTROL!$C$9, $C$13, 100%, $E$13) + CHOOSE(CONTROL!$C$28, 0.0021, 0)</f>
        <v>231.87786160522001</v>
      </c>
    </row>
    <row r="406" spans="1:5" ht="15">
      <c r="A406" s="13">
        <v>53508</v>
      </c>
      <c r="B406" s="4">
        <f>35.7306 * CHOOSE(CONTROL!$C$9, $C$13, 100%, $E$13) + CHOOSE(CONTROL!$C$28, 0.0226, 0)</f>
        <v>35.7532</v>
      </c>
      <c r="C406" s="4">
        <f>35.3673 * CHOOSE(CONTROL!$C$9, $C$13, 100%, $E$13) + CHOOSE(CONTROL!$C$28, 0.0226, 0)</f>
        <v>35.389899999999997</v>
      </c>
      <c r="D406" s="4">
        <f>47.5523 * CHOOSE(CONTROL!$C$9, $C$13, 100%, $E$13) + CHOOSE(CONTROL!$C$28, 0.0021, 0)</f>
        <v>47.554400000000001</v>
      </c>
      <c r="E406" s="4">
        <f>232.609448106616 * CHOOSE(CONTROL!$C$9, $C$13, 100%, $E$13) + CHOOSE(CONTROL!$C$28, 0.0021, 0)</f>
        <v>232.611548106616</v>
      </c>
    </row>
    <row r="407" spans="1:5" ht="15">
      <c r="A407" s="13">
        <v>53539</v>
      </c>
      <c r="B407" s="4">
        <f>35.7195 * CHOOSE(CONTROL!$C$9, $C$13, 100%, $E$13) + CHOOSE(CONTROL!$C$28, 0.0226, 0)</f>
        <v>35.742099999999994</v>
      </c>
      <c r="C407" s="4">
        <f>35.3562 * CHOOSE(CONTROL!$C$9, $C$13, 100%, $E$13) + CHOOSE(CONTROL!$C$28, 0.0226, 0)</f>
        <v>35.378799999999998</v>
      </c>
      <c r="D407" s="4">
        <f>48.3064 * CHOOSE(CONTROL!$C$9, $C$13, 100%, $E$13) + CHOOSE(CONTROL!$C$28, 0.0021, 0)</f>
        <v>48.308499999999995</v>
      </c>
      <c r="E407" s="4">
        <f>232.535462913198 * CHOOSE(CONTROL!$C$9, $C$13, 100%, $E$13) + CHOOSE(CONTROL!$C$28, 0.0021, 0)</f>
        <v>232.537562913198</v>
      </c>
    </row>
    <row r="408" spans="1:5" ht="15">
      <c r="A408" s="13">
        <v>53570</v>
      </c>
      <c r="B408" s="4">
        <f>36.5562 * CHOOSE(CONTROL!$C$9, $C$13, 100%, $E$13) + CHOOSE(CONTROL!$C$28, 0.0226, 0)</f>
        <v>36.578799999999994</v>
      </c>
      <c r="C408" s="4">
        <f>36.1929 * CHOOSE(CONTROL!$C$9, $C$13, 100%, $E$13) + CHOOSE(CONTROL!$C$28, 0.0226, 0)</f>
        <v>36.215499999999999</v>
      </c>
      <c r="D408" s="4">
        <f>47.8084 * CHOOSE(CONTROL!$C$9, $C$13, 100%, $E$13) + CHOOSE(CONTROL!$C$28, 0.0021, 0)</f>
        <v>47.810499999999998</v>
      </c>
      <c r="E408" s="4">
        <f>238.102848717913 * CHOOSE(CONTROL!$C$9, $C$13, 100%, $E$13) + CHOOSE(CONTROL!$C$28, 0.0021, 0)</f>
        <v>238.104948717913</v>
      </c>
    </row>
    <row r="409" spans="1:5" ht="15">
      <c r="A409" s="13">
        <v>53600</v>
      </c>
      <c r="B409" s="4">
        <f>35.1302 * CHOOSE(CONTROL!$C$9, $C$13, 100%, $E$13) + CHOOSE(CONTROL!$C$28, 0.0226, 0)</f>
        <v>35.152799999999999</v>
      </c>
      <c r="C409" s="4">
        <f>34.7669 * CHOOSE(CONTROL!$C$9, $C$13, 100%, $E$13) + CHOOSE(CONTROL!$C$28, 0.0226, 0)</f>
        <v>34.789499999999997</v>
      </c>
      <c r="D409" s="4">
        <f>47.5731 * CHOOSE(CONTROL!$C$9, $C$13, 100%, $E$13) + CHOOSE(CONTROL!$C$28, 0.0021, 0)</f>
        <v>47.575199999999995</v>
      </c>
      <c r="E409" s="4">
        <f>228.614247662037 * CHOOSE(CONTROL!$C$9, $C$13, 100%, $E$13) + CHOOSE(CONTROL!$C$28, 0.0021, 0)</f>
        <v>228.61634766203701</v>
      </c>
    </row>
    <row r="410" spans="1:5" ht="15">
      <c r="A410" s="13">
        <v>53631</v>
      </c>
      <c r="B410" s="4">
        <f>33.9887 * CHOOSE(CONTROL!$C$9, $C$13, 100%, $E$13) + CHOOSE(CONTROL!$C$28, 0.0226, 0)</f>
        <v>34.011299999999999</v>
      </c>
      <c r="C410" s="4">
        <f>33.6254 * CHOOSE(CONTROL!$C$9, $C$13, 100%, $E$13) + CHOOSE(CONTROL!$C$28, 0.0226, 0)</f>
        <v>33.647999999999996</v>
      </c>
      <c r="D410" s="4">
        <f>46.9431 * CHOOSE(CONTROL!$C$9, $C$13, 100%, $E$13) + CHOOSE(CONTROL!$C$28, 0.0021, 0)</f>
        <v>46.9452</v>
      </c>
      <c r="E410" s="4">
        <f>221.018434471109 * CHOOSE(CONTROL!$C$9, $C$13, 100%, $E$13) + CHOOSE(CONTROL!$C$28, 0.0021, 0)</f>
        <v>221.02053447110902</v>
      </c>
    </row>
    <row r="411" spans="1:5" ht="15">
      <c r="A411" s="13">
        <v>53661</v>
      </c>
      <c r="B411" s="4">
        <f>33.2534 * CHOOSE(CONTROL!$C$9, $C$13, 100%, $E$13) + CHOOSE(CONTROL!$C$28, 0.0226, 0)</f>
        <v>33.275999999999996</v>
      </c>
      <c r="C411" s="4">
        <f>32.8902 * CHOOSE(CONTROL!$C$9, $C$13, 100%, $E$13) + CHOOSE(CONTROL!$C$28, 0.0226, 0)</f>
        <v>32.912799999999997</v>
      </c>
      <c r="D411" s="4">
        <f>46.7265 * CHOOSE(CONTROL!$C$9, $C$13, 100%, $E$13) + CHOOSE(CONTROL!$C$28, 0.0021, 0)</f>
        <v>46.7286</v>
      </c>
      <c r="E411" s="4">
        <f>216.126163556334 * CHOOSE(CONTROL!$C$9, $C$13, 100%, $E$13) + CHOOSE(CONTROL!$C$28, 0.0021, 0)</f>
        <v>216.12826355633402</v>
      </c>
    </row>
    <row r="412" spans="1:5" ht="15">
      <c r="A412" s="13">
        <v>53692</v>
      </c>
      <c r="B412" s="4">
        <f>32.7448 * CHOOSE(CONTROL!$C$9, $C$13, 100%, $E$13) + CHOOSE(CONTROL!$C$28, 0.0226, 0)</f>
        <v>32.767399999999995</v>
      </c>
      <c r="C412" s="4">
        <f>32.3815 * CHOOSE(CONTROL!$C$9, $C$13, 100%, $E$13) + CHOOSE(CONTROL!$C$28, 0.0226, 0)</f>
        <v>32.4041</v>
      </c>
      <c r="D412" s="4">
        <f>45.132 * CHOOSE(CONTROL!$C$9, $C$13, 100%, $E$13) + CHOOSE(CONTROL!$C$28, 0.0021, 0)</f>
        <v>45.134099999999997</v>
      </c>
      <c r="E412" s="4">
        <f>212.741340957455 * CHOOSE(CONTROL!$C$9, $C$13, 100%, $E$13) + CHOOSE(CONTROL!$C$28, 0.0021, 0)</f>
        <v>212.74344095745502</v>
      </c>
    </row>
    <row r="413" spans="1:5" ht="15">
      <c r="A413" s="13">
        <v>53723</v>
      </c>
      <c r="B413" s="4">
        <f>31.353 * CHOOSE(CONTROL!$C$9, $C$13, 100%, $E$13) + CHOOSE(CONTROL!$C$28, 0.0226, 0)</f>
        <v>31.375600000000002</v>
      </c>
      <c r="C413" s="4">
        <f>30.9897 * CHOOSE(CONTROL!$C$9, $C$13, 100%, $E$13) + CHOOSE(CONTROL!$C$28, 0.0226, 0)</f>
        <v>31.0123</v>
      </c>
      <c r="D413" s="4">
        <f>43.3755 * CHOOSE(CONTROL!$C$9, $C$13, 100%, $E$13) + CHOOSE(CONTROL!$C$28, 0.0021, 0)</f>
        <v>43.377600000000001</v>
      </c>
      <c r="E413" s="4">
        <f>203.879799651259 * CHOOSE(CONTROL!$C$9, $C$13, 100%, $E$13) + CHOOSE(CONTROL!$C$28, 0.0021, 0)</f>
        <v>203.881899651259</v>
      </c>
    </row>
    <row r="414" spans="1:5" ht="15">
      <c r="A414" s="13">
        <v>53751</v>
      </c>
      <c r="B414" s="4">
        <f>32.0791 * CHOOSE(CONTROL!$C$9, $C$13, 100%, $E$13) + CHOOSE(CONTROL!$C$28, 0.0226, 0)</f>
        <v>32.101699999999994</v>
      </c>
      <c r="C414" s="4">
        <f>31.7158 * CHOOSE(CONTROL!$C$9, $C$13, 100%, $E$13) + CHOOSE(CONTROL!$C$28, 0.0226, 0)</f>
        <v>31.738400000000002</v>
      </c>
      <c r="D414" s="4">
        <f>44.841 * CHOOSE(CONTROL!$C$9, $C$13, 100%, $E$13) + CHOOSE(CONTROL!$C$28, 0.0021, 0)</f>
        <v>44.8431</v>
      </c>
      <c r="E414" s="4">
        <f>208.720709566807 * CHOOSE(CONTROL!$C$9, $C$13, 100%, $E$13) + CHOOSE(CONTROL!$C$28, 0.0021, 0)</f>
        <v>208.722809566807</v>
      </c>
    </row>
    <row r="415" spans="1:5" ht="15">
      <c r="A415" s="13">
        <v>53782</v>
      </c>
      <c r="B415" s="4">
        <f>33.9858 * CHOOSE(CONTROL!$C$9, $C$13, 100%, $E$13) + CHOOSE(CONTROL!$C$28, 0.0226, 0)</f>
        <v>34.008399999999995</v>
      </c>
      <c r="C415" s="4">
        <f>33.6225 * CHOOSE(CONTROL!$C$9, $C$13, 100%, $E$13) + CHOOSE(CONTROL!$C$28, 0.0226, 0)</f>
        <v>33.645099999999999</v>
      </c>
      <c r="D415" s="4">
        <f>47.1352 * CHOOSE(CONTROL!$C$9, $C$13, 100%, $E$13) + CHOOSE(CONTROL!$C$28, 0.0021, 0)</f>
        <v>47.137299999999996</v>
      </c>
      <c r="E415" s="4">
        <f>221.433196266613 * CHOOSE(CONTROL!$C$9, $C$13, 100%, $E$13) + CHOOSE(CONTROL!$C$28, 0.0021, 0)</f>
        <v>221.43529626661302</v>
      </c>
    </row>
    <row r="416" spans="1:5" ht="15">
      <c r="A416" s="13">
        <v>53812</v>
      </c>
      <c r="B416" s="4">
        <f>35.3406 * CHOOSE(CONTROL!$C$9, $C$13, 100%, $E$13) + CHOOSE(CONTROL!$C$28, 0.0226, 0)</f>
        <v>35.363199999999999</v>
      </c>
      <c r="C416" s="4">
        <f>34.9773 * CHOOSE(CONTROL!$C$9, $C$13, 100%, $E$13) + CHOOSE(CONTROL!$C$28, 0.0226, 0)</f>
        <v>34.999899999999997</v>
      </c>
      <c r="D416" s="4">
        <f>48.4567 * CHOOSE(CONTROL!$C$9, $C$13, 100%, $E$13) + CHOOSE(CONTROL!$C$28, 0.0021, 0)</f>
        <v>48.458799999999997</v>
      </c>
      <c r="E416" s="4">
        <f>230.465587482986 * CHOOSE(CONTROL!$C$9, $C$13, 100%, $E$13) + CHOOSE(CONTROL!$C$28, 0.0021, 0)</f>
        <v>230.46768748298601</v>
      </c>
    </row>
    <row r="417" spans="1:5" ht="15">
      <c r="A417" s="13">
        <v>53843</v>
      </c>
      <c r="B417" s="4">
        <f>36.1683 * CHOOSE(CONTROL!$C$9, $C$13, 100%, $E$13) + CHOOSE(CONTROL!$C$28, 0.0226, 0)</f>
        <v>36.190899999999999</v>
      </c>
      <c r="C417" s="4">
        <f>35.805 * CHOOSE(CONTROL!$C$9, $C$13, 100%, $E$13) + CHOOSE(CONTROL!$C$28, 0.0226, 0)</f>
        <v>35.827599999999997</v>
      </c>
      <c r="D417" s="4">
        <f>47.9345 * CHOOSE(CONTROL!$C$9, $C$13, 100%, $E$13) + CHOOSE(CONTROL!$C$28, 0.0021, 0)</f>
        <v>47.936599999999999</v>
      </c>
      <c r="E417" s="4">
        <f>235.984162039984 * CHOOSE(CONTROL!$C$9, $C$13, 100%, $E$13) + CHOOSE(CONTROL!$C$28, 0.0021, 0)</f>
        <v>235.98626203998401</v>
      </c>
    </row>
    <row r="418" spans="1:5" ht="15">
      <c r="A418" s="13">
        <v>53873</v>
      </c>
      <c r="B418" s="4">
        <f>36.2803 * CHOOSE(CONTROL!$C$9, $C$13, 100%, $E$13) + CHOOSE(CONTROL!$C$28, 0.0226, 0)</f>
        <v>36.302899999999994</v>
      </c>
      <c r="C418" s="4">
        <f>35.917 * CHOOSE(CONTROL!$C$9, $C$13, 100%, $E$13) + CHOOSE(CONTROL!$C$28, 0.0226, 0)</f>
        <v>35.939599999999999</v>
      </c>
      <c r="D418" s="4">
        <f>48.3598 * CHOOSE(CONTROL!$C$9, $C$13, 100%, $E$13) + CHOOSE(CONTROL!$C$28, 0.0021, 0)</f>
        <v>48.361899999999999</v>
      </c>
      <c r="E418" s="4">
        <f>236.730848080101 * CHOOSE(CONTROL!$C$9, $C$13, 100%, $E$13) + CHOOSE(CONTROL!$C$28, 0.0021, 0)</f>
        <v>236.73294808010101</v>
      </c>
    </row>
    <row r="419" spans="1:5" ht="15">
      <c r="A419" s="13">
        <v>53904</v>
      </c>
      <c r="B419" s="4">
        <f>36.269 * CHOOSE(CONTROL!$C$9, $C$13, 100%, $E$13) + CHOOSE(CONTROL!$C$28, 0.0226, 0)</f>
        <v>36.291599999999995</v>
      </c>
      <c r="C419" s="4">
        <f>35.9057 * CHOOSE(CONTROL!$C$9, $C$13, 100%, $E$13) + CHOOSE(CONTROL!$C$28, 0.0226, 0)</f>
        <v>35.9283</v>
      </c>
      <c r="D419" s="4">
        <f>49.1272 * CHOOSE(CONTROL!$C$9, $C$13, 100%, $E$13) + CHOOSE(CONTROL!$C$28, 0.0021, 0)</f>
        <v>49.129300000000001</v>
      </c>
      <c r="E419" s="4">
        <f>236.655552008829 * CHOOSE(CONTROL!$C$9, $C$13, 100%, $E$13) + CHOOSE(CONTROL!$C$28, 0.0021, 0)</f>
        <v>236.65765200882902</v>
      </c>
    </row>
    <row r="420" spans="1:5" ht="15">
      <c r="A420" s="13">
        <v>53935</v>
      </c>
      <c r="B420" s="4">
        <f>37.1188 * CHOOSE(CONTROL!$C$9, $C$13, 100%, $E$13) + CHOOSE(CONTROL!$C$28, 0.0226, 0)</f>
        <v>37.141399999999997</v>
      </c>
      <c r="C420" s="4">
        <f>36.7556 * CHOOSE(CONTROL!$C$9, $C$13, 100%, $E$13) + CHOOSE(CONTROL!$C$28, 0.0226, 0)</f>
        <v>36.778199999999998</v>
      </c>
      <c r="D420" s="4">
        <f>48.6204 * CHOOSE(CONTROL!$C$9, $C$13, 100%, $E$13) + CHOOSE(CONTROL!$C$28, 0.0021, 0)</f>
        <v>48.622499999999995</v>
      </c>
      <c r="E420" s="4">
        <f>242.321581372069 * CHOOSE(CONTROL!$C$9, $C$13, 100%, $E$13) + CHOOSE(CONTROL!$C$28, 0.0021, 0)</f>
        <v>242.32368137206902</v>
      </c>
    </row>
    <row r="421" spans="1:5" ht="15">
      <c r="A421" s="13">
        <v>53965</v>
      </c>
      <c r="B421" s="4">
        <f>35.6704 * CHOOSE(CONTROL!$C$9, $C$13, 100%, $E$13) + CHOOSE(CONTROL!$C$28, 0.0226, 0)</f>
        <v>35.692999999999998</v>
      </c>
      <c r="C421" s="4">
        <f>35.3072 * CHOOSE(CONTROL!$C$9, $C$13, 100%, $E$13) + CHOOSE(CONTROL!$C$28, 0.0226, 0)</f>
        <v>35.329799999999999</v>
      </c>
      <c r="D421" s="4">
        <f>48.3809 * CHOOSE(CONTROL!$C$9, $C$13, 100%, $E$13) + CHOOSE(CONTROL!$C$28, 0.0021, 0)</f>
        <v>48.382999999999996</v>
      </c>
      <c r="E421" s="4">
        <f>232.664860231397 * CHOOSE(CONTROL!$C$9, $C$13, 100%, $E$13) + CHOOSE(CONTROL!$C$28, 0.0021, 0)</f>
        <v>232.66696023139701</v>
      </c>
    </row>
    <row r="422" spans="1:5" ht="15">
      <c r="A422" s="13">
        <v>53996</v>
      </c>
      <c r="B422" s="4">
        <f>34.511 * CHOOSE(CONTROL!$C$9, $C$13, 100%, $E$13) + CHOOSE(CONTROL!$C$28, 0.0226, 0)</f>
        <v>34.5336</v>
      </c>
      <c r="C422" s="4">
        <f>34.1477 * CHOOSE(CONTROL!$C$9, $C$13, 100%, $E$13) + CHOOSE(CONTROL!$C$28, 0.0226, 0)</f>
        <v>34.170299999999997</v>
      </c>
      <c r="D422" s="4">
        <f>47.7398 * CHOOSE(CONTROL!$C$9, $C$13, 100%, $E$13) + CHOOSE(CONTROL!$C$28, 0.0021, 0)</f>
        <v>47.741900000000001</v>
      </c>
      <c r="E422" s="4">
        <f>224.934463580775 * CHOOSE(CONTROL!$C$9, $C$13, 100%, $E$13) + CHOOSE(CONTROL!$C$28, 0.0021, 0)</f>
        <v>224.93656358077502</v>
      </c>
    </row>
    <row r="423" spans="1:5" ht="15">
      <c r="A423" s="13">
        <v>54026</v>
      </c>
      <c r="B423" s="4">
        <f>33.7642 * CHOOSE(CONTROL!$C$9, $C$13, 100%, $E$13) + CHOOSE(CONTROL!$C$28, 0.0226, 0)</f>
        <v>33.786799999999999</v>
      </c>
      <c r="C423" s="4">
        <f>33.4009 * CHOOSE(CONTROL!$C$9, $C$13, 100%, $E$13) + CHOOSE(CONTROL!$C$28, 0.0226, 0)</f>
        <v>33.423499999999997</v>
      </c>
      <c r="D423" s="4">
        <f>47.5194 * CHOOSE(CONTROL!$C$9, $C$13, 100%, $E$13) + CHOOSE(CONTROL!$C$28, 0.0021, 0)</f>
        <v>47.521499999999996</v>
      </c>
      <c r="E423" s="4">
        <f>219.955510867894 * CHOOSE(CONTROL!$C$9, $C$13, 100%, $E$13) + CHOOSE(CONTROL!$C$28, 0.0021, 0)</f>
        <v>219.957610867894</v>
      </c>
    </row>
    <row r="424" spans="1:5" ht="15">
      <c r="A424" s="13">
        <v>54057</v>
      </c>
      <c r="B424" s="4">
        <f>33.2475 * CHOOSE(CONTROL!$C$9, $C$13, 100%, $E$13) + CHOOSE(CONTROL!$C$28, 0.0226, 0)</f>
        <v>33.270099999999999</v>
      </c>
      <c r="C424" s="4">
        <f>32.8842 * CHOOSE(CONTROL!$C$9, $C$13, 100%, $E$13) + CHOOSE(CONTROL!$C$28, 0.0226, 0)</f>
        <v>32.906799999999997</v>
      </c>
      <c r="D424" s="4">
        <f>45.8967 * CHOOSE(CONTROL!$C$9, $C$13, 100%, $E$13) + CHOOSE(CONTROL!$C$28, 0.0021, 0)</f>
        <v>45.898800000000001</v>
      </c>
      <c r="E424" s="4">
        <f>216.510715607187 * CHOOSE(CONTROL!$C$9, $C$13, 100%, $E$13) + CHOOSE(CONTROL!$C$28, 0.0021, 0)</f>
        <v>216.51281560718701</v>
      </c>
    </row>
    <row r="425" spans="1:5" ht="15">
      <c r="A425" s="13">
        <v>54088</v>
      </c>
      <c r="B425" s="4">
        <f>31.8339 * CHOOSE(CONTROL!$C$9, $C$13, 100%, $E$13) + CHOOSE(CONTROL!$C$28, 0.0226, 0)</f>
        <v>31.8565</v>
      </c>
      <c r="C425" s="4">
        <f>31.4706 * CHOOSE(CONTROL!$C$9, $C$13, 100%, $E$13) + CHOOSE(CONTROL!$C$28, 0.0226, 0)</f>
        <v>31.493200000000002</v>
      </c>
      <c r="D425" s="4">
        <f>44.1091 * CHOOSE(CONTROL!$C$9, $C$13, 100%, $E$13) + CHOOSE(CONTROL!$C$28, 0.0021, 0)</f>
        <v>44.111199999999997</v>
      </c>
      <c r="E425" s="4">
        <f>207.492164530314 * CHOOSE(CONTROL!$C$9, $C$13, 100%, $E$13) + CHOOSE(CONTROL!$C$28, 0.0021, 0)</f>
        <v>207.49426453031401</v>
      </c>
    </row>
    <row r="426" spans="1:5" ht="15">
      <c r="A426" s="13">
        <v>54116</v>
      </c>
      <c r="B426" s="4">
        <f>32.5714 * CHOOSE(CONTROL!$C$9, $C$13, 100%, $E$13) + CHOOSE(CONTROL!$C$28, 0.0226, 0)</f>
        <v>32.593999999999994</v>
      </c>
      <c r="C426" s="4">
        <f>32.2081 * CHOOSE(CONTROL!$C$9, $C$13, 100%, $E$13) + CHOOSE(CONTROL!$C$28, 0.0226, 0)</f>
        <v>32.230699999999999</v>
      </c>
      <c r="D426" s="4">
        <f>45.6005 * CHOOSE(CONTROL!$C$9, $C$13, 100%, $E$13) + CHOOSE(CONTROL!$C$28, 0.0021, 0)</f>
        <v>45.602599999999995</v>
      </c>
      <c r="E426" s="4">
        <f>212.418846224094 * CHOOSE(CONTROL!$C$9, $C$13, 100%, $E$13) + CHOOSE(CONTROL!$C$28, 0.0021, 0)</f>
        <v>212.42094622409402</v>
      </c>
    </row>
    <row r="427" spans="1:5" ht="15">
      <c r="A427" s="13">
        <v>54148</v>
      </c>
      <c r="B427" s="4">
        <f>34.5081 * CHOOSE(CONTROL!$C$9, $C$13, 100%, $E$13) + CHOOSE(CONTROL!$C$28, 0.0226, 0)</f>
        <v>34.530699999999996</v>
      </c>
      <c r="C427" s="4">
        <f>34.1448 * CHOOSE(CONTROL!$C$9, $C$13, 100%, $E$13) + CHOOSE(CONTROL!$C$28, 0.0226, 0)</f>
        <v>34.167399999999994</v>
      </c>
      <c r="D427" s="4">
        <f>47.9353 * CHOOSE(CONTROL!$C$9, $C$13, 100%, $E$13) + CHOOSE(CONTROL!$C$28, 0.0021, 0)</f>
        <v>47.937399999999997</v>
      </c>
      <c r="E427" s="4">
        <f>225.356574171726 * CHOOSE(CONTROL!$C$9, $C$13, 100%, $E$13) + CHOOSE(CONTROL!$C$28, 0.0021, 0)</f>
        <v>225.35867417172602</v>
      </c>
    </row>
    <row r="428" spans="1:5" ht="15">
      <c r="A428" s="13">
        <v>54178</v>
      </c>
      <c r="B428" s="4">
        <f>35.8841 * CHOOSE(CONTROL!$C$9, $C$13, 100%, $E$13) + CHOOSE(CONTROL!$C$28, 0.0226, 0)</f>
        <v>35.906699999999994</v>
      </c>
      <c r="C428" s="4">
        <f>35.5209 * CHOOSE(CONTROL!$C$9, $C$13, 100%, $E$13) + CHOOSE(CONTROL!$C$28, 0.0226, 0)</f>
        <v>35.543499999999995</v>
      </c>
      <c r="D428" s="4">
        <f>49.2801 * CHOOSE(CONTROL!$C$9, $C$13, 100%, $E$13) + CHOOSE(CONTROL!$C$28, 0.0021, 0)</f>
        <v>49.282199999999996</v>
      </c>
      <c r="E428" s="4">
        <f>234.549002296412 * CHOOSE(CONTROL!$C$9, $C$13, 100%, $E$13) + CHOOSE(CONTROL!$C$28, 0.0021, 0)</f>
        <v>234.55110229641201</v>
      </c>
    </row>
    <row r="429" spans="1:5" ht="15">
      <c r="A429" s="13">
        <v>54209</v>
      </c>
      <c r="B429" s="4">
        <f>36.7249 * CHOOSE(CONTROL!$C$9, $C$13, 100%, $E$13) + CHOOSE(CONTROL!$C$28, 0.0226, 0)</f>
        <v>36.747499999999995</v>
      </c>
      <c r="C429" s="4">
        <f>36.3616 * CHOOSE(CONTROL!$C$9, $C$13, 100%, $E$13) + CHOOSE(CONTROL!$C$28, 0.0226, 0)</f>
        <v>36.3842</v>
      </c>
      <c r="D429" s="4">
        <f>48.7487 * CHOOSE(CONTROL!$C$9, $C$13, 100%, $E$13) + CHOOSE(CONTROL!$C$28, 0.0021, 0)</f>
        <v>48.750799999999998</v>
      </c>
      <c r="E429" s="4">
        <f>240.165355568842 * CHOOSE(CONTROL!$C$9, $C$13, 100%, $E$13) + CHOOSE(CONTROL!$C$28, 0.0021, 0)</f>
        <v>240.167455568842</v>
      </c>
    </row>
    <row r="430" spans="1:5" ht="15">
      <c r="A430" s="13">
        <v>54239</v>
      </c>
      <c r="B430" s="4">
        <f>36.8386 * CHOOSE(CONTROL!$C$9, $C$13, 100%, $E$13) + CHOOSE(CONTROL!$C$28, 0.0226, 0)</f>
        <v>36.861199999999997</v>
      </c>
      <c r="C430" s="4">
        <f>36.4754 * CHOOSE(CONTROL!$C$9, $C$13, 100%, $E$13) + CHOOSE(CONTROL!$C$28, 0.0226, 0)</f>
        <v>36.497999999999998</v>
      </c>
      <c r="D430" s="4">
        <f>49.1815 * CHOOSE(CONTROL!$C$9, $C$13, 100%, $E$13) + CHOOSE(CONTROL!$C$28, 0.0021, 0)</f>
        <v>49.183599999999998</v>
      </c>
      <c r="E430" s="4">
        <f>240.925271474946 * CHOOSE(CONTROL!$C$9, $C$13, 100%, $E$13) + CHOOSE(CONTROL!$C$28, 0.0021, 0)</f>
        <v>240.927371474946</v>
      </c>
    </row>
    <row r="431" spans="1:5" ht="15">
      <c r="A431" s="13">
        <v>54270</v>
      </c>
      <c r="B431" s="4">
        <f>36.8272 * CHOOSE(CONTROL!$C$9, $C$13, 100%, $E$13) + CHOOSE(CONTROL!$C$28, 0.0226, 0)</f>
        <v>36.849799999999995</v>
      </c>
      <c r="C431" s="4">
        <f>36.4639 * CHOOSE(CONTROL!$C$9, $C$13, 100%, $E$13) + CHOOSE(CONTROL!$C$28, 0.0226, 0)</f>
        <v>36.486499999999999</v>
      </c>
      <c r="D431" s="4">
        <f>49.9624 * CHOOSE(CONTROL!$C$9, $C$13, 100%, $E$13) + CHOOSE(CONTROL!$C$28, 0.0021, 0)</f>
        <v>49.964500000000001</v>
      </c>
      <c r="E431" s="4">
        <f>240.848641299541 * CHOOSE(CONTROL!$C$9, $C$13, 100%, $E$13) + CHOOSE(CONTROL!$C$28, 0.0021, 0)</f>
        <v>240.850741299541</v>
      </c>
    </row>
    <row r="432" spans="1:5" ht="15">
      <c r="A432" s="13">
        <v>54301</v>
      </c>
      <c r="B432" s="4">
        <f>37.6904 * CHOOSE(CONTROL!$C$9, $C$13, 100%, $E$13) + CHOOSE(CONTROL!$C$28, 0.0226, 0)</f>
        <v>37.712999999999994</v>
      </c>
      <c r="C432" s="4">
        <f>37.3271 * CHOOSE(CONTROL!$C$9, $C$13, 100%, $E$13) + CHOOSE(CONTROL!$C$28, 0.0226, 0)</f>
        <v>37.349699999999999</v>
      </c>
      <c r="D432" s="4">
        <f>49.4467 * CHOOSE(CONTROL!$C$9, $C$13, 100%, $E$13) + CHOOSE(CONTROL!$C$28, 0.0021, 0)</f>
        <v>49.448799999999999</v>
      </c>
      <c r="E432" s="4">
        <f>246.615061998806 * CHOOSE(CONTROL!$C$9, $C$13, 100%, $E$13) + CHOOSE(CONTROL!$C$28, 0.0021, 0)</f>
        <v>246.61716199880601</v>
      </c>
    </row>
    <row r="433" spans="1:5" ht="15">
      <c r="A433" s="13">
        <v>54331</v>
      </c>
      <c r="B433" s="4">
        <f>36.2192 * CHOOSE(CONTROL!$C$9, $C$13, 100%, $E$13) + CHOOSE(CONTROL!$C$28, 0.0226, 0)</f>
        <v>36.241799999999998</v>
      </c>
      <c r="C433" s="4">
        <f>35.8559 * CHOOSE(CONTROL!$C$9, $C$13, 100%, $E$13) + CHOOSE(CONTROL!$C$28, 0.0226, 0)</f>
        <v>35.878499999999995</v>
      </c>
      <c r="D433" s="4">
        <f>49.203 * CHOOSE(CONTROL!$C$9, $C$13, 100%, $E$13) + CHOOSE(CONTROL!$C$28, 0.0021, 0)</f>
        <v>49.205100000000002</v>
      </c>
      <c r="E433" s="4">
        <f>236.787242003049 * CHOOSE(CONTROL!$C$9, $C$13, 100%, $E$13) + CHOOSE(CONTROL!$C$28, 0.0021, 0)</f>
        <v>236.789342003049</v>
      </c>
    </row>
    <row r="434" spans="1:5" ht="15">
      <c r="A434" s="13">
        <v>54362</v>
      </c>
      <c r="B434" s="4">
        <f>35.0415 * CHOOSE(CONTROL!$C$9, $C$13, 100%, $E$13) + CHOOSE(CONTROL!$C$28, 0.0226, 0)</f>
        <v>35.064099999999996</v>
      </c>
      <c r="C434" s="4">
        <f>34.6782 * CHOOSE(CONTROL!$C$9, $C$13, 100%, $E$13) + CHOOSE(CONTROL!$C$28, 0.0226, 0)</f>
        <v>34.700799999999994</v>
      </c>
      <c r="D434" s="4">
        <f>48.5506 * CHOOSE(CONTROL!$C$9, $C$13, 100%, $E$13) + CHOOSE(CONTROL!$C$28, 0.0021, 0)</f>
        <v>48.552700000000002</v>
      </c>
      <c r="E434" s="4">
        <f>228.919877328082 * CHOOSE(CONTROL!$C$9, $C$13, 100%, $E$13) + CHOOSE(CONTROL!$C$28, 0.0021, 0)</f>
        <v>228.92197732808202</v>
      </c>
    </row>
    <row r="435" spans="1:5" ht="15">
      <c r="A435" s="13">
        <v>54392</v>
      </c>
      <c r="B435" s="4">
        <f>34.283 * CHOOSE(CONTROL!$C$9, $C$13, 100%, $E$13) + CHOOSE(CONTROL!$C$28, 0.0226, 0)</f>
        <v>34.305599999999998</v>
      </c>
      <c r="C435" s="4">
        <f>33.9197 * CHOOSE(CONTROL!$C$9, $C$13, 100%, $E$13) + CHOOSE(CONTROL!$C$28, 0.0226, 0)</f>
        <v>33.942299999999996</v>
      </c>
      <c r="D435" s="4">
        <f>48.3263 * CHOOSE(CONTROL!$C$9, $C$13, 100%, $E$13) + CHOOSE(CONTROL!$C$28, 0.0021, 0)</f>
        <v>48.328400000000002</v>
      </c>
      <c r="E435" s="4">
        <f>223.852706979392 * CHOOSE(CONTROL!$C$9, $C$13, 100%, $E$13) + CHOOSE(CONTROL!$C$28, 0.0021, 0)</f>
        <v>223.85480697939201</v>
      </c>
    </row>
    <row r="436" spans="1:5" ht="15">
      <c r="A436" s="13">
        <v>54423</v>
      </c>
      <c r="B436" s="4">
        <f>33.7582 * CHOOSE(CONTROL!$C$9, $C$13, 100%, $E$13) + CHOOSE(CONTROL!$C$28, 0.0226, 0)</f>
        <v>33.780799999999999</v>
      </c>
      <c r="C436" s="4">
        <f>33.3949 * CHOOSE(CONTROL!$C$9, $C$13, 100%, $E$13) + CHOOSE(CONTROL!$C$28, 0.0226, 0)</f>
        <v>33.417499999999997</v>
      </c>
      <c r="D436" s="4">
        <f>46.6749 * CHOOSE(CONTROL!$C$9, $C$13, 100%, $E$13) + CHOOSE(CONTROL!$C$28, 0.0021, 0)</f>
        <v>46.677</v>
      </c>
      <c r="E436" s="4">
        <f>220.34687645459 * CHOOSE(CONTROL!$C$9, $C$13, 100%, $E$13) + CHOOSE(CONTROL!$C$28, 0.0021, 0)</f>
        <v>220.34897645459</v>
      </c>
    </row>
    <row r="437" spans="1:5" ht="15">
      <c r="A437" s="13">
        <v>54454</v>
      </c>
      <c r="B437" s="4">
        <f>32.3223 * CHOOSE(CONTROL!$C$9, $C$13, 100%, $E$13) + CHOOSE(CONTROL!$C$28, 0.0226, 0)</f>
        <v>32.344899999999996</v>
      </c>
      <c r="C437" s="4">
        <f>31.959 * CHOOSE(CONTROL!$C$9, $C$13, 100%, $E$13) + CHOOSE(CONTROL!$C$28, 0.0226, 0)</f>
        <v>31.9816</v>
      </c>
      <c r="D437" s="4">
        <f>44.8557 * CHOOSE(CONTROL!$C$9, $C$13, 100%, $E$13) + CHOOSE(CONTROL!$C$28, 0.0021, 0)</f>
        <v>44.857799999999997</v>
      </c>
      <c r="E437" s="4">
        <f>211.168533690528 * CHOOSE(CONTROL!$C$9, $C$13, 100%, $E$13) + CHOOSE(CONTROL!$C$28, 0.0021, 0)</f>
        <v>211.17063369052801</v>
      </c>
    </row>
    <row r="438" spans="1:5" ht="15">
      <c r="A438" s="13">
        <v>54482</v>
      </c>
      <c r="B438" s="4">
        <f>33.0714 * CHOOSE(CONTROL!$C$9, $C$13, 100%, $E$13) + CHOOSE(CONTROL!$C$28, 0.0226, 0)</f>
        <v>33.093999999999994</v>
      </c>
      <c r="C438" s="4">
        <f>32.7081 * CHOOSE(CONTROL!$C$9, $C$13, 100%, $E$13) + CHOOSE(CONTROL!$C$28, 0.0226, 0)</f>
        <v>32.730699999999999</v>
      </c>
      <c r="D438" s="4">
        <f>46.3735 * CHOOSE(CONTROL!$C$9, $C$13, 100%, $E$13) + CHOOSE(CONTROL!$C$28, 0.0021, 0)</f>
        <v>46.375599999999999</v>
      </c>
      <c r="E438" s="4">
        <f>216.18250687641 * CHOOSE(CONTROL!$C$9, $C$13, 100%, $E$13) + CHOOSE(CONTROL!$C$28, 0.0021, 0)</f>
        <v>216.18460687641002</v>
      </c>
    </row>
    <row r="439" spans="1:5" ht="15">
      <c r="A439" s="13">
        <v>54513</v>
      </c>
      <c r="B439" s="4">
        <f>35.0386 * CHOOSE(CONTROL!$C$9, $C$13, 100%, $E$13) + CHOOSE(CONTROL!$C$28, 0.0226, 0)</f>
        <v>35.061199999999999</v>
      </c>
      <c r="C439" s="4">
        <f>34.6753 * CHOOSE(CONTROL!$C$9, $C$13, 100%, $E$13) + CHOOSE(CONTROL!$C$28, 0.0226, 0)</f>
        <v>34.697899999999997</v>
      </c>
      <c r="D439" s="4">
        <f>48.7495 * CHOOSE(CONTROL!$C$9, $C$13, 100%, $E$13) + CHOOSE(CONTROL!$C$28, 0.0021, 0)</f>
        <v>48.751599999999996</v>
      </c>
      <c r="E439" s="4">
        <f>229.349466921251 * CHOOSE(CONTROL!$C$9, $C$13, 100%, $E$13) + CHOOSE(CONTROL!$C$28, 0.0021, 0)</f>
        <v>229.35156692125102</v>
      </c>
    </row>
    <row r="440" spans="1:5" ht="15">
      <c r="A440" s="13">
        <v>54543</v>
      </c>
      <c r="B440" s="4">
        <f>36.4363 * CHOOSE(CONTROL!$C$9, $C$13, 100%, $E$13) + CHOOSE(CONTROL!$C$28, 0.0226, 0)</f>
        <v>36.4589</v>
      </c>
      <c r="C440" s="4">
        <f>36.073 * CHOOSE(CONTROL!$C$9, $C$13, 100%, $E$13) + CHOOSE(CONTROL!$C$28, 0.0226, 0)</f>
        <v>36.095599999999997</v>
      </c>
      <c r="D440" s="4">
        <f>50.1181 * CHOOSE(CONTROL!$C$9, $C$13, 100%, $E$13) + CHOOSE(CONTROL!$C$28, 0.0021, 0)</f>
        <v>50.120199999999997</v>
      </c>
      <c r="E440" s="4">
        <f>238.704767505925 * CHOOSE(CONTROL!$C$9, $C$13, 100%, $E$13) + CHOOSE(CONTROL!$C$28, 0.0021, 0)</f>
        <v>238.706867505925</v>
      </c>
    </row>
    <row r="441" spans="1:5" ht="15">
      <c r="A441" s="13">
        <v>54574</v>
      </c>
      <c r="B441" s="4">
        <f>37.2902 * CHOOSE(CONTROL!$C$9, $C$13, 100%, $E$13) + CHOOSE(CONTROL!$C$28, 0.0226, 0)</f>
        <v>37.312799999999996</v>
      </c>
      <c r="C441" s="4">
        <f>36.9269 * CHOOSE(CONTROL!$C$9, $C$13, 100%, $E$13) + CHOOSE(CONTROL!$C$28, 0.0226, 0)</f>
        <v>36.9495</v>
      </c>
      <c r="D441" s="4">
        <f>49.5773 * CHOOSE(CONTROL!$C$9, $C$13, 100%, $E$13) + CHOOSE(CONTROL!$C$28, 0.0021, 0)</f>
        <v>49.5794</v>
      </c>
      <c r="E441" s="4">
        <f>244.420631947898 * CHOOSE(CONTROL!$C$9, $C$13, 100%, $E$13) + CHOOSE(CONTROL!$C$28, 0.0021, 0)</f>
        <v>244.422731947898</v>
      </c>
    </row>
    <row r="442" spans="1:5" ht="15">
      <c r="A442" s="13">
        <v>54604</v>
      </c>
      <c r="B442" s="4">
        <f>37.4058 * CHOOSE(CONTROL!$C$9, $C$13, 100%, $E$13) + CHOOSE(CONTROL!$C$28, 0.0226, 0)</f>
        <v>37.428399999999996</v>
      </c>
      <c r="C442" s="4">
        <f>37.0425 * CHOOSE(CONTROL!$C$9, $C$13, 100%, $E$13) + CHOOSE(CONTROL!$C$28, 0.0226, 0)</f>
        <v>37.065099999999994</v>
      </c>
      <c r="D442" s="4">
        <f>50.0177 * CHOOSE(CONTROL!$C$9, $C$13, 100%, $E$13) + CHOOSE(CONTROL!$C$28, 0.0021, 0)</f>
        <v>50.019799999999996</v>
      </c>
      <c r="E442" s="4">
        <f>245.194012128222 * CHOOSE(CONTROL!$C$9, $C$13, 100%, $E$13) + CHOOSE(CONTROL!$C$28, 0.0021, 0)</f>
        <v>245.19611212822201</v>
      </c>
    </row>
    <row r="443" spans="1:5" ht="15">
      <c r="A443" s="13">
        <v>54635</v>
      </c>
      <c r="B443" s="4">
        <f>37.3941 * CHOOSE(CONTROL!$C$9, $C$13, 100%, $E$13) + CHOOSE(CONTROL!$C$28, 0.0226, 0)</f>
        <v>37.416699999999999</v>
      </c>
      <c r="C443" s="4">
        <f>37.0308 * CHOOSE(CONTROL!$C$9, $C$13, 100%, $E$13) + CHOOSE(CONTROL!$C$28, 0.0226, 0)</f>
        <v>37.053399999999996</v>
      </c>
      <c r="D443" s="4">
        <f>50.8125 * CHOOSE(CONTROL!$C$9, $C$13, 100%, $E$13) + CHOOSE(CONTROL!$C$28, 0.0021, 0)</f>
        <v>50.814599999999999</v>
      </c>
      <c r="E443" s="4">
        <f>245.116024210878 * CHOOSE(CONTROL!$C$9, $C$13, 100%, $E$13) + CHOOSE(CONTROL!$C$28, 0.0021, 0)</f>
        <v>245.11812421087802</v>
      </c>
    </row>
    <row r="444" spans="1:5" ht="15">
      <c r="A444" s="13">
        <v>54666</v>
      </c>
      <c r="B444" s="4">
        <f>38.2709 * CHOOSE(CONTROL!$C$9, $C$13, 100%, $E$13) + CHOOSE(CONTROL!$C$28, 0.0226, 0)</f>
        <v>38.293499999999995</v>
      </c>
      <c r="C444" s="4">
        <f>37.9076 * CHOOSE(CONTROL!$C$9, $C$13, 100%, $E$13) + CHOOSE(CONTROL!$C$28, 0.0226, 0)</f>
        <v>37.930199999999999</v>
      </c>
      <c r="D444" s="4">
        <f>50.2876 * CHOOSE(CONTROL!$C$9, $C$13, 100%, $E$13) + CHOOSE(CONTROL!$C$28, 0.0021, 0)</f>
        <v>50.289699999999996</v>
      </c>
      <c r="E444" s="4">
        <f>250.984614990983 * CHOOSE(CONTROL!$C$9, $C$13, 100%, $E$13) + CHOOSE(CONTROL!$C$28, 0.0021, 0)</f>
        <v>250.98671499098302</v>
      </c>
    </row>
    <row r="445" spans="1:5" ht="15">
      <c r="A445" s="13">
        <v>54696</v>
      </c>
      <c r="B445" s="4">
        <f>36.7766 * CHOOSE(CONTROL!$C$9, $C$13, 100%, $E$13) + CHOOSE(CONTROL!$C$28, 0.0226, 0)</f>
        <v>36.799199999999999</v>
      </c>
      <c r="C445" s="4">
        <f>36.4133 * CHOOSE(CONTROL!$C$9, $C$13, 100%, $E$13) + CHOOSE(CONTROL!$C$28, 0.0226, 0)</f>
        <v>36.435899999999997</v>
      </c>
      <c r="D445" s="4">
        <f>50.0397 * CHOOSE(CONTROL!$C$9, $C$13, 100%, $E$13) + CHOOSE(CONTROL!$C$28, 0.0021, 0)</f>
        <v>50.041800000000002</v>
      </c>
      <c r="E445" s="4">
        <f>240.982664591669 * CHOOSE(CONTROL!$C$9, $C$13, 100%, $E$13) + CHOOSE(CONTROL!$C$28, 0.0021, 0)</f>
        <v>240.98476459166901</v>
      </c>
    </row>
    <row r="446" spans="1:5" ht="15">
      <c r="A446" s="13">
        <v>54727</v>
      </c>
      <c r="B446" s="4">
        <f>35.5804 * CHOOSE(CONTROL!$C$9, $C$13, 100%, $E$13) + CHOOSE(CONTROL!$C$28, 0.0226, 0)</f>
        <v>35.602999999999994</v>
      </c>
      <c r="C446" s="4">
        <f>35.2171 * CHOOSE(CONTROL!$C$9, $C$13, 100%, $E$13) + CHOOSE(CONTROL!$C$28, 0.0226, 0)</f>
        <v>35.239699999999999</v>
      </c>
      <c r="D446" s="4">
        <f>49.3757 * CHOOSE(CONTROL!$C$9, $C$13, 100%, $E$13) + CHOOSE(CONTROL!$C$28, 0.0021, 0)</f>
        <v>49.377800000000001</v>
      </c>
      <c r="E446" s="4">
        <f>232.975905077728 * CHOOSE(CONTROL!$C$9, $C$13, 100%, $E$13) + CHOOSE(CONTROL!$C$28, 0.0021, 0)</f>
        <v>232.978005077728</v>
      </c>
    </row>
    <row r="447" spans="1:5" ht="15">
      <c r="A447" s="13">
        <v>54757</v>
      </c>
      <c r="B447" s="4">
        <f>34.8099 * CHOOSE(CONTROL!$C$9, $C$13, 100%, $E$13) + CHOOSE(CONTROL!$C$28, 0.0226, 0)</f>
        <v>34.832499999999996</v>
      </c>
      <c r="C447" s="4">
        <f>34.4466 * CHOOSE(CONTROL!$C$9, $C$13, 100%, $E$13) + CHOOSE(CONTROL!$C$28, 0.0226, 0)</f>
        <v>34.469199999999994</v>
      </c>
      <c r="D447" s="4">
        <f>49.1474 * CHOOSE(CONTROL!$C$9, $C$13, 100%, $E$13) + CHOOSE(CONTROL!$C$28, 0.0021, 0)</f>
        <v>49.149499999999996</v>
      </c>
      <c r="E447" s="4">
        <f>227.818954043383 * CHOOSE(CONTROL!$C$9, $C$13, 100%, $E$13) + CHOOSE(CONTROL!$C$28, 0.0021, 0)</f>
        <v>227.82105404338301</v>
      </c>
    </row>
    <row r="448" spans="1:5" ht="15">
      <c r="A448" s="13">
        <v>54788</v>
      </c>
      <c r="B448" s="4">
        <f>34.2768 * CHOOSE(CONTROL!$C$9, $C$13, 100%, $E$13) + CHOOSE(CONTROL!$C$28, 0.0226, 0)</f>
        <v>34.299399999999999</v>
      </c>
      <c r="C448" s="4">
        <f>33.9136 * CHOOSE(CONTROL!$C$9, $C$13, 100%, $E$13) + CHOOSE(CONTROL!$C$28, 0.0226, 0)</f>
        <v>33.936199999999999</v>
      </c>
      <c r="D448" s="4">
        <f>47.4668 * CHOOSE(CONTROL!$C$9, $C$13, 100%, $E$13) + CHOOSE(CONTROL!$C$28, 0.0021, 0)</f>
        <v>47.468899999999998</v>
      </c>
      <c r="E448" s="4">
        <f>224.251006824914 * CHOOSE(CONTROL!$C$9, $C$13, 100%, $E$13) + CHOOSE(CONTROL!$C$28, 0.0021, 0)</f>
        <v>224.253106824914</v>
      </c>
    </row>
    <row r="449" spans="1:5" ht="15">
      <c r="A449" s="13">
        <v>54819</v>
      </c>
      <c r="B449" s="4">
        <f>32.8184 * CHOOSE(CONTROL!$C$9, $C$13, 100%, $E$13) + CHOOSE(CONTROL!$C$28, 0.0226, 0)</f>
        <v>32.840999999999994</v>
      </c>
      <c r="C449" s="4">
        <f>32.4551 * CHOOSE(CONTROL!$C$9, $C$13, 100%, $E$13) + CHOOSE(CONTROL!$C$28, 0.0226, 0)</f>
        <v>32.477699999999999</v>
      </c>
      <c r="D449" s="4">
        <f>45.6155 * CHOOSE(CONTROL!$C$9, $C$13, 100%, $E$13) + CHOOSE(CONTROL!$C$28, 0.0021, 0)</f>
        <v>45.617599999999996</v>
      </c>
      <c r="E449" s="4">
        <f>214.910041166846 * CHOOSE(CONTROL!$C$9, $C$13, 100%, $E$13) + CHOOSE(CONTROL!$C$28, 0.0021, 0)</f>
        <v>214.91214116684603</v>
      </c>
    </row>
    <row r="450" spans="1:5" ht="15">
      <c r="A450" s="13">
        <v>54847</v>
      </c>
      <c r="B450" s="4">
        <f>33.5793 * CHOOSE(CONTROL!$C$9, $C$13, 100%, $E$13) + CHOOSE(CONTROL!$C$28, 0.0226, 0)</f>
        <v>33.601900000000001</v>
      </c>
      <c r="C450" s="4">
        <f>33.216 * CHOOSE(CONTROL!$C$9, $C$13, 100%, $E$13) + CHOOSE(CONTROL!$C$28, 0.0226, 0)</f>
        <v>33.238599999999998</v>
      </c>
      <c r="D450" s="4">
        <f>47.1601 * CHOOSE(CONTROL!$C$9, $C$13, 100%, $E$13) + CHOOSE(CONTROL!$C$28, 0.0021, 0)</f>
        <v>47.162199999999999</v>
      </c>
      <c r="E450" s="4">
        <f>220.012852485157 * CHOOSE(CONTROL!$C$9, $C$13, 100%, $E$13) + CHOOSE(CONTROL!$C$28, 0.0021, 0)</f>
        <v>220.01495248515701</v>
      </c>
    </row>
    <row r="451" spans="1:5" ht="15">
      <c r="A451" s="13">
        <v>54878</v>
      </c>
      <c r="B451" s="4">
        <f>35.5774 * CHOOSE(CONTROL!$C$9, $C$13, 100%, $E$13) + CHOOSE(CONTROL!$C$28, 0.0226, 0)</f>
        <v>35.599999999999994</v>
      </c>
      <c r="C451" s="4">
        <f>35.2141 * CHOOSE(CONTROL!$C$9, $C$13, 100%, $E$13) + CHOOSE(CONTROL!$C$28, 0.0226, 0)</f>
        <v>35.236699999999999</v>
      </c>
      <c r="D451" s="4">
        <f>49.5781 * CHOOSE(CONTROL!$C$9, $C$13, 100%, $E$13) + CHOOSE(CONTROL!$C$28, 0.0021, 0)</f>
        <v>49.580199999999998</v>
      </c>
      <c r="E451" s="4">
        <f>233.413106186904 * CHOOSE(CONTROL!$C$9, $C$13, 100%, $E$13) + CHOOSE(CONTROL!$C$28, 0.0021, 0)</f>
        <v>233.41520618690402</v>
      </c>
    </row>
    <row r="452" spans="1:5" ht="15">
      <c r="A452" s="13">
        <v>54908</v>
      </c>
      <c r="B452" s="4">
        <f>36.9971 * CHOOSE(CONTROL!$C$9, $C$13, 100%, $E$13) + CHOOSE(CONTROL!$C$28, 0.0226, 0)</f>
        <v>37.0197</v>
      </c>
      <c r="C452" s="4">
        <f>36.6338 * CHOOSE(CONTROL!$C$9, $C$13, 100%, $E$13) + CHOOSE(CONTROL!$C$28, 0.0226, 0)</f>
        <v>36.656399999999998</v>
      </c>
      <c r="D452" s="4">
        <f>50.9709 * CHOOSE(CONTROL!$C$9, $C$13, 100%, $E$13) + CHOOSE(CONTROL!$C$28, 0.0021, 0)</f>
        <v>50.972999999999999</v>
      </c>
      <c r="E452" s="4">
        <f>242.934165023857 * CHOOSE(CONTROL!$C$9, $C$13, 100%, $E$13) + CHOOSE(CONTROL!$C$28, 0.0021, 0)</f>
        <v>242.936265023857</v>
      </c>
    </row>
    <row r="453" spans="1:5" ht="15">
      <c r="A453" s="13">
        <v>54939</v>
      </c>
      <c r="B453" s="4">
        <f>37.8644 * CHOOSE(CONTROL!$C$9, $C$13, 100%, $E$13) + CHOOSE(CONTROL!$C$28, 0.0226, 0)</f>
        <v>37.887</v>
      </c>
      <c r="C453" s="4">
        <f>37.5012 * CHOOSE(CONTROL!$C$9, $C$13, 100%, $E$13) + CHOOSE(CONTROL!$C$28, 0.0226, 0)</f>
        <v>37.523799999999994</v>
      </c>
      <c r="D453" s="4">
        <f>50.4205 * CHOOSE(CONTROL!$C$9, $C$13, 100%, $E$13) + CHOOSE(CONTROL!$C$28, 0.0021, 0)</f>
        <v>50.422599999999996</v>
      </c>
      <c r="E453" s="4">
        <f>248.751303785301 * CHOOSE(CONTROL!$C$9, $C$13, 100%, $E$13) + CHOOSE(CONTROL!$C$28, 0.0021, 0)</f>
        <v>248.753403785301</v>
      </c>
    </row>
    <row r="454" spans="1:5" ht="15">
      <c r="A454" s="13">
        <v>54969</v>
      </c>
      <c r="B454" s="4">
        <f>37.9818 * CHOOSE(CONTROL!$C$9, $C$13, 100%, $E$13) + CHOOSE(CONTROL!$C$28, 0.0226, 0)</f>
        <v>38.004399999999997</v>
      </c>
      <c r="C454" s="4">
        <f>37.6185 * CHOOSE(CONTROL!$C$9, $C$13, 100%, $E$13) + CHOOSE(CONTROL!$C$28, 0.0226, 0)</f>
        <v>37.641099999999994</v>
      </c>
      <c r="D454" s="4">
        <f>50.8687 * CHOOSE(CONTROL!$C$9, $C$13, 100%, $E$13) + CHOOSE(CONTROL!$C$28, 0.0021, 0)</f>
        <v>50.870799999999996</v>
      </c>
      <c r="E454" s="4">
        <f>249.538386801347 * CHOOSE(CONTROL!$C$9, $C$13, 100%, $E$13) + CHOOSE(CONTROL!$C$28, 0.0021, 0)</f>
        <v>249.54048680134701</v>
      </c>
    </row>
    <row r="455" spans="1:5" ht="15">
      <c r="A455" s="13">
        <v>55000</v>
      </c>
      <c r="B455" s="4">
        <f>37.97 * CHOOSE(CONTROL!$C$9, $C$13, 100%, $E$13) + CHOOSE(CONTROL!$C$28, 0.0226, 0)</f>
        <v>37.992599999999996</v>
      </c>
      <c r="C455" s="4">
        <f>37.6067 * CHOOSE(CONTROL!$C$9, $C$13, 100%, $E$13) + CHOOSE(CONTROL!$C$28, 0.0226, 0)</f>
        <v>37.629299999999994</v>
      </c>
      <c r="D455" s="4">
        <f>51.6775 * CHOOSE(CONTROL!$C$9, $C$13, 100%, $E$13) + CHOOSE(CONTROL!$C$28, 0.0021, 0)</f>
        <v>51.679600000000001</v>
      </c>
      <c r="E455" s="4">
        <f>249.459017085443 * CHOOSE(CONTROL!$C$9, $C$13, 100%, $E$13) + CHOOSE(CONTROL!$C$28, 0.0021, 0)</f>
        <v>249.46111708544302</v>
      </c>
    </row>
    <row r="456" spans="1:5" ht="15">
      <c r="A456" s="13">
        <v>55031</v>
      </c>
      <c r="B456" s="4">
        <f>38.8605 * CHOOSE(CONTROL!$C$9, $C$13, 100%, $E$13) + CHOOSE(CONTROL!$C$28, 0.0226, 0)</f>
        <v>38.883099999999999</v>
      </c>
      <c r="C456" s="4">
        <f>38.4973 * CHOOSE(CONTROL!$C$9, $C$13, 100%, $E$13) + CHOOSE(CONTROL!$C$28, 0.0226, 0)</f>
        <v>38.5199</v>
      </c>
      <c r="D456" s="4">
        <f>51.1434 * CHOOSE(CONTROL!$C$9, $C$13, 100%, $E$13) + CHOOSE(CONTROL!$C$28, 0.0021, 0)</f>
        <v>51.145499999999998</v>
      </c>
      <c r="E456" s="4">
        <f>255.431588207199 * CHOOSE(CONTROL!$C$9, $C$13, 100%, $E$13) + CHOOSE(CONTROL!$C$28, 0.0021, 0)</f>
        <v>255.43368820719903</v>
      </c>
    </row>
    <row r="457" spans="1:5" ht="15">
      <c r="A457" s="13">
        <v>55061</v>
      </c>
      <c r="B457" s="4">
        <f>37.3427 * CHOOSE(CONTROL!$C$9, $C$13, 100%, $E$13) + CHOOSE(CONTROL!$C$28, 0.0226, 0)</f>
        <v>37.365299999999998</v>
      </c>
      <c r="C457" s="4">
        <f>36.9794 * CHOOSE(CONTROL!$C$9, $C$13, 100%, $E$13) + CHOOSE(CONTROL!$C$28, 0.0226, 0)</f>
        <v>37.001999999999995</v>
      </c>
      <c r="D457" s="4">
        <f>50.891 * CHOOSE(CONTROL!$C$9, $C$13, 100%, $E$13) + CHOOSE(CONTROL!$C$28, 0.0021, 0)</f>
        <v>50.893099999999997</v>
      </c>
      <c r="E457" s="4">
        <f>245.252422142545 * CHOOSE(CONTROL!$C$9, $C$13, 100%, $E$13) + CHOOSE(CONTROL!$C$28, 0.0021, 0)</f>
        <v>245.254522142545</v>
      </c>
    </row>
    <row r="458" spans="1:5" ht="15">
      <c r="A458" s="13">
        <v>55092</v>
      </c>
      <c r="B458" s="4">
        <f>36.1277 * CHOOSE(CONTROL!$C$9, $C$13, 100%, $E$13) + CHOOSE(CONTROL!$C$28, 0.0226, 0)</f>
        <v>36.150299999999994</v>
      </c>
      <c r="C458" s="4">
        <f>35.7644 * CHOOSE(CONTROL!$C$9, $C$13, 100%, $E$13) + CHOOSE(CONTROL!$C$28, 0.0226, 0)</f>
        <v>35.786999999999999</v>
      </c>
      <c r="D458" s="4">
        <f>50.2153 * CHOOSE(CONTROL!$C$9, $C$13, 100%, $E$13) + CHOOSE(CONTROL!$C$28, 0.0021, 0)</f>
        <v>50.217399999999998</v>
      </c>
      <c r="E458" s="4">
        <f>237.103797976428 * CHOOSE(CONTROL!$C$9, $C$13, 100%, $E$13) + CHOOSE(CONTROL!$C$28, 0.0021, 0)</f>
        <v>237.10589797642803</v>
      </c>
    </row>
    <row r="459" spans="1:5" ht="15">
      <c r="A459" s="13">
        <v>55122</v>
      </c>
      <c r="B459" s="4">
        <f>35.3451 * CHOOSE(CONTROL!$C$9, $C$13, 100%, $E$13) + CHOOSE(CONTROL!$C$28, 0.0226, 0)</f>
        <v>35.367699999999999</v>
      </c>
      <c r="C459" s="4">
        <f>34.9818 * CHOOSE(CONTROL!$C$9, $C$13, 100%, $E$13) + CHOOSE(CONTROL!$C$28, 0.0226, 0)</f>
        <v>35.004399999999997</v>
      </c>
      <c r="D459" s="4">
        <f>49.983 * CHOOSE(CONTROL!$C$9, $C$13, 100%, $E$13) + CHOOSE(CONTROL!$C$28, 0.0021, 0)</f>
        <v>49.985099999999996</v>
      </c>
      <c r="E459" s="4">
        <f>231.855475512294 * CHOOSE(CONTROL!$C$9, $C$13, 100%, $E$13) + CHOOSE(CONTROL!$C$28, 0.0021, 0)</f>
        <v>231.85757551229401</v>
      </c>
    </row>
    <row r="460" spans="1:5" ht="15">
      <c r="A460" s="13">
        <v>55153</v>
      </c>
      <c r="B460" s="4">
        <f>34.8037 * CHOOSE(CONTROL!$C$9, $C$13, 100%, $E$13) + CHOOSE(CONTROL!$C$28, 0.0226, 0)</f>
        <v>34.826299999999996</v>
      </c>
      <c r="C460" s="4">
        <f>34.4404 * CHOOSE(CONTROL!$C$9, $C$13, 100%, $E$13) + CHOOSE(CONTROL!$C$28, 0.0226, 0)</f>
        <v>34.462999999999994</v>
      </c>
      <c r="D460" s="4">
        <f>48.2728 * CHOOSE(CONTROL!$C$9, $C$13, 100%, $E$13) + CHOOSE(CONTROL!$C$28, 0.0021, 0)</f>
        <v>48.274899999999995</v>
      </c>
      <c r="E460" s="4">
        <f>228.224311009698 * CHOOSE(CONTROL!$C$9, $C$13, 100%, $E$13) + CHOOSE(CONTROL!$C$28, 0.0021, 0)</f>
        <v>228.22641100969801</v>
      </c>
    </row>
    <row r="461" spans="1:5" ht="15">
      <c r="A461" s="13">
        <v>55184</v>
      </c>
      <c r="B461" s="4">
        <f>33.3223 * CHOOSE(CONTROL!$C$9, $C$13, 100%, $E$13) + CHOOSE(CONTROL!$C$28, 0.0226, 0)</f>
        <v>33.344899999999996</v>
      </c>
      <c r="C461" s="4">
        <f>32.959 * CHOOSE(CONTROL!$C$9, $C$13, 100%, $E$13) + CHOOSE(CONTROL!$C$28, 0.0226, 0)</f>
        <v>32.9816</v>
      </c>
      <c r="D461" s="4">
        <f>46.3888 * CHOOSE(CONTROL!$C$9, $C$13, 100%, $E$13) + CHOOSE(CONTROL!$C$28, 0.0021, 0)</f>
        <v>46.390900000000002</v>
      </c>
      <c r="E461" s="4">
        <f>218.717841087169 * CHOOSE(CONTROL!$C$9, $C$13, 100%, $E$13) + CHOOSE(CONTROL!$C$28, 0.0021, 0)</f>
        <v>218.71994108716902</v>
      </c>
    </row>
    <row r="462" spans="1:5" ht="15">
      <c r="A462" s="13">
        <v>55212</v>
      </c>
      <c r="B462" s="4">
        <f>34.0952 * CHOOSE(CONTROL!$C$9, $C$13, 100%, $E$13) + CHOOSE(CONTROL!$C$28, 0.0226, 0)</f>
        <v>34.117799999999995</v>
      </c>
      <c r="C462" s="4">
        <f>33.7319 * CHOOSE(CONTROL!$C$9, $C$13, 100%, $E$13) + CHOOSE(CONTROL!$C$28, 0.0226, 0)</f>
        <v>33.7545</v>
      </c>
      <c r="D462" s="4">
        <f>47.9606 * CHOOSE(CONTROL!$C$9, $C$13, 100%, $E$13) + CHOOSE(CONTROL!$C$28, 0.0021, 0)</f>
        <v>47.962699999999998</v>
      </c>
      <c r="E462" s="4">
        <f>223.911064581783 * CHOOSE(CONTROL!$C$9, $C$13, 100%, $E$13) + CHOOSE(CONTROL!$C$28, 0.0021, 0)</f>
        <v>223.91316458178301</v>
      </c>
    </row>
    <row r="463" spans="1:5" ht="15">
      <c r="A463" s="13">
        <v>55243</v>
      </c>
      <c r="B463" s="4">
        <f>36.1247 * CHOOSE(CONTROL!$C$9, $C$13, 100%, $E$13) + CHOOSE(CONTROL!$C$28, 0.0226, 0)</f>
        <v>36.147299999999994</v>
      </c>
      <c r="C463" s="4">
        <f>35.7614 * CHOOSE(CONTROL!$C$9, $C$13, 100%, $E$13) + CHOOSE(CONTROL!$C$28, 0.0226, 0)</f>
        <v>35.783999999999999</v>
      </c>
      <c r="D463" s="4">
        <f>50.4213 * CHOOSE(CONTROL!$C$9, $C$13, 100%, $E$13) + CHOOSE(CONTROL!$C$28, 0.0021, 0)</f>
        <v>50.423400000000001</v>
      </c>
      <c r="E463" s="4">
        <f>237.548745463297 * CHOOSE(CONTROL!$C$9, $C$13, 100%, $E$13) + CHOOSE(CONTROL!$C$28, 0.0021, 0)</f>
        <v>237.55084546329701</v>
      </c>
    </row>
    <row r="464" spans="1:5" ht="15">
      <c r="A464" s="13">
        <v>55273</v>
      </c>
      <c r="B464" s="4">
        <f>37.5667 * CHOOSE(CONTROL!$C$9, $C$13, 100%, $E$13) + CHOOSE(CONTROL!$C$28, 0.0226, 0)</f>
        <v>37.589299999999994</v>
      </c>
      <c r="C464" s="4">
        <f>37.2034 * CHOOSE(CONTROL!$C$9, $C$13, 100%, $E$13) + CHOOSE(CONTROL!$C$28, 0.0226, 0)</f>
        <v>37.225999999999999</v>
      </c>
      <c r="D464" s="4">
        <f>51.8387 * CHOOSE(CONTROL!$C$9, $C$13, 100%, $E$13) + CHOOSE(CONTROL!$C$28, 0.0021, 0)</f>
        <v>51.840800000000002</v>
      </c>
      <c r="E464" s="4">
        <f>247.238499475607 * CHOOSE(CONTROL!$C$9, $C$13, 100%, $E$13) + CHOOSE(CONTROL!$C$28, 0.0021, 0)</f>
        <v>247.24059947560701</v>
      </c>
    </row>
    <row r="465" spans="1:5" ht="15">
      <c r="A465" s="13">
        <v>55304</v>
      </c>
      <c r="B465" s="4">
        <f>38.4477 * CHOOSE(CONTROL!$C$9, $C$13, 100%, $E$13) + CHOOSE(CONTROL!$C$28, 0.0226, 0)</f>
        <v>38.470299999999995</v>
      </c>
      <c r="C465" s="4">
        <f>38.0844 * CHOOSE(CONTROL!$C$9, $C$13, 100%, $E$13) + CHOOSE(CONTROL!$C$28, 0.0226, 0)</f>
        <v>38.106999999999999</v>
      </c>
      <c r="D465" s="4">
        <f>51.2786 * CHOOSE(CONTROL!$C$9, $C$13, 100%, $E$13) + CHOOSE(CONTROL!$C$28, 0.0021, 0)</f>
        <v>51.280699999999996</v>
      </c>
      <c r="E465" s="4">
        <f>253.158706946136 * CHOOSE(CONTROL!$C$9, $C$13, 100%, $E$13) + CHOOSE(CONTROL!$C$28, 0.0021, 0)</f>
        <v>253.16080694613601</v>
      </c>
    </row>
    <row r="466" spans="1:5" ht="15">
      <c r="A466" s="13">
        <v>55334</v>
      </c>
      <c r="B466" s="4">
        <f>38.5669 * CHOOSE(CONTROL!$C$9, $C$13, 100%, $E$13) + CHOOSE(CONTROL!$C$28, 0.0226, 0)</f>
        <v>38.589499999999994</v>
      </c>
      <c r="C466" s="4">
        <f>38.2036 * CHOOSE(CONTROL!$C$9, $C$13, 100%, $E$13) + CHOOSE(CONTROL!$C$28, 0.0226, 0)</f>
        <v>38.226199999999999</v>
      </c>
      <c r="D466" s="4">
        <f>51.7348 * CHOOSE(CONTROL!$C$9, $C$13, 100%, $E$13) + CHOOSE(CONTROL!$C$28, 0.0021, 0)</f>
        <v>51.736899999999999</v>
      </c>
      <c r="E466" s="4">
        <f>253.959735586264 * CHOOSE(CONTROL!$C$9, $C$13, 100%, $E$13) + CHOOSE(CONTROL!$C$28, 0.0021, 0)</f>
        <v>253.96183558626402</v>
      </c>
    </row>
    <row r="467" spans="1:5" ht="15">
      <c r="A467" s="13">
        <v>55365</v>
      </c>
      <c r="B467" s="4">
        <f>38.5549 * CHOOSE(CONTROL!$C$9, $C$13, 100%, $E$13) + CHOOSE(CONTROL!$C$28, 0.0226, 0)</f>
        <v>38.577500000000001</v>
      </c>
      <c r="C467" s="4">
        <f>38.1916 * CHOOSE(CONTROL!$C$9, $C$13, 100%, $E$13) + CHOOSE(CONTROL!$C$28, 0.0226, 0)</f>
        <v>38.214199999999998</v>
      </c>
      <c r="D467" s="4">
        <f>52.5579 * CHOOSE(CONTROL!$C$9, $C$13, 100%, $E$13) + CHOOSE(CONTROL!$C$28, 0.0021, 0)</f>
        <v>52.559999999999995</v>
      </c>
      <c r="E467" s="4">
        <f>253.878959588941 * CHOOSE(CONTROL!$C$9, $C$13, 100%, $E$13) + CHOOSE(CONTROL!$C$28, 0.0021, 0)</f>
        <v>253.88105958894101</v>
      </c>
    </row>
    <row r="468" spans="1:5" ht="15">
      <c r="A468" s="13">
        <v>55396</v>
      </c>
      <c r="B468" s="4">
        <f>39.4594 * CHOOSE(CONTROL!$C$9, $C$13, 100%, $E$13) + CHOOSE(CONTROL!$C$28, 0.0226, 0)</f>
        <v>39.481999999999999</v>
      </c>
      <c r="C468" s="4">
        <f>39.0962 * CHOOSE(CONTROL!$C$9, $C$13, 100%, $E$13) + CHOOSE(CONTROL!$C$28, 0.0226, 0)</f>
        <v>39.1188</v>
      </c>
      <c r="D468" s="4">
        <f>52.0143 * CHOOSE(CONTROL!$C$9, $C$13, 100%, $E$13) + CHOOSE(CONTROL!$C$28, 0.0021, 0)</f>
        <v>52.016399999999997</v>
      </c>
      <c r="E468" s="4">
        <f>259.957353387562 * CHOOSE(CONTROL!$C$9, $C$13, 100%, $E$13) + CHOOSE(CONTROL!$C$28, 0.0021, 0)</f>
        <v>259.95945338756201</v>
      </c>
    </row>
    <row r="469" spans="1:5" ht="15">
      <c r="A469" s="13">
        <v>55426</v>
      </c>
      <c r="B469" s="4">
        <f>37.9178 * CHOOSE(CONTROL!$C$9, $C$13, 100%, $E$13) + CHOOSE(CONTROL!$C$28, 0.0226, 0)</f>
        <v>37.940399999999997</v>
      </c>
      <c r="C469" s="4">
        <f>37.5545 * CHOOSE(CONTROL!$C$9, $C$13, 100%, $E$13) + CHOOSE(CONTROL!$C$28, 0.0226, 0)</f>
        <v>37.577099999999994</v>
      </c>
      <c r="D469" s="4">
        <f>51.7575 * CHOOSE(CONTROL!$C$9, $C$13, 100%, $E$13) + CHOOSE(CONTROL!$C$28, 0.0021, 0)</f>
        <v>51.759599999999999</v>
      </c>
      <c r="E469" s="4">
        <f>249.597831730775 * CHOOSE(CONTROL!$C$9, $C$13, 100%, $E$13) + CHOOSE(CONTROL!$C$28, 0.0021, 0)</f>
        <v>249.59993173077501</v>
      </c>
    </row>
    <row r="470" spans="1:5" ht="15">
      <c r="A470" s="13">
        <v>55457</v>
      </c>
      <c r="B470" s="4">
        <f>36.6836 * CHOOSE(CONTROL!$C$9, $C$13, 100%, $E$13) + CHOOSE(CONTROL!$C$28, 0.0226, 0)</f>
        <v>36.706199999999995</v>
      </c>
      <c r="C470" s="4">
        <f>36.3204 * CHOOSE(CONTROL!$C$9, $C$13, 100%, $E$13) + CHOOSE(CONTROL!$C$28, 0.0226, 0)</f>
        <v>36.342999999999996</v>
      </c>
      <c r="D470" s="4">
        <f>51.0698 * CHOOSE(CONTROL!$C$9, $C$13, 100%, $E$13) + CHOOSE(CONTROL!$C$28, 0.0021, 0)</f>
        <v>51.071899999999999</v>
      </c>
      <c r="E470" s="4">
        <f>241.304829338857 * CHOOSE(CONTROL!$C$9, $C$13, 100%, $E$13) + CHOOSE(CONTROL!$C$28, 0.0021, 0)</f>
        <v>241.306929338857</v>
      </c>
    </row>
    <row r="471" spans="1:5" ht="15">
      <c r="A471" s="13">
        <v>55487</v>
      </c>
      <c r="B471" s="4">
        <f>35.8888 * CHOOSE(CONTROL!$C$9, $C$13, 100%, $E$13) + CHOOSE(CONTROL!$C$28, 0.0226, 0)</f>
        <v>35.9114</v>
      </c>
      <c r="C471" s="4">
        <f>35.5255 * CHOOSE(CONTROL!$C$9, $C$13, 100%, $E$13) + CHOOSE(CONTROL!$C$28, 0.0226, 0)</f>
        <v>35.548099999999998</v>
      </c>
      <c r="D471" s="4">
        <f>50.8334 * CHOOSE(CONTROL!$C$9, $C$13, 100%, $E$13) + CHOOSE(CONTROL!$C$28, 0.0021, 0)</f>
        <v>50.835499999999996</v>
      </c>
      <c r="E471" s="4">
        <f>235.963516515816 * CHOOSE(CONTROL!$C$9, $C$13, 100%, $E$13) + CHOOSE(CONTROL!$C$28, 0.0021, 0)</f>
        <v>235.96561651581601</v>
      </c>
    </row>
    <row r="472" spans="1:5" ht="15">
      <c r="A472" s="13">
        <v>55518</v>
      </c>
      <c r="B472" s="4">
        <f>35.3388 * CHOOSE(CONTROL!$C$9, $C$13, 100%, $E$13) + CHOOSE(CONTROL!$C$28, 0.0226, 0)</f>
        <v>35.361399999999996</v>
      </c>
      <c r="C472" s="4">
        <f>34.9755 * CHOOSE(CONTROL!$C$9, $C$13, 100%, $E$13) + CHOOSE(CONTROL!$C$28, 0.0226, 0)</f>
        <v>34.998099999999994</v>
      </c>
      <c r="D472" s="4">
        <f>49.0929 * CHOOSE(CONTROL!$C$9, $C$13, 100%, $E$13) + CHOOSE(CONTROL!$C$28, 0.0021, 0)</f>
        <v>49.094999999999999</v>
      </c>
      <c r="E472" s="4">
        <f>232.268014638249 * CHOOSE(CONTROL!$C$9, $C$13, 100%, $E$13) + CHOOSE(CONTROL!$C$28, 0.0021, 0)</f>
        <v>232.27011463824903</v>
      </c>
    </row>
    <row r="473" spans="1:5" ht="15">
      <c r="A473" s="13">
        <v>55549</v>
      </c>
      <c r="B473" s="4">
        <f>33.8341 * CHOOSE(CONTROL!$C$9, $C$13, 100%, $E$13) + CHOOSE(CONTROL!$C$28, 0.0226, 0)</f>
        <v>33.856699999999996</v>
      </c>
      <c r="C473" s="4">
        <f>33.4709 * CHOOSE(CONTROL!$C$9, $C$13, 100%, $E$13) + CHOOSE(CONTROL!$C$28, 0.0226, 0)</f>
        <v>33.493499999999997</v>
      </c>
      <c r="D473" s="4">
        <f>47.1757 * CHOOSE(CONTROL!$C$9, $C$13, 100%, $E$13) + CHOOSE(CONTROL!$C$28, 0.0021, 0)</f>
        <v>47.177799999999998</v>
      </c>
      <c r="E473" s="4">
        <f>222.593108028364 * CHOOSE(CONTROL!$C$9, $C$13, 100%, $E$13) + CHOOSE(CONTROL!$C$28, 0.0021, 0)</f>
        <v>222.595208028364</v>
      </c>
    </row>
    <row r="474" spans="1:5" ht="15">
      <c r="A474" s="13">
        <v>55577</v>
      </c>
      <c r="B474" s="4">
        <f>34.6191 * CHOOSE(CONTROL!$C$9, $C$13, 100%, $E$13) + CHOOSE(CONTROL!$C$28, 0.0226, 0)</f>
        <v>34.6417</v>
      </c>
      <c r="C474" s="4">
        <f>34.2559 * CHOOSE(CONTROL!$C$9, $C$13, 100%, $E$13) + CHOOSE(CONTROL!$C$28, 0.0226, 0)</f>
        <v>34.278499999999994</v>
      </c>
      <c r="D474" s="4">
        <f>48.7753 * CHOOSE(CONTROL!$C$9, $C$13, 100%, $E$13) + CHOOSE(CONTROL!$C$28, 0.0021, 0)</f>
        <v>48.7774</v>
      </c>
      <c r="E474" s="4">
        <f>227.878345632239 * CHOOSE(CONTROL!$C$9, $C$13, 100%, $E$13) + CHOOSE(CONTROL!$C$28, 0.0021, 0)</f>
        <v>227.880445632239</v>
      </c>
    </row>
    <row r="475" spans="1:5" ht="15">
      <c r="A475" s="13">
        <v>55609</v>
      </c>
      <c r="B475" s="4">
        <f>36.6806 * CHOOSE(CONTROL!$C$9, $C$13, 100%, $E$13) + CHOOSE(CONTROL!$C$28, 0.0226, 0)</f>
        <v>36.703199999999995</v>
      </c>
      <c r="C475" s="4">
        <f>36.3173 * CHOOSE(CONTROL!$C$9, $C$13, 100%, $E$13) + CHOOSE(CONTROL!$C$28, 0.0226, 0)</f>
        <v>36.3399</v>
      </c>
      <c r="D475" s="4">
        <f>51.2795 * CHOOSE(CONTROL!$C$9, $C$13, 100%, $E$13) + CHOOSE(CONTROL!$C$28, 0.0021, 0)</f>
        <v>51.281599999999997</v>
      </c>
      <c r="E475" s="4">
        <f>241.757660454597 * CHOOSE(CONTROL!$C$9, $C$13, 100%, $E$13) + CHOOSE(CONTROL!$C$28, 0.0021, 0)</f>
        <v>241.759760454597</v>
      </c>
    </row>
    <row r="476" spans="1:5" ht="15">
      <c r="A476" s="13">
        <v>55639</v>
      </c>
      <c r="B476" s="4">
        <f>38.1452 * CHOOSE(CONTROL!$C$9, $C$13, 100%, $E$13) + CHOOSE(CONTROL!$C$28, 0.0226, 0)</f>
        <v>38.1678</v>
      </c>
      <c r="C476" s="4">
        <f>37.782 * CHOOSE(CONTROL!$C$9, $C$13, 100%, $E$13) + CHOOSE(CONTROL!$C$28, 0.0226, 0)</f>
        <v>37.804599999999994</v>
      </c>
      <c r="D476" s="4">
        <f>52.7219 * CHOOSE(CONTROL!$C$9, $C$13, 100%, $E$13) + CHOOSE(CONTROL!$C$28, 0.0021, 0)</f>
        <v>52.723999999999997</v>
      </c>
      <c r="E476" s="4">
        <f>251.619098602072 * CHOOSE(CONTROL!$C$9, $C$13, 100%, $E$13) + CHOOSE(CONTROL!$C$28, 0.0021, 0)</f>
        <v>251.62119860207201</v>
      </c>
    </row>
    <row r="477" spans="1:5" ht="15">
      <c r="A477" s="13">
        <v>55670</v>
      </c>
      <c r="B477" s="4">
        <f>39.0401 * CHOOSE(CONTROL!$C$9, $C$13, 100%, $E$13) + CHOOSE(CONTROL!$C$28, 0.0226, 0)</f>
        <v>39.0627</v>
      </c>
      <c r="C477" s="4">
        <f>38.6768 * CHOOSE(CONTROL!$C$9, $C$13, 100%, $E$13) + CHOOSE(CONTROL!$C$28, 0.0226, 0)</f>
        <v>38.699399999999997</v>
      </c>
      <c r="D477" s="4">
        <f>52.1519 * CHOOSE(CONTROL!$C$9, $C$13, 100%, $E$13) + CHOOSE(CONTROL!$C$28, 0.0021, 0)</f>
        <v>52.153999999999996</v>
      </c>
      <c r="E477" s="4">
        <f>257.644200964492 * CHOOSE(CONTROL!$C$9, $C$13, 100%, $E$13) + CHOOSE(CONTROL!$C$28, 0.0021, 0)</f>
        <v>257.64630096449196</v>
      </c>
    </row>
    <row r="478" spans="1:5" ht="15">
      <c r="A478" s="13">
        <v>55700</v>
      </c>
      <c r="B478" s="4">
        <f>39.1612 * CHOOSE(CONTROL!$C$9, $C$13, 100%, $E$13) + CHOOSE(CONTROL!$C$28, 0.0226, 0)</f>
        <v>39.183799999999998</v>
      </c>
      <c r="C478" s="4">
        <f>38.7979 * CHOOSE(CONTROL!$C$9, $C$13, 100%, $E$13) + CHOOSE(CONTROL!$C$28, 0.0226, 0)</f>
        <v>38.820499999999996</v>
      </c>
      <c r="D478" s="4">
        <f>52.6161 * CHOOSE(CONTROL!$C$9, $C$13, 100%, $E$13) + CHOOSE(CONTROL!$C$28, 0.0021, 0)</f>
        <v>52.618200000000002</v>
      </c>
      <c r="E478" s="4">
        <f>258.459422318816 * CHOOSE(CONTROL!$C$9, $C$13, 100%, $E$13) + CHOOSE(CONTROL!$C$28, 0.0021, 0)</f>
        <v>258.46152231881598</v>
      </c>
    </row>
    <row r="479" spans="1:5" ht="15">
      <c r="A479" s="13">
        <v>55731</v>
      </c>
      <c r="B479" s="4">
        <f>39.149 * CHOOSE(CONTROL!$C$9, $C$13, 100%, $E$13) + CHOOSE(CONTROL!$C$28, 0.0226, 0)</f>
        <v>39.171599999999998</v>
      </c>
      <c r="C479" s="4">
        <f>38.7857 * CHOOSE(CONTROL!$C$9, $C$13, 100%, $E$13) + CHOOSE(CONTROL!$C$28, 0.0226, 0)</f>
        <v>38.808299999999996</v>
      </c>
      <c r="D479" s="4">
        <f>53.4538 * CHOOSE(CONTROL!$C$9, $C$13, 100%, $E$13) + CHOOSE(CONTROL!$C$28, 0.0021, 0)</f>
        <v>53.4559</v>
      </c>
      <c r="E479" s="4">
        <f>258.377215123422 * CHOOSE(CONTROL!$C$9, $C$13, 100%, $E$13) + CHOOSE(CONTROL!$C$28, 0.0021, 0)</f>
        <v>258.37931512342197</v>
      </c>
    </row>
    <row r="480" spans="1:5" ht="15">
      <c r="A480" s="13">
        <v>55762</v>
      </c>
      <c r="B480" s="4">
        <f>40.0678 * CHOOSE(CONTROL!$C$9, $C$13, 100%, $E$13) + CHOOSE(CONTROL!$C$28, 0.0226, 0)</f>
        <v>40.090399999999995</v>
      </c>
      <c r="C480" s="4">
        <f>39.7045 * CHOOSE(CONTROL!$C$9, $C$13, 100%, $E$13) + CHOOSE(CONTROL!$C$28, 0.0226, 0)</f>
        <v>39.7271</v>
      </c>
      <c r="D480" s="4">
        <f>52.9006 * CHOOSE(CONTROL!$C$9, $C$13, 100%, $E$13) + CHOOSE(CONTROL!$C$28, 0.0021, 0)</f>
        <v>52.902699999999996</v>
      </c>
      <c r="E480" s="4">
        <f>264.563306576822 * CHOOSE(CONTROL!$C$9, $C$13, 100%, $E$13) + CHOOSE(CONTROL!$C$28, 0.0021, 0)</f>
        <v>264.565406576822</v>
      </c>
    </row>
    <row r="481" spans="1:5" ht="15">
      <c r="A481" s="13">
        <v>55792</v>
      </c>
      <c r="B481" s="4">
        <f>38.5019 * CHOOSE(CONTROL!$C$9, $C$13, 100%, $E$13) + CHOOSE(CONTROL!$C$28, 0.0226, 0)</f>
        <v>38.524499999999996</v>
      </c>
      <c r="C481" s="4">
        <f>38.1386 * CHOOSE(CONTROL!$C$9, $C$13, 100%, $E$13) + CHOOSE(CONTROL!$C$28, 0.0226, 0)</f>
        <v>38.161199999999994</v>
      </c>
      <c r="D481" s="4">
        <f>52.6392 * CHOOSE(CONTROL!$C$9, $C$13, 100%, $E$13) + CHOOSE(CONTROL!$C$28, 0.0021, 0)</f>
        <v>52.641300000000001</v>
      </c>
      <c r="E481" s="4">
        <f>254.020233767539 * CHOOSE(CONTROL!$C$9, $C$13, 100%, $E$13) + CHOOSE(CONTROL!$C$28, 0.0021, 0)</f>
        <v>254.02233376753901</v>
      </c>
    </row>
    <row r="482" spans="1:5" ht="15">
      <c r="A482" s="13">
        <v>55823</v>
      </c>
      <c r="B482" s="4">
        <f>37.2483 * CHOOSE(CONTROL!$C$9, $C$13, 100%, $E$13) + CHOOSE(CONTROL!$C$28, 0.0226, 0)</f>
        <v>37.270899999999997</v>
      </c>
      <c r="C482" s="4">
        <f>36.885 * CHOOSE(CONTROL!$C$9, $C$13, 100%, $E$13) + CHOOSE(CONTROL!$C$28, 0.0226, 0)</f>
        <v>36.907599999999995</v>
      </c>
      <c r="D482" s="4">
        <f>51.9394 * CHOOSE(CONTROL!$C$9, $C$13, 100%, $E$13) + CHOOSE(CONTROL!$C$28, 0.0021, 0)</f>
        <v>51.941499999999998</v>
      </c>
      <c r="E482" s="4">
        <f>245.580295040419 * CHOOSE(CONTROL!$C$9, $C$13, 100%, $E$13) + CHOOSE(CONTROL!$C$28, 0.0021, 0)</f>
        <v>245.58239504041902</v>
      </c>
    </row>
    <row r="483" spans="1:5" ht="15">
      <c r="A483" s="13">
        <v>55853</v>
      </c>
      <c r="B483" s="4">
        <f>36.4409 * CHOOSE(CONTROL!$C$9, $C$13, 100%, $E$13) + CHOOSE(CONTROL!$C$28, 0.0226, 0)</f>
        <v>36.463499999999996</v>
      </c>
      <c r="C483" s="4">
        <f>36.0777 * CHOOSE(CONTROL!$C$9, $C$13, 100%, $E$13) + CHOOSE(CONTROL!$C$28, 0.0226, 0)</f>
        <v>36.100299999999997</v>
      </c>
      <c r="D483" s="4">
        <f>51.6989 * CHOOSE(CONTROL!$C$9, $C$13, 100%, $E$13) + CHOOSE(CONTROL!$C$28, 0.0021, 0)</f>
        <v>51.701000000000001</v>
      </c>
      <c r="E483" s="4">
        <f>240.144344244989 * CHOOSE(CONTROL!$C$9, $C$13, 100%, $E$13) + CHOOSE(CONTROL!$C$28, 0.0021, 0)</f>
        <v>240.146444244989</v>
      </c>
    </row>
    <row r="484" spans="1:5" ht="15">
      <c r="A484" s="13">
        <v>55884</v>
      </c>
      <c r="B484" s="4">
        <f>35.8823 * CHOOSE(CONTROL!$C$9, $C$13, 100%, $E$13) + CHOOSE(CONTROL!$C$28, 0.0226, 0)</f>
        <v>35.904899999999998</v>
      </c>
      <c r="C484" s="4">
        <f>35.5191 * CHOOSE(CONTROL!$C$9, $C$13, 100%, $E$13) + CHOOSE(CONTROL!$C$28, 0.0226, 0)</f>
        <v>35.541699999999999</v>
      </c>
      <c r="D484" s="4">
        <f>49.9276 * CHOOSE(CONTROL!$C$9, $C$13, 100%, $E$13) + CHOOSE(CONTROL!$C$28, 0.0021, 0)</f>
        <v>49.929699999999997</v>
      </c>
      <c r="E484" s="4">
        <f>236.383365055712 * CHOOSE(CONTROL!$C$9, $C$13, 100%, $E$13) + CHOOSE(CONTROL!$C$28, 0.0021, 0)</f>
        <v>236.38546505571202</v>
      </c>
    </row>
    <row r="485" spans="1:5" ht="15">
      <c r="A485" s="13">
        <v>55915</v>
      </c>
      <c r="B485" s="4">
        <f>34.354 * CHOOSE(CONTROL!$C$9, $C$13, 100%, $E$13) + CHOOSE(CONTROL!$C$28, 0.0226, 0)</f>
        <v>34.376599999999996</v>
      </c>
      <c r="C485" s="4">
        <f>33.9907 * CHOOSE(CONTROL!$C$9, $C$13, 100%, $E$13) + CHOOSE(CONTROL!$C$28, 0.0226, 0)</f>
        <v>34.013299999999994</v>
      </c>
      <c r="D485" s="4">
        <f>47.9765 * CHOOSE(CONTROL!$C$9, $C$13, 100%, $E$13) + CHOOSE(CONTROL!$C$28, 0.0021, 0)</f>
        <v>47.9786</v>
      </c>
      <c r="E485" s="4">
        <f>226.537037378584 * CHOOSE(CONTROL!$C$9, $C$13, 100%, $E$13) + CHOOSE(CONTROL!$C$28, 0.0021, 0)</f>
        <v>226.539137378584</v>
      </c>
    </row>
    <row r="486" spans="1:5" ht="15">
      <c r="A486" s="13">
        <v>55943</v>
      </c>
      <c r="B486" s="4">
        <f>35.1514 * CHOOSE(CONTROL!$C$9, $C$13, 100%, $E$13) + CHOOSE(CONTROL!$C$28, 0.0226, 0)</f>
        <v>35.173999999999999</v>
      </c>
      <c r="C486" s="4">
        <f>34.7881 * CHOOSE(CONTROL!$C$9, $C$13, 100%, $E$13) + CHOOSE(CONTROL!$C$28, 0.0226, 0)</f>
        <v>34.810699999999997</v>
      </c>
      <c r="D486" s="4">
        <f>49.6044 * CHOOSE(CONTROL!$C$9, $C$13, 100%, $E$13) + CHOOSE(CONTROL!$C$28, 0.0021, 0)</f>
        <v>49.606499999999997</v>
      </c>
      <c r="E486" s="4">
        <f>231.915919407901 * CHOOSE(CONTROL!$C$9, $C$13, 100%, $E$13) + CHOOSE(CONTROL!$C$28, 0.0021, 0)</f>
        <v>231.918019407901</v>
      </c>
    </row>
    <row r="487" spans="1:5" ht="15">
      <c r="A487" s="13">
        <v>55974</v>
      </c>
      <c r="B487" s="4">
        <f>37.2452 * CHOOSE(CONTROL!$C$9, $C$13, 100%, $E$13) + CHOOSE(CONTROL!$C$28, 0.0226, 0)</f>
        <v>37.267799999999994</v>
      </c>
      <c r="C487" s="4">
        <f>36.8819 * CHOOSE(CONTROL!$C$9, $C$13, 100%, $E$13) + CHOOSE(CONTROL!$C$28, 0.0226, 0)</f>
        <v>36.904499999999999</v>
      </c>
      <c r="D487" s="4">
        <f>52.1528 * CHOOSE(CONTROL!$C$9, $C$13, 100%, $E$13) + CHOOSE(CONTROL!$C$28, 0.0021, 0)</f>
        <v>52.154899999999998</v>
      </c>
      <c r="E487" s="4">
        <f>246.041149468038 * CHOOSE(CONTROL!$C$9, $C$13, 100%, $E$13) + CHOOSE(CONTROL!$C$28, 0.0021, 0)</f>
        <v>246.043249468038</v>
      </c>
    </row>
    <row r="488" spans="1:5" ht="15">
      <c r="A488" s="13">
        <v>56004</v>
      </c>
      <c r="B488" s="4">
        <f>38.7329 * CHOOSE(CONTROL!$C$9, $C$13, 100%, $E$13) + CHOOSE(CONTROL!$C$28, 0.0226, 0)</f>
        <v>38.755499999999998</v>
      </c>
      <c r="C488" s="4">
        <f>38.3696 * CHOOSE(CONTROL!$C$9, $C$13, 100%, $E$13) + CHOOSE(CONTROL!$C$28, 0.0226, 0)</f>
        <v>38.392199999999995</v>
      </c>
      <c r="D488" s="4">
        <f>53.6207 * CHOOSE(CONTROL!$C$9, $C$13, 100%, $E$13) + CHOOSE(CONTROL!$C$28, 0.0021, 0)</f>
        <v>53.622799999999998</v>
      </c>
      <c r="E488" s="4">
        <f>256.077313669207 * CHOOSE(CONTROL!$C$9, $C$13, 100%, $E$13) + CHOOSE(CONTROL!$C$28, 0.0021, 0)</f>
        <v>256.07941366920699</v>
      </c>
    </row>
    <row r="489" spans="1:5" ht="15">
      <c r="A489" s="13">
        <v>56035</v>
      </c>
      <c r="B489" s="4">
        <f>39.6419 * CHOOSE(CONTROL!$C$9, $C$13, 100%, $E$13) + CHOOSE(CONTROL!$C$28, 0.0226, 0)</f>
        <v>39.664499999999997</v>
      </c>
      <c r="C489" s="4">
        <f>39.2786 * CHOOSE(CONTROL!$C$9, $C$13, 100%, $E$13) + CHOOSE(CONTROL!$C$28, 0.0226, 0)</f>
        <v>39.301199999999994</v>
      </c>
      <c r="D489" s="4">
        <f>53.0406 * CHOOSE(CONTROL!$C$9, $C$13, 100%, $E$13) + CHOOSE(CONTROL!$C$28, 0.0021, 0)</f>
        <v>53.042699999999996</v>
      </c>
      <c r="E489" s="4">
        <f>262.209169462835 * CHOOSE(CONTROL!$C$9, $C$13, 100%, $E$13) + CHOOSE(CONTROL!$C$28, 0.0021, 0)</f>
        <v>262.21126946283499</v>
      </c>
    </row>
    <row r="490" spans="1:5" ht="15">
      <c r="A490" s="13">
        <v>56065</v>
      </c>
      <c r="B490" s="4">
        <f>39.7648 * CHOOSE(CONTROL!$C$9, $C$13, 100%, $E$13) + CHOOSE(CONTROL!$C$28, 0.0226, 0)</f>
        <v>39.787399999999998</v>
      </c>
      <c r="C490" s="4">
        <f>39.4016 * CHOOSE(CONTROL!$C$9, $C$13, 100%, $E$13) + CHOOSE(CONTROL!$C$28, 0.0226, 0)</f>
        <v>39.424199999999999</v>
      </c>
      <c r="D490" s="4">
        <f>53.5131 * CHOOSE(CONTROL!$C$9, $C$13, 100%, $E$13) + CHOOSE(CONTROL!$C$28, 0.0021, 0)</f>
        <v>53.5152</v>
      </c>
      <c r="E490" s="4">
        <f>263.038834999437 * CHOOSE(CONTROL!$C$9, $C$13, 100%, $E$13) + CHOOSE(CONTROL!$C$28, 0.0021, 0)</f>
        <v>263.04093499943696</v>
      </c>
    </row>
    <row r="491" spans="1:5" ht="15">
      <c r="A491" s="13">
        <v>56096</v>
      </c>
      <c r="B491" s="4">
        <f>39.7524 * CHOOSE(CONTROL!$C$9, $C$13, 100%, $E$13) + CHOOSE(CONTROL!$C$28, 0.0226, 0)</f>
        <v>39.774999999999999</v>
      </c>
      <c r="C491" s="4">
        <f>39.3892 * CHOOSE(CONTROL!$C$9, $C$13, 100%, $E$13) + CHOOSE(CONTROL!$C$28, 0.0226, 0)</f>
        <v>39.411799999999999</v>
      </c>
      <c r="D491" s="4">
        <f>54.3655 * CHOOSE(CONTROL!$C$9, $C$13, 100%, $E$13) + CHOOSE(CONTROL!$C$28, 0.0021, 0)</f>
        <v>54.367599999999996</v>
      </c>
      <c r="E491" s="4">
        <f>262.955171247847 * CHOOSE(CONTROL!$C$9, $C$13, 100%, $E$13) + CHOOSE(CONTROL!$C$28, 0.0021, 0)</f>
        <v>262.95727124784696</v>
      </c>
    </row>
    <row r="492" spans="1:5" ht="15">
      <c r="A492" s="13">
        <v>56127</v>
      </c>
      <c r="B492" s="4">
        <f>40.6857 * CHOOSE(CONTROL!$C$9, $C$13, 100%, $E$13) + CHOOSE(CONTROL!$C$28, 0.0226, 0)</f>
        <v>40.708299999999994</v>
      </c>
      <c r="C492" s="4">
        <f>40.3224 * CHOOSE(CONTROL!$C$9, $C$13, 100%, $E$13) + CHOOSE(CONTROL!$C$28, 0.0226, 0)</f>
        <v>40.344999999999999</v>
      </c>
      <c r="D492" s="4">
        <f>53.8025 * CHOOSE(CONTROL!$C$9, $C$13, 100%, $E$13) + CHOOSE(CONTROL!$C$28, 0.0021, 0)</f>
        <v>53.804600000000001</v>
      </c>
      <c r="E492" s="4">
        <f>269.250868555006 * CHOOSE(CONTROL!$C$9, $C$13, 100%, $E$13) + CHOOSE(CONTROL!$C$28, 0.0021, 0)</f>
        <v>269.25296855500596</v>
      </c>
    </row>
    <row r="493" spans="1:5" ht="15">
      <c r="A493" s="13">
        <v>56157</v>
      </c>
      <c r="B493" s="4">
        <f>39.0951 * CHOOSE(CONTROL!$C$9, $C$13, 100%, $E$13) + CHOOSE(CONTROL!$C$28, 0.0226, 0)</f>
        <v>39.117699999999999</v>
      </c>
      <c r="C493" s="4">
        <f>38.7319 * CHOOSE(CONTROL!$C$9, $C$13, 100%, $E$13) + CHOOSE(CONTROL!$C$28, 0.0226, 0)</f>
        <v>38.7545</v>
      </c>
      <c r="D493" s="4">
        <f>53.5366 * CHOOSE(CONTROL!$C$9, $C$13, 100%, $E$13) + CHOOSE(CONTROL!$C$28, 0.0021, 0)</f>
        <v>53.538699999999999</v>
      </c>
      <c r="E493" s="4">
        <f>258.520992413569 * CHOOSE(CONTROL!$C$9, $C$13, 100%, $E$13) + CHOOSE(CONTROL!$C$28, 0.0021, 0)</f>
        <v>258.52309241356897</v>
      </c>
    </row>
    <row r="494" spans="1:5" ht="15">
      <c r="A494" s="13">
        <v>56188</v>
      </c>
      <c r="B494" s="4">
        <f>37.8219 * CHOOSE(CONTROL!$C$9, $C$13, 100%, $E$13) + CHOOSE(CONTROL!$C$28, 0.0226, 0)</f>
        <v>37.844499999999996</v>
      </c>
      <c r="C494" s="4">
        <f>37.4586 * CHOOSE(CONTROL!$C$9, $C$13, 100%, $E$13) + CHOOSE(CONTROL!$C$28, 0.0226, 0)</f>
        <v>37.481199999999994</v>
      </c>
      <c r="D494" s="4">
        <f>52.8244 * CHOOSE(CONTROL!$C$9, $C$13, 100%, $E$13) + CHOOSE(CONTROL!$C$28, 0.0021, 0)</f>
        <v>52.826499999999996</v>
      </c>
      <c r="E494" s="4">
        <f>249.93151391698 * CHOOSE(CONTROL!$C$9, $C$13, 100%, $E$13) + CHOOSE(CONTROL!$C$28, 0.0021, 0)</f>
        <v>249.93361391698002</v>
      </c>
    </row>
    <row r="495" spans="1:5" ht="15">
      <c r="A495" s="13">
        <v>56218</v>
      </c>
      <c r="B495" s="4">
        <f>37.0018 * CHOOSE(CONTROL!$C$9, $C$13, 100%, $E$13) + CHOOSE(CONTROL!$C$28, 0.0226, 0)</f>
        <v>37.0244</v>
      </c>
      <c r="C495" s="4">
        <f>36.6385 * CHOOSE(CONTROL!$C$9, $C$13, 100%, $E$13) + CHOOSE(CONTROL!$C$28, 0.0226, 0)</f>
        <v>36.661099999999998</v>
      </c>
      <c r="D495" s="4">
        <f>52.5796 * CHOOSE(CONTROL!$C$9, $C$13, 100%, $E$13) + CHOOSE(CONTROL!$C$28, 0.0021, 0)</f>
        <v>52.581699999999998</v>
      </c>
      <c r="E495" s="4">
        <f>244.399248343081 * CHOOSE(CONTROL!$C$9, $C$13, 100%, $E$13) + CHOOSE(CONTROL!$C$28, 0.0021, 0)</f>
        <v>244.40134834308103</v>
      </c>
    </row>
    <row r="496" spans="1:5" ht="15">
      <c r="A496" s="13">
        <v>56249</v>
      </c>
      <c r="B496" s="4">
        <f>36.4344 * CHOOSE(CONTROL!$C$9, $C$13, 100%, $E$13) + CHOOSE(CONTROL!$C$28, 0.0226, 0)</f>
        <v>36.456999999999994</v>
      </c>
      <c r="C496" s="4">
        <f>36.0712 * CHOOSE(CONTROL!$C$9, $C$13, 100%, $E$13) + CHOOSE(CONTROL!$C$28, 0.0226, 0)</f>
        <v>36.093799999999995</v>
      </c>
      <c r="D496" s="4">
        <f>50.777 * CHOOSE(CONTROL!$C$9, $C$13, 100%, $E$13) + CHOOSE(CONTROL!$C$28, 0.0021, 0)</f>
        <v>50.7791</v>
      </c>
      <c r="E496" s="4">
        <f>240.571631707832 * CHOOSE(CONTROL!$C$9, $C$13, 100%, $E$13) + CHOOSE(CONTROL!$C$28, 0.0021, 0)</f>
        <v>240.57373170783202</v>
      </c>
    </row>
    <row r="497" spans="1:5" ht="15">
      <c r="A497" s="13">
        <v>56280</v>
      </c>
      <c r="B497" s="4">
        <f>34.8821 * CHOOSE(CONTROL!$C$9, $C$13, 100%, $E$13) + CHOOSE(CONTROL!$C$28, 0.0226, 0)</f>
        <v>34.904699999999998</v>
      </c>
      <c r="C497" s="4">
        <f>34.5188 * CHOOSE(CONTROL!$C$9, $C$13, 100%, $E$13) + CHOOSE(CONTROL!$C$28, 0.0226, 0)</f>
        <v>34.541399999999996</v>
      </c>
      <c r="D497" s="4">
        <f>48.7914 * CHOOSE(CONTROL!$C$9, $C$13, 100%, $E$13) + CHOOSE(CONTROL!$C$28, 0.0021, 0)</f>
        <v>48.793500000000002</v>
      </c>
      <c r="E497" s="4">
        <f>230.550845705998 * CHOOSE(CONTROL!$C$9, $C$13, 100%, $E$13) + CHOOSE(CONTROL!$C$28, 0.0021, 0)</f>
        <v>230.55294570599801</v>
      </c>
    </row>
    <row r="498" spans="1:5" ht="15">
      <c r="A498" s="13">
        <v>56308</v>
      </c>
      <c r="B498" s="4">
        <f>35.6919 * CHOOSE(CONTROL!$C$9, $C$13, 100%, $E$13) + CHOOSE(CONTROL!$C$28, 0.0226, 0)</f>
        <v>35.714499999999994</v>
      </c>
      <c r="C498" s="4">
        <f>35.3287 * CHOOSE(CONTROL!$C$9, $C$13, 100%, $E$13) + CHOOSE(CONTROL!$C$28, 0.0226, 0)</f>
        <v>35.351299999999995</v>
      </c>
      <c r="D498" s="4">
        <f>50.4481 * CHOOSE(CONTROL!$C$9, $C$13, 100%, $E$13) + CHOOSE(CONTROL!$C$28, 0.0021, 0)</f>
        <v>50.450199999999995</v>
      </c>
      <c r="E498" s="4">
        <f>236.025031363062 * CHOOSE(CONTROL!$C$9, $C$13, 100%, $E$13) + CHOOSE(CONTROL!$C$28, 0.0021, 0)</f>
        <v>236.02713136306201</v>
      </c>
    </row>
    <row r="499" spans="1:5" ht="15">
      <c r="A499" s="13">
        <v>56339</v>
      </c>
      <c r="B499" s="4">
        <f>37.8187 * CHOOSE(CONTROL!$C$9, $C$13, 100%, $E$13) + CHOOSE(CONTROL!$C$28, 0.0226, 0)</f>
        <v>37.841299999999997</v>
      </c>
      <c r="C499" s="4">
        <f>37.4554 * CHOOSE(CONTROL!$C$9, $C$13, 100%, $E$13) + CHOOSE(CONTROL!$C$28, 0.0226, 0)</f>
        <v>37.477999999999994</v>
      </c>
      <c r="D499" s="4">
        <f>53.0415 * CHOOSE(CONTROL!$C$9, $C$13, 100%, $E$13) + CHOOSE(CONTROL!$C$28, 0.0021, 0)</f>
        <v>53.043599999999998</v>
      </c>
      <c r="E499" s="4">
        <f>250.400533814408 * CHOOSE(CONTROL!$C$9, $C$13, 100%, $E$13) + CHOOSE(CONTROL!$C$28, 0.0021, 0)</f>
        <v>250.40263381440801</v>
      </c>
    </row>
    <row r="500" spans="1:5" ht="15">
      <c r="A500" s="13">
        <v>56369</v>
      </c>
      <c r="B500" s="4">
        <f>39.3298 * CHOOSE(CONTROL!$C$9, $C$13, 100%, $E$13) + CHOOSE(CONTROL!$C$28, 0.0226, 0)</f>
        <v>39.352399999999996</v>
      </c>
      <c r="C500" s="4">
        <f>38.9665 * CHOOSE(CONTROL!$C$9, $C$13, 100%, $E$13) + CHOOSE(CONTROL!$C$28, 0.0226, 0)</f>
        <v>38.989100000000001</v>
      </c>
      <c r="D500" s="4">
        <f>54.5354 * CHOOSE(CONTROL!$C$9, $C$13, 100%, $E$13) + CHOOSE(CONTROL!$C$28, 0.0021, 0)</f>
        <v>54.537500000000001</v>
      </c>
      <c r="E500" s="4">
        <f>260.614519884848 * CHOOSE(CONTROL!$C$9, $C$13, 100%, $E$13) + CHOOSE(CONTROL!$C$28, 0.0021, 0)</f>
        <v>260.61661988484798</v>
      </c>
    </row>
    <row r="501" spans="1:5" ht="15">
      <c r="A501" s="13">
        <v>56400</v>
      </c>
      <c r="B501" s="4">
        <f>40.2531 * CHOOSE(CONTROL!$C$9, $C$13, 100%, $E$13) + CHOOSE(CONTROL!$C$28, 0.0226, 0)</f>
        <v>40.275700000000001</v>
      </c>
      <c r="C501" s="4">
        <f>39.8898 * CHOOSE(CONTROL!$C$9, $C$13, 100%, $E$13) + CHOOSE(CONTROL!$C$28, 0.0226, 0)</f>
        <v>39.912399999999998</v>
      </c>
      <c r="D501" s="4">
        <f>53.9451 * CHOOSE(CONTROL!$C$9, $C$13, 100%, $E$13) + CHOOSE(CONTROL!$C$28, 0.0021, 0)</f>
        <v>53.947199999999995</v>
      </c>
      <c r="E501" s="4">
        <f>266.855020578806 * CHOOSE(CONTROL!$C$9, $C$13, 100%, $E$13) + CHOOSE(CONTROL!$C$28, 0.0021, 0)</f>
        <v>266.85712057880596</v>
      </c>
    </row>
    <row r="502" spans="1:5" ht="15">
      <c r="A502" s="13">
        <v>56430</v>
      </c>
      <c r="B502" s="4">
        <f>40.378 * CHOOSE(CONTROL!$C$9, $C$13, 100%, $E$13) + CHOOSE(CONTROL!$C$28, 0.0226, 0)</f>
        <v>40.400599999999997</v>
      </c>
      <c r="C502" s="4">
        <f>40.0147 * CHOOSE(CONTROL!$C$9, $C$13, 100%, $E$13) + CHOOSE(CONTROL!$C$28, 0.0226, 0)</f>
        <v>40.037299999999995</v>
      </c>
      <c r="D502" s="4">
        <f>54.4258 * CHOOSE(CONTROL!$C$9, $C$13, 100%, $E$13) + CHOOSE(CONTROL!$C$28, 0.0021, 0)</f>
        <v>54.427900000000001</v>
      </c>
      <c r="E502" s="4">
        <f>267.699386221309 * CHOOSE(CONTROL!$C$9, $C$13, 100%, $E$13) + CHOOSE(CONTROL!$C$28, 0.0021, 0)</f>
        <v>267.70148622130898</v>
      </c>
    </row>
    <row r="503" spans="1:5" ht="15">
      <c r="A503" s="13">
        <v>56461</v>
      </c>
      <c r="B503" s="4">
        <f>40.3654 * CHOOSE(CONTROL!$C$9, $C$13, 100%, $E$13) + CHOOSE(CONTROL!$C$28, 0.0226, 0)</f>
        <v>40.387999999999998</v>
      </c>
      <c r="C503" s="4">
        <f>40.0021 * CHOOSE(CONTROL!$C$9, $C$13, 100%, $E$13) + CHOOSE(CONTROL!$C$28, 0.0226, 0)</f>
        <v>40.024699999999996</v>
      </c>
      <c r="D503" s="4">
        <f>55.2933 * CHOOSE(CONTROL!$C$9, $C$13, 100%, $E$13) + CHOOSE(CONTROL!$C$28, 0.0021, 0)</f>
        <v>55.295400000000001</v>
      </c>
      <c r="E503" s="4">
        <f>267.614240106098 * CHOOSE(CONTROL!$C$9, $C$13, 100%, $E$13) + CHOOSE(CONTROL!$C$28, 0.0021, 0)</f>
        <v>267.61634010609799</v>
      </c>
    </row>
    <row r="504" spans="1:5" ht="15">
      <c r="A504" s="13">
        <v>56492</v>
      </c>
      <c r="B504" s="4">
        <f>41.3133 * CHOOSE(CONTROL!$C$9, $C$13, 100%, $E$13) + CHOOSE(CONTROL!$C$28, 0.0226, 0)</f>
        <v>41.335899999999995</v>
      </c>
      <c r="C504" s="4">
        <f>40.95 * CHOOSE(CONTROL!$C$9, $C$13, 100%, $E$13) + CHOOSE(CONTROL!$C$28, 0.0226, 0)</f>
        <v>40.9726</v>
      </c>
      <c r="D504" s="4">
        <f>54.7204 * CHOOSE(CONTROL!$C$9, $C$13, 100%, $E$13) + CHOOSE(CONTROL!$C$28, 0.0021, 0)</f>
        <v>54.722499999999997</v>
      </c>
      <c r="E504" s="4">
        <f>274.021485275676 * CHOOSE(CONTROL!$C$9, $C$13, 100%, $E$13) + CHOOSE(CONTROL!$C$28, 0.0021, 0)</f>
        <v>274.023585275676</v>
      </c>
    </row>
    <row r="505" spans="1:5" ht="15">
      <c r="A505" s="13">
        <v>56522</v>
      </c>
      <c r="B505" s="4">
        <f>39.6978 * CHOOSE(CONTROL!$C$9, $C$13, 100%, $E$13) + CHOOSE(CONTROL!$C$28, 0.0226, 0)</f>
        <v>39.720399999999998</v>
      </c>
      <c r="C505" s="4">
        <f>39.3345 * CHOOSE(CONTROL!$C$9, $C$13, 100%, $E$13) + CHOOSE(CONTROL!$C$28, 0.0226, 0)</f>
        <v>39.357099999999996</v>
      </c>
      <c r="D505" s="4">
        <f>54.4497 * CHOOSE(CONTROL!$C$9, $C$13, 100%, $E$13) + CHOOSE(CONTROL!$C$28, 0.0021, 0)</f>
        <v>54.451799999999999</v>
      </c>
      <c r="E505" s="4">
        <f>263.10149599995 * CHOOSE(CONTROL!$C$9, $C$13, 100%, $E$13) + CHOOSE(CONTROL!$C$28, 0.0021, 0)</f>
        <v>263.10359599994996</v>
      </c>
    </row>
    <row r="506" spans="1:5" ht="15">
      <c r="A506" s="13">
        <v>56553</v>
      </c>
      <c r="B506" s="4">
        <f>38.4045 * CHOOSE(CONTROL!$C$9, $C$13, 100%, $E$13) + CHOOSE(CONTROL!$C$28, 0.0226, 0)</f>
        <v>38.427099999999996</v>
      </c>
      <c r="C506" s="4">
        <f>38.0412 * CHOOSE(CONTROL!$C$9, $C$13, 100%, $E$13) + CHOOSE(CONTROL!$C$28, 0.0226, 0)</f>
        <v>38.063800000000001</v>
      </c>
      <c r="D506" s="4">
        <f>53.725 * CHOOSE(CONTROL!$C$9, $C$13, 100%, $E$13) + CHOOSE(CONTROL!$C$28, 0.0021, 0)</f>
        <v>53.7271</v>
      </c>
      <c r="E506" s="4">
        <f>254.359828171689 * CHOOSE(CONTROL!$C$9, $C$13, 100%, $E$13) + CHOOSE(CONTROL!$C$28, 0.0021, 0)</f>
        <v>254.36192817168902</v>
      </c>
    </row>
    <row r="507" spans="1:5" ht="15">
      <c r="A507" s="13">
        <v>56583</v>
      </c>
      <c r="B507" s="4">
        <f>37.5715 * CHOOSE(CONTROL!$C$9, $C$13, 100%, $E$13) + CHOOSE(CONTROL!$C$28, 0.0226, 0)</f>
        <v>37.594099999999997</v>
      </c>
      <c r="C507" s="4">
        <f>37.2082 * CHOOSE(CONTROL!$C$9, $C$13, 100%, $E$13) + CHOOSE(CONTROL!$C$28, 0.0226, 0)</f>
        <v>37.230799999999995</v>
      </c>
      <c r="D507" s="4">
        <f>53.4758 * CHOOSE(CONTROL!$C$9, $C$13, 100%, $E$13) + CHOOSE(CONTROL!$C$28, 0.0021, 0)</f>
        <v>53.477899999999998</v>
      </c>
      <c r="E507" s="4">
        <f>248.729541303405 * CHOOSE(CONTROL!$C$9, $C$13, 100%, $E$13) + CHOOSE(CONTROL!$C$28, 0.0021, 0)</f>
        <v>248.73164130340501</v>
      </c>
    </row>
    <row r="508" spans="1:5" ht="15">
      <c r="A508" s="13">
        <v>56614</v>
      </c>
      <c r="B508" s="4">
        <f>36.9952 * CHOOSE(CONTROL!$C$9, $C$13, 100%, $E$13) + CHOOSE(CONTROL!$C$28, 0.0226, 0)</f>
        <v>37.017799999999994</v>
      </c>
      <c r="C508" s="4">
        <f>36.6319 * CHOOSE(CONTROL!$C$9, $C$13, 100%, $E$13) + CHOOSE(CONTROL!$C$28, 0.0226, 0)</f>
        <v>36.654499999999999</v>
      </c>
      <c r="D508" s="4">
        <f>51.6415 * CHOOSE(CONTROL!$C$9, $C$13, 100%, $E$13) + CHOOSE(CONTROL!$C$28, 0.0021, 0)</f>
        <v>51.643599999999999</v>
      </c>
      <c r="E508" s="4">
        <f>244.834106532532 * CHOOSE(CONTROL!$C$9, $C$13, 100%, $E$13) + CHOOSE(CONTROL!$C$28, 0.0021, 0)</f>
        <v>244.836206532532</v>
      </c>
    </row>
    <row r="509" spans="1:5" ht="15">
      <c r="A509" s="13">
        <v>56645</v>
      </c>
      <c r="B509" s="4">
        <f>35.4184 * CHOOSE(CONTROL!$C$9, $C$13, 100%, $E$13) + CHOOSE(CONTROL!$C$28, 0.0226, 0)</f>
        <v>35.440999999999995</v>
      </c>
      <c r="C509" s="4">
        <f>35.0552 * CHOOSE(CONTROL!$C$9, $C$13, 100%, $E$13) + CHOOSE(CONTROL!$C$28, 0.0226, 0)</f>
        <v>35.077799999999996</v>
      </c>
      <c r="D509" s="4">
        <f>49.6207 * CHOOSE(CONTROL!$C$9, $C$13, 100%, $E$13) + CHOOSE(CONTROL!$C$28, 0.0021, 0)</f>
        <v>49.622799999999998</v>
      </c>
      <c r="E509" s="4">
        <f>234.635771134066 * CHOOSE(CONTROL!$C$9, $C$13, 100%, $E$13) + CHOOSE(CONTROL!$C$28, 0.0021, 0)</f>
        <v>234.63787113406602</v>
      </c>
    </row>
    <row r="510" spans="1:5" ht="15">
      <c r="A510" s="13">
        <v>56673</v>
      </c>
      <c r="B510" s="4">
        <f>36.241 * CHOOSE(CONTROL!$C$9, $C$13, 100%, $E$13) + CHOOSE(CONTROL!$C$28, 0.0226, 0)</f>
        <v>36.263599999999997</v>
      </c>
      <c r="C510" s="4">
        <f>35.8778 * CHOOSE(CONTROL!$C$9, $C$13, 100%, $E$13) + CHOOSE(CONTROL!$C$28, 0.0226, 0)</f>
        <v>35.900399999999998</v>
      </c>
      <c r="D510" s="4">
        <f>51.3067 * CHOOSE(CONTROL!$C$9, $C$13, 100%, $E$13) + CHOOSE(CONTROL!$C$28, 0.0021, 0)</f>
        <v>51.308799999999998</v>
      </c>
      <c r="E510" s="4">
        <f>240.206949019114 * CHOOSE(CONTROL!$C$9, $C$13, 100%, $E$13) + CHOOSE(CONTROL!$C$28, 0.0021, 0)</f>
        <v>240.20904901911402</v>
      </c>
    </row>
    <row r="511" spans="1:5" ht="15">
      <c r="A511" s="13">
        <v>56704</v>
      </c>
      <c r="B511" s="4">
        <f>38.4013 * CHOOSE(CONTROL!$C$9, $C$13, 100%, $E$13) + CHOOSE(CONTROL!$C$28, 0.0226, 0)</f>
        <v>38.423899999999996</v>
      </c>
      <c r="C511" s="4">
        <f>38.038 * CHOOSE(CONTROL!$C$9, $C$13, 100%, $E$13) + CHOOSE(CONTROL!$C$28, 0.0226, 0)</f>
        <v>38.060599999999994</v>
      </c>
      <c r="D511" s="4">
        <f>53.9459 * CHOOSE(CONTROL!$C$9, $C$13, 100%, $E$13) + CHOOSE(CONTROL!$C$28, 0.0021, 0)</f>
        <v>53.948</v>
      </c>
      <c r="E511" s="4">
        <f>254.837158215625 * CHOOSE(CONTROL!$C$9, $C$13, 100%, $E$13) + CHOOSE(CONTROL!$C$28, 0.0021, 0)</f>
        <v>254.83925821562502</v>
      </c>
    </row>
    <row r="512" spans="1:5" ht="15">
      <c r="A512" s="13">
        <v>56734</v>
      </c>
      <c r="B512" s="4">
        <f>39.9361 * CHOOSE(CONTROL!$C$9, $C$13, 100%, $E$13) + CHOOSE(CONTROL!$C$28, 0.0226, 0)</f>
        <v>39.9587</v>
      </c>
      <c r="C512" s="4">
        <f>39.5728 * CHOOSE(CONTROL!$C$9, $C$13, 100%, $E$13) + CHOOSE(CONTROL!$C$28, 0.0226, 0)</f>
        <v>39.595399999999998</v>
      </c>
      <c r="D512" s="4">
        <f>55.4662 * CHOOSE(CONTROL!$C$9, $C$13, 100%, $E$13) + CHOOSE(CONTROL!$C$28, 0.0021, 0)</f>
        <v>55.468299999999999</v>
      </c>
      <c r="E512" s="4">
        <f>265.232116822918 * CHOOSE(CONTROL!$C$9, $C$13, 100%, $E$13) + CHOOSE(CONTROL!$C$28, 0.0021, 0)</f>
        <v>265.23421682291797</v>
      </c>
    </row>
    <row r="513" spans="1:5" ht="15">
      <c r="A513" s="13">
        <v>56765</v>
      </c>
      <c r="B513" s="4">
        <f>40.8739 * CHOOSE(CONTROL!$C$9, $C$13, 100%, $E$13) + CHOOSE(CONTROL!$C$28, 0.0226, 0)</f>
        <v>40.896499999999996</v>
      </c>
      <c r="C513" s="4">
        <f>40.5106 * CHOOSE(CONTROL!$C$9, $C$13, 100%, $E$13) + CHOOSE(CONTROL!$C$28, 0.0226, 0)</f>
        <v>40.533199999999994</v>
      </c>
      <c r="D513" s="4">
        <f>54.8655 * CHOOSE(CONTROL!$C$9, $C$13, 100%, $E$13) + CHOOSE(CONTROL!$C$28, 0.0021, 0)</f>
        <v>54.867599999999996</v>
      </c>
      <c r="E513" s="4">
        <f>271.583187399587 * CHOOSE(CONTROL!$C$9, $C$13, 100%, $E$13) + CHOOSE(CONTROL!$C$28, 0.0021, 0)</f>
        <v>271.585287399587</v>
      </c>
    </row>
    <row r="514" spans="1:5" ht="15">
      <c r="A514" s="13">
        <v>56795</v>
      </c>
      <c r="B514" s="4">
        <f>41.0008 * CHOOSE(CONTROL!$C$9, $C$13, 100%, $E$13) + CHOOSE(CONTROL!$C$28, 0.0226, 0)</f>
        <v>41.023399999999995</v>
      </c>
      <c r="C514" s="4">
        <f>40.6375 * CHOOSE(CONTROL!$C$9, $C$13, 100%, $E$13) + CHOOSE(CONTROL!$C$28, 0.0226, 0)</f>
        <v>40.6601</v>
      </c>
      <c r="D514" s="4">
        <f>55.3547 * CHOOSE(CONTROL!$C$9, $C$13, 100%, $E$13) + CHOOSE(CONTROL!$C$28, 0.0021, 0)</f>
        <v>55.3568</v>
      </c>
      <c r="E514" s="4">
        <f>272.442513606095 * CHOOSE(CONTROL!$C$9, $C$13, 100%, $E$13) + CHOOSE(CONTROL!$C$28, 0.0021, 0)</f>
        <v>272.444613606095</v>
      </c>
    </row>
    <row r="515" spans="1:5" ht="15">
      <c r="A515" s="13">
        <v>56826</v>
      </c>
      <c r="B515" s="4">
        <f>40.988 * CHOOSE(CONTROL!$C$9, $C$13, 100%, $E$13) + CHOOSE(CONTROL!$C$28, 0.0226, 0)</f>
        <v>41.010599999999997</v>
      </c>
      <c r="C515" s="4">
        <f>40.6247 * CHOOSE(CONTROL!$C$9, $C$13, 100%, $E$13) + CHOOSE(CONTROL!$C$28, 0.0226, 0)</f>
        <v>40.647299999999994</v>
      </c>
      <c r="D515" s="4">
        <f>56.2375 * CHOOSE(CONTROL!$C$9, $C$13, 100%, $E$13) + CHOOSE(CONTROL!$C$28, 0.0021, 0)</f>
        <v>56.239599999999996</v>
      </c>
      <c r="E515" s="4">
        <f>272.355858862581 * CHOOSE(CONTROL!$C$9, $C$13, 100%, $E$13) + CHOOSE(CONTROL!$C$28, 0.0021, 0)</f>
        <v>272.35795886258097</v>
      </c>
    </row>
    <row r="516" spans="1:5" ht="15">
      <c r="A516" s="13">
        <v>56857</v>
      </c>
      <c r="B516" s="4">
        <f>41.9508 * CHOOSE(CONTROL!$C$9, $C$13, 100%, $E$13) + CHOOSE(CONTROL!$C$28, 0.0226, 0)</f>
        <v>41.973399999999998</v>
      </c>
      <c r="C516" s="4">
        <f>41.5875 * CHOOSE(CONTROL!$C$9, $C$13, 100%, $E$13) + CHOOSE(CONTROL!$C$28, 0.0226, 0)</f>
        <v>41.610099999999996</v>
      </c>
      <c r="D516" s="4">
        <f>55.6545 * CHOOSE(CONTROL!$C$9, $C$13, 100%, $E$13) + CHOOSE(CONTROL!$C$28, 0.0021, 0)</f>
        <v>55.656599999999997</v>
      </c>
      <c r="E516" s="4">
        <f>278.876628311964 * CHOOSE(CONTROL!$C$9, $C$13, 100%, $E$13) + CHOOSE(CONTROL!$C$28, 0.0021, 0)</f>
        <v>278.87872831196398</v>
      </c>
    </row>
    <row r="517" spans="1:5" ht="15">
      <c r="A517" s="13">
        <v>56887</v>
      </c>
      <c r="B517" s="4">
        <f>40.3098 * CHOOSE(CONTROL!$C$9, $C$13, 100%, $E$13) + CHOOSE(CONTROL!$C$28, 0.0226, 0)</f>
        <v>40.3324</v>
      </c>
      <c r="C517" s="4">
        <f>39.9466 * CHOOSE(CONTROL!$C$9, $C$13, 100%, $E$13) + CHOOSE(CONTROL!$C$28, 0.0226, 0)</f>
        <v>39.969199999999994</v>
      </c>
      <c r="D517" s="4">
        <f>55.3791 * CHOOSE(CONTROL!$C$9, $C$13, 100%, $E$13) + CHOOSE(CONTROL!$C$28, 0.0021, 0)</f>
        <v>55.3812</v>
      </c>
      <c r="E517" s="4">
        <f>267.763157456372 * CHOOSE(CONTROL!$C$9, $C$13, 100%, $E$13) + CHOOSE(CONTROL!$C$28, 0.0021, 0)</f>
        <v>267.76525745637201</v>
      </c>
    </row>
    <row r="518" spans="1:5" ht="15">
      <c r="A518" s="13">
        <v>56918</v>
      </c>
      <c r="B518" s="4">
        <f>38.9962 * CHOOSE(CONTROL!$C$9, $C$13, 100%, $E$13) + CHOOSE(CONTROL!$C$28, 0.0226, 0)</f>
        <v>39.018799999999999</v>
      </c>
      <c r="C518" s="4">
        <f>38.6329 * CHOOSE(CONTROL!$C$9, $C$13, 100%, $E$13) + CHOOSE(CONTROL!$C$28, 0.0226, 0)</f>
        <v>38.655499999999996</v>
      </c>
      <c r="D518" s="4">
        <f>54.6415 * CHOOSE(CONTROL!$C$9, $C$13, 100%, $E$13) + CHOOSE(CONTROL!$C$28, 0.0021, 0)</f>
        <v>54.643599999999999</v>
      </c>
      <c r="E518" s="4">
        <f>258.866603788997 * CHOOSE(CONTROL!$C$9, $C$13, 100%, $E$13) + CHOOSE(CONTROL!$C$28, 0.0021, 0)</f>
        <v>258.86870378899698</v>
      </c>
    </row>
    <row r="519" spans="1:5" ht="15">
      <c r="A519" s="13">
        <v>56948</v>
      </c>
      <c r="B519" s="4">
        <f>38.1502 * CHOOSE(CONTROL!$C$9, $C$13, 100%, $E$13) + CHOOSE(CONTROL!$C$28, 0.0226, 0)</f>
        <v>38.172799999999995</v>
      </c>
      <c r="C519" s="4">
        <f>37.7869 * CHOOSE(CONTROL!$C$9, $C$13, 100%, $E$13) + CHOOSE(CONTROL!$C$28, 0.0226, 0)</f>
        <v>37.8095</v>
      </c>
      <c r="D519" s="4">
        <f>54.3879 * CHOOSE(CONTROL!$C$9, $C$13, 100%, $E$13) + CHOOSE(CONTROL!$C$28, 0.0021, 0)</f>
        <v>54.39</v>
      </c>
      <c r="E519" s="4">
        <f>253.136558874174 * CHOOSE(CONTROL!$C$9, $C$13, 100%, $E$13) + CHOOSE(CONTROL!$C$28, 0.0021, 0)</f>
        <v>253.13865887417401</v>
      </c>
    </row>
    <row r="520" spans="1:5" ht="15">
      <c r="A520" s="13">
        <v>56979</v>
      </c>
      <c r="B520" s="4">
        <f>37.5648 * CHOOSE(CONTROL!$C$9, $C$13, 100%, $E$13) + CHOOSE(CONTROL!$C$28, 0.0226, 0)</f>
        <v>37.587399999999995</v>
      </c>
      <c r="C520" s="4">
        <f>37.2015 * CHOOSE(CONTROL!$C$9, $C$13, 100%, $E$13) + CHOOSE(CONTROL!$C$28, 0.0226, 0)</f>
        <v>37.2241</v>
      </c>
      <c r="D520" s="4">
        <f>52.5212 * CHOOSE(CONTROL!$C$9, $C$13, 100%, $E$13) + CHOOSE(CONTROL!$C$28, 0.0021, 0)</f>
        <v>52.523299999999999</v>
      </c>
      <c r="E520" s="4">
        <f>249.172104358437 * CHOOSE(CONTROL!$C$9, $C$13, 100%, $E$13) + CHOOSE(CONTROL!$C$28, 0.0021, 0)</f>
        <v>249.17420435843701</v>
      </c>
    </row>
    <row r="521" spans="1:5" ht="15">
      <c r="A521" s="13">
        <v>57010</v>
      </c>
      <c r="B521" s="4">
        <f>35.9632 * CHOOSE(CONTROL!$C$9, $C$13, 100%, $E$13) + CHOOSE(CONTROL!$C$28, 0.0226, 0)</f>
        <v>35.985799999999998</v>
      </c>
      <c r="C521" s="4">
        <f>35.5999 * CHOOSE(CONTROL!$C$9, $C$13, 100%, $E$13) + CHOOSE(CONTROL!$C$28, 0.0226, 0)</f>
        <v>35.622499999999995</v>
      </c>
      <c r="D521" s="4">
        <f>50.4647 * CHOOSE(CONTROL!$C$9, $C$13, 100%, $E$13) + CHOOSE(CONTROL!$C$28, 0.0021, 0)</f>
        <v>50.466799999999999</v>
      </c>
      <c r="E521" s="4">
        <f>238.793073723457 * CHOOSE(CONTROL!$C$9, $C$13, 100%, $E$13) + CHOOSE(CONTROL!$C$28, 0.0021, 0)</f>
        <v>238.79517372345703</v>
      </c>
    </row>
    <row r="522" spans="1:5" ht="15">
      <c r="A522" s="13">
        <v>57038</v>
      </c>
      <c r="B522" s="4">
        <f>36.7988 * CHOOSE(CONTROL!$C$9, $C$13, 100%, $E$13) + CHOOSE(CONTROL!$C$28, 0.0226, 0)</f>
        <v>36.821399999999997</v>
      </c>
      <c r="C522" s="4">
        <f>36.4355 * CHOOSE(CONTROL!$C$9, $C$13, 100%, $E$13) + CHOOSE(CONTROL!$C$28, 0.0226, 0)</f>
        <v>36.458099999999995</v>
      </c>
      <c r="D522" s="4">
        <f>52.1805 * CHOOSE(CONTROL!$C$9, $C$13, 100%, $E$13) + CHOOSE(CONTROL!$C$28, 0.0021, 0)</f>
        <v>52.182600000000001</v>
      </c>
      <c r="E522" s="4">
        <f>244.462962355531 * CHOOSE(CONTROL!$C$9, $C$13, 100%, $E$13) + CHOOSE(CONTROL!$C$28, 0.0021, 0)</f>
        <v>244.46506235553102</v>
      </c>
    </row>
    <row r="523" spans="1:5" ht="15">
      <c r="A523" s="13">
        <v>57070</v>
      </c>
      <c r="B523" s="4">
        <f>38.9929 * CHOOSE(CONTROL!$C$9, $C$13, 100%, $E$13) + CHOOSE(CONTROL!$C$28, 0.0226, 0)</f>
        <v>39.015499999999996</v>
      </c>
      <c r="C523" s="4">
        <f>38.6297 * CHOOSE(CONTROL!$C$9, $C$13, 100%, $E$13) + CHOOSE(CONTROL!$C$28, 0.0226, 0)</f>
        <v>38.652299999999997</v>
      </c>
      <c r="D523" s="4">
        <f>54.8663 * CHOOSE(CONTROL!$C$9, $C$13, 100%, $E$13) + CHOOSE(CONTROL!$C$28, 0.0021, 0)</f>
        <v>54.868400000000001</v>
      </c>
      <c r="E523" s="4">
        <f>259.352391219537 * CHOOSE(CONTROL!$C$9, $C$13, 100%, $E$13) + CHOOSE(CONTROL!$C$28, 0.0021, 0)</f>
        <v>259.35449121953701</v>
      </c>
    </row>
    <row r="524" spans="1:5" ht="15">
      <c r="A524" s="13">
        <v>57100</v>
      </c>
      <c r="B524" s="4">
        <f>40.5519 * CHOOSE(CONTROL!$C$9, $C$13, 100%, $E$13) + CHOOSE(CONTROL!$C$28, 0.0226, 0)</f>
        <v>40.5745</v>
      </c>
      <c r="C524" s="4">
        <f>40.1887 * CHOOSE(CONTROL!$C$9, $C$13, 100%, $E$13) + CHOOSE(CONTROL!$C$28, 0.0226, 0)</f>
        <v>40.211299999999994</v>
      </c>
      <c r="D524" s="4">
        <f>56.4135 * CHOOSE(CONTROL!$C$9, $C$13, 100%, $E$13) + CHOOSE(CONTROL!$C$28, 0.0021, 0)</f>
        <v>56.415599999999998</v>
      </c>
      <c r="E524" s="4">
        <f>269.931528855143 * CHOOSE(CONTROL!$C$9, $C$13, 100%, $E$13) + CHOOSE(CONTROL!$C$28, 0.0021, 0)</f>
        <v>269.93362885514296</v>
      </c>
    </row>
    <row r="525" spans="1:5" ht="15">
      <c r="A525" s="13">
        <v>57131</v>
      </c>
      <c r="B525" s="4">
        <f>41.5045 * CHOOSE(CONTROL!$C$9, $C$13, 100%, $E$13) + CHOOSE(CONTROL!$C$28, 0.0226, 0)</f>
        <v>41.527099999999997</v>
      </c>
      <c r="C525" s="4">
        <f>41.1412 * CHOOSE(CONTROL!$C$9, $C$13, 100%, $E$13) + CHOOSE(CONTROL!$C$28, 0.0226, 0)</f>
        <v>41.163799999999995</v>
      </c>
      <c r="D525" s="4">
        <f>55.8021 * CHOOSE(CONTROL!$C$9, $C$13, 100%, $E$13) + CHOOSE(CONTROL!$C$28, 0.0021, 0)</f>
        <v>55.804200000000002</v>
      </c>
      <c r="E525" s="4">
        <f>276.395128403955 * CHOOSE(CONTROL!$C$9, $C$13, 100%, $E$13) + CHOOSE(CONTROL!$C$28, 0.0021, 0)</f>
        <v>276.39722840395501</v>
      </c>
    </row>
    <row r="526" spans="1:5" ht="15">
      <c r="A526" s="13">
        <v>57161</v>
      </c>
      <c r="B526" s="4">
        <f>41.6333 * CHOOSE(CONTROL!$C$9, $C$13, 100%, $E$13) + CHOOSE(CONTROL!$C$28, 0.0226, 0)</f>
        <v>41.655899999999995</v>
      </c>
      <c r="C526" s="4">
        <f>41.2701 * CHOOSE(CONTROL!$C$9, $C$13, 100%, $E$13) + CHOOSE(CONTROL!$C$28, 0.0226, 0)</f>
        <v>41.292699999999996</v>
      </c>
      <c r="D526" s="4">
        <f>56.3 * CHOOSE(CONTROL!$C$9, $C$13, 100%, $E$13) + CHOOSE(CONTROL!$C$28, 0.0021, 0)</f>
        <v>56.302099999999996</v>
      </c>
      <c r="E526" s="4">
        <f>277.269680247398 * CHOOSE(CONTROL!$C$9, $C$13, 100%, $E$13) + CHOOSE(CONTROL!$C$28, 0.0021, 0)</f>
        <v>277.271780247398</v>
      </c>
    </row>
    <row r="527" spans="1:5" ht="15">
      <c r="A527" s="13">
        <v>57192</v>
      </c>
      <c r="B527" s="4">
        <f>41.6203 * CHOOSE(CONTROL!$C$9, $C$13, 100%, $E$13) + CHOOSE(CONTROL!$C$28, 0.0226, 0)</f>
        <v>41.642899999999997</v>
      </c>
      <c r="C527" s="4">
        <f>41.2571 * CHOOSE(CONTROL!$C$9, $C$13, 100%, $E$13) + CHOOSE(CONTROL!$C$28, 0.0226, 0)</f>
        <v>41.279699999999998</v>
      </c>
      <c r="D527" s="4">
        <f>57.1984 * CHOOSE(CONTROL!$C$9, $C$13, 100%, $E$13) + CHOOSE(CONTROL!$C$28, 0.0021, 0)</f>
        <v>57.200499999999998</v>
      </c>
      <c r="E527" s="4">
        <f>277.181490145539 * CHOOSE(CONTROL!$C$9, $C$13, 100%, $E$13) + CHOOSE(CONTROL!$C$28, 0.0021, 0)</f>
        <v>277.18359014553897</v>
      </c>
    </row>
    <row r="528" spans="1:5" ht="15">
      <c r="A528" s="13">
        <v>57223</v>
      </c>
      <c r="B528" s="4">
        <f>42.5983 * CHOOSE(CONTROL!$C$9, $C$13, 100%, $E$13) + CHOOSE(CONTROL!$C$28, 0.0226, 0)</f>
        <v>42.620899999999999</v>
      </c>
      <c r="C528" s="4">
        <f>42.235 * CHOOSE(CONTROL!$C$9, $C$13, 100%, $E$13) + CHOOSE(CONTROL!$C$28, 0.0226, 0)</f>
        <v>42.257599999999996</v>
      </c>
      <c r="D528" s="4">
        <f>56.6051 * CHOOSE(CONTROL!$C$9, $C$13, 100%, $E$13) + CHOOSE(CONTROL!$C$28, 0.0021, 0)</f>
        <v>56.607199999999999</v>
      </c>
      <c r="E528" s="4">
        <f>283.817795310493 * CHOOSE(CONTROL!$C$9, $C$13, 100%, $E$13) + CHOOSE(CONTROL!$C$28, 0.0021, 0)</f>
        <v>283.819895310493</v>
      </c>
    </row>
    <row r="529" spans="1:5" ht="15">
      <c r="A529" s="13">
        <v>57253</v>
      </c>
      <c r="B529" s="4">
        <f>40.9315 * CHOOSE(CONTROL!$C$9, $C$13, 100%, $E$13) + CHOOSE(CONTROL!$C$28, 0.0226, 0)</f>
        <v>40.954099999999997</v>
      </c>
      <c r="C529" s="4">
        <f>40.5683 * CHOOSE(CONTROL!$C$9, $C$13, 100%, $E$13) + CHOOSE(CONTROL!$C$28, 0.0226, 0)</f>
        <v>40.590899999999998</v>
      </c>
      <c r="D529" s="4">
        <f>56.3248 * CHOOSE(CONTROL!$C$9, $C$13, 100%, $E$13) + CHOOSE(CONTROL!$C$28, 0.0021, 0)</f>
        <v>56.326900000000002</v>
      </c>
      <c r="E529" s="4">
        <f>272.507414746966 * CHOOSE(CONTROL!$C$9, $C$13, 100%, $E$13) + CHOOSE(CONTROL!$C$28, 0.0021, 0)</f>
        <v>272.50951474696598</v>
      </c>
    </row>
    <row r="530" spans="1:5" ht="15">
      <c r="A530" s="13">
        <v>57284</v>
      </c>
      <c r="B530" s="4">
        <f>39.5973 * CHOOSE(CONTROL!$C$9, $C$13, 100%, $E$13) + CHOOSE(CONTROL!$C$28, 0.0226, 0)</f>
        <v>39.619899999999994</v>
      </c>
      <c r="C530" s="4">
        <f>39.234 * CHOOSE(CONTROL!$C$9, $C$13, 100%, $E$13) + CHOOSE(CONTROL!$C$28, 0.0226, 0)</f>
        <v>39.256599999999999</v>
      </c>
      <c r="D530" s="4">
        <f>55.5742 * CHOOSE(CONTROL!$C$9, $C$13, 100%, $E$13) + CHOOSE(CONTROL!$C$28, 0.0021, 0)</f>
        <v>55.576299999999996</v>
      </c>
      <c r="E530" s="4">
        <f>263.45323095602 * CHOOSE(CONTROL!$C$9, $C$13, 100%, $E$13) + CHOOSE(CONTROL!$C$28, 0.0021, 0)</f>
        <v>263.45533095601996</v>
      </c>
    </row>
    <row r="531" spans="1:5" ht="15">
      <c r="A531" s="13">
        <v>57314</v>
      </c>
      <c r="B531" s="4">
        <f>38.7379 * CHOOSE(CONTROL!$C$9, $C$13, 100%, $E$13) + CHOOSE(CONTROL!$C$28, 0.0226, 0)</f>
        <v>38.7605</v>
      </c>
      <c r="C531" s="4">
        <f>38.3746 * CHOOSE(CONTROL!$C$9, $C$13, 100%, $E$13) + CHOOSE(CONTROL!$C$28, 0.0226, 0)</f>
        <v>38.397199999999998</v>
      </c>
      <c r="D531" s="4">
        <f>55.3162 * CHOOSE(CONTROL!$C$9, $C$13, 100%, $E$13) + CHOOSE(CONTROL!$C$28, 0.0021, 0)</f>
        <v>55.318300000000001</v>
      </c>
      <c r="E531" s="4">
        <f>257.621660470537 * CHOOSE(CONTROL!$C$9, $C$13, 100%, $E$13) + CHOOSE(CONTROL!$C$28, 0.0021, 0)</f>
        <v>257.62376047053698</v>
      </c>
    </row>
    <row r="532" spans="1:5" ht="15">
      <c r="A532" s="13">
        <v>57345</v>
      </c>
      <c r="B532" s="4">
        <f>38.1433 * CHOOSE(CONTROL!$C$9, $C$13, 100%, $E$13) + CHOOSE(CONTROL!$C$28, 0.0226, 0)</f>
        <v>38.165900000000001</v>
      </c>
      <c r="C532" s="4">
        <f>37.78 * CHOOSE(CONTROL!$C$9, $C$13, 100%, $E$13) + CHOOSE(CONTROL!$C$28, 0.0226, 0)</f>
        <v>37.802599999999998</v>
      </c>
      <c r="D532" s="4">
        <f>53.4164 * CHOOSE(CONTROL!$C$9, $C$13, 100%, $E$13) + CHOOSE(CONTROL!$C$28, 0.0021, 0)</f>
        <v>53.418500000000002</v>
      </c>
      <c r="E532" s="4">
        <f>253.586963310449 * CHOOSE(CONTROL!$C$9, $C$13, 100%, $E$13) + CHOOSE(CONTROL!$C$28, 0.0021, 0)</f>
        <v>253.58906331044901</v>
      </c>
    </row>
    <row r="533" spans="1:5" ht="15">
      <c r="A533" s="13">
        <v>57376</v>
      </c>
      <c r="B533" s="4">
        <f>36.5166 * CHOOSE(CONTROL!$C$9, $C$13, 100%, $E$13) + CHOOSE(CONTROL!$C$28, 0.0226, 0)</f>
        <v>36.539199999999994</v>
      </c>
      <c r="C533" s="4">
        <f>36.1533 * CHOOSE(CONTROL!$C$9, $C$13, 100%, $E$13) + CHOOSE(CONTROL!$C$28, 0.0226, 0)</f>
        <v>36.175899999999999</v>
      </c>
      <c r="D533" s="4">
        <f>51.3236 * CHOOSE(CONTROL!$C$9, $C$13, 100%, $E$13) + CHOOSE(CONTROL!$C$28, 0.0021, 0)</f>
        <v>51.325699999999998</v>
      </c>
      <c r="E533" s="4">
        <f>243.024035860735 * CHOOSE(CONTROL!$C$9, $C$13, 100%, $E$13) + CHOOSE(CONTROL!$C$28, 0.0021, 0)</f>
        <v>243.02613586073502</v>
      </c>
    </row>
    <row r="534" spans="1:5" ht="15">
      <c r="A534" s="13">
        <v>57404</v>
      </c>
      <c r="B534" s="4">
        <f>37.3653 * CHOOSE(CONTROL!$C$9, $C$13, 100%, $E$13) + CHOOSE(CONTROL!$C$28, 0.0226, 0)</f>
        <v>37.387899999999995</v>
      </c>
      <c r="C534" s="4">
        <f>37.002 * CHOOSE(CONTROL!$C$9, $C$13, 100%, $E$13) + CHOOSE(CONTROL!$C$28, 0.0226, 0)</f>
        <v>37.0246</v>
      </c>
      <c r="D534" s="4">
        <f>53.0697 * CHOOSE(CONTROL!$C$9, $C$13, 100%, $E$13) + CHOOSE(CONTROL!$C$28, 0.0021, 0)</f>
        <v>53.071799999999996</v>
      </c>
      <c r="E534" s="4">
        <f>248.794384207786 * CHOOSE(CONTROL!$C$9, $C$13, 100%, $E$13) + CHOOSE(CONTROL!$C$28, 0.0021, 0)</f>
        <v>248.79648420778602</v>
      </c>
    </row>
    <row r="535" spans="1:5" ht="15">
      <c r="A535" s="13">
        <v>57435</v>
      </c>
      <c r="B535" s="4">
        <f>39.5939 * CHOOSE(CONTROL!$C$9, $C$13, 100%, $E$13) + CHOOSE(CONTROL!$C$28, 0.0226, 0)</f>
        <v>39.616499999999995</v>
      </c>
      <c r="C535" s="4">
        <f>39.2307 * CHOOSE(CONTROL!$C$9, $C$13, 100%, $E$13) + CHOOSE(CONTROL!$C$28, 0.0226, 0)</f>
        <v>39.253299999999996</v>
      </c>
      <c r="D535" s="4">
        <f>55.803 * CHOOSE(CONTROL!$C$9, $C$13, 100%, $E$13) + CHOOSE(CONTROL!$C$28, 0.0021, 0)</f>
        <v>55.805099999999996</v>
      </c>
      <c r="E535" s="4">
        <f>263.947625622077 * CHOOSE(CONTROL!$C$9, $C$13, 100%, $E$13) + CHOOSE(CONTROL!$C$28, 0.0021, 0)</f>
        <v>263.94972562207698</v>
      </c>
    </row>
    <row r="536" spans="1:5" ht="15">
      <c r="A536" s="13">
        <v>57465</v>
      </c>
      <c r="B536" s="4">
        <f>41.1775 * CHOOSE(CONTROL!$C$9, $C$13, 100%, $E$13) + CHOOSE(CONTROL!$C$28, 0.0226, 0)</f>
        <v>41.200099999999999</v>
      </c>
      <c r="C536" s="4">
        <f>40.8142 * CHOOSE(CONTROL!$C$9, $C$13, 100%, $E$13) + CHOOSE(CONTROL!$C$28, 0.0226, 0)</f>
        <v>40.836799999999997</v>
      </c>
      <c r="D536" s="4">
        <f>57.3775 * CHOOSE(CONTROL!$C$9, $C$13, 100%, $E$13) + CHOOSE(CONTROL!$C$28, 0.0021, 0)</f>
        <v>57.379599999999996</v>
      </c>
      <c r="E536" s="4">
        <f>274.714205590425 * CHOOSE(CONTROL!$C$9, $C$13, 100%, $E$13) + CHOOSE(CONTROL!$C$28, 0.0021, 0)</f>
        <v>274.71630559042501</v>
      </c>
    </row>
    <row r="537" spans="1:5" ht="15">
      <c r="A537" s="13">
        <v>57496</v>
      </c>
      <c r="B537" s="4">
        <f>42.1449 * CHOOSE(CONTROL!$C$9, $C$13, 100%, $E$13) + CHOOSE(CONTROL!$C$28, 0.0226, 0)</f>
        <v>42.167499999999997</v>
      </c>
      <c r="C537" s="4">
        <f>41.7817 * CHOOSE(CONTROL!$C$9, $C$13, 100%, $E$13) + CHOOSE(CONTROL!$C$28, 0.0226, 0)</f>
        <v>41.804299999999998</v>
      </c>
      <c r="D537" s="4">
        <f>56.7553 * CHOOSE(CONTROL!$C$9, $C$13, 100%, $E$13) + CHOOSE(CONTROL!$C$28, 0.0021, 0)</f>
        <v>56.757399999999997</v>
      </c>
      <c r="E537" s="4">
        <f>281.292327912177 * CHOOSE(CONTROL!$C$9, $C$13, 100%, $E$13) + CHOOSE(CONTROL!$C$28, 0.0021, 0)</f>
        <v>281.29442791217696</v>
      </c>
    </row>
    <row r="538" spans="1:5" ht="15">
      <c r="A538" s="13">
        <v>57526</v>
      </c>
      <c r="B538" s="4">
        <f>42.2759 * CHOOSE(CONTROL!$C$9, $C$13, 100%, $E$13) + CHOOSE(CONTROL!$C$28, 0.0226, 0)</f>
        <v>42.298499999999997</v>
      </c>
      <c r="C538" s="4">
        <f>41.9126 * CHOOSE(CONTROL!$C$9, $C$13, 100%, $E$13) + CHOOSE(CONTROL!$C$28, 0.0226, 0)</f>
        <v>41.935199999999995</v>
      </c>
      <c r="D538" s="4">
        <f>57.262 * CHOOSE(CONTROL!$C$9, $C$13, 100%, $E$13) + CHOOSE(CONTROL!$C$28, 0.0021, 0)</f>
        <v>57.264099999999999</v>
      </c>
      <c r="E538" s="4">
        <f>282.182375162078 * CHOOSE(CONTROL!$C$9, $C$13, 100%, $E$13) + CHOOSE(CONTROL!$C$28, 0.0021, 0)</f>
        <v>282.184475162078</v>
      </c>
    </row>
    <row r="539" spans="1:5" ht="15">
      <c r="A539" s="13">
        <v>57557</v>
      </c>
      <c r="B539" s="4">
        <f>42.2627 * CHOOSE(CONTROL!$C$9, $C$13, 100%, $E$13) + CHOOSE(CONTROL!$C$28, 0.0226, 0)</f>
        <v>42.285299999999999</v>
      </c>
      <c r="C539" s="4">
        <f>41.8994 * CHOOSE(CONTROL!$C$9, $C$13, 100%, $E$13) + CHOOSE(CONTROL!$C$28, 0.0226, 0)</f>
        <v>41.921999999999997</v>
      </c>
      <c r="D539" s="4">
        <f>58.1763 * CHOOSE(CONTROL!$C$9, $C$13, 100%, $E$13) + CHOOSE(CONTROL!$C$28, 0.0021, 0)</f>
        <v>58.178399999999996</v>
      </c>
      <c r="E539" s="4">
        <f>282.092622498223 * CHOOSE(CONTROL!$C$9, $C$13, 100%, $E$13) + CHOOSE(CONTROL!$C$28, 0.0021, 0)</f>
        <v>282.09472249822301</v>
      </c>
    </row>
    <row r="540" spans="1:5" ht="15">
      <c r="A540" s="13">
        <v>57588</v>
      </c>
      <c r="B540" s="4">
        <f>43.256 * CHOOSE(CONTROL!$C$9, $C$13, 100%, $E$13) + CHOOSE(CONTROL!$C$28, 0.0226, 0)</f>
        <v>43.278599999999997</v>
      </c>
      <c r="C540" s="4">
        <f>42.8927 * CHOOSE(CONTROL!$C$9, $C$13, 100%, $E$13) + CHOOSE(CONTROL!$C$28, 0.0226, 0)</f>
        <v>42.915299999999995</v>
      </c>
      <c r="D540" s="4">
        <f>57.5725 * CHOOSE(CONTROL!$C$9, $C$13, 100%, $E$13) + CHOOSE(CONTROL!$C$28, 0.0021, 0)</f>
        <v>57.574599999999997</v>
      </c>
      <c r="E540" s="4">
        <f>288.846510453358 * CHOOSE(CONTROL!$C$9, $C$13, 100%, $E$13) + CHOOSE(CONTROL!$C$28, 0.0021, 0)</f>
        <v>288.84861045335799</v>
      </c>
    </row>
    <row r="541" spans="1:5" ht="15">
      <c r="A541" s="13">
        <v>57618</v>
      </c>
      <c r="B541" s="4">
        <f>41.563 * CHOOSE(CONTROL!$C$9, $C$13, 100%, $E$13) + CHOOSE(CONTROL!$C$28, 0.0226, 0)</f>
        <v>41.585599999999999</v>
      </c>
      <c r="C541" s="4">
        <f>41.1997 * CHOOSE(CONTROL!$C$9, $C$13, 100%, $E$13) + CHOOSE(CONTROL!$C$28, 0.0226, 0)</f>
        <v>41.222299999999997</v>
      </c>
      <c r="D541" s="4">
        <f>57.2872 * CHOOSE(CONTROL!$C$9, $C$13, 100%, $E$13) + CHOOSE(CONTROL!$C$28, 0.0021, 0)</f>
        <v>57.289299999999997</v>
      </c>
      <c r="E541" s="4">
        <f>277.335731313875 * CHOOSE(CONTROL!$C$9, $C$13, 100%, $E$13) + CHOOSE(CONTROL!$C$28, 0.0021, 0)</f>
        <v>277.33783131387497</v>
      </c>
    </row>
    <row r="542" spans="1:5" ht="15">
      <c r="A542" s="13">
        <v>57649</v>
      </c>
      <c r="B542" s="4">
        <f>40.2078 * CHOOSE(CONTROL!$C$9, $C$13, 100%, $E$13) + CHOOSE(CONTROL!$C$28, 0.0226, 0)</f>
        <v>40.230399999999996</v>
      </c>
      <c r="C542" s="4">
        <f>39.8445 * CHOOSE(CONTROL!$C$9, $C$13, 100%, $E$13) + CHOOSE(CONTROL!$C$28, 0.0226, 0)</f>
        <v>39.867099999999994</v>
      </c>
      <c r="D542" s="4">
        <f>56.5234 * CHOOSE(CONTROL!$C$9, $C$13, 100%, $E$13) + CHOOSE(CONTROL!$C$28, 0.0021, 0)</f>
        <v>56.525500000000001</v>
      </c>
      <c r="E542" s="4">
        <f>268.121124491364 * CHOOSE(CONTROL!$C$9, $C$13, 100%, $E$13) + CHOOSE(CONTROL!$C$28, 0.0021, 0)</f>
        <v>268.123224491364</v>
      </c>
    </row>
    <row r="543" spans="1:5" ht="15">
      <c r="A543" s="13">
        <v>57679</v>
      </c>
      <c r="B543" s="4">
        <f>39.3349 * CHOOSE(CONTROL!$C$9, $C$13, 100%, $E$13) + CHOOSE(CONTROL!$C$28, 0.0226, 0)</f>
        <v>39.357499999999995</v>
      </c>
      <c r="C543" s="4">
        <f>38.9716 * CHOOSE(CONTROL!$C$9, $C$13, 100%, $E$13) + CHOOSE(CONTROL!$C$28, 0.0226, 0)</f>
        <v>38.994199999999999</v>
      </c>
      <c r="D543" s="4">
        <f>56.2608 * CHOOSE(CONTROL!$C$9, $C$13, 100%, $E$13) + CHOOSE(CONTROL!$C$28, 0.0021, 0)</f>
        <v>56.262900000000002</v>
      </c>
      <c r="E543" s="4">
        <f>262.186229593911 * CHOOSE(CONTROL!$C$9, $C$13, 100%, $E$13) + CHOOSE(CONTROL!$C$28, 0.0021, 0)</f>
        <v>262.18832959391096</v>
      </c>
    </row>
    <row r="544" spans="1:5" ht="15">
      <c r="A544" s="13">
        <v>57710</v>
      </c>
      <c r="B544" s="4">
        <f>38.731 * CHOOSE(CONTROL!$C$9, $C$13, 100%, $E$13) + CHOOSE(CONTROL!$C$28, 0.0226, 0)</f>
        <v>38.753599999999999</v>
      </c>
      <c r="C544" s="4">
        <f>38.3677 * CHOOSE(CONTROL!$C$9, $C$13, 100%, $E$13) + CHOOSE(CONTROL!$C$28, 0.0226, 0)</f>
        <v>38.390299999999996</v>
      </c>
      <c r="D544" s="4">
        <f>54.3274 * CHOOSE(CONTROL!$C$9, $C$13, 100%, $E$13) + CHOOSE(CONTROL!$C$28, 0.0021, 0)</f>
        <v>54.329499999999996</v>
      </c>
      <c r="E544" s="4">
        <f>258.080045222516 * CHOOSE(CONTROL!$C$9, $C$13, 100%, $E$13) + CHOOSE(CONTROL!$C$28, 0.0021, 0)</f>
        <v>258.08214522251598</v>
      </c>
    </row>
    <row r="545" spans="1:5" ht="15">
      <c r="A545" s="13">
        <v>57741</v>
      </c>
      <c r="B545" s="4">
        <f>37.0786 * CHOOSE(CONTROL!$C$9, $C$13, 100%, $E$13) + CHOOSE(CONTROL!$C$28, 0.0226, 0)</f>
        <v>37.101199999999999</v>
      </c>
      <c r="C545" s="4">
        <f>36.7154 * CHOOSE(CONTROL!$C$9, $C$13, 100%, $E$13) + CHOOSE(CONTROL!$C$28, 0.0226, 0)</f>
        <v>36.738</v>
      </c>
      <c r="D545" s="4">
        <f>52.1977 * CHOOSE(CONTROL!$C$9, $C$13, 100%, $E$13) + CHOOSE(CONTROL!$C$28, 0.0021, 0)</f>
        <v>52.199799999999996</v>
      </c>
      <c r="E545" s="4">
        <f>247.329962653931 * CHOOSE(CONTROL!$C$9, $C$13, 100%, $E$13) + CHOOSE(CONTROL!$C$28, 0.0021, 0)</f>
        <v>247.33206265393102</v>
      </c>
    </row>
    <row r="546" spans="1:5" ht="15">
      <c r="A546" s="13">
        <v>57769</v>
      </c>
      <c r="B546" s="4">
        <f>37.9407 * CHOOSE(CONTROL!$C$9, $C$13, 100%, $E$13) + CHOOSE(CONTROL!$C$28, 0.0226, 0)</f>
        <v>37.963299999999997</v>
      </c>
      <c r="C546" s="4">
        <f>37.5774 * CHOOSE(CONTROL!$C$9, $C$13, 100%, $E$13) + CHOOSE(CONTROL!$C$28, 0.0226, 0)</f>
        <v>37.599999999999994</v>
      </c>
      <c r="D546" s="4">
        <f>53.9746 * CHOOSE(CONTROL!$C$9, $C$13, 100%, $E$13) + CHOOSE(CONTROL!$C$28, 0.0021, 0)</f>
        <v>53.976700000000001</v>
      </c>
      <c r="E546" s="4">
        <f>253.20255067232 * CHOOSE(CONTROL!$C$9, $C$13, 100%, $E$13) + CHOOSE(CONTROL!$C$28, 0.0021, 0)</f>
        <v>253.20465067232001</v>
      </c>
    </row>
    <row r="547" spans="1:5" ht="15">
      <c r="A547" s="13">
        <v>57800</v>
      </c>
      <c r="B547" s="4">
        <f>40.2044 * CHOOSE(CONTROL!$C$9, $C$13, 100%, $E$13) + CHOOSE(CONTROL!$C$28, 0.0226, 0)</f>
        <v>40.226999999999997</v>
      </c>
      <c r="C547" s="4">
        <f>39.8411 * CHOOSE(CONTROL!$C$9, $C$13, 100%, $E$13) + CHOOSE(CONTROL!$C$28, 0.0226, 0)</f>
        <v>39.863699999999994</v>
      </c>
      <c r="D547" s="4">
        <f>56.7562 * CHOOSE(CONTROL!$C$9, $C$13, 100%, $E$13) + CHOOSE(CONTROL!$C$28, 0.0021, 0)</f>
        <v>56.758299999999998</v>
      </c>
      <c r="E547" s="4">
        <f>268.62427889689 * CHOOSE(CONTROL!$C$9, $C$13, 100%, $E$13) + CHOOSE(CONTROL!$C$28, 0.0021, 0)</f>
        <v>268.62637889689</v>
      </c>
    </row>
    <row r="548" spans="1:5" ht="15">
      <c r="A548" s="13">
        <v>57830</v>
      </c>
      <c r="B548" s="4">
        <f>41.8128 * CHOOSE(CONTROL!$C$9, $C$13, 100%, $E$13) + CHOOSE(CONTROL!$C$28, 0.0226, 0)</f>
        <v>41.8354</v>
      </c>
      <c r="C548" s="4">
        <f>41.4495 * CHOOSE(CONTROL!$C$9, $C$13, 100%, $E$13) + CHOOSE(CONTROL!$C$28, 0.0226, 0)</f>
        <v>41.472099999999998</v>
      </c>
      <c r="D548" s="4">
        <f>58.3585 * CHOOSE(CONTROL!$C$9, $C$13, 100%, $E$13) + CHOOSE(CONTROL!$C$28, 0.0021, 0)</f>
        <v>58.360599999999998</v>
      </c>
      <c r="E548" s="4">
        <f>279.581622321999 * CHOOSE(CONTROL!$C$9, $C$13, 100%, $E$13) + CHOOSE(CONTROL!$C$28, 0.0021, 0)</f>
        <v>279.58372232199901</v>
      </c>
    </row>
    <row r="549" spans="1:5" ht="15">
      <c r="A549" s="13">
        <v>57861</v>
      </c>
      <c r="B549" s="4">
        <f>42.7955 * CHOOSE(CONTROL!$C$9, $C$13, 100%, $E$13) + CHOOSE(CONTROL!$C$28, 0.0226, 0)</f>
        <v>42.818099999999994</v>
      </c>
      <c r="C549" s="4">
        <f>42.4322 * CHOOSE(CONTROL!$C$9, $C$13, 100%, $E$13) + CHOOSE(CONTROL!$C$28, 0.0226, 0)</f>
        <v>42.454799999999999</v>
      </c>
      <c r="D549" s="4">
        <f>57.7254 * CHOOSE(CONTROL!$C$9, $C$13, 100%, $E$13) + CHOOSE(CONTROL!$C$28, 0.0021, 0)</f>
        <v>57.727499999999999</v>
      </c>
      <c r="E549" s="4">
        <f>286.276296543869 * CHOOSE(CONTROL!$C$9, $C$13, 100%, $E$13) + CHOOSE(CONTROL!$C$28, 0.0021, 0)</f>
        <v>286.27839654386901</v>
      </c>
    </row>
    <row r="550" spans="1:5" ht="15">
      <c r="A550" s="13">
        <v>57891</v>
      </c>
      <c r="B550" s="4">
        <f>42.9285 * CHOOSE(CONTROL!$C$9, $C$13, 100%, $E$13) + CHOOSE(CONTROL!$C$28, 0.0226, 0)</f>
        <v>42.951099999999997</v>
      </c>
      <c r="C550" s="4">
        <f>42.5652 * CHOOSE(CONTROL!$C$9, $C$13, 100%, $E$13) + CHOOSE(CONTROL!$C$28, 0.0226, 0)</f>
        <v>42.587799999999994</v>
      </c>
      <c r="D550" s="4">
        <f>58.241 * CHOOSE(CONTROL!$C$9, $C$13, 100%, $E$13) + CHOOSE(CONTROL!$C$28, 0.0021, 0)</f>
        <v>58.243099999999998</v>
      </c>
      <c r="E550" s="4">
        <f>287.182113749557 * CHOOSE(CONTROL!$C$9, $C$13, 100%, $E$13) + CHOOSE(CONTROL!$C$28, 0.0021, 0)</f>
        <v>287.18421374955699</v>
      </c>
    </row>
    <row r="551" spans="1:5" ht="15">
      <c r="A551" s="13">
        <v>57922</v>
      </c>
      <c r="B551" s="4">
        <f>42.9151 * CHOOSE(CONTROL!$C$9, $C$13, 100%, $E$13) + CHOOSE(CONTROL!$C$28, 0.0226, 0)</f>
        <v>42.9377</v>
      </c>
      <c r="C551" s="4">
        <f>42.5518 * CHOOSE(CONTROL!$C$9, $C$13, 100%, $E$13) + CHOOSE(CONTROL!$C$28, 0.0226, 0)</f>
        <v>42.574399999999997</v>
      </c>
      <c r="D551" s="4">
        <f>59.1715 * CHOOSE(CONTROL!$C$9, $C$13, 100%, $E$13) + CHOOSE(CONTROL!$C$28, 0.0021, 0)</f>
        <v>59.1736</v>
      </c>
      <c r="E551" s="4">
        <f>287.090770838059 * CHOOSE(CONTROL!$C$9, $C$13, 100%, $E$13) + CHOOSE(CONTROL!$C$28, 0.0021, 0)</f>
        <v>287.09287083805896</v>
      </c>
    </row>
    <row r="552" spans="1:5" ht="15">
      <c r="A552" s="13">
        <v>57953</v>
      </c>
      <c r="B552" s="4">
        <f>43.924 * CHOOSE(CONTROL!$C$9, $C$13, 100%, $E$13) + CHOOSE(CONTROL!$C$28, 0.0226, 0)</f>
        <v>43.946599999999997</v>
      </c>
      <c r="C552" s="4">
        <f>43.5607 * CHOOSE(CONTROL!$C$9, $C$13, 100%, $E$13) + CHOOSE(CONTROL!$C$28, 0.0226, 0)</f>
        <v>43.583299999999994</v>
      </c>
      <c r="D552" s="4">
        <f>58.557 * CHOOSE(CONTROL!$C$9, $C$13, 100%, $E$13) + CHOOSE(CONTROL!$C$28, 0.0021, 0)</f>
        <v>58.559100000000001</v>
      </c>
      <c r="E552" s="4">
        <f>293.96432492828 * CHOOSE(CONTROL!$C$9, $C$13, 100%, $E$13) + CHOOSE(CONTROL!$C$28, 0.0021, 0)</f>
        <v>293.96642492827999</v>
      </c>
    </row>
    <row r="553" spans="1:5" ht="15">
      <c r="A553" s="13">
        <v>57983</v>
      </c>
      <c r="B553" s="4">
        <f>42.2044 * CHOOSE(CONTROL!$C$9, $C$13, 100%, $E$13) + CHOOSE(CONTROL!$C$28, 0.0226, 0)</f>
        <v>42.226999999999997</v>
      </c>
      <c r="C553" s="4">
        <f>41.8412 * CHOOSE(CONTROL!$C$9, $C$13, 100%, $E$13) + CHOOSE(CONTROL!$C$28, 0.0226, 0)</f>
        <v>41.863799999999998</v>
      </c>
      <c r="D553" s="4">
        <f>58.2667 * CHOOSE(CONTROL!$C$9, $C$13, 100%, $E$13) + CHOOSE(CONTROL!$C$28, 0.0021, 0)</f>
        <v>58.268799999999999</v>
      </c>
      <c r="E553" s="4">
        <f>282.249596528668 * CHOOSE(CONTROL!$C$9, $C$13, 100%, $E$13) + CHOOSE(CONTROL!$C$28, 0.0021, 0)</f>
        <v>282.25169652866799</v>
      </c>
    </row>
    <row r="554" spans="1:5" ht="15">
      <c r="A554" s="13">
        <v>58014</v>
      </c>
      <c r="B554" s="4">
        <f>40.8279 * CHOOSE(CONTROL!$C$9, $C$13, 100%, $E$13) + CHOOSE(CONTROL!$C$28, 0.0226, 0)</f>
        <v>40.850499999999997</v>
      </c>
      <c r="C554" s="4">
        <f>40.4646 * CHOOSE(CONTROL!$C$9, $C$13, 100%, $E$13) + CHOOSE(CONTROL!$C$28, 0.0226, 0)</f>
        <v>40.487199999999994</v>
      </c>
      <c r="D554" s="4">
        <f>57.4894 * CHOOSE(CONTROL!$C$9, $C$13, 100%, $E$13) + CHOOSE(CONTROL!$C$28, 0.0021, 0)</f>
        <v>57.491500000000002</v>
      </c>
      <c r="E554" s="4">
        <f>272.871724281545 * CHOOSE(CONTROL!$C$9, $C$13, 100%, $E$13) + CHOOSE(CONTROL!$C$28, 0.0021, 0)</f>
        <v>272.87382428154501</v>
      </c>
    </row>
    <row r="555" spans="1:5" ht="15">
      <c r="A555" s="13">
        <v>58044</v>
      </c>
      <c r="B555" s="4">
        <f>39.9413 * CHOOSE(CONTROL!$C$9, $C$13, 100%, $E$13) + CHOOSE(CONTROL!$C$28, 0.0226, 0)</f>
        <v>39.963899999999995</v>
      </c>
      <c r="C555" s="4">
        <f>39.578 * CHOOSE(CONTROL!$C$9, $C$13, 100%, $E$13) + CHOOSE(CONTROL!$C$28, 0.0226, 0)</f>
        <v>39.6006</v>
      </c>
      <c r="D555" s="4">
        <f>57.2221 * CHOOSE(CONTROL!$C$9, $C$13, 100%, $E$13) + CHOOSE(CONTROL!$C$28, 0.0021, 0)</f>
        <v>57.224199999999996</v>
      </c>
      <c r="E555" s="4">
        <f>266.831674258743 * CHOOSE(CONTROL!$C$9, $C$13, 100%, $E$13) + CHOOSE(CONTROL!$C$28, 0.0021, 0)</f>
        <v>266.83377425874301</v>
      </c>
    </row>
    <row r="556" spans="1:5" ht="15">
      <c r="A556" s="13">
        <v>58075</v>
      </c>
      <c r="B556" s="4">
        <f>39.3278 * CHOOSE(CONTROL!$C$9, $C$13, 100%, $E$13) + CHOOSE(CONTROL!$C$28, 0.0226, 0)</f>
        <v>39.3504</v>
      </c>
      <c r="C556" s="4">
        <f>38.9646 * CHOOSE(CONTROL!$C$9, $C$13, 100%, $E$13) + CHOOSE(CONTROL!$C$28, 0.0226, 0)</f>
        <v>38.987199999999994</v>
      </c>
      <c r="D556" s="4">
        <f>55.2546 * CHOOSE(CONTROL!$C$9, $C$13, 100%, $E$13) + CHOOSE(CONTROL!$C$28, 0.0021, 0)</f>
        <v>55.256700000000002</v>
      </c>
      <c r="E556" s="4">
        <f>262.652736057712 * CHOOSE(CONTROL!$C$9, $C$13, 100%, $E$13) + CHOOSE(CONTROL!$C$28, 0.0021, 0)</f>
        <v>262.65483605771198</v>
      </c>
    </row>
    <row r="557" spans="1:5" ht="15">
      <c r="A557" s="13">
        <v>58106</v>
      </c>
      <c r="B557" s="4">
        <f>37.6495 * CHOOSE(CONTROL!$C$9, $C$13, 100%, $E$13) + CHOOSE(CONTROL!$C$28, 0.0226, 0)</f>
        <v>37.6721</v>
      </c>
      <c r="C557" s="4">
        <f>37.2863 * CHOOSE(CONTROL!$C$9, $C$13, 100%, $E$13) + CHOOSE(CONTROL!$C$28, 0.0226, 0)</f>
        <v>37.308899999999994</v>
      </c>
      <c r="D557" s="4">
        <f>53.0872 * CHOOSE(CONTROL!$C$9, $C$13, 100%, $E$13) + CHOOSE(CONTROL!$C$28, 0.0021, 0)</f>
        <v>53.089300000000001</v>
      </c>
      <c r="E557" s="4">
        <f>251.712182335122 * CHOOSE(CONTROL!$C$9, $C$13, 100%, $E$13) + CHOOSE(CONTROL!$C$28, 0.0021, 0)</f>
        <v>251.71428233512202</v>
      </c>
    </row>
    <row r="558" spans="1:5" ht="15">
      <c r="A558" s="13">
        <v>58134</v>
      </c>
      <c r="B558" s="4">
        <f>38.5251 * CHOOSE(CONTROL!$C$9, $C$13, 100%, $E$13) + CHOOSE(CONTROL!$C$28, 0.0226, 0)</f>
        <v>38.547699999999999</v>
      </c>
      <c r="C558" s="4">
        <f>38.1618 * CHOOSE(CONTROL!$C$9, $C$13, 100%, $E$13) + CHOOSE(CONTROL!$C$28, 0.0226, 0)</f>
        <v>38.184399999999997</v>
      </c>
      <c r="D558" s="4">
        <f>54.8955 * CHOOSE(CONTROL!$C$9, $C$13, 100%, $E$13) + CHOOSE(CONTROL!$C$28, 0.0021, 0)</f>
        <v>54.897599999999997</v>
      </c>
      <c r="E558" s="4">
        <f>257.688821518674 * CHOOSE(CONTROL!$C$9, $C$13, 100%, $E$13) + CHOOSE(CONTROL!$C$28, 0.0021, 0)</f>
        <v>257.69092151867397</v>
      </c>
    </row>
    <row r="559" spans="1:5" ht="15">
      <c r="A559" s="13">
        <v>58165</v>
      </c>
      <c r="B559" s="4">
        <f>40.8244 * CHOOSE(CONTROL!$C$9, $C$13, 100%, $E$13) + CHOOSE(CONTROL!$C$28, 0.0226, 0)</f>
        <v>40.846999999999994</v>
      </c>
      <c r="C559" s="4">
        <f>40.4612 * CHOOSE(CONTROL!$C$9, $C$13, 100%, $E$13) + CHOOSE(CONTROL!$C$28, 0.0226, 0)</f>
        <v>40.483799999999995</v>
      </c>
      <c r="D559" s="4">
        <f>57.7263 * CHOOSE(CONTROL!$C$9, $C$13, 100%, $E$13) + CHOOSE(CONTROL!$C$28, 0.0021, 0)</f>
        <v>57.728400000000001</v>
      </c>
      <c r="E559" s="4">
        <f>273.383793632576 * CHOOSE(CONTROL!$C$9, $C$13, 100%, $E$13) + CHOOSE(CONTROL!$C$28, 0.0021, 0)</f>
        <v>273.38589363257597</v>
      </c>
    </row>
    <row r="560" spans="1:5" ht="15">
      <c r="A560" s="13">
        <v>58195</v>
      </c>
      <c r="B560" s="4">
        <f>42.4582 * CHOOSE(CONTROL!$C$9, $C$13, 100%, $E$13) + CHOOSE(CONTROL!$C$28, 0.0226, 0)</f>
        <v>42.480799999999995</v>
      </c>
      <c r="C560" s="4">
        <f>42.0949 * CHOOSE(CONTROL!$C$9, $C$13, 100%, $E$13) + CHOOSE(CONTROL!$C$28, 0.0226, 0)</f>
        <v>42.1175</v>
      </c>
      <c r="D560" s="4">
        <f>59.3569 * CHOOSE(CONTROL!$C$9, $C$13, 100%, $E$13) + CHOOSE(CONTROL!$C$28, 0.0021, 0)</f>
        <v>59.359000000000002</v>
      </c>
      <c r="E560" s="4">
        <f>284.535280482508 * CHOOSE(CONTROL!$C$9, $C$13, 100%, $E$13) + CHOOSE(CONTROL!$C$28, 0.0021, 0)</f>
        <v>284.53738048250801</v>
      </c>
    </row>
    <row r="561" spans="1:5" ht="15">
      <c r="A561" s="13">
        <v>58226</v>
      </c>
      <c r="B561" s="4">
        <f>43.4563 * CHOOSE(CONTROL!$C$9, $C$13, 100%, $E$13) + CHOOSE(CONTROL!$C$28, 0.0226, 0)</f>
        <v>43.478899999999996</v>
      </c>
      <c r="C561" s="4">
        <f>43.093 * CHOOSE(CONTROL!$C$9, $C$13, 100%, $E$13) + CHOOSE(CONTROL!$C$28, 0.0226, 0)</f>
        <v>43.115600000000001</v>
      </c>
      <c r="D561" s="4">
        <f>58.7126 * CHOOSE(CONTROL!$C$9, $C$13, 100%, $E$13) + CHOOSE(CONTROL!$C$28, 0.0021, 0)</f>
        <v>58.714700000000001</v>
      </c>
      <c r="E561" s="4">
        <f>291.348571683977 * CHOOSE(CONTROL!$C$9, $C$13, 100%, $E$13) + CHOOSE(CONTROL!$C$28, 0.0021, 0)</f>
        <v>291.350671683977</v>
      </c>
    </row>
    <row r="562" spans="1:5" ht="15">
      <c r="A562" s="13">
        <v>58256</v>
      </c>
      <c r="B562" s="4">
        <f>43.5914 * CHOOSE(CONTROL!$C$9, $C$13, 100%, $E$13) + CHOOSE(CONTROL!$C$28, 0.0226, 0)</f>
        <v>43.613999999999997</v>
      </c>
      <c r="C562" s="4">
        <f>43.2281 * CHOOSE(CONTROL!$C$9, $C$13, 100%, $E$13) + CHOOSE(CONTROL!$C$28, 0.0226, 0)</f>
        <v>43.250699999999995</v>
      </c>
      <c r="D562" s="4">
        <f>59.2373 * CHOOSE(CONTROL!$C$9, $C$13, 100%, $E$13) + CHOOSE(CONTROL!$C$28, 0.0021, 0)</f>
        <v>59.239399999999996</v>
      </c>
      <c r="E562" s="4">
        <f>292.270438259275 * CHOOSE(CONTROL!$C$9, $C$13, 100%, $E$13) + CHOOSE(CONTROL!$C$28, 0.0021, 0)</f>
        <v>292.272538259275</v>
      </c>
    </row>
    <row r="563" spans="1:5" ht="15">
      <c r="A563" s="13">
        <v>58287</v>
      </c>
      <c r="B563" s="4">
        <f>43.5777 * CHOOSE(CONTROL!$C$9, $C$13, 100%, $E$13) + CHOOSE(CONTROL!$C$28, 0.0226, 0)</f>
        <v>43.600299999999997</v>
      </c>
      <c r="C563" s="4">
        <f>43.2145 * CHOOSE(CONTROL!$C$9, $C$13, 100%, $E$13) + CHOOSE(CONTROL!$C$28, 0.0226, 0)</f>
        <v>43.237099999999998</v>
      </c>
      <c r="D563" s="4">
        <f>60.1842 * CHOOSE(CONTROL!$C$9, $C$13, 100%, $E$13) + CHOOSE(CONTROL!$C$28, 0.0021, 0)</f>
        <v>60.186299999999996</v>
      </c>
      <c r="E563" s="4">
        <f>292.177476923951 * CHOOSE(CONTROL!$C$9, $C$13, 100%, $E$13) + CHOOSE(CONTROL!$C$28, 0.0021, 0)</f>
        <v>292.179576923951</v>
      </c>
    </row>
    <row r="564" spans="1:5" ht="15">
      <c r="A564" s="13">
        <v>58318</v>
      </c>
      <c r="B564" s="4">
        <f>44.6026 * CHOOSE(CONTROL!$C$9, $C$13, 100%, $E$13) + CHOOSE(CONTROL!$C$28, 0.0226, 0)</f>
        <v>44.6252</v>
      </c>
      <c r="C564" s="4">
        <f>44.2393 * CHOOSE(CONTROL!$C$9, $C$13, 100%, $E$13) + CHOOSE(CONTROL!$C$28, 0.0226, 0)</f>
        <v>44.261899999999997</v>
      </c>
      <c r="D564" s="4">
        <f>59.5589 * CHOOSE(CONTROL!$C$9, $C$13, 100%, $E$13) + CHOOSE(CONTROL!$C$28, 0.0021, 0)</f>
        <v>59.561</v>
      </c>
      <c r="E564" s="4">
        <f>299.172817407097 * CHOOSE(CONTROL!$C$9, $C$13, 100%, $E$13) + CHOOSE(CONTROL!$C$28, 0.0021, 0)</f>
        <v>299.17491740709698</v>
      </c>
    </row>
    <row r="565" spans="1:5" ht="15">
      <c r="A565" s="13">
        <v>58348</v>
      </c>
      <c r="B565" s="4">
        <f>42.8559 * CHOOSE(CONTROL!$C$9, $C$13, 100%, $E$13) + CHOOSE(CONTROL!$C$28, 0.0226, 0)</f>
        <v>42.878499999999995</v>
      </c>
      <c r="C565" s="4">
        <f>42.4927 * CHOOSE(CONTROL!$C$9, $C$13, 100%, $E$13) + CHOOSE(CONTROL!$C$28, 0.0226, 0)</f>
        <v>42.515299999999996</v>
      </c>
      <c r="D565" s="4">
        <f>59.2634 * CHOOSE(CONTROL!$C$9, $C$13, 100%, $E$13) + CHOOSE(CONTROL!$C$28, 0.0021, 0)</f>
        <v>59.265499999999996</v>
      </c>
      <c r="E565" s="4">
        <f>287.250526151768 * CHOOSE(CONTROL!$C$9, $C$13, 100%, $E$13) + CHOOSE(CONTROL!$C$28, 0.0021, 0)</f>
        <v>287.25262615176797</v>
      </c>
    </row>
    <row r="566" spans="1:5" ht="15">
      <c r="A566" s="13">
        <v>58379</v>
      </c>
      <c r="B566" s="4">
        <f>41.4577 * CHOOSE(CONTROL!$C$9, $C$13, 100%, $E$13) + CHOOSE(CONTROL!$C$28, 0.0226, 0)</f>
        <v>41.4803</v>
      </c>
      <c r="C566" s="4">
        <f>41.0944 * CHOOSE(CONTROL!$C$9, $C$13, 100%, $E$13) + CHOOSE(CONTROL!$C$28, 0.0226, 0)</f>
        <v>41.116999999999997</v>
      </c>
      <c r="D566" s="4">
        <f>58.4724 * CHOOSE(CONTROL!$C$9, $C$13, 100%, $E$13) + CHOOSE(CONTROL!$C$28, 0.0021, 0)</f>
        <v>58.474499999999999</v>
      </c>
      <c r="E566" s="4">
        <f>277.706495725151 * CHOOSE(CONTROL!$C$9, $C$13, 100%, $E$13) + CHOOSE(CONTROL!$C$28, 0.0021, 0)</f>
        <v>277.70859572515099</v>
      </c>
    </row>
    <row r="567" spans="1:5" ht="15">
      <c r="A567" s="13">
        <v>58409</v>
      </c>
      <c r="B567" s="4">
        <f>40.5572 * CHOOSE(CONTROL!$C$9, $C$13, 100%, $E$13) + CHOOSE(CONTROL!$C$28, 0.0226, 0)</f>
        <v>40.579799999999999</v>
      </c>
      <c r="C567" s="4">
        <f>40.1939 * CHOOSE(CONTROL!$C$9, $C$13, 100%, $E$13) + CHOOSE(CONTROL!$C$28, 0.0226, 0)</f>
        <v>40.216499999999996</v>
      </c>
      <c r="D567" s="4">
        <f>58.2004 * CHOOSE(CONTROL!$C$9, $C$13, 100%, $E$13) + CHOOSE(CONTROL!$C$28, 0.0021, 0)</f>
        <v>58.202500000000001</v>
      </c>
      <c r="E567" s="4">
        <f>271.559427426838 * CHOOSE(CONTROL!$C$9, $C$13, 100%, $E$13) + CHOOSE(CONTROL!$C$28, 0.0021, 0)</f>
        <v>271.56152742683798</v>
      </c>
    </row>
    <row r="568" spans="1:5" ht="15">
      <c r="A568" s="13">
        <v>58440</v>
      </c>
      <c r="B568" s="4">
        <f>39.9341 * CHOOSE(CONTROL!$C$9, $C$13, 100%, $E$13) + CHOOSE(CONTROL!$C$28, 0.0226, 0)</f>
        <v>39.956699999999998</v>
      </c>
      <c r="C568" s="4">
        <f>39.5708 * CHOOSE(CONTROL!$C$9, $C$13, 100%, $E$13) + CHOOSE(CONTROL!$C$28, 0.0226, 0)</f>
        <v>39.593399999999995</v>
      </c>
      <c r="D568" s="4">
        <f>56.1981 * CHOOSE(CONTROL!$C$9, $C$13, 100%, $E$13) + CHOOSE(CONTROL!$C$28, 0.0021, 0)</f>
        <v>56.200199999999995</v>
      </c>
      <c r="E568" s="4">
        <f>267.306446335756 * CHOOSE(CONTROL!$C$9, $C$13, 100%, $E$13) + CHOOSE(CONTROL!$C$28, 0.0021, 0)</f>
        <v>267.30854633575598</v>
      </c>
    </row>
    <row r="569" spans="1:5" ht="15">
      <c r="A569" s="13">
        <v>58471</v>
      </c>
      <c r="B569" s="4">
        <f>38.2294 * CHOOSE(CONTROL!$C$9, $C$13, 100%, $E$13) + CHOOSE(CONTROL!$C$28, 0.0226, 0)</f>
        <v>38.251999999999995</v>
      </c>
      <c r="C569" s="4">
        <f>37.8661 * CHOOSE(CONTROL!$C$9, $C$13, 100%, $E$13) + CHOOSE(CONTROL!$C$28, 0.0226, 0)</f>
        <v>37.8887</v>
      </c>
      <c r="D569" s="4">
        <f>53.9925 * CHOOSE(CONTROL!$C$9, $C$13, 100%, $E$13) + CHOOSE(CONTROL!$C$28, 0.0021, 0)</f>
        <v>53.994599999999998</v>
      </c>
      <c r="E569" s="4">
        <f>256.172046670153 * CHOOSE(CONTROL!$C$9, $C$13, 100%, $E$13) + CHOOSE(CONTROL!$C$28, 0.0021, 0)</f>
        <v>256.17414667015299</v>
      </c>
    </row>
    <row r="570" spans="1:5" ht="15">
      <c r="A570" s="13">
        <v>58499</v>
      </c>
      <c r="B570" s="4">
        <f>39.1188 * CHOOSE(CONTROL!$C$9, $C$13, 100%, $E$13) + CHOOSE(CONTROL!$C$28, 0.0226, 0)</f>
        <v>39.141399999999997</v>
      </c>
      <c r="C570" s="4">
        <f>38.7555 * CHOOSE(CONTROL!$C$9, $C$13, 100%, $E$13) + CHOOSE(CONTROL!$C$28, 0.0226, 0)</f>
        <v>38.778099999999995</v>
      </c>
      <c r="D570" s="4">
        <f>55.8327 * CHOOSE(CONTROL!$C$9, $C$13, 100%, $E$13) + CHOOSE(CONTROL!$C$28, 0.0021, 0)</f>
        <v>55.834800000000001</v>
      </c>
      <c r="E570" s="4">
        <f>262.254580608939 * CHOOSE(CONTROL!$C$9, $C$13, 100%, $E$13) + CHOOSE(CONTROL!$C$28, 0.0021, 0)</f>
        <v>262.25668060893901</v>
      </c>
    </row>
    <row r="571" spans="1:5" ht="15">
      <c r="A571" s="13">
        <v>58531</v>
      </c>
      <c r="B571" s="4">
        <f>41.4542 * CHOOSE(CONTROL!$C$9, $C$13, 100%, $E$13) + CHOOSE(CONTROL!$C$28, 0.0226, 0)</f>
        <v>41.476799999999997</v>
      </c>
      <c r="C571" s="4">
        <f>41.091 * CHOOSE(CONTROL!$C$9, $C$13, 100%, $E$13) + CHOOSE(CONTROL!$C$28, 0.0226, 0)</f>
        <v>41.113599999999998</v>
      </c>
      <c r="D571" s="4">
        <f>58.7135 * CHOOSE(CONTROL!$C$9, $C$13, 100%, $E$13) + CHOOSE(CONTROL!$C$28, 0.0021, 0)</f>
        <v>58.715600000000002</v>
      </c>
      <c r="E571" s="4">
        <f>278.227637977678 * CHOOSE(CONTROL!$C$9, $C$13, 100%, $E$13) + CHOOSE(CONTROL!$C$28, 0.0021, 0)</f>
        <v>278.22973797767798</v>
      </c>
    </row>
    <row r="572" spans="1:5" ht="15">
      <c r="A572" s="13">
        <v>58561</v>
      </c>
      <c r="B572" s="4">
        <f>43.1136 * CHOOSE(CONTROL!$C$9, $C$13, 100%, $E$13) + CHOOSE(CONTROL!$C$28, 0.0226, 0)</f>
        <v>43.136199999999995</v>
      </c>
      <c r="C572" s="4">
        <f>42.7504 * CHOOSE(CONTROL!$C$9, $C$13, 100%, $E$13) + CHOOSE(CONTROL!$C$28, 0.0226, 0)</f>
        <v>42.772999999999996</v>
      </c>
      <c r="D572" s="4">
        <f>60.3729 * CHOOSE(CONTROL!$C$9, $C$13, 100%, $E$13) + CHOOSE(CONTROL!$C$28, 0.0021, 0)</f>
        <v>60.375</v>
      </c>
      <c r="E572" s="4">
        <f>289.576708107144 * CHOOSE(CONTROL!$C$9, $C$13, 100%, $E$13) + CHOOSE(CONTROL!$C$28, 0.0021, 0)</f>
        <v>289.57880810714397</v>
      </c>
    </row>
    <row r="573" spans="1:5" ht="15">
      <c r="A573" s="13">
        <v>58592</v>
      </c>
      <c r="B573" s="4">
        <f>44.1275 * CHOOSE(CONTROL!$C$9, $C$13, 100%, $E$13) + CHOOSE(CONTROL!$C$28, 0.0226, 0)</f>
        <v>44.150099999999995</v>
      </c>
      <c r="C573" s="4">
        <f>43.7642 * CHOOSE(CONTROL!$C$9, $C$13, 100%, $E$13) + CHOOSE(CONTROL!$C$28, 0.0226, 0)</f>
        <v>43.786799999999999</v>
      </c>
      <c r="D573" s="4">
        <f>59.7172 * CHOOSE(CONTROL!$C$9, $C$13, 100%, $E$13) + CHOOSE(CONTROL!$C$28, 0.0021, 0)</f>
        <v>59.719299999999997</v>
      </c>
      <c r="E573" s="4">
        <f>296.510717956999 * CHOOSE(CONTROL!$C$9, $C$13, 100%, $E$13) + CHOOSE(CONTROL!$C$28, 0.0021, 0)</f>
        <v>296.51281795699896</v>
      </c>
    </row>
    <row r="574" spans="1:5" ht="15">
      <c r="A574" s="13">
        <v>58622</v>
      </c>
      <c r="B574" s="4">
        <f>44.2647 * CHOOSE(CONTROL!$C$9, $C$13, 100%, $E$13) + CHOOSE(CONTROL!$C$28, 0.0226, 0)</f>
        <v>44.287299999999995</v>
      </c>
      <c r="C574" s="4">
        <f>43.9014 * CHOOSE(CONTROL!$C$9, $C$13, 100%, $E$13) + CHOOSE(CONTROL!$C$28, 0.0226, 0)</f>
        <v>43.923999999999999</v>
      </c>
      <c r="D574" s="4">
        <f>60.2512 * CHOOSE(CONTROL!$C$9, $C$13, 100%, $E$13) + CHOOSE(CONTROL!$C$28, 0.0021, 0)</f>
        <v>60.253299999999996</v>
      </c>
      <c r="E574" s="4">
        <f>297.448918266416 * CHOOSE(CONTROL!$C$9, $C$13, 100%, $E$13) + CHOOSE(CONTROL!$C$28, 0.0021, 0)</f>
        <v>297.45101826641599</v>
      </c>
    </row>
    <row r="575" spans="1:5" ht="15">
      <c r="A575" s="13">
        <v>58653</v>
      </c>
      <c r="B575" s="4">
        <f>44.2508 * CHOOSE(CONTROL!$C$9, $C$13, 100%, $E$13) + CHOOSE(CONTROL!$C$28, 0.0226, 0)</f>
        <v>44.273399999999995</v>
      </c>
      <c r="C575" s="4">
        <f>43.8876 * CHOOSE(CONTROL!$C$9, $C$13, 100%, $E$13) + CHOOSE(CONTROL!$C$28, 0.0226, 0)</f>
        <v>43.910199999999996</v>
      </c>
      <c r="D575" s="4">
        <f>61.2148 * CHOOSE(CONTROL!$C$9, $C$13, 100%, $E$13) + CHOOSE(CONTROL!$C$28, 0.0021, 0)</f>
        <v>61.216899999999995</v>
      </c>
      <c r="E575" s="4">
        <f>297.354309831853 * CHOOSE(CONTROL!$C$9, $C$13, 100%, $E$13) + CHOOSE(CONTROL!$C$28, 0.0021, 0)</f>
        <v>297.356409831853</v>
      </c>
    </row>
    <row r="576" spans="1:5" ht="15">
      <c r="A576" s="13">
        <v>58684</v>
      </c>
      <c r="B576" s="4">
        <f>45.2918 * CHOOSE(CONTROL!$C$9, $C$13, 100%, $E$13) + CHOOSE(CONTROL!$C$28, 0.0226, 0)</f>
        <v>45.314399999999999</v>
      </c>
      <c r="C576" s="4">
        <f>44.9285 * CHOOSE(CONTROL!$C$9, $C$13, 100%, $E$13) + CHOOSE(CONTROL!$C$28, 0.0226, 0)</f>
        <v>44.951099999999997</v>
      </c>
      <c r="D576" s="4">
        <f>60.5785 * CHOOSE(CONTROL!$C$9, $C$13, 100%, $E$13) + CHOOSE(CONTROL!$C$28, 0.0021, 0)</f>
        <v>60.580599999999997</v>
      </c>
      <c r="E576" s="4">
        <f>304.473594532727 * CHOOSE(CONTROL!$C$9, $C$13, 100%, $E$13) + CHOOSE(CONTROL!$C$28, 0.0021, 0)</f>
        <v>304.475694532727</v>
      </c>
    </row>
    <row r="577" spans="1:5" ht="15">
      <c r="A577" s="13">
        <v>58714</v>
      </c>
      <c r="B577" s="4">
        <f>43.5177 * CHOOSE(CONTROL!$C$9, $C$13, 100%, $E$13) + CHOOSE(CONTROL!$C$28, 0.0226, 0)</f>
        <v>43.540299999999995</v>
      </c>
      <c r="C577" s="4">
        <f>43.1544 * CHOOSE(CONTROL!$C$9, $C$13, 100%, $E$13) + CHOOSE(CONTROL!$C$28, 0.0226, 0)</f>
        <v>43.177</v>
      </c>
      <c r="D577" s="4">
        <f>60.2778 * CHOOSE(CONTROL!$C$9, $C$13, 100%, $E$13) + CHOOSE(CONTROL!$C$28, 0.0021, 0)</f>
        <v>60.279899999999998</v>
      </c>
      <c r="E577" s="4">
        <f>292.340062800008 * CHOOSE(CONTROL!$C$9, $C$13, 100%, $E$13) + CHOOSE(CONTROL!$C$28, 0.0021, 0)</f>
        <v>292.342162800008</v>
      </c>
    </row>
    <row r="578" spans="1:5" ht="15">
      <c r="A578" s="13">
        <v>58745</v>
      </c>
      <c r="B578" s="4">
        <f>42.0975 * CHOOSE(CONTROL!$C$9, $C$13, 100%, $E$13) + CHOOSE(CONTROL!$C$28, 0.0226, 0)</f>
        <v>42.120099999999994</v>
      </c>
      <c r="C578" s="4">
        <f>41.7342 * CHOOSE(CONTROL!$C$9, $C$13, 100%, $E$13) + CHOOSE(CONTROL!$C$28, 0.0226, 0)</f>
        <v>41.756799999999998</v>
      </c>
      <c r="D578" s="4">
        <f>59.4728 * CHOOSE(CONTROL!$C$9, $C$13, 100%, $E$13) + CHOOSE(CONTROL!$C$28, 0.0021, 0)</f>
        <v>59.474899999999998</v>
      </c>
      <c r="E578" s="4">
        <f>282.626930184862 * CHOOSE(CONTROL!$C$9, $C$13, 100%, $E$13) + CHOOSE(CONTROL!$C$28, 0.0021, 0)</f>
        <v>282.62903018486196</v>
      </c>
    </row>
    <row r="579" spans="1:5" ht="15">
      <c r="A579" s="13">
        <v>58775</v>
      </c>
      <c r="B579" s="4">
        <f>41.1828 * CHOOSE(CONTROL!$C$9, $C$13, 100%, $E$13) + CHOOSE(CONTROL!$C$28, 0.0226, 0)</f>
        <v>41.205399999999997</v>
      </c>
      <c r="C579" s="4">
        <f>40.8195 * CHOOSE(CONTROL!$C$9, $C$13, 100%, $E$13) + CHOOSE(CONTROL!$C$28, 0.0226, 0)</f>
        <v>40.842099999999995</v>
      </c>
      <c r="D579" s="4">
        <f>59.196 * CHOOSE(CONTROL!$C$9, $C$13, 100%, $E$13) + CHOOSE(CONTROL!$C$28, 0.0021, 0)</f>
        <v>59.198099999999997</v>
      </c>
      <c r="E579" s="4">
        <f>276.370947449377 * CHOOSE(CONTROL!$C$9, $C$13, 100%, $E$13) + CHOOSE(CONTROL!$C$28, 0.0021, 0)</f>
        <v>276.373047449377</v>
      </c>
    </row>
    <row r="580" spans="1:5" ht="15">
      <c r="A580" s="13">
        <v>58806</v>
      </c>
      <c r="B580" s="4">
        <f>40.5499 * CHOOSE(CONTROL!$C$9, $C$13, 100%, $E$13) + CHOOSE(CONTROL!$C$28, 0.0226, 0)</f>
        <v>40.572499999999998</v>
      </c>
      <c r="C580" s="4">
        <f>40.1866 * CHOOSE(CONTROL!$C$9, $C$13, 100%, $E$13) + CHOOSE(CONTROL!$C$28, 0.0226, 0)</f>
        <v>40.209199999999996</v>
      </c>
      <c r="D580" s="4">
        <f>57.1583 * CHOOSE(CONTROL!$C$9, $C$13, 100%, $E$13) + CHOOSE(CONTROL!$C$28, 0.0021, 0)</f>
        <v>57.160399999999996</v>
      </c>
      <c r="E580" s="4">
        <f>272.042611568114 * CHOOSE(CONTROL!$C$9, $C$13, 100%, $E$13) + CHOOSE(CONTROL!$C$28, 0.0021, 0)</f>
        <v>272.044711568114</v>
      </c>
    </row>
    <row r="581" spans="1:5" ht="15">
      <c r="A581" s="13">
        <v>58837</v>
      </c>
      <c r="B581" s="4">
        <f>38.8184 * CHOOSE(CONTROL!$C$9, $C$13, 100%, $E$13) + CHOOSE(CONTROL!$C$28, 0.0226, 0)</f>
        <v>38.840999999999994</v>
      </c>
      <c r="C581" s="4">
        <f>38.4551 * CHOOSE(CONTROL!$C$9, $C$13, 100%, $E$13) + CHOOSE(CONTROL!$C$28, 0.0226, 0)</f>
        <v>38.477699999999999</v>
      </c>
      <c r="D581" s="4">
        <f>54.9137 * CHOOSE(CONTROL!$C$9, $C$13, 100%, $E$13) + CHOOSE(CONTROL!$C$28, 0.0021, 0)</f>
        <v>54.915799999999997</v>
      </c>
      <c r="E581" s="4">
        <f>260.710931375601 * CHOOSE(CONTROL!$C$9, $C$13, 100%, $E$13) + CHOOSE(CONTROL!$C$28, 0.0021, 0)</f>
        <v>260.71303137560096</v>
      </c>
    </row>
    <row r="582" spans="1:5" ht="15">
      <c r="A582" s="13">
        <v>58865</v>
      </c>
      <c r="B582" s="4">
        <f>39.7217 * CHOOSE(CONTROL!$C$9, $C$13, 100%, $E$13) + CHOOSE(CONTROL!$C$28, 0.0226, 0)</f>
        <v>39.744299999999996</v>
      </c>
      <c r="C582" s="4">
        <f>39.3585 * CHOOSE(CONTROL!$C$9, $C$13, 100%, $E$13) + CHOOSE(CONTROL!$C$28, 0.0226, 0)</f>
        <v>39.381099999999996</v>
      </c>
      <c r="D582" s="4">
        <f>56.7865 * CHOOSE(CONTROL!$C$9, $C$13, 100%, $E$13) + CHOOSE(CONTROL!$C$28, 0.0021, 0)</f>
        <v>56.788599999999995</v>
      </c>
      <c r="E582" s="4">
        <f>266.901236324629 * CHOOSE(CONTROL!$C$9, $C$13, 100%, $E$13) + CHOOSE(CONTROL!$C$28, 0.0021, 0)</f>
        <v>266.90333632462898</v>
      </c>
    </row>
    <row r="583" spans="1:5" ht="15">
      <c r="A583" s="13">
        <v>58893</v>
      </c>
      <c r="B583" s="4">
        <f>42.0939 * CHOOSE(CONTROL!$C$9, $C$13, 100%, $E$13) + CHOOSE(CONTROL!$C$28, 0.0226, 0)</f>
        <v>42.116499999999995</v>
      </c>
      <c r="C583" s="4">
        <f>41.7307 * CHOOSE(CONTROL!$C$9, $C$13, 100%, $E$13) + CHOOSE(CONTROL!$C$28, 0.0226, 0)</f>
        <v>41.753299999999996</v>
      </c>
      <c r="D583" s="4">
        <f>59.7182 * CHOOSE(CONTROL!$C$9, $C$13, 100%, $E$13) + CHOOSE(CONTROL!$C$28, 0.0021, 0)</f>
        <v>59.720300000000002</v>
      </c>
      <c r="E583" s="4">
        <f>283.157306093559 * CHOOSE(CONTROL!$C$9, $C$13, 100%, $E$13) + CHOOSE(CONTROL!$C$28, 0.0021, 0)</f>
        <v>283.15940609355897</v>
      </c>
    </row>
    <row r="584" spans="1:5" ht="15">
      <c r="A584" s="13">
        <v>58926</v>
      </c>
      <c r="B584" s="4">
        <f>43.7794 * CHOOSE(CONTROL!$C$9, $C$13, 100%, $E$13) + CHOOSE(CONTROL!$C$28, 0.0226, 0)</f>
        <v>43.802</v>
      </c>
      <c r="C584" s="4">
        <f>43.4162 * CHOOSE(CONTROL!$C$9, $C$13, 100%, $E$13) + CHOOSE(CONTROL!$C$28, 0.0226, 0)</f>
        <v>43.438800000000001</v>
      </c>
      <c r="D584" s="4">
        <f>61.4069 * CHOOSE(CONTROL!$C$9, $C$13, 100%, $E$13) + CHOOSE(CONTROL!$C$28, 0.0021, 0)</f>
        <v>61.408999999999999</v>
      </c>
      <c r="E584" s="4">
        <f>294.707460304998 * CHOOSE(CONTROL!$C$9, $C$13, 100%, $E$13) + CHOOSE(CONTROL!$C$28, 0.0021, 0)</f>
        <v>294.70956030499798</v>
      </c>
    </row>
    <row r="585" spans="1:5" ht="15">
      <c r="A585" s="13">
        <v>58957</v>
      </c>
      <c r="B585" s="4">
        <f>44.8092 * CHOOSE(CONTROL!$C$9, $C$13, 100%, $E$13) + CHOOSE(CONTROL!$C$28, 0.0226, 0)</f>
        <v>44.831799999999994</v>
      </c>
      <c r="C585" s="4">
        <f>44.4459 * CHOOSE(CONTROL!$C$9, $C$13, 100%, $E$13) + CHOOSE(CONTROL!$C$28, 0.0226, 0)</f>
        <v>44.468499999999999</v>
      </c>
      <c r="D585" s="4">
        <f>60.7396 * CHOOSE(CONTROL!$C$9, $C$13, 100%, $E$13) + CHOOSE(CONTROL!$C$28, 0.0021, 0)</f>
        <v>60.741700000000002</v>
      </c>
      <c r="E585" s="4">
        <f>301.764327709625 * CHOOSE(CONTROL!$C$9, $C$13, 100%, $E$13) + CHOOSE(CONTROL!$C$28, 0.0021, 0)</f>
        <v>301.76642770962496</v>
      </c>
    </row>
    <row r="586" spans="1:5" ht="15">
      <c r="A586" s="13">
        <v>58987</v>
      </c>
      <c r="B586" s="4">
        <f>44.9486 * CHOOSE(CONTROL!$C$9, $C$13, 100%, $E$13) + CHOOSE(CONTROL!$C$28, 0.0226, 0)</f>
        <v>44.971199999999996</v>
      </c>
      <c r="C586" s="4">
        <f>44.5853 * CHOOSE(CONTROL!$C$9, $C$13, 100%, $E$13) + CHOOSE(CONTROL!$C$28, 0.0226, 0)</f>
        <v>44.607899999999994</v>
      </c>
      <c r="D586" s="4">
        <f>61.2831 * CHOOSE(CONTROL!$C$9, $C$13, 100%, $E$13) + CHOOSE(CONTROL!$C$28, 0.0021, 0)</f>
        <v>61.285199999999996</v>
      </c>
      <c r="E586" s="4">
        <f>302.719151156072 * CHOOSE(CONTROL!$C$9, $C$13, 100%, $E$13) + CHOOSE(CONTROL!$C$28, 0.0021, 0)</f>
        <v>302.72125115607196</v>
      </c>
    </row>
    <row r="587" spans="1:5" ht="15">
      <c r="A587" s="13">
        <v>59018</v>
      </c>
      <c r="B587" s="4">
        <f>44.9345 * CHOOSE(CONTROL!$C$9, $C$13, 100%, $E$13) + CHOOSE(CONTROL!$C$28, 0.0226, 0)</f>
        <v>44.957099999999997</v>
      </c>
      <c r="C587" s="4">
        <f>44.5712 * CHOOSE(CONTROL!$C$9, $C$13, 100%, $E$13) + CHOOSE(CONTROL!$C$28, 0.0226, 0)</f>
        <v>44.593799999999995</v>
      </c>
      <c r="D587" s="4">
        <f>62.2637 * CHOOSE(CONTROL!$C$9, $C$13, 100%, $E$13) + CHOOSE(CONTROL!$C$28, 0.0021, 0)</f>
        <v>62.265799999999999</v>
      </c>
      <c r="E587" s="4">
        <f>302.622866438784 * CHOOSE(CONTROL!$C$9, $C$13, 100%, $E$13) + CHOOSE(CONTROL!$C$28, 0.0021, 0)</f>
        <v>302.62496643878399</v>
      </c>
    </row>
    <row r="588" spans="1:5" ht="15">
      <c r="A588" s="13">
        <v>59049</v>
      </c>
      <c r="B588" s="4">
        <f>45.9918 * CHOOSE(CONTROL!$C$9, $C$13, 100%, $E$13) + CHOOSE(CONTROL!$C$28, 0.0226, 0)</f>
        <v>46.014399999999995</v>
      </c>
      <c r="C588" s="4">
        <f>45.6285 * CHOOSE(CONTROL!$C$9, $C$13, 100%, $E$13) + CHOOSE(CONTROL!$C$28, 0.0226, 0)</f>
        <v>45.6511</v>
      </c>
      <c r="D588" s="4">
        <f>61.6161 * CHOOSE(CONTROL!$C$9, $C$13, 100%, $E$13) + CHOOSE(CONTROL!$C$28, 0.0021, 0)</f>
        <v>61.618200000000002</v>
      </c>
      <c r="E588" s="4">
        <f>309.868291414768 * CHOOSE(CONTROL!$C$9, $C$13, 100%, $E$13) + CHOOSE(CONTROL!$C$28, 0.0021, 0)</f>
        <v>309.87039141476799</v>
      </c>
    </row>
    <row r="589" spans="1:5" ht="15">
      <c r="A589" s="13">
        <v>59079</v>
      </c>
      <c r="B589" s="4">
        <f>44.1898 * CHOOSE(CONTROL!$C$9, $C$13, 100%, $E$13) + CHOOSE(CONTROL!$C$28, 0.0226, 0)</f>
        <v>44.212399999999995</v>
      </c>
      <c r="C589" s="4">
        <f>43.8266 * CHOOSE(CONTROL!$C$9, $C$13, 100%, $E$13) + CHOOSE(CONTROL!$C$28, 0.0226, 0)</f>
        <v>43.849199999999996</v>
      </c>
      <c r="D589" s="4">
        <f>61.3101 * CHOOSE(CONTROL!$C$9, $C$13, 100%, $E$13) + CHOOSE(CONTROL!$C$28, 0.0021, 0)</f>
        <v>61.312199999999997</v>
      </c>
      <c r="E589" s="4">
        <f>297.519776422476 * CHOOSE(CONTROL!$C$9, $C$13, 100%, $E$13) + CHOOSE(CONTROL!$C$28, 0.0021, 0)</f>
        <v>297.521876422476</v>
      </c>
    </row>
    <row r="590" spans="1:5" ht="15">
      <c r="A590" s="13">
        <v>59110</v>
      </c>
      <c r="B590" s="4">
        <f>42.7473 * CHOOSE(CONTROL!$C$9, $C$13, 100%, $E$13) + CHOOSE(CONTROL!$C$28, 0.0226, 0)</f>
        <v>42.7699</v>
      </c>
      <c r="C590" s="4">
        <f>42.384 * CHOOSE(CONTROL!$C$9, $C$13, 100%, $E$13) + CHOOSE(CONTROL!$C$28, 0.0226, 0)</f>
        <v>42.406599999999997</v>
      </c>
      <c r="D590" s="4">
        <f>60.4908 * CHOOSE(CONTROL!$C$9, $C$13, 100%, $E$13) + CHOOSE(CONTROL!$C$28, 0.0021, 0)</f>
        <v>60.492899999999999</v>
      </c>
      <c r="E590" s="4">
        <f>287.63454544749 * CHOOSE(CONTROL!$C$9, $C$13, 100%, $E$13) + CHOOSE(CONTROL!$C$28, 0.0021, 0)</f>
        <v>287.63664544748997</v>
      </c>
    </row>
    <row r="591" spans="1:5" ht="15">
      <c r="A591" s="13">
        <v>59140</v>
      </c>
      <c r="B591" s="4">
        <f>41.8182 * CHOOSE(CONTROL!$C$9, $C$13, 100%, $E$13) + CHOOSE(CONTROL!$C$28, 0.0226, 0)</f>
        <v>41.840799999999994</v>
      </c>
      <c r="C591" s="4">
        <f>41.4549 * CHOOSE(CONTROL!$C$9, $C$13, 100%, $E$13) + CHOOSE(CONTROL!$C$28, 0.0226, 0)</f>
        <v>41.477499999999999</v>
      </c>
      <c r="D591" s="4">
        <f>60.2092 * CHOOSE(CONTROL!$C$9, $C$13, 100%, $E$13) + CHOOSE(CONTROL!$C$28, 0.0021, 0)</f>
        <v>60.211300000000001</v>
      </c>
      <c r="E591" s="4">
        <f>281.267718516766 * CHOOSE(CONTROL!$C$9, $C$13, 100%, $E$13) + CHOOSE(CONTROL!$C$28, 0.0021, 0)</f>
        <v>281.26981851676601</v>
      </c>
    </row>
    <row r="592" spans="1:5" ht="15">
      <c r="A592" s="13">
        <v>59171</v>
      </c>
      <c r="B592" s="4">
        <f>41.1754 * CHOOSE(CONTROL!$C$9, $C$13, 100%, $E$13) + CHOOSE(CONTROL!$C$28, 0.0226, 0)</f>
        <v>41.198</v>
      </c>
      <c r="C592" s="4">
        <f>40.8121 * CHOOSE(CONTROL!$C$9, $C$13, 100%, $E$13) + CHOOSE(CONTROL!$C$28, 0.0226, 0)</f>
        <v>40.834699999999998</v>
      </c>
      <c r="D592" s="4">
        <f>58.1355 * CHOOSE(CONTROL!$C$9, $C$13, 100%, $E$13) + CHOOSE(CONTROL!$C$28, 0.0021, 0)</f>
        <v>58.137599999999999</v>
      </c>
      <c r="E592" s="4">
        <f>276.862692700802 * CHOOSE(CONTROL!$C$9, $C$13, 100%, $E$13) + CHOOSE(CONTROL!$C$28, 0.0021, 0)</f>
        <v>276.86479270080196</v>
      </c>
    </row>
    <row r="593" spans="1:5" ht="15">
      <c r="A593" s="13">
        <v>59202</v>
      </c>
      <c r="B593" s="4">
        <f>39.4167 * CHOOSE(CONTROL!$C$9, $C$13, 100%, $E$13) + CHOOSE(CONTROL!$C$28, 0.0226, 0)</f>
        <v>39.439299999999996</v>
      </c>
      <c r="C593" s="4">
        <f>39.0534 * CHOOSE(CONTROL!$C$9, $C$13, 100%, $E$13) + CHOOSE(CONTROL!$C$28, 0.0226, 0)</f>
        <v>39.076000000000001</v>
      </c>
      <c r="D593" s="4">
        <f>55.8512 * CHOOSE(CONTROL!$C$9, $C$13, 100%, $E$13) + CHOOSE(CONTROL!$C$28, 0.0021, 0)</f>
        <v>55.853299999999997</v>
      </c>
      <c r="E593" s="4">
        <f>265.330236543146 * CHOOSE(CONTROL!$C$9, $C$13, 100%, $E$13) + CHOOSE(CONTROL!$C$28, 0.0021, 0)</f>
        <v>265.33233654314597</v>
      </c>
    </row>
    <row r="594" spans="1:5" ht="15">
      <c r="A594" s="13">
        <v>59230</v>
      </c>
      <c r="B594" s="4">
        <f>40.3342 * CHOOSE(CONTROL!$C$9, $C$13, 100%, $E$13) + CHOOSE(CONTROL!$C$28, 0.0226, 0)</f>
        <v>40.3568</v>
      </c>
      <c r="C594" s="4">
        <f>39.9709 * CHOOSE(CONTROL!$C$9, $C$13, 100%, $E$13) + CHOOSE(CONTROL!$C$28, 0.0226, 0)</f>
        <v>39.993499999999997</v>
      </c>
      <c r="D594" s="4">
        <f>57.7571 * CHOOSE(CONTROL!$C$9, $C$13, 100%, $E$13) + CHOOSE(CONTROL!$C$28, 0.0021, 0)</f>
        <v>57.7592</v>
      </c>
      <c r="E594" s="4">
        <f>271.630222001115 * CHOOSE(CONTROL!$C$9, $C$13, 100%, $E$13) + CHOOSE(CONTROL!$C$28, 0.0021, 0)</f>
        <v>271.63232200111497</v>
      </c>
    </row>
    <row r="595" spans="1:5" ht="15">
      <c r="A595" s="13">
        <v>59261</v>
      </c>
      <c r="B595" s="4">
        <f>42.7437 * CHOOSE(CONTROL!$C$9, $C$13, 100%, $E$13) + CHOOSE(CONTROL!$C$28, 0.0226, 0)</f>
        <v>42.766299999999994</v>
      </c>
      <c r="C595" s="4">
        <f>42.3804 * CHOOSE(CONTROL!$C$9, $C$13, 100%, $E$13) + CHOOSE(CONTROL!$C$28, 0.0226, 0)</f>
        <v>42.402999999999999</v>
      </c>
      <c r="D595" s="4">
        <f>60.7406 * CHOOSE(CONTROL!$C$9, $C$13, 100%, $E$13) + CHOOSE(CONTROL!$C$28, 0.0021, 0)</f>
        <v>60.742699999999999</v>
      </c>
      <c r="E595" s="4">
        <f>288.1743186153 * CHOOSE(CONTROL!$C$9, $C$13, 100%, $E$13) + CHOOSE(CONTROL!$C$28, 0.0021, 0)</f>
        <v>288.17641861530001</v>
      </c>
    </row>
    <row r="596" spans="1:5" ht="15">
      <c r="A596" s="13">
        <v>59291</v>
      </c>
      <c r="B596" s="4">
        <f>44.4557 * CHOOSE(CONTROL!$C$9, $C$13, 100%, $E$13) + CHOOSE(CONTROL!$C$28, 0.0226, 0)</f>
        <v>44.478299999999997</v>
      </c>
      <c r="C596" s="4">
        <f>44.0924 * CHOOSE(CONTROL!$C$9, $C$13, 100%, $E$13) + CHOOSE(CONTROL!$C$28, 0.0226, 0)</f>
        <v>44.114999999999995</v>
      </c>
      <c r="D596" s="4">
        <f>62.4591 * CHOOSE(CONTROL!$C$9, $C$13, 100%, $E$13) + CHOOSE(CONTROL!$C$28, 0.0021, 0)</f>
        <v>62.461199999999998</v>
      </c>
      <c r="E596" s="4">
        <f>299.929119738755 * CHOOSE(CONTROL!$C$9, $C$13, 100%, $E$13) + CHOOSE(CONTROL!$C$28, 0.0021, 0)</f>
        <v>299.93121973875498</v>
      </c>
    </row>
    <row r="597" spans="1:5" ht="15">
      <c r="A597" s="13">
        <v>59322</v>
      </c>
      <c r="B597" s="4">
        <f>45.5017 * CHOOSE(CONTROL!$C$9, $C$13, 100%, $E$13) + CHOOSE(CONTROL!$C$28, 0.0226, 0)</f>
        <v>45.524299999999997</v>
      </c>
      <c r="C597" s="4">
        <f>45.1384 * CHOOSE(CONTROL!$C$9, $C$13, 100%, $E$13) + CHOOSE(CONTROL!$C$28, 0.0226, 0)</f>
        <v>45.160999999999994</v>
      </c>
      <c r="D597" s="4">
        <f>61.78 * CHOOSE(CONTROL!$C$9, $C$13, 100%, $E$13) + CHOOSE(CONTROL!$C$28, 0.0021, 0)</f>
        <v>61.7821</v>
      </c>
      <c r="E597" s="4">
        <f>307.111021501921 * CHOOSE(CONTROL!$C$9, $C$13, 100%, $E$13) + CHOOSE(CONTROL!$C$28, 0.0021, 0)</f>
        <v>307.113121501921</v>
      </c>
    </row>
    <row r="598" spans="1:5" ht="15">
      <c r="A598" s="13">
        <v>59352</v>
      </c>
      <c r="B598" s="4">
        <f>45.6432 * CHOOSE(CONTROL!$C$9, $C$13, 100%, $E$13) + CHOOSE(CONTROL!$C$28, 0.0226, 0)</f>
        <v>45.665799999999997</v>
      </c>
      <c r="C598" s="4">
        <f>45.2799 * CHOOSE(CONTROL!$C$9, $C$13, 100%, $E$13) + CHOOSE(CONTROL!$C$28, 0.0226, 0)</f>
        <v>45.302499999999995</v>
      </c>
      <c r="D598" s="4">
        <f>62.3331 * CHOOSE(CONTROL!$C$9, $C$13, 100%, $E$13) + CHOOSE(CONTROL!$C$28, 0.0021, 0)</f>
        <v>62.3352</v>
      </c>
      <c r="E598" s="4">
        <f>308.082762615983 * CHOOSE(CONTROL!$C$9, $C$13, 100%, $E$13) + CHOOSE(CONTROL!$C$28, 0.0021, 0)</f>
        <v>308.08486261598296</v>
      </c>
    </row>
    <row r="599" spans="1:5" ht="15">
      <c r="A599" s="13">
        <v>59383</v>
      </c>
      <c r="B599" s="4">
        <f>45.6289 * CHOOSE(CONTROL!$C$9, $C$13, 100%, $E$13) + CHOOSE(CONTROL!$C$28, 0.0226, 0)</f>
        <v>45.651499999999999</v>
      </c>
      <c r="C599" s="4">
        <f>45.2657 * CHOOSE(CONTROL!$C$9, $C$13, 100%, $E$13) + CHOOSE(CONTROL!$C$28, 0.0226, 0)</f>
        <v>45.2883</v>
      </c>
      <c r="D599" s="4">
        <f>63.3311 * CHOOSE(CONTROL!$C$9, $C$13, 100%, $E$13) + CHOOSE(CONTROL!$C$28, 0.0021, 0)</f>
        <v>63.333199999999998</v>
      </c>
      <c r="E599" s="4">
        <f>307.984771915405 * CHOOSE(CONTROL!$C$9, $C$13, 100%, $E$13) + CHOOSE(CONTROL!$C$28, 0.0021, 0)</f>
        <v>307.986871915405</v>
      </c>
    </row>
    <row r="600" spans="1:5" ht="15">
      <c r="A600" s="13">
        <v>59414</v>
      </c>
      <c r="B600" s="4">
        <f>46.7029 * CHOOSE(CONTROL!$C$9, $C$13, 100%, $E$13) + CHOOSE(CONTROL!$C$28, 0.0226, 0)</f>
        <v>46.725499999999997</v>
      </c>
      <c r="C600" s="4">
        <f>46.3396 * CHOOSE(CONTROL!$C$9, $C$13, 100%, $E$13) + CHOOSE(CONTROL!$C$28, 0.0226, 0)</f>
        <v>46.362199999999994</v>
      </c>
      <c r="D600" s="4">
        <f>62.672 * CHOOSE(CONTROL!$C$9, $C$13, 100%, $E$13) + CHOOSE(CONTROL!$C$28, 0.0021, 0)</f>
        <v>62.674099999999996</v>
      </c>
      <c r="E600" s="4">
        <f>315.35857213387 * CHOOSE(CONTROL!$C$9, $C$13, 100%, $E$13) + CHOOSE(CONTROL!$C$28, 0.0021, 0)</f>
        <v>315.36067213386997</v>
      </c>
    </row>
    <row r="601" spans="1:5" ht="15">
      <c r="A601" s="13">
        <v>59444</v>
      </c>
      <c r="B601" s="4">
        <f>44.8726 * CHOOSE(CONTROL!$C$9, $C$13, 100%, $E$13) + CHOOSE(CONTROL!$C$28, 0.0226, 0)</f>
        <v>44.895199999999996</v>
      </c>
      <c r="C601" s="4">
        <f>44.5093 * CHOOSE(CONTROL!$C$9, $C$13, 100%, $E$13) + CHOOSE(CONTROL!$C$28, 0.0226, 0)</f>
        <v>44.5319</v>
      </c>
      <c r="D601" s="4">
        <f>62.3606 * CHOOSE(CONTROL!$C$9, $C$13, 100%, $E$13) + CHOOSE(CONTROL!$C$28, 0.0021, 0)</f>
        <v>62.362699999999997</v>
      </c>
      <c r="E601" s="4">
        <f>302.791264784792 * CHOOSE(CONTROL!$C$9, $C$13, 100%, $E$13) + CHOOSE(CONTROL!$C$28, 0.0021, 0)</f>
        <v>302.793364784792</v>
      </c>
    </row>
    <row r="602" spans="1:5" ht="15">
      <c r="A602" s="13">
        <v>59475</v>
      </c>
      <c r="B602" s="4">
        <f>43.4073 * CHOOSE(CONTROL!$C$9, $C$13, 100%, $E$13) + CHOOSE(CONTROL!$C$28, 0.0226, 0)</f>
        <v>43.429899999999996</v>
      </c>
      <c r="C602" s="4">
        <f>43.0441 * CHOOSE(CONTROL!$C$9, $C$13, 100%, $E$13) + CHOOSE(CONTROL!$C$28, 0.0226, 0)</f>
        <v>43.066699999999997</v>
      </c>
      <c r="D602" s="4">
        <f>61.5269 * CHOOSE(CONTROL!$C$9, $C$13, 100%, $E$13) + CHOOSE(CONTROL!$C$28, 0.0021, 0)</f>
        <v>61.528999999999996</v>
      </c>
      <c r="E602" s="4">
        <f>292.730886192158 * CHOOSE(CONTROL!$C$9, $C$13, 100%, $E$13) + CHOOSE(CONTROL!$C$28, 0.0021, 0)</f>
        <v>292.73298619215797</v>
      </c>
    </row>
    <row r="603" spans="1:5" ht="15">
      <c r="A603" s="13">
        <v>59505</v>
      </c>
      <c r="B603" s="4">
        <f>42.4636 * CHOOSE(CONTROL!$C$9, $C$13, 100%, $E$13) + CHOOSE(CONTROL!$C$28, 0.0226, 0)</f>
        <v>42.486199999999997</v>
      </c>
      <c r="C603" s="4">
        <f>42.1003 * CHOOSE(CONTROL!$C$9, $C$13, 100%, $E$13) + CHOOSE(CONTROL!$C$28, 0.0226, 0)</f>
        <v>42.122899999999994</v>
      </c>
      <c r="D603" s="4">
        <f>61.2402 * CHOOSE(CONTROL!$C$9, $C$13, 100%, $E$13) + CHOOSE(CONTROL!$C$28, 0.0021, 0)</f>
        <v>61.2423</v>
      </c>
      <c r="E603" s="4">
        <f>286.251251116464 * CHOOSE(CONTROL!$C$9, $C$13, 100%, $E$13) + CHOOSE(CONTROL!$C$28, 0.0021, 0)</f>
        <v>286.25335111646399</v>
      </c>
    </row>
    <row r="604" spans="1:5" ht="15">
      <c r="A604" s="13">
        <v>59536</v>
      </c>
      <c r="B604" s="4">
        <f>41.8107 * CHOOSE(CONTROL!$C$9, $C$13, 100%, $E$13) + CHOOSE(CONTROL!$C$28, 0.0226, 0)</f>
        <v>41.833299999999994</v>
      </c>
      <c r="C604" s="4">
        <f>41.4474 * CHOOSE(CONTROL!$C$9, $C$13, 100%, $E$13) + CHOOSE(CONTROL!$C$28, 0.0226, 0)</f>
        <v>41.47</v>
      </c>
      <c r="D604" s="4">
        <f>59.13 * CHOOSE(CONTROL!$C$9, $C$13, 100%, $E$13) + CHOOSE(CONTROL!$C$28, 0.0021, 0)</f>
        <v>59.132100000000001</v>
      </c>
      <c r="E604" s="4">
        <f>281.768176565039 * CHOOSE(CONTROL!$C$9, $C$13, 100%, $E$13) + CHOOSE(CONTROL!$C$28, 0.0021, 0)</f>
        <v>281.77027656503901</v>
      </c>
    </row>
    <row r="605" spans="1:5" ht="15">
      <c r="A605" s="13">
        <v>59567</v>
      </c>
      <c r="B605" s="4">
        <f>40.0243 * CHOOSE(CONTROL!$C$9, $C$13, 100%, $E$13) + CHOOSE(CONTROL!$C$28, 0.0226, 0)</f>
        <v>40.046899999999994</v>
      </c>
      <c r="C605" s="4">
        <f>39.661 * CHOOSE(CONTROL!$C$9, $C$13, 100%, $E$13) + CHOOSE(CONTROL!$C$28, 0.0226, 0)</f>
        <v>39.683599999999998</v>
      </c>
      <c r="D605" s="4">
        <f>56.8053 * CHOOSE(CONTROL!$C$9, $C$13, 100%, $E$13) + CHOOSE(CONTROL!$C$28, 0.0021, 0)</f>
        <v>56.807400000000001</v>
      </c>
      <c r="E605" s="4">
        <f>270.031387071445 * CHOOSE(CONTROL!$C$9, $C$13, 100%, $E$13) + CHOOSE(CONTROL!$C$28, 0.0021, 0)</f>
        <v>270.03348707144499</v>
      </c>
    </row>
    <row r="606" spans="1:5" ht="15">
      <c r="A606" s="13">
        <v>59595</v>
      </c>
      <c r="B606" s="4">
        <f>40.9563 * CHOOSE(CONTROL!$C$9, $C$13, 100%, $E$13) + CHOOSE(CONTROL!$C$28, 0.0226, 0)</f>
        <v>40.978899999999996</v>
      </c>
      <c r="C606" s="4">
        <f>40.593 * CHOOSE(CONTROL!$C$9, $C$13, 100%, $E$13) + CHOOSE(CONTROL!$C$28, 0.0226, 0)</f>
        <v>40.615600000000001</v>
      </c>
      <c r="D606" s="4">
        <f>58.7448 * CHOOSE(CONTROL!$C$9, $C$13, 100%, $E$13) + CHOOSE(CONTROL!$C$28, 0.0021, 0)</f>
        <v>58.746899999999997</v>
      </c>
      <c r="E606" s="4">
        <f>276.442996369763 * CHOOSE(CONTROL!$C$9, $C$13, 100%, $E$13) + CHOOSE(CONTROL!$C$28, 0.0021, 0)</f>
        <v>276.44509636976301</v>
      </c>
    </row>
    <row r="607" spans="1:5" ht="15">
      <c r="A607" s="13">
        <v>59626</v>
      </c>
      <c r="B607" s="4">
        <f>43.4037 * CHOOSE(CONTROL!$C$9, $C$13, 100%, $E$13) + CHOOSE(CONTROL!$C$28, 0.0226, 0)</f>
        <v>43.426299999999998</v>
      </c>
      <c r="C607" s="4">
        <f>43.0404 * CHOOSE(CONTROL!$C$9, $C$13, 100%, $E$13) + CHOOSE(CONTROL!$C$28, 0.0226, 0)</f>
        <v>43.062999999999995</v>
      </c>
      <c r="D607" s="4">
        <f>61.781 * CHOOSE(CONTROL!$C$9, $C$13, 100%, $E$13) + CHOOSE(CONTROL!$C$28, 0.0021, 0)</f>
        <v>61.783099999999997</v>
      </c>
      <c r="E607" s="4">
        <f>293.28022312076 * CHOOSE(CONTROL!$C$9, $C$13, 100%, $E$13) + CHOOSE(CONTROL!$C$28, 0.0021, 0)</f>
        <v>293.28232312076</v>
      </c>
    </row>
    <row r="608" spans="1:5" ht="15">
      <c r="A608" s="13">
        <v>59656</v>
      </c>
      <c r="B608" s="4">
        <f>45.1426 * CHOOSE(CONTROL!$C$9, $C$13, 100%, $E$13) + CHOOSE(CONTROL!$C$28, 0.0226, 0)</f>
        <v>45.165199999999999</v>
      </c>
      <c r="C608" s="4">
        <f>44.7793 * CHOOSE(CONTROL!$C$9, $C$13, 100%, $E$13) + CHOOSE(CONTROL!$C$28, 0.0226, 0)</f>
        <v>44.801899999999996</v>
      </c>
      <c r="D608" s="4">
        <f>63.53 * CHOOSE(CONTROL!$C$9, $C$13, 100%, $E$13) + CHOOSE(CONTROL!$C$28, 0.0021, 0)</f>
        <v>63.5321</v>
      </c>
      <c r="E608" s="4">
        <f>305.243297112892 * CHOOSE(CONTROL!$C$9, $C$13, 100%, $E$13) + CHOOSE(CONTROL!$C$28, 0.0021, 0)</f>
        <v>305.24539711289196</v>
      </c>
    </row>
    <row r="609" spans="1:5" ht="15">
      <c r="A609" s="13">
        <v>59687</v>
      </c>
      <c r="B609" s="4">
        <f>46.205 * CHOOSE(CONTROL!$C$9, $C$13, 100%, $E$13) + CHOOSE(CONTROL!$C$28, 0.0226, 0)</f>
        <v>46.227599999999995</v>
      </c>
      <c r="C609" s="4">
        <f>45.8418 * CHOOSE(CONTROL!$C$9, $C$13, 100%, $E$13) + CHOOSE(CONTROL!$C$28, 0.0226, 0)</f>
        <v>45.864399999999996</v>
      </c>
      <c r="D609" s="4">
        <f>62.8389 * CHOOSE(CONTROL!$C$9, $C$13, 100%, $E$13) + CHOOSE(CONTROL!$C$28, 0.0021, 0)</f>
        <v>62.841000000000001</v>
      </c>
      <c r="E609" s="4">
        <f>312.552448607216 * CHOOSE(CONTROL!$C$9, $C$13, 100%, $E$13) + CHOOSE(CONTROL!$C$28, 0.0021, 0)</f>
        <v>312.55454860721596</v>
      </c>
    </row>
    <row r="610" spans="1:5" ht="15">
      <c r="A610" s="13">
        <v>59717</v>
      </c>
      <c r="B610" s="4">
        <f>46.3488 * CHOOSE(CONTROL!$C$9, $C$13, 100%, $E$13) + CHOOSE(CONTROL!$C$28, 0.0226, 0)</f>
        <v>46.371399999999994</v>
      </c>
      <c r="C610" s="4">
        <f>45.9855 * CHOOSE(CONTROL!$C$9, $C$13, 100%, $E$13) + CHOOSE(CONTROL!$C$28, 0.0226, 0)</f>
        <v>46.008099999999999</v>
      </c>
      <c r="D610" s="4">
        <f>63.4017 * CHOOSE(CONTROL!$C$9, $C$13, 100%, $E$13) + CHOOSE(CONTROL!$C$28, 0.0021, 0)</f>
        <v>63.403799999999997</v>
      </c>
      <c r="E610" s="4">
        <f>313.541407138 * CHOOSE(CONTROL!$C$9, $C$13, 100%, $E$13) + CHOOSE(CONTROL!$C$28, 0.0021, 0)</f>
        <v>313.543507138</v>
      </c>
    </row>
    <row r="611" spans="1:5" ht="15">
      <c r="A611" s="13">
        <v>59748</v>
      </c>
      <c r="B611" s="4">
        <f>46.3343 * CHOOSE(CONTROL!$C$9, $C$13, 100%, $E$13) + CHOOSE(CONTROL!$C$28, 0.0226, 0)</f>
        <v>46.356899999999996</v>
      </c>
      <c r="C611" s="4">
        <f>45.971 * CHOOSE(CONTROL!$C$9, $C$13, 100%, $E$13) + CHOOSE(CONTROL!$C$28, 0.0226, 0)</f>
        <v>45.993599999999994</v>
      </c>
      <c r="D611" s="4">
        <f>64.4173 * CHOOSE(CONTROL!$C$9, $C$13, 100%, $E$13) + CHOOSE(CONTROL!$C$28, 0.0021, 0)</f>
        <v>64.419399999999996</v>
      </c>
      <c r="E611" s="4">
        <f>313.441680227333 * CHOOSE(CONTROL!$C$9, $C$13, 100%, $E$13) + CHOOSE(CONTROL!$C$28, 0.0021, 0)</f>
        <v>313.44378022733298</v>
      </c>
    </row>
    <row r="612" spans="1:5" ht="15">
      <c r="A612" s="13">
        <v>59779</v>
      </c>
      <c r="B612" s="4">
        <f>47.4251 * CHOOSE(CONTROL!$C$9, $C$13, 100%, $E$13) + CHOOSE(CONTROL!$C$28, 0.0226, 0)</f>
        <v>47.447699999999998</v>
      </c>
      <c r="C612" s="4">
        <f>47.0618 * CHOOSE(CONTROL!$C$9, $C$13, 100%, $E$13) + CHOOSE(CONTROL!$C$28, 0.0226, 0)</f>
        <v>47.084399999999995</v>
      </c>
      <c r="D612" s="4">
        <f>63.7466 * CHOOSE(CONTROL!$C$9, $C$13, 100%, $E$13) + CHOOSE(CONTROL!$C$28, 0.0021, 0)</f>
        <v>63.748699999999999</v>
      </c>
      <c r="E612" s="4">
        <f>320.946130255047 * CHOOSE(CONTROL!$C$9, $C$13, 100%, $E$13) + CHOOSE(CONTROL!$C$28, 0.0021, 0)</f>
        <v>320.94823025504701</v>
      </c>
    </row>
    <row r="613" spans="1:5" ht="15">
      <c r="A613" s="13">
        <v>59809</v>
      </c>
      <c r="B613" s="4">
        <f>45.566 * CHOOSE(CONTROL!$C$9, $C$13, 100%, $E$13) + CHOOSE(CONTROL!$C$28, 0.0226, 0)</f>
        <v>45.5886</v>
      </c>
      <c r="C613" s="4">
        <f>45.2027 * CHOOSE(CONTROL!$C$9, $C$13, 100%, $E$13) + CHOOSE(CONTROL!$C$28, 0.0226, 0)</f>
        <v>45.225299999999997</v>
      </c>
      <c r="D613" s="4">
        <f>63.4297 * CHOOSE(CONTROL!$C$9, $C$13, 100%, $E$13) + CHOOSE(CONTROL!$C$28, 0.0021, 0)</f>
        <v>63.431799999999996</v>
      </c>
      <c r="E613" s="4">
        <f>308.156153961966 * CHOOSE(CONTROL!$C$9, $C$13, 100%, $E$13) + CHOOSE(CONTROL!$C$28, 0.0021, 0)</f>
        <v>308.15825396196601</v>
      </c>
    </row>
    <row r="614" spans="1:5" ht="15">
      <c r="A614" s="13">
        <v>59840</v>
      </c>
      <c r="B614" s="4">
        <f>44.0778 * CHOOSE(CONTROL!$C$9, $C$13, 100%, $E$13) + CHOOSE(CONTROL!$C$28, 0.0226, 0)</f>
        <v>44.1004</v>
      </c>
      <c r="C614" s="4">
        <f>43.7145 * CHOOSE(CONTROL!$C$9, $C$13, 100%, $E$13) + CHOOSE(CONTROL!$C$28, 0.0226, 0)</f>
        <v>43.737099999999998</v>
      </c>
      <c r="D614" s="4">
        <f>62.5812 * CHOOSE(CONTROL!$C$9, $C$13, 100%, $E$13) + CHOOSE(CONTROL!$C$28, 0.0021, 0)</f>
        <v>62.583300000000001</v>
      </c>
      <c r="E614" s="4">
        <f>297.917524466789 * CHOOSE(CONTROL!$C$9, $C$13, 100%, $E$13) + CHOOSE(CONTROL!$C$28, 0.0021, 0)</f>
        <v>297.919624466789</v>
      </c>
    </row>
    <row r="615" spans="1:5" ht="15">
      <c r="A615" s="13">
        <v>59870</v>
      </c>
      <c r="B615" s="4">
        <f>43.1192 * CHOOSE(CONTROL!$C$9, $C$13, 100%, $E$13) + CHOOSE(CONTROL!$C$28, 0.0226, 0)</f>
        <v>43.141799999999996</v>
      </c>
      <c r="C615" s="4">
        <f>42.7559 * CHOOSE(CONTROL!$C$9, $C$13, 100%, $E$13) + CHOOSE(CONTROL!$C$28, 0.0226, 0)</f>
        <v>42.778499999999994</v>
      </c>
      <c r="D615" s="4">
        <f>62.2895 * CHOOSE(CONTROL!$C$9, $C$13, 100%, $E$13) + CHOOSE(CONTROL!$C$28, 0.0021, 0)</f>
        <v>62.291599999999995</v>
      </c>
      <c r="E615" s="4">
        <f>291.323082498914 * CHOOSE(CONTROL!$C$9, $C$13, 100%, $E$13) + CHOOSE(CONTROL!$C$28, 0.0021, 0)</f>
        <v>291.32518249891399</v>
      </c>
    </row>
    <row r="616" spans="1:5" ht="15">
      <c r="A616" s="13">
        <v>59901</v>
      </c>
      <c r="B616" s="4">
        <f>42.456 * CHOOSE(CONTROL!$C$9, $C$13, 100%, $E$13) + CHOOSE(CONTROL!$C$28, 0.0226, 0)</f>
        <v>42.4786</v>
      </c>
      <c r="C616" s="4">
        <f>42.0927 * CHOOSE(CONTROL!$C$9, $C$13, 100%, $E$13) + CHOOSE(CONTROL!$C$28, 0.0226, 0)</f>
        <v>42.115299999999998</v>
      </c>
      <c r="D616" s="4">
        <f>60.142 * CHOOSE(CONTROL!$C$9, $C$13, 100%, $E$13) + CHOOSE(CONTROL!$C$28, 0.0021, 0)</f>
        <v>60.144100000000002</v>
      </c>
      <c r="E616" s="4">
        <f>286.760576335885 * CHOOSE(CONTROL!$C$9, $C$13, 100%, $E$13) + CHOOSE(CONTROL!$C$28, 0.0021, 0)</f>
        <v>286.76267633588498</v>
      </c>
    </row>
    <row r="617" spans="1:5" ht="15">
      <c r="A617" s="13">
        <v>59932</v>
      </c>
      <c r="B617" s="4">
        <f>40.6415 * CHOOSE(CONTROL!$C$9, $C$13, 100%, $E$13) + CHOOSE(CONTROL!$C$28, 0.0226, 0)</f>
        <v>40.664099999999998</v>
      </c>
      <c r="C617" s="4">
        <f>40.2783 * CHOOSE(CONTROL!$C$9, $C$13, 100%, $E$13) + CHOOSE(CONTROL!$C$28, 0.0226, 0)</f>
        <v>40.300899999999999</v>
      </c>
      <c r="D617" s="4">
        <f>57.7763 * CHOOSE(CONTROL!$C$9, $C$13, 100%, $E$13) + CHOOSE(CONTROL!$C$28, 0.0021, 0)</f>
        <v>57.778399999999998</v>
      </c>
      <c r="E617" s="4">
        <f>274.815833105667 * CHOOSE(CONTROL!$C$9, $C$13, 100%, $E$13) + CHOOSE(CONTROL!$C$28, 0.0021, 0)</f>
        <v>274.81793310566701</v>
      </c>
    </row>
    <row r="618" spans="1:5" ht="15">
      <c r="A618" s="13">
        <v>59961</v>
      </c>
      <c r="B618" s="4">
        <f>41.5882 * CHOOSE(CONTROL!$C$9, $C$13, 100%, $E$13) + CHOOSE(CONTROL!$C$28, 0.0226, 0)</f>
        <v>41.610799999999998</v>
      </c>
      <c r="C618" s="4">
        <f>41.2249 * CHOOSE(CONTROL!$C$9, $C$13, 100%, $E$13) + CHOOSE(CONTROL!$C$28, 0.0226, 0)</f>
        <v>41.247499999999995</v>
      </c>
      <c r="D618" s="4">
        <f>59.75 * CHOOSE(CONTROL!$C$9, $C$13, 100%, $E$13) + CHOOSE(CONTROL!$C$28, 0.0021, 0)</f>
        <v>59.752099999999999</v>
      </c>
      <c r="E618" s="4">
        <f>281.341044007907 * CHOOSE(CONTROL!$C$9, $C$13, 100%, $E$13) + CHOOSE(CONTROL!$C$28, 0.0021, 0)</f>
        <v>281.34314400790697</v>
      </c>
    </row>
    <row r="619" spans="1:5" ht="15">
      <c r="A619" s="13">
        <v>59992</v>
      </c>
      <c r="B619" s="4">
        <f>44.074 * CHOOSE(CONTROL!$C$9, $C$13, 100%, $E$13) + CHOOSE(CONTROL!$C$28, 0.0226, 0)</f>
        <v>44.096599999999995</v>
      </c>
      <c r="C619" s="4">
        <f>43.7108 * CHOOSE(CONTROL!$C$9, $C$13, 100%, $E$13) + CHOOSE(CONTROL!$C$28, 0.0226, 0)</f>
        <v>43.733399999999996</v>
      </c>
      <c r="D619" s="4">
        <f>62.8399 * CHOOSE(CONTROL!$C$9, $C$13, 100%, $E$13) + CHOOSE(CONTROL!$C$28, 0.0021, 0)</f>
        <v>62.841999999999999</v>
      </c>
      <c r="E619" s="4">
        <f>298.476594607955 * CHOOSE(CONTROL!$C$9, $C$13, 100%, $E$13) + CHOOSE(CONTROL!$C$28, 0.0021, 0)</f>
        <v>298.47869460795499</v>
      </c>
    </row>
    <row r="620" spans="1:5" ht="15">
      <c r="A620" s="13">
        <v>60022</v>
      </c>
      <c r="B620" s="4">
        <f>45.8403 * CHOOSE(CONTROL!$C$9, $C$13, 100%, $E$13) + CHOOSE(CONTROL!$C$28, 0.0226, 0)</f>
        <v>45.862899999999996</v>
      </c>
      <c r="C620" s="4">
        <f>45.477 * CHOOSE(CONTROL!$C$9, $C$13, 100%, $E$13) + CHOOSE(CONTROL!$C$28, 0.0226, 0)</f>
        <v>45.499599999999994</v>
      </c>
      <c r="D620" s="4">
        <f>64.6197 * CHOOSE(CONTROL!$C$9, $C$13, 100%, $E$13) + CHOOSE(CONTROL!$C$28, 0.0021, 0)</f>
        <v>64.621799999999993</v>
      </c>
      <c r="E620" s="4">
        <f>310.651631670527 * CHOOSE(CONTROL!$C$9, $C$13, 100%, $E$13) + CHOOSE(CONTROL!$C$28, 0.0021, 0)</f>
        <v>310.65373167052701</v>
      </c>
    </row>
    <row r="621" spans="1:5" ht="15">
      <c r="A621" s="13">
        <v>60053</v>
      </c>
      <c r="B621" s="4">
        <f>46.9194 * CHOOSE(CONTROL!$C$9, $C$13, 100%, $E$13) + CHOOSE(CONTROL!$C$28, 0.0226, 0)</f>
        <v>46.942</v>
      </c>
      <c r="C621" s="4">
        <f>46.5562 * CHOOSE(CONTROL!$C$9, $C$13, 100%, $E$13) + CHOOSE(CONTROL!$C$28, 0.0226, 0)</f>
        <v>46.578799999999994</v>
      </c>
      <c r="D621" s="4">
        <f>63.9164 * CHOOSE(CONTROL!$C$9, $C$13, 100%, $E$13) + CHOOSE(CONTROL!$C$28, 0.0021, 0)</f>
        <v>63.918500000000002</v>
      </c>
      <c r="E621" s="4">
        <f>318.090287520844 * CHOOSE(CONTROL!$C$9, $C$13, 100%, $E$13) + CHOOSE(CONTROL!$C$28, 0.0021, 0)</f>
        <v>318.092387520844</v>
      </c>
    </row>
    <row r="622" spans="1:5" ht="15">
      <c r="A622" s="13">
        <v>60083</v>
      </c>
      <c r="B622" s="4">
        <f>47.0655 * CHOOSE(CONTROL!$C$9, $C$13, 100%, $E$13) + CHOOSE(CONTROL!$C$28, 0.0226, 0)</f>
        <v>47.088099999999997</v>
      </c>
      <c r="C622" s="4">
        <f>46.7022 * CHOOSE(CONTROL!$C$9, $C$13, 100%, $E$13) + CHOOSE(CONTROL!$C$28, 0.0226, 0)</f>
        <v>46.724799999999995</v>
      </c>
      <c r="D622" s="4">
        <f>64.4892 * CHOOSE(CONTROL!$C$9, $C$13, 100%, $E$13) + CHOOSE(CONTROL!$C$28, 0.0021, 0)</f>
        <v>64.491299999999995</v>
      </c>
      <c r="E622" s="4">
        <f>319.096768528448 * CHOOSE(CONTROL!$C$9, $C$13, 100%, $E$13) + CHOOSE(CONTROL!$C$28, 0.0021, 0)</f>
        <v>319.09886852844801</v>
      </c>
    </row>
    <row r="623" spans="1:5" ht="15">
      <c r="A623" s="13">
        <v>60114</v>
      </c>
      <c r="B623" s="4">
        <f>47.0507 * CHOOSE(CONTROL!$C$9, $C$13, 100%, $E$13) + CHOOSE(CONTROL!$C$28, 0.0226, 0)</f>
        <v>47.073299999999996</v>
      </c>
      <c r="C623" s="4">
        <f>46.6875 * CHOOSE(CONTROL!$C$9, $C$13, 100%, $E$13) + CHOOSE(CONTROL!$C$28, 0.0226, 0)</f>
        <v>46.710099999999997</v>
      </c>
      <c r="D623" s="4">
        <f>65.5227 * CHOOSE(CONTROL!$C$9, $C$13, 100%, $E$13) + CHOOSE(CONTROL!$C$28, 0.0021, 0)</f>
        <v>65.524799999999999</v>
      </c>
      <c r="E623" s="4">
        <f>318.995274645329 * CHOOSE(CONTROL!$C$9, $C$13, 100%, $E$13) + CHOOSE(CONTROL!$C$28, 0.0021, 0)</f>
        <v>318.99737464532899</v>
      </c>
    </row>
    <row r="624" spans="1:5" ht="15">
      <c r="A624" s="13">
        <v>60145</v>
      </c>
      <c r="B624" s="4">
        <f>48.1587 * CHOOSE(CONTROL!$C$9, $C$13, 100%, $E$13) + CHOOSE(CONTROL!$C$28, 0.0226, 0)</f>
        <v>48.1813</v>
      </c>
      <c r="C624" s="4">
        <f>47.7954 * CHOOSE(CONTROL!$C$9, $C$13, 100%, $E$13) + CHOOSE(CONTROL!$C$28, 0.0226, 0)</f>
        <v>47.817999999999998</v>
      </c>
      <c r="D624" s="4">
        <f>64.8402 * CHOOSE(CONTROL!$C$9, $C$13, 100%, $E$13) + CHOOSE(CONTROL!$C$28, 0.0021, 0)</f>
        <v>64.842299999999994</v>
      </c>
      <c r="E624" s="4">
        <f>326.632689350089 * CHOOSE(CONTROL!$C$9, $C$13, 100%, $E$13) + CHOOSE(CONTROL!$C$28, 0.0021, 0)</f>
        <v>326.63478935008897</v>
      </c>
    </row>
    <row r="625" spans="1:5" ht="15">
      <c r="A625" s="13">
        <v>60175</v>
      </c>
      <c r="B625" s="4">
        <f>46.2704 * CHOOSE(CONTROL!$C$9, $C$13, 100%, $E$13) + CHOOSE(CONTROL!$C$28, 0.0226, 0)</f>
        <v>46.292999999999999</v>
      </c>
      <c r="C625" s="4">
        <f>45.9071 * CHOOSE(CONTROL!$C$9, $C$13, 100%, $E$13) + CHOOSE(CONTROL!$C$28, 0.0226, 0)</f>
        <v>45.929699999999997</v>
      </c>
      <c r="D625" s="4">
        <f>64.5177 * CHOOSE(CONTROL!$C$9, $C$13, 100%, $E$13) + CHOOSE(CONTROL!$C$28, 0.0021, 0)</f>
        <v>64.519800000000004</v>
      </c>
      <c r="E625" s="4">
        <f>313.616098839983 * CHOOSE(CONTROL!$C$9, $C$13, 100%, $E$13) + CHOOSE(CONTROL!$C$28, 0.0021, 0)</f>
        <v>313.61819883998299</v>
      </c>
    </row>
    <row r="626" spans="1:5" ht="15">
      <c r="A626" s="13">
        <v>60206</v>
      </c>
      <c r="B626" s="4">
        <f>44.7587 * CHOOSE(CONTROL!$C$9, $C$13, 100%, $E$13) + CHOOSE(CONTROL!$C$28, 0.0226, 0)</f>
        <v>44.781299999999995</v>
      </c>
      <c r="C626" s="4">
        <f>44.3954 * CHOOSE(CONTROL!$C$9, $C$13, 100%, $E$13) + CHOOSE(CONTROL!$C$28, 0.0226, 0)</f>
        <v>44.417999999999999</v>
      </c>
      <c r="D626" s="4">
        <f>63.6542 * CHOOSE(CONTROL!$C$9, $C$13, 100%, $E$13) + CHOOSE(CONTROL!$C$28, 0.0021, 0)</f>
        <v>63.656300000000002</v>
      </c>
      <c r="E626" s="4">
        <f>303.196060173023 * CHOOSE(CONTROL!$C$9, $C$13, 100%, $E$13) + CHOOSE(CONTROL!$C$28, 0.0021, 0)</f>
        <v>303.19816017302298</v>
      </c>
    </row>
    <row r="627" spans="1:5" ht="15">
      <c r="A627" s="13">
        <v>60236</v>
      </c>
      <c r="B627" s="4">
        <f>43.7851 * CHOOSE(CONTROL!$C$9, $C$13, 100%, $E$13) + CHOOSE(CONTROL!$C$28, 0.0226, 0)</f>
        <v>43.807699999999997</v>
      </c>
      <c r="C627" s="4">
        <f>43.4218 * CHOOSE(CONTROL!$C$9, $C$13, 100%, $E$13) + CHOOSE(CONTROL!$C$28, 0.0226, 0)</f>
        <v>43.444399999999995</v>
      </c>
      <c r="D627" s="4">
        <f>63.3574 * CHOOSE(CONTROL!$C$9, $C$13, 100%, $E$13) + CHOOSE(CONTROL!$C$28, 0.0021, 0)</f>
        <v>63.359499999999997</v>
      </c>
      <c r="E627" s="4">
        <f>296.484777151731 * CHOOSE(CONTROL!$C$9, $C$13, 100%, $E$13) + CHOOSE(CONTROL!$C$28, 0.0021, 0)</f>
        <v>296.48687715173099</v>
      </c>
    </row>
    <row r="628" spans="1:5" ht="15">
      <c r="A628" s="13">
        <v>60267</v>
      </c>
      <c r="B628" s="4">
        <f>43.1115 * CHOOSE(CONTROL!$C$9, $C$13, 100%, $E$13) + CHOOSE(CONTROL!$C$28, 0.0226, 0)</f>
        <v>43.134099999999997</v>
      </c>
      <c r="C628" s="4">
        <f>42.7482 * CHOOSE(CONTROL!$C$9, $C$13, 100%, $E$13) + CHOOSE(CONTROL!$C$28, 0.0226, 0)</f>
        <v>42.770799999999994</v>
      </c>
      <c r="D628" s="4">
        <f>61.1719 * CHOOSE(CONTROL!$C$9, $C$13, 100%, $E$13) + CHOOSE(CONTROL!$C$28, 0.0021, 0)</f>
        <v>61.173999999999999</v>
      </c>
      <c r="E628" s="4">
        <f>291.841431999003 * CHOOSE(CONTROL!$C$9, $C$13, 100%, $E$13) + CHOOSE(CONTROL!$C$28, 0.0021, 0)</f>
        <v>291.84353199900301</v>
      </c>
    </row>
    <row r="629" spans="1:5" ht="15">
      <c r="A629" s="13">
        <v>60298</v>
      </c>
      <c r="B629" s="4">
        <f>41.2685 * CHOOSE(CONTROL!$C$9, $C$13, 100%, $E$13) + CHOOSE(CONTROL!$C$28, 0.0226, 0)</f>
        <v>41.2911</v>
      </c>
      <c r="C629" s="4">
        <f>40.9052 * CHOOSE(CONTROL!$C$9, $C$13, 100%, $E$13) + CHOOSE(CONTROL!$C$28, 0.0226, 0)</f>
        <v>40.927799999999998</v>
      </c>
      <c r="D629" s="4">
        <f>58.7643 * CHOOSE(CONTROL!$C$9, $C$13, 100%, $E$13) + CHOOSE(CONTROL!$C$28, 0.0021, 0)</f>
        <v>58.766399999999997</v>
      </c>
      <c r="E629" s="4">
        <f>279.685050484816 * CHOOSE(CONTROL!$C$9, $C$13, 100%, $E$13) + CHOOSE(CONTROL!$C$28, 0.0021, 0)</f>
        <v>279.68715048481596</v>
      </c>
    </row>
    <row r="630" spans="1:5" ht="15">
      <c r="A630" s="13">
        <v>60326</v>
      </c>
      <c r="B630" s="4">
        <f>42.23 * CHOOSE(CONTROL!$C$9, $C$13, 100%, $E$13) + CHOOSE(CONTROL!$C$28, 0.0226, 0)</f>
        <v>42.252599999999994</v>
      </c>
      <c r="C630" s="4">
        <f>41.8667 * CHOOSE(CONTROL!$C$9, $C$13, 100%, $E$13) + CHOOSE(CONTROL!$C$28, 0.0226, 0)</f>
        <v>41.889299999999999</v>
      </c>
      <c r="D630" s="4">
        <f>60.773 * CHOOSE(CONTROL!$C$9, $C$13, 100%, $E$13) + CHOOSE(CONTROL!$C$28, 0.0021, 0)</f>
        <v>60.775100000000002</v>
      </c>
      <c r="E630" s="4">
        <f>286.325875796781 * CHOOSE(CONTROL!$C$9, $C$13, 100%, $E$13) + CHOOSE(CONTROL!$C$28, 0.0021, 0)</f>
        <v>286.327975796781</v>
      </c>
    </row>
    <row r="631" spans="1:5" ht="15">
      <c r="A631" s="13">
        <v>60357</v>
      </c>
      <c r="B631" s="4">
        <f>44.7549 * CHOOSE(CONTROL!$C$9, $C$13, 100%, $E$13) + CHOOSE(CONTROL!$C$28, 0.0226, 0)</f>
        <v>44.777499999999996</v>
      </c>
      <c r="C631" s="4">
        <f>44.3917 * CHOOSE(CONTROL!$C$9, $C$13, 100%, $E$13) + CHOOSE(CONTROL!$C$28, 0.0226, 0)</f>
        <v>44.414299999999997</v>
      </c>
      <c r="D631" s="4">
        <f>63.9174 * CHOOSE(CONTROL!$C$9, $C$13, 100%, $E$13) + CHOOSE(CONTROL!$C$28, 0.0021, 0)</f>
        <v>63.919499999999999</v>
      </c>
      <c r="E631" s="4">
        <f>303.765035980893 * CHOOSE(CONTROL!$C$9, $C$13, 100%, $E$13) + CHOOSE(CONTROL!$C$28, 0.0021, 0)</f>
        <v>303.76713598089299</v>
      </c>
    </row>
    <row r="632" spans="1:5" ht="15">
      <c r="A632" s="13">
        <v>60387</v>
      </c>
      <c r="B632" s="4">
        <f>46.549 * CHOOSE(CONTROL!$C$9, $C$13, 100%, $E$13) + CHOOSE(CONTROL!$C$28, 0.0226, 0)</f>
        <v>46.571599999999997</v>
      </c>
      <c r="C632" s="4">
        <f>46.1857 * CHOOSE(CONTROL!$C$9, $C$13, 100%, $E$13) + CHOOSE(CONTROL!$C$28, 0.0226, 0)</f>
        <v>46.208299999999994</v>
      </c>
      <c r="D632" s="4">
        <f>65.7287 * CHOOSE(CONTROL!$C$9, $C$13, 100%, $E$13) + CHOOSE(CONTROL!$C$28, 0.0021, 0)</f>
        <v>65.730800000000002</v>
      </c>
      <c r="E632" s="4">
        <f>316.155791699071 * CHOOSE(CONTROL!$C$9, $C$13, 100%, $E$13) + CHOOSE(CONTROL!$C$28, 0.0021, 0)</f>
        <v>316.157891699071</v>
      </c>
    </row>
    <row r="633" spans="1:5" ht="15">
      <c r="A633" s="13">
        <v>60418</v>
      </c>
      <c r="B633" s="4">
        <f>47.6451 * CHOOSE(CONTROL!$C$9, $C$13, 100%, $E$13) + CHOOSE(CONTROL!$C$28, 0.0226, 0)</f>
        <v>47.667699999999996</v>
      </c>
      <c r="C633" s="4">
        <f>47.2818 * CHOOSE(CONTROL!$C$9, $C$13, 100%, $E$13) + CHOOSE(CONTROL!$C$28, 0.0226, 0)</f>
        <v>47.304399999999994</v>
      </c>
      <c r="D633" s="4">
        <f>65.013 * CHOOSE(CONTROL!$C$9, $C$13, 100%, $E$13) + CHOOSE(CONTROL!$C$28, 0.0021, 0)</f>
        <v>65.015100000000004</v>
      </c>
      <c r="E633" s="4">
        <f>323.726246477909 * CHOOSE(CONTROL!$C$9, $C$13, 100%, $E$13) + CHOOSE(CONTROL!$C$28, 0.0021, 0)</f>
        <v>323.72834647790899</v>
      </c>
    </row>
    <row r="634" spans="1:5" ht="15">
      <c r="A634" s="13">
        <v>60448</v>
      </c>
      <c r="B634" s="4">
        <f>47.7934 * CHOOSE(CONTROL!$C$9, $C$13, 100%, $E$13) + CHOOSE(CONTROL!$C$28, 0.0226, 0)</f>
        <v>47.815999999999995</v>
      </c>
      <c r="C634" s="4">
        <f>47.4301 * CHOOSE(CONTROL!$C$9, $C$13, 100%, $E$13) + CHOOSE(CONTROL!$C$28, 0.0226, 0)</f>
        <v>47.4527</v>
      </c>
      <c r="D634" s="4">
        <f>65.5959 * CHOOSE(CONTROL!$C$9, $C$13, 100%, $E$13) + CHOOSE(CONTROL!$C$28, 0.0021, 0)</f>
        <v>65.597999999999999</v>
      </c>
      <c r="E634" s="4">
        <f>324.750560427518 * CHOOSE(CONTROL!$C$9, $C$13, 100%, $E$13) + CHOOSE(CONTROL!$C$28, 0.0021, 0)</f>
        <v>324.75266042751798</v>
      </c>
    </row>
    <row r="635" spans="1:5" ht="15">
      <c r="A635" s="13">
        <v>60479</v>
      </c>
      <c r="B635" s="4">
        <f>47.7784 * CHOOSE(CONTROL!$C$9, $C$13, 100%, $E$13) + CHOOSE(CONTROL!$C$28, 0.0226, 0)</f>
        <v>47.800999999999995</v>
      </c>
      <c r="C635" s="4">
        <f>47.4152 * CHOOSE(CONTROL!$C$9, $C$13, 100%, $E$13) + CHOOSE(CONTROL!$C$28, 0.0226, 0)</f>
        <v>47.437799999999996</v>
      </c>
      <c r="D635" s="4">
        <f>66.6477 * CHOOSE(CONTROL!$C$9, $C$13, 100%, $E$13) + CHOOSE(CONTROL!$C$28, 0.0021, 0)</f>
        <v>66.649799999999999</v>
      </c>
      <c r="E635" s="4">
        <f>324.647268264532 * CHOOSE(CONTROL!$C$9, $C$13, 100%, $E$13) + CHOOSE(CONTROL!$C$28, 0.0021, 0)</f>
        <v>324.64936826453197</v>
      </c>
    </row>
    <row r="636" spans="1:5" ht="15">
      <c r="A636" s="13">
        <v>60510</v>
      </c>
      <c r="B636" s="4">
        <f>48.9038 * CHOOSE(CONTROL!$C$9, $C$13, 100%, $E$13) + CHOOSE(CONTROL!$C$28, 0.0226, 0)</f>
        <v>48.926399999999994</v>
      </c>
      <c r="C636" s="4">
        <f>48.5406 * CHOOSE(CONTROL!$C$9, $C$13, 100%, $E$13) + CHOOSE(CONTROL!$C$28, 0.0226, 0)</f>
        <v>48.563199999999995</v>
      </c>
      <c r="D636" s="4">
        <f>65.9531 * CHOOSE(CONTROL!$C$9, $C$13, 100%, $E$13) + CHOOSE(CONTROL!$C$28, 0.0021, 0)</f>
        <v>65.955200000000005</v>
      </c>
      <c r="E636" s="4">
        <f>332.420003529218 * CHOOSE(CONTROL!$C$9, $C$13, 100%, $E$13) + CHOOSE(CONTROL!$C$28, 0.0021, 0)</f>
        <v>332.42210352921796</v>
      </c>
    </row>
    <row r="637" spans="1:5" ht="15">
      <c r="A637" s="13">
        <v>60540</v>
      </c>
      <c r="B637" s="4">
        <f>46.9858 * CHOOSE(CONTROL!$C$9, $C$13, 100%, $E$13) + CHOOSE(CONTROL!$C$28, 0.0226, 0)</f>
        <v>47.008399999999995</v>
      </c>
      <c r="C637" s="4">
        <f>46.6225 * CHOOSE(CONTROL!$C$9, $C$13, 100%, $E$13) + CHOOSE(CONTROL!$C$28, 0.0226, 0)</f>
        <v>46.645099999999999</v>
      </c>
      <c r="D637" s="4">
        <f>65.6249 * CHOOSE(CONTROL!$C$9, $C$13, 100%, $E$13) + CHOOSE(CONTROL!$C$28, 0.0021, 0)</f>
        <v>65.626999999999995</v>
      </c>
      <c r="E637" s="4">
        <f>319.172783626282 * CHOOSE(CONTROL!$C$9, $C$13, 100%, $E$13) + CHOOSE(CONTROL!$C$28, 0.0021, 0)</f>
        <v>319.174883626282</v>
      </c>
    </row>
    <row r="638" spans="1:5" ht="15">
      <c r="A638" s="13">
        <v>60571</v>
      </c>
      <c r="B638" s="4">
        <f>45.4504 * CHOOSE(CONTROL!$C$9, $C$13, 100%, $E$13) + CHOOSE(CONTROL!$C$28, 0.0226, 0)</f>
        <v>45.472999999999999</v>
      </c>
      <c r="C638" s="4">
        <f>45.0871 * CHOOSE(CONTROL!$C$9, $C$13, 100%, $E$13) + CHOOSE(CONTROL!$C$28, 0.0226, 0)</f>
        <v>45.109699999999997</v>
      </c>
      <c r="D638" s="4">
        <f>64.7462 * CHOOSE(CONTROL!$C$9, $C$13, 100%, $E$13) + CHOOSE(CONTROL!$C$28, 0.0021, 0)</f>
        <v>64.7483</v>
      </c>
      <c r="E638" s="4">
        <f>308.568121559735 * CHOOSE(CONTROL!$C$9, $C$13, 100%, $E$13) + CHOOSE(CONTROL!$C$28, 0.0021, 0)</f>
        <v>308.57022155973499</v>
      </c>
    </row>
    <row r="639" spans="1:5" ht="15">
      <c r="A639" s="13">
        <v>60601</v>
      </c>
      <c r="B639" s="4">
        <f>44.4614 * CHOOSE(CONTROL!$C$9, $C$13, 100%, $E$13) + CHOOSE(CONTROL!$C$28, 0.0226, 0)</f>
        <v>44.483999999999995</v>
      </c>
      <c r="C639" s="4">
        <f>44.0982 * CHOOSE(CONTROL!$C$9, $C$13, 100%, $E$13) + CHOOSE(CONTROL!$C$28, 0.0226, 0)</f>
        <v>44.120799999999996</v>
      </c>
      <c r="D639" s="4">
        <f>64.4441 * CHOOSE(CONTROL!$C$9, $C$13, 100%, $E$13) + CHOOSE(CONTROL!$C$28, 0.0021, 0)</f>
        <v>64.446200000000005</v>
      </c>
      <c r="E639" s="4">
        <f>301.737927282295 * CHOOSE(CONTROL!$C$9, $C$13, 100%, $E$13) + CHOOSE(CONTROL!$C$28, 0.0021, 0)</f>
        <v>301.74002728229499</v>
      </c>
    </row>
    <row r="640" spans="1:5" ht="15">
      <c r="A640" s="13">
        <v>60632</v>
      </c>
      <c r="B640" s="4">
        <f>43.7772 * CHOOSE(CONTROL!$C$9, $C$13, 100%, $E$13) + CHOOSE(CONTROL!$C$28, 0.0226, 0)</f>
        <v>43.799799999999998</v>
      </c>
      <c r="C640" s="4">
        <f>43.414 * CHOOSE(CONTROL!$C$9, $C$13, 100%, $E$13) + CHOOSE(CONTROL!$C$28, 0.0226, 0)</f>
        <v>43.436599999999999</v>
      </c>
      <c r="D640" s="4">
        <f>62.2199 * CHOOSE(CONTROL!$C$9, $C$13, 100%, $E$13) + CHOOSE(CONTROL!$C$28, 0.0021, 0)</f>
        <v>62.222000000000001</v>
      </c>
      <c r="E640" s="4">
        <f>297.012310825693 * CHOOSE(CONTROL!$C$9, $C$13, 100%, $E$13) + CHOOSE(CONTROL!$C$28, 0.0021, 0)</f>
        <v>297.01441082569301</v>
      </c>
    </row>
    <row r="641" spans="1:5" ht="15">
      <c r="A641" s="13">
        <v>60663</v>
      </c>
      <c r="B641" s="4">
        <f>41.9052 * CHOOSE(CONTROL!$C$9, $C$13, 100%, $E$13) + CHOOSE(CONTROL!$C$28, 0.0226, 0)</f>
        <v>41.927799999999998</v>
      </c>
      <c r="C641" s="4">
        <f>41.542 * CHOOSE(CONTROL!$C$9, $C$13, 100%, $E$13) + CHOOSE(CONTROL!$C$28, 0.0226, 0)</f>
        <v>41.564599999999999</v>
      </c>
      <c r="D641" s="4">
        <f>59.7699 * CHOOSE(CONTROL!$C$9, $C$13, 100%, $E$13) + CHOOSE(CONTROL!$C$28, 0.0021, 0)</f>
        <v>59.771999999999998</v>
      </c>
      <c r="E641" s="4">
        <f>284.640541196973 * CHOOSE(CONTROL!$C$9, $C$13, 100%, $E$13) + CHOOSE(CONTROL!$C$28, 0.0021, 0)</f>
        <v>284.64264119697299</v>
      </c>
    </row>
    <row r="642" spans="1:5" ht="15">
      <c r="A642" s="13">
        <v>60691</v>
      </c>
      <c r="B642" s="4">
        <f>42.8819 * CHOOSE(CONTROL!$C$9, $C$13, 100%, $E$13) + CHOOSE(CONTROL!$C$28, 0.0226, 0)</f>
        <v>42.904499999999999</v>
      </c>
      <c r="C642" s="4">
        <f>42.5186 * CHOOSE(CONTROL!$C$9, $C$13, 100%, $E$13) + CHOOSE(CONTROL!$C$28, 0.0226, 0)</f>
        <v>42.541199999999996</v>
      </c>
      <c r="D642" s="4">
        <f>61.814 * CHOOSE(CONTROL!$C$9, $C$13, 100%, $E$13) + CHOOSE(CONTROL!$C$28, 0.0021, 0)</f>
        <v>61.816099999999999</v>
      </c>
      <c r="E642" s="4">
        <f>291.399029387585 * CHOOSE(CONTROL!$C$9, $C$13, 100%, $E$13) + CHOOSE(CONTROL!$C$28, 0.0021, 0)</f>
        <v>291.401129387585</v>
      </c>
    </row>
    <row r="643" spans="1:5" ht="15">
      <c r="A643" s="13">
        <v>60722</v>
      </c>
      <c r="B643" s="4">
        <f>45.4466 * CHOOSE(CONTROL!$C$9, $C$13, 100%, $E$13) + CHOOSE(CONTROL!$C$28, 0.0226, 0)</f>
        <v>45.469199999999994</v>
      </c>
      <c r="C643" s="4">
        <f>45.0833 * CHOOSE(CONTROL!$C$9, $C$13, 100%, $E$13) + CHOOSE(CONTROL!$C$28, 0.0226, 0)</f>
        <v>45.105899999999998</v>
      </c>
      <c r="D643" s="4">
        <f>65.014 * CHOOSE(CONTROL!$C$9, $C$13, 100%, $E$13) + CHOOSE(CONTROL!$C$28, 0.0021, 0)</f>
        <v>65.016099999999994</v>
      </c>
      <c r="E643" s="4">
        <f>309.147178544008 * CHOOSE(CONTROL!$C$9, $C$13, 100%, $E$13) + CHOOSE(CONTROL!$C$28, 0.0021, 0)</f>
        <v>309.14927854400798</v>
      </c>
    </row>
    <row r="644" spans="1:5" ht="15">
      <c r="A644" s="13">
        <v>60752</v>
      </c>
      <c r="B644" s="4">
        <f>47.2688 * CHOOSE(CONTROL!$C$9, $C$13, 100%, $E$13) + CHOOSE(CONTROL!$C$28, 0.0226, 0)</f>
        <v>47.291399999999996</v>
      </c>
      <c r="C644" s="4">
        <f>46.9055 * CHOOSE(CONTROL!$C$9, $C$13, 100%, $E$13) + CHOOSE(CONTROL!$C$28, 0.0226, 0)</f>
        <v>46.928100000000001</v>
      </c>
      <c r="D644" s="4">
        <f>66.8573 * CHOOSE(CONTROL!$C$9, $C$13, 100%, $E$13) + CHOOSE(CONTROL!$C$28, 0.0021, 0)</f>
        <v>66.859399999999994</v>
      </c>
      <c r="E644" s="4">
        <f>321.757475044832 * CHOOSE(CONTROL!$C$9, $C$13, 100%, $E$13) + CHOOSE(CONTROL!$C$28, 0.0021, 0)</f>
        <v>321.75957504483199</v>
      </c>
    </row>
    <row r="645" spans="1:5" ht="15">
      <c r="A645" s="13">
        <v>60783</v>
      </c>
      <c r="B645" s="4">
        <f>48.3821 * CHOOSE(CONTROL!$C$9, $C$13, 100%, $E$13) + CHOOSE(CONTROL!$C$28, 0.0226, 0)</f>
        <v>48.404699999999998</v>
      </c>
      <c r="C645" s="4">
        <f>48.0189 * CHOOSE(CONTROL!$C$9, $C$13, 100%, $E$13) + CHOOSE(CONTROL!$C$28, 0.0226, 0)</f>
        <v>48.041499999999999</v>
      </c>
      <c r="D645" s="4">
        <f>66.1289 * CHOOSE(CONTROL!$C$9, $C$13, 100%, $E$13) + CHOOSE(CONTROL!$C$28, 0.0021, 0)</f>
        <v>66.131</v>
      </c>
      <c r="E645" s="4">
        <f>329.462063980209 * CHOOSE(CONTROL!$C$9, $C$13, 100%, $E$13) + CHOOSE(CONTROL!$C$28, 0.0021, 0)</f>
        <v>329.46416398020898</v>
      </c>
    </row>
    <row r="646" spans="1:5" ht="15">
      <c r="A646" s="13">
        <v>60813</v>
      </c>
      <c r="B646" s="4">
        <f>48.5328 * CHOOSE(CONTROL!$C$9, $C$13, 100%, $E$13) + CHOOSE(CONTROL!$C$28, 0.0226, 0)</f>
        <v>48.555399999999999</v>
      </c>
      <c r="C646" s="4">
        <f>48.1695 * CHOOSE(CONTROL!$C$9, $C$13, 100%, $E$13) + CHOOSE(CONTROL!$C$28, 0.0226, 0)</f>
        <v>48.192099999999996</v>
      </c>
      <c r="D646" s="4">
        <f>66.7221 * CHOOSE(CONTROL!$C$9, $C$13, 100%, $E$13) + CHOOSE(CONTROL!$C$28, 0.0021, 0)</f>
        <v>66.724199999999996</v>
      </c>
      <c r="E646" s="4">
        <f>330.504526837867 * CHOOSE(CONTROL!$C$9, $C$13, 100%, $E$13) + CHOOSE(CONTROL!$C$28, 0.0021, 0)</f>
        <v>330.50662683786697</v>
      </c>
    </row>
    <row r="647" spans="1:5" ht="15">
      <c r="A647" s="13">
        <v>60844</v>
      </c>
      <c r="B647" s="4">
        <f>48.5176 * CHOOSE(CONTROL!$C$9, $C$13, 100%, $E$13) + CHOOSE(CONTROL!$C$28, 0.0226, 0)</f>
        <v>48.540199999999999</v>
      </c>
      <c r="C647" s="4">
        <f>48.1543 * CHOOSE(CONTROL!$C$9, $C$13, 100%, $E$13) + CHOOSE(CONTROL!$C$28, 0.0226, 0)</f>
        <v>48.176899999999996</v>
      </c>
      <c r="D647" s="4">
        <f>67.7925 * CHOOSE(CONTROL!$C$9, $C$13, 100%, $E$13) + CHOOSE(CONTROL!$C$28, 0.0021, 0)</f>
        <v>67.794600000000003</v>
      </c>
      <c r="E647" s="4">
        <f>330.399404532893 * CHOOSE(CONTROL!$C$9, $C$13, 100%, $E$13) + CHOOSE(CONTROL!$C$28, 0.0021, 0)</f>
        <v>330.401504532893</v>
      </c>
    </row>
    <row r="648" spans="1:5" ht="15">
      <c r="A648" s="13">
        <v>60875</v>
      </c>
      <c r="B648" s="4">
        <f>49.6607 * CHOOSE(CONTROL!$C$9, $C$13, 100%, $E$13) + CHOOSE(CONTROL!$C$28, 0.0226, 0)</f>
        <v>49.683299999999996</v>
      </c>
      <c r="C648" s="4">
        <f>49.2974 * CHOOSE(CONTROL!$C$9, $C$13, 100%, $E$13) + CHOOSE(CONTROL!$C$28, 0.0226, 0)</f>
        <v>49.32</v>
      </c>
      <c r="D648" s="4">
        <f>67.0856 * CHOOSE(CONTROL!$C$9, $C$13, 100%, $E$13) + CHOOSE(CONTROL!$C$28, 0.0021, 0)</f>
        <v>67.087699999999998</v>
      </c>
      <c r="E648" s="4">
        <f>338.309857982177 * CHOOSE(CONTROL!$C$9, $C$13, 100%, $E$13) + CHOOSE(CONTROL!$C$28, 0.0021, 0)</f>
        <v>338.31195798217698</v>
      </c>
    </row>
    <row r="649" spans="1:5" ht="15">
      <c r="A649" s="13">
        <v>60905</v>
      </c>
      <c r="B649" s="4">
        <f>47.7125 * CHOOSE(CONTROL!$C$9, $C$13, 100%, $E$13) + CHOOSE(CONTROL!$C$28, 0.0226, 0)</f>
        <v>47.735099999999996</v>
      </c>
      <c r="C649" s="4">
        <f>47.3492 * CHOOSE(CONTROL!$C$9, $C$13, 100%, $E$13) + CHOOSE(CONTROL!$C$28, 0.0226, 0)</f>
        <v>47.3718</v>
      </c>
      <c r="D649" s="4">
        <f>66.7516 * CHOOSE(CONTROL!$C$9, $C$13, 100%, $E$13) + CHOOSE(CONTROL!$C$28, 0.0021, 0)</f>
        <v>66.753699999999995</v>
      </c>
      <c r="E649" s="4">
        <f>324.827922369278 * CHOOSE(CONTROL!$C$9, $C$13, 100%, $E$13) + CHOOSE(CONTROL!$C$28, 0.0021, 0)</f>
        <v>324.83002236927797</v>
      </c>
    </row>
    <row r="650" spans="1:5" ht="15">
      <c r="A650" s="13">
        <v>60936</v>
      </c>
      <c r="B650" s="4">
        <f>46.1529 * CHOOSE(CONTROL!$C$9, $C$13, 100%, $E$13) + CHOOSE(CONTROL!$C$28, 0.0226, 0)</f>
        <v>46.1755</v>
      </c>
      <c r="C650" s="4">
        <f>45.7896 * CHOOSE(CONTROL!$C$9, $C$13, 100%, $E$13) + CHOOSE(CONTROL!$C$28, 0.0226, 0)</f>
        <v>45.812199999999997</v>
      </c>
      <c r="D650" s="4">
        <f>65.8574 * CHOOSE(CONTROL!$C$9, $C$13, 100%, $E$13) + CHOOSE(CONTROL!$C$28, 0.0021, 0)</f>
        <v>65.859499999999997</v>
      </c>
      <c r="E650" s="4">
        <f>314.035365725293 * CHOOSE(CONTROL!$C$9, $C$13, 100%, $E$13) + CHOOSE(CONTROL!$C$28, 0.0021, 0)</f>
        <v>314.03746572529298</v>
      </c>
    </row>
    <row r="651" spans="1:5" ht="15">
      <c r="A651" s="13">
        <v>60966</v>
      </c>
      <c r="B651" s="4">
        <f>45.1484 * CHOOSE(CONTROL!$C$9, $C$13, 100%, $E$13) + CHOOSE(CONTROL!$C$28, 0.0226, 0)</f>
        <v>45.170999999999999</v>
      </c>
      <c r="C651" s="4">
        <f>44.7852 * CHOOSE(CONTROL!$C$9, $C$13, 100%, $E$13) + CHOOSE(CONTROL!$C$28, 0.0226, 0)</f>
        <v>44.8078</v>
      </c>
      <c r="D651" s="4">
        <f>65.55 * CHOOSE(CONTROL!$C$9, $C$13, 100%, $E$13) + CHOOSE(CONTROL!$C$28, 0.0021, 0)</f>
        <v>65.552099999999996</v>
      </c>
      <c r="E651" s="4">
        <f>307.084153308895 * CHOOSE(CONTROL!$C$9, $C$13, 100%, $E$13) + CHOOSE(CONTROL!$C$28, 0.0021, 0)</f>
        <v>307.08625330889498</v>
      </c>
    </row>
    <row r="652" spans="1:5" ht="15">
      <c r="A652" s="13">
        <v>60997</v>
      </c>
      <c r="B652" s="4">
        <f>44.4535 * CHOOSE(CONTROL!$C$9, $C$13, 100%, $E$13) + CHOOSE(CONTROL!$C$28, 0.0226, 0)</f>
        <v>44.476099999999995</v>
      </c>
      <c r="C652" s="4">
        <f>44.0902 * CHOOSE(CONTROL!$C$9, $C$13, 100%, $E$13) + CHOOSE(CONTROL!$C$28, 0.0226, 0)</f>
        <v>44.1128</v>
      </c>
      <c r="D652" s="4">
        <f>63.2865 * CHOOSE(CONTROL!$C$9, $C$13, 100%, $E$13) + CHOOSE(CONTROL!$C$28, 0.0021, 0)</f>
        <v>63.288599999999995</v>
      </c>
      <c r="E652" s="4">
        <f>302.27480785634 * CHOOSE(CONTROL!$C$9, $C$13, 100%, $E$13) + CHOOSE(CONTROL!$C$28, 0.0021, 0)</f>
        <v>302.27690785633996</v>
      </c>
    </row>
    <row r="653" spans="1:5" ht="15">
      <c r="A653" s="13">
        <v>61028</v>
      </c>
      <c r="B653" s="4">
        <f>42.552 * CHOOSE(CONTROL!$C$9, $C$13, 100%, $E$13) + CHOOSE(CONTROL!$C$28, 0.0226, 0)</f>
        <v>42.574599999999997</v>
      </c>
      <c r="C653" s="4">
        <f>42.1887 * CHOOSE(CONTROL!$C$9, $C$13, 100%, $E$13) + CHOOSE(CONTROL!$C$28, 0.0226, 0)</f>
        <v>42.211299999999994</v>
      </c>
      <c r="D653" s="4">
        <f>60.7932 * CHOOSE(CONTROL!$C$9, $C$13, 100%, $E$13) + CHOOSE(CONTROL!$C$28, 0.0021, 0)</f>
        <v>60.795299999999997</v>
      </c>
      <c r="E653" s="4">
        <f>289.68383384261 * CHOOSE(CONTROL!$C$9, $C$13, 100%, $E$13) + CHOOSE(CONTROL!$C$28, 0.0021, 0)</f>
        <v>289.68593384260998</v>
      </c>
    </row>
    <row r="654" spans="1:5" ht="15">
      <c r="A654" s="13">
        <v>61056</v>
      </c>
      <c r="B654" s="4">
        <f>43.544 * CHOOSE(CONTROL!$C$9, $C$13, 100%, $E$13) + CHOOSE(CONTROL!$C$28, 0.0226, 0)</f>
        <v>43.566599999999994</v>
      </c>
      <c r="C654" s="4">
        <f>43.1807 * CHOOSE(CONTROL!$C$9, $C$13, 100%, $E$13) + CHOOSE(CONTROL!$C$28, 0.0226, 0)</f>
        <v>43.203299999999999</v>
      </c>
      <c r="D654" s="4">
        <f>62.8735 * CHOOSE(CONTROL!$C$9, $C$13, 100%, $E$13) + CHOOSE(CONTROL!$C$28, 0.0021, 0)</f>
        <v>62.875599999999999</v>
      </c>
      <c r="E654" s="4">
        <f>296.56206967579 * CHOOSE(CONTROL!$C$9, $C$13, 100%, $E$13) + CHOOSE(CONTROL!$C$28, 0.0021, 0)</f>
        <v>296.56416967578997</v>
      </c>
    </row>
    <row r="655" spans="1:5" ht="15">
      <c r="A655" s="13">
        <v>61087</v>
      </c>
      <c r="B655" s="4">
        <f>46.149 * CHOOSE(CONTROL!$C$9, $C$13, 100%, $E$13) + CHOOSE(CONTROL!$C$28, 0.0226, 0)</f>
        <v>46.171599999999998</v>
      </c>
      <c r="C655" s="4">
        <f>45.7858 * CHOOSE(CONTROL!$C$9, $C$13, 100%, $E$13) + CHOOSE(CONTROL!$C$28, 0.0226, 0)</f>
        <v>45.808399999999999</v>
      </c>
      <c r="D655" s="4">
        <f>66.13 * CHOOSE(CONTROL!$C$9, $C$13, 100%, $E$13) + CHOOSE(CONTROL!$C$28, 0.0021, 0)</f>
        <v>66.132099999999994</v>
      </c>
      <c r="E655" s="4">
        <f>314.62468250537 * CHOOSE(CONTROL!$C$9, $C$13, 100%, $E$13) + CHOOSE(CONTROL!$C$28, 0.0021, 0)</f>
        <v>314.62678250536999</v>
      </c>
    </row>
    <row r="656" spans="1:5" ht="15">
      <c r="A656" s="13">
        <v>61117</v>
      </c>
      <c r="B656" s="4">
        <f>47.9999 * CHOOSE(CONTROL!$C$9, $C$13, 100%, $E$13) + CHOOSE(CONTROL!$C$28, 0.0226, 0)</f>
        <v>48.022499999999994</v>
      </c>
      <c r="C656" s="4">
        <f>47.6366 * CHOOSE(CONTROL!$C$9, $C$13, 100%, $E$13) + CHOOSE(CONTROL!$C$28, 0.0226, 0)</f>
        <v>47.659199999999998</v>
      </c>
      <c r="D656" s="4">
        <f>68.0058 * CHOOSE(CONTROL!$C$9, $C$13, 100%, $E$13) + CHOOSE(CONTROL!$C$28, 0.0021, 0)</f>
        <v>68.007899999999992</v>
      </c>
      <c r="E656" s="4">
        <f>327.458409636752 * CHOOSE(CONTROL!$C$9, $C$13, 100%, $E$13) + CHOOSE(CONTROL!$C$28, 0.0021, 0)</f>
        <v>327.46050963675196</v>
      </c>
    </row>
    <row r="657" spans="1:5" ht="15">
      <c r="A657" s="13">
        <v>61148</v>
      </c>
      <c r="B657" s="4">
        <f>49.1308 * CHOOSE(CONTROL!$C$9, $C$13, 100%, $E$13) + CHOOSE(CONTROL!$C$28, 0.0226, 0)</f>
        <v>49.153399999999998</v>
      </c>
      <c r="C657" s="4">
        <f>48.7675 * CHOOSE(CONTROL!$C$9, $C$13, 100%, $E$13) + CHOOSE(CONTROL!$C$28, 0.0226, 0)</f>
        <v>48.790099999999995</v>
      </c>
      <c r="D657" s="4">
        <f>67.2646 * CHOOSE(CONTROL!$C$9, $C$13, 100%, $E$13) + CHOOSE(CONTROL!$C$28, 0.0021, 0)</f>
        <v>67.2667</v>
      </c>
      <c r="E657" s="4">
        <f>335.299509332515 * CHOOSE(CONTROL!$C$9, $C$13, 100%, $E$13) + CHOOSE(CONTROL!$C$28, 0.0021, 0)</f>
        <v>335.301609332515</v>
      </c>
    </row>
    <row r="658" spans="1:5" ht="15">
      <c r="A658" s="13">
        <v>61178</v>
      </c>
      <c r="B658" s="4">
        <f>49.2838 * CHOOSE(CONTROL!$C$9, $C$13, 100%, $E$13) + CHOOSE(CONTROL!$C$28, 0.0226, 0)</f>
        <v>49.306399999999996</v>
      </c>
      <c r="C658" s="4">
        <f>48.9205 * CHOOSE(CONTROL!$C$9, $C$13, 100%, $E$13) + CHOOSE(CONTROL!$C$28, 0.0226, 0)</f>
        <v>48.943099999999994</v>
      </c>
      <c r="D658" s="4">
        <f>67.8683 * CHOOSE(CONTROL!$C$9, $C$13, 100%, $E$13) + CHOOSE(CONTROL!$C$28, 0.0021, 0)</f>
        <v>67.870400000000004</v>
      </c>
      <c r="E658" s="4">
        <f>336.360442662584 * CHOOSE(CONTROL!$C$9, $C$13, 100%, $E$13) + CHOOSE(CONTROL!$C$28, 0.0021, 0)</f>
        <v>336.36254266258396</v>
      </c>
    </row>
    <row r="659" spans="1:5" ht="15">
      <c r="A659" s="13">
        <v>61209</v>
      </c>
      <c r="B659" s="4">
        <f>49.2684 * CHOOSE(CONTROL!$C$9, $C$13, 100%, $E$13) + CHOOSE(CONTROL!$C$28, 0.0226, 0)</f>
        <v>49.290999999999997</v>
      </c>
      <c r="C659" s="4">
        <f>48.9051 * CHOOSE(CONTROL!$C$9, $C$13, 100%, $E$13) + CHOOSE(CONTROL!$C$28, 0.0226, 0)</f>
        <v>48.927699999999994</v>
      </c>
      <c r="D659" s="4">
        <f>68.9576 * CHOOSE(CONTROL!$C$9, $C$13, 100%, $E$13) + CHOOSE(CONTROL!$C$28, 0.0021, 0)</f>
        <v>68.959699999999998</v>
      </c>
      <c r="E659" s="4">
        <f>336.253457788963 * CHOOSE(CONTROL!$C$9, $C$13, 100%, $E$13) + CHOOSE(CONTROL!$C$28, 0.0021, 0)</f>
        <v>336.25555778896296</v>
      </c>
    </row>
    <row r="660" spans="1:5" ht="15">
      <c r="A660" s="13">
        <v>61240</v>
      </c>
      <c r="B660" s="4">
        <f>50.4294 * CHOOSE(CONTROL!$C$9, $C$13, 100%, $E$13) + CHOOSE(CONTROL!$C$28, 0.0226, 0)</f>
        <v>50.451999999999998</v>
      </c>
      <c r="C660" s="4">
        <f>50.0662 * CHOOSE(CONTROL!$C$9, $C$13, 100%, $E$13) + CHOOSE(CONTROL!$C$28, 0.0226, 0)</f>
        <v>50.088799999999999</v>
      </c>
      <c r="D660" s="4">
        <f>68.2382 * CHOOSE(CONTROL!$C$9, $C$13, 100%, $E$13) + CHOOSE(CONTROL!$C$28, 0.0021, 0)</f>
        <v>68.240300000000005</v>
      </c>
      <c r="E660" s="4">
        <f>344.3040695289 * CHOOSE(CONTROL!$C$9, $C$13, 100%, $E$13) + CHOOSE(CONTROL!$C$28, 0.0021, 0)</f>
        <v>344.3061695289</v>
      </c>
    </row>
    <row r="661" spans="1:5" ht="15">
      <c r="A661" s="13">
        <v>61270</v>
      </c>
      <c r="B661" s="4">
        <f>48.4506 * CHOOSE(CONTROL!$C$9, $C$13, 100%, $E$13) + CHOOSE(CONTROL!$C$28, 0.0226, 0)</f>
        <v>48.473199999999999</v>
      </c>
      <c r="C661" s="4">
        <f>48.0873 * CHOOSE(CONTROL!$C$9, $C$13, 100%, $E$13) + CHOOSE(CONTROL!$C$28, 0.0226, 0)</f>
        <v>48.109899999999996</v>
      </c>
      <c r="D661" s="4">
        <f>67.8983 * CHOOSE(CONTROL!$C$9, $C$13, 100%, $E$13) + CHOOSE(CONTROL!$C$28, 0.0021, 0)</f>
        <v>67.900400000000005</v>
      </c>
      <c r="E661" s="4">
        <f>330.583259487082 * CHOOSE(CONTROL!$C$9, $C$13, 100%, $E$13) + CHOOSE(CONTROL!$C$28, 0.0021, 0)</f>
        <v>330.58535948708197</v>
      </c>
    </row>
    <row r="662" spans="1:5" ht="15">
      <c r="A662" s="13">
        <v>61301</v>
      </c>
      <c r="B662" s="4">
        <f>46.8665 * CHOOSE(CONTROL!$C$9, $C$13, 100%, $E$13) + CHOOSE(CONTROL!$C$28, 0.0226, 0)</f>
        <v>46.889099999999999</v>
      </c>
      <c r="C662" s="4">
        <f>46.5032 * CHOOSE(CONTROL!$C$9, $C$13, 100%, $E$13) + CHOOSE(CONTROL!$C$28, 0.0226, 0)</f>
        <v>46.525799999999997</v>
      </c>
      <c r="D662" s="4">
        <f>66.9883 * CHOOSE(CONTROL!$C$9, $C$13, 100%, $E$13) + CHOOSE(CONTROL!$C$28, 0.0021, 0)</f>
        <v>66.990399999999994</v>
      </c>
      <c r="E662" s="4">
        <f>319.599479128719 * CHOOSE(CONTROL!$C$9, $C$13, 100%, $E$13) + CHOOSE(CONTROL!$C$28, 0.0021, 0)</f>
        <v>319.60157912871898</v>
      </c>
    </row>
    <row r="663" spans="1:5" ht="15">
      <c r="A663" s="13">
        <v>61331</v>
      </c>
      <c r="B663" s="4">
        <f>45.8462 * CHOOSE(CONTROL!$C$9, $C$13, 100%, $E$13) + CHOOSE(CONTROL!$C$28, 0.0226, 0)</f>
        <v>45.8688</v>
      </c>
      <c r="C663" s="4">
        <f>45.4829 * CHOOSE(CONTROL!$C$9, $C$13, 100%, $E$13) + CHOOSE(CONTROL!$C$28, 0.0226, 0)</f>
        <v>45.505499999999998</v>
      </c>
      <c r="D663" s="4">
        <f>66.6754 * CHOOSE(CONTROL!$C$9, $C$13, 100%, $E$13) + CHOOSE(CONTROL!$C$28, 0.0021, 0)</f>
        <v>66.677499999999995</v>
      </c>
      <c r="E663" s="4">
        <f>312.525104360569 * CHOOSE(CONTROL!$C$9, $C$13, 100%, $E$13) + CHOOSE(CONTROL!$C$28, 0.0021, 0)</f>
        <v>312.52720436056899</v>
      </c>
    </row>
    <row r="664" spans="1:5" ht="15">
      <c r="A664" s="13">
        <v>61362</v>
      </c>
      <c r="B664" s="4">
        <f>45.1403 * CHOOSE(CONTROL!$C$9, $C$13, 100%, $E$13) + CHOOSE(CONTROL!$C$28, 0.0226, 0)</f>
        <v>45.1629</v>
      </c>
      <c r="C664" s="4">
        <f>44.777 * CHOOSE(CONTROL!$C$9, $C$13, 100%, $E$13) + CHOOSE(CONTROL!$C$28, 0.0226, 0)</f>
        <v>44.799599999999998</v>
      </c>
      <c r="D664" s="4">
        <f>64.372 * CHOOSE(CONTROL!$C$9, $C$13, 100%, $E$13) + CHOOSE(CONTROL!$C$28, 0.0021, 0)</f>
        <v>64.374099999999999</v>
      </c>
      <c r="E664" s="4">
        <f>307.630546392435 * CHOOSE(CONTROL!$C$9, $C$13, 100%, $E$13) + CHOOSE(CONTROL!$C$28, 0.0021, 0)</f>
        <v>307.63264639243499</v>
      </c>
    </row>
    <row r="665" spans="1:5" ht="15">
      <c r="A665" s="13">
        <v>61393</v>
      </c>
      <c r="B665" s="4">
        <f>43.209 * CHOOSE(CONTROL!$C$9, $C$13, 100%, $E$13) + CHOOSE(CONTROL!$C$28, 0.0226, 0)</f>
        <v>43.2316</v>
      </c>
      <c r="C665" s="4">
        <f>42.8457 * CHOOSE(CONTROL!$C$9, $C$13, 100%, $E$13) + CHOOSE(CONTROL!$C$28, 0.0226, 0)</f>
        <v>42.868299999999998</v>
      </c>
      <c r="D665" s="4">
        <f>61.8346 * CHOOSE(CONTROL!$C$9, $C$13, 100%, $E$13) + CHOOSE(CONTROL!$C$28, 0.0021, 0)</f>
        <v>61.8367</v>
      </c>
      <c r="E665" s="4">
        <f>294.816484106114 * CHOOSE(CONTROL!$C$9, $C$13, 100%, $E$13) + CHOOSE(CONTROL!$C$28, 0.0021, 0)</f>
        <v>294.81858410611397</v>
      </c>
    </row>
    <row r="666" spans="1:5" ht="15">
      <c r="A666" s="13">
        <v>61422</v>
      </c>
      <c r="B666" s="4">
        <f>44.2166 * CHOOSE(CONTROL!$C$9, $C$13, 100%, $E$13) + CHOOSE(CONTROL!$C$28, 0.0226, 0)</f>
        <v>44.239199999999997</v>
      </c>
      <c r="C666" s="4">
        <f>43.8533 * CHOOSE(CONTROL!$C$9, $C$13, 100%, $E$13) + CHOOSE(CONTROL!$C$28, 0.0226, 0)</f>
        <v>43.875899999999994</v>
      </c>
      <c r="D666" s="4">
        <f>63.9516 * CHOOSE(CONTROL!$C$9, $C$13, 100%, $E$13) + CHOOSE(CONTROL!$C$28, 0.0021, 0)</f>
        <v>63.953699999999998</v>
      </c>
      <c r="E666" s="4">
        <f>301.816589283859 * CHOOSE(CONTROL!$C$9, $C$13, 100%, $E$13) + CHOOSE(CONTROL!$C$28, 0.0021, 0)</f>
        <v>301.81868928385899</v>
      </c>
    </row>
    <row r="667" spans="1:5" ht="15">
      <c r="A667" s="13">
        <v>61453</v>
      </c>
      <c r="B667" s="4">
        <f>46.8626 * CHOOSE(CONTROL!$C$9, $C$13, 100%, $E$13) + CHOOSE(CONTROL!$C$28, 0.0226, 0)</f>
        <v>46.885199999999998</v>
      </c>
      <c r="C667" s="4">
        <f>46.4993 * CHOOSE(CONTROL!$C$9, $C$13, 100%, $E$13) + CHOOSE(CONTROL!$C$28, 0.0226, 0)</f>
        <v>46.521899999999995</v>
      </c>
      <c r="D667" s="4">
        <f>67.2657 * CHOOSE(CONTROL!$C$9, $C$13, 100%, $E$13) + CHOOSE(CONTROL!$C$28, 0.0021, 0)</f>
        <v>67.267799999999994</v>
      </c>
      <c r="E667" s="4">
        <f>320.199237488798 * CHOOSE(CONTROL!$C$9, $C$13, 100%, $E$13) + CHOOSE(CONTROL!$C$28, 0.0021, 0)</f>
        <v>320.201337488798</v>
      </c>
    </row>
    <row r="668" spans="1:5" ht="15">
      <c r="A668" s="13">
        <v>61483</v>
      </c>
      <c r="B668" s="4">
        <f>48.7426 * CHOOSE(CONTROL!$C$9, $C$13, 100%, $E$13) + CHOOSE(CONTROL!$C$28, 0.0226, 0)</f>
        <v>48.7652</v>
      </c>
      <c r="C668" s="4">
        <f>48.3793 * CHOOSE(CONTROL!$C$9, $C$13, 100%, $E$13) + CHOOSE(CONTROL!$C$28, 0.0226, 0)</f>
        <v>48.401899999999998</v>
      </c>
      <c r="D668" s="4">
        <f>69.1747 * CHOOSE(CONTROL!$C$9, $C$13, 100%, $E$13) + CHOOSE(CONTROL!$C$28, 0.0021, 0)</f>
        <v>69.1768</v>
      </c>
      <c r="E668" s="4">
        <f>333.260354019406 * CHOOSE(CONTROL!$C$9, $C$13, 100%, $E$13) + CHOOSE(CONTROL!$C$28, 0.0021, 0)</f>
        <v>333.26245401940599</v>
      </c>
    </row>
    <row r="669" spans="1:5" ht="15">
      <c r="A669" s="13">
        <v>61514</v>
      </c>
      <c r="B669" s="4">
        <f>49.8912 * CHOOSE(CONTROL!$C$9, $C$13, 100%, $E$13) + CHOOSE(CONTROL!$C$28, 0.0226, 0)</f>
        <v>49.913799999999995</v>
      </c>
      <c r="C669" s="4">
        <f>49.5279 * CHOOSE(CONTROL!$C$9, $C$13, 100%, $E$13) + CHOOSE(CONTROL!$C$28, 0.0226, 0)</f>
        <v>49.5505</v>
      </c>
      <c r="D669" s="4">
        <f>68.4203 * CHOOSE(CONTROL!$C$9, $C$13, 100%, $E$13) + CHOOSE(CONTROL!$C$28, 0.0021, 0)</f>
        <v>68.422399999999996</v>
      </c>
      <c r="E669" s="4">
        <f>341.240383188331 * CHOOSE(CONTROL!$C$9, $C$13, 100%, $E$13) + CHOOSE(CONTROL!$C$28, 0.0021, 0)</f>
        <v>341.24248318833099</v>
      </c>
    </row>
    <row r="670" spans="1:5" ht="15">
      <c r="A670" s="13">
        <v>61544</v>
      </c>
      <c r="B670" s="4">
        <f>50.0466 * CHOOSE(CONTROL!$C$9, $C$13, 100%, $E$13) + CHOOSE(CONTROL!$C$28, 0.0226, 0)</f>
        <v>50.069199999999995</v>
      </c>
      <c r="C670" s="4">
        <f>49.6833 * CHOOSE(CONTROL!$C$9, $C$13, 100%, $E$13) + CHOOSE(CONTROL!$C$28, 0.0226, 0)</f>
        <v>49.7059</v>
      </c>
      <c r="D670" s="4">
        <f>69.0347 * CHOOSE(CONTROL!$C$9, $C$13, 100%, $E$13) + CHOOSE(CONTROL!$C$28, 0.0021, 0)</f>
        <v>69.036799999999999</v>
      </c>
      <c r="E670" s="4">
        <f>342.320114252689 * CHOOSE(CONTROL!$C$9, $C$13, 100%, $E$13) + CHOOSE(CONTROL!$C$28, 0.0021, 0)</f>
        <v>342.32221425268898</v>
      </c>
    </row>
    <row r="671" spans="1:5" ht="15">
      <c r="A671" s="13">
        <v>61575</v>
      </c>
      <c r="B671" s="4">
        <f>50.0309 * CHOOSE(CONTROL!$C$9, $C$13, 100%, $E$13) + CHOOSE(CONTROL!$C$28, 0.0226, 0)</f>
        <v>50.0535</v>
      </c>
      <c r="C671" s="4">
        <f>49.6677 * CHOOSE(CONTROL!$C$9, $C$13, 100%, $E$13) + CHOOSE(CONTROL!$C$28, 0.0226, 0)</f>
        <v>49.690300000000001</v>
      </c>
      <c r="D671" s="4">
        <f>70.1432 * CHOOSE(CONTROL!$C$9, $C$13, 100%, $E$13) + CHOOSE(CONTROL!$C$28, 0.0021, 0)</f>
        <v>70.145299999999992</v>
      </c>
      <c r="E671" s="4">
        <f>342.211233809224 * CHOOSE(CONTROL!$C$9, $C$13, 100%, $E$13) + CHOOSE(CONTROL!$C$28, 0.0021, 0)</f>
        <v>342.21333380922397</v>
      </c>
    </row>
    <row r="672" spans="1:5" ht="15">
      <c r="A672" s="13">
        <v>61606</v>
      </c>
      <c r="B672" s="4">
        <f>51.2103 * CHOOSE(CONTROL!$C$9, $C$13, 100%, $E$13) + CHOOSE(CONTROL!$C$28, 0.0226, 0)</f>
        <v>51.232899999999994</v>
      </c>
      <c r="C672" s="4">
        <f>50.847 * CHOOSE(CONTROL!$C$9, $C$13, 100%, $E$13) + CHOOSE(CONTROL!$C$28, 0.0226, 0)</f>
        <v>50.869599999999998</v>
      </c>
      <c r="D672" s="4">
        <f>69.4111 * CHOOSE(CONTROL!$C$9, $C$13, 100%, $E$13) + CHOOSE(CONTROL!$C$28, 0.0021, 0)</f>
        <v>69.413200000000003</v>
      </c>
      <c r="E672" s="4">
        <f>350.404487179935 * CHOOSE(CONTROL!$C$9, $C$13, 100%, $E$13) + CHOOSE(CONTROL!$C$28, 0.0021, 0)</f>
        <v>350.406587179935</v>
      </c>
    </row>
    <row r="673" spans="1:5" ht="15">
      <c r="A673" s="13">
        <v>61636</v>
      </c>
      <c r="B673" s="4">
        <f>49.2003 * CHOOSE(CONTROL!$C$9, $C$13, 100%, $E$13) + CHOOSE(CONTROL!$C$28, 0.0226, 0)</f>
        <v>49.222899999999996</v>
      </c>
      <c r="C673" s="4">
        <f>48.837 * CHOOSE(CONTROL!$C$9, $C$13, 100%, $E$13) + CHOOSE(CONTROL!$C$28, 0.0226, 0)</f>
        <v>48.8596</v>
      </c>
      <c r="D673" s="4">
        <f>69.0652 * CHOOSE(CONTROL!$C$9, $C$13, 100%, $E$13) + CHOOSE(CONTROL!$C$28, 0.0021, 0)</f>
        <v>69.067300000000003</v>
      </c>
      <c r="E673" s="4">
        <f>336.440570305601 * CHOOSE(CONTROL!$C$9, $C$13, 100%, $E$13) + CHOOSE(CONTROL!$C$28, 0.0021, 0)</f>
        <v>336.44267030560098</v>
      </c>
    </row>
    <row r="674" spans="1:5" ht="15">
      <c r="A674" s="13">
        <v>61667</v>
      </c>
      <c r="B674" s="4">
        <f>47.5913 * CHOOSE(CONTROL!$C$9, $C$13, 100%, $E$13) + CHOOSE(CONTROL!$C$28, 0.0226, 0)</f>
        <v>47.613899999999994</v>
      </c>
      <c r="C674" s="4">
        <f>47.228 * CHOOSE(CONTROL!$C$9, $C$13, 100%, $E$13) + CHOOSE(CONTROL!$C$28, 0.0226, 0)</f>
        <v>47.250599999999999</v>
      </c>
      <c r="D674" s="4">
        <f>68.1391 * CHOOSE(CONTROL!$C$9, $C$13, 100%, $E$13) + CHOOSE(CONTROL!$C$28, 0.0021, 0)</f>
        <v>68.141199999999998</v>
      </c>
      <c r="E674" s="4">
        <f>325.262178109902 * CHOOSE(CONTROL!$C$9, $C$13, 100%, $E$13) + CHOOSE(CONTROL!$C$28, 0.0021, 0)</f>
        <v>325.26427810990197</v>
      </c>
    </row>
    <row r="675" spans="1:5" ht="15">
      <c r="A675" s="13">
        <v>61697</v>
      </c>
      <c r="B675" s="4">
        <f>46.555 * CHOOSE(CONTROL!$C$9, $C$13, 100%, $E$13) + CHOOSE(CONTROL!$C$28, 0.0226, 0)</f>
        <v>46.577599999999997</v>
      </c>
      <c r="C675" s="4">
        <f>46.1917 * CHOOSE(CONTROL!$C$9, $C$13, 100%, $E$13) + CHOOSE(CONTROL!$C$28, 0.0226, 0)</f>
        <v>46.214299999999994</v>
      </c>
      <c r="D675" s="4">
        <f>67.8207 * CHOOSE(CONTROL!$C$9, $C$13, 100%, $E$13) + CHOOSE(CONTROL!$C$28, 0.0021, 0)</f>
        <v>67.822800000000001</v>
      </c>
      <c r="E675" s="4">
        <f>318.062458785806 * CHOOSE(CONTROL!$C$9, $C$13, 100%, $E$13) + CHOOSE(CONTROL!$C$28, 0.0021, 0)</f>
        <v>318.06455878580596</v>
      </c>
    </row>
    <row r="676" spans="1:5" ht="15">
      <c r="A676" s="13">
        <v>61728</v>
      </c>
      <c r="B676" s="4">
        <f>45.838 * CHOOSE(CONTROL!$C$9, $C$13, 100%, $E$13) + CHOOSE(CONTROL!$C$28, 0.0226, 0)</f>
        <v>45.860599999999998</v>
      </c>
      <c r="C676" s="4">
        <f>45.4747 * CHOOSE(CONTROL!$C$9, $C$13, 100%, $E$13) + CHOOSE(CONTROL!$C$28, 0.0226, 0)</f>
        <v>45.497299999999996</v>
      </c>
      <c r="D676" s="4">
        <f>65.4766 * CHOOSE(CONTROL!$C$9, $C$13, 100%, $E$13) + CHOOSE(CONTROL!$C$28, 0.0021, 0)</f>
        <v>65.478700000000003</v>
      </c>
      <c r="E676" s="4">
        <f>313.0811784973 * CHOOSE(CONTROL!$C$9, $C$13, 100%, $E$13) + CHOOSE(CONTROL!$C$28, 0.0021, 0)</f>
        <v>313.0832784973</v>
      </c>
    </row>
    <row r="677" spans="1:5" ht="15">
      <c r="A677" s="13">
        <v>61759</v>
      </c>
      <c r="B677" s="4">
        <f>43.8763 * CHOOSE(CONTROL!$C$9, $C$13, 100%, $E$13) + CHOOSE(CONTROL!$C$28, 0.0226, 0)</f>
        <v>43.898899999999998</v>
      </c>
      <c r="C677" s="4">
        <f>43.513 * CHOOSE(CONTROL!$C$9, $C$13, 100%, $E$13) + CHOOSE(CONTROL!$C$28, 0.0226, 0)</f>
        <v>43.535599999999995</v>
      </c>
      <c r="D677" s="4">
        <f>62.8944 * CHOOSE(CONTROL!$C$9, $C$13, 100%, $E$13) + CHOOSE(CONTROL!$C$28, 0.0021, 0)</f>
        <v>62.896499999999996</v>
      </c>
      <c r="E677" s="4">
        <f>300.040075235659 * CHOOSE(CONTROL!$C$9, $C$13, 100%, $E$13) + CHOOSE(CONTROL!$C$28, 0.0021, 0)</f>
        <v>300.04217523565899</v>
      </c>
    </row>
    <row r="678" spans="1:5" ht="15">
      <c r="A678" s="13">
        <v>61787</v>
      </c>
      <c r="B678" s="4">
        <f>44.8997 * CHOOSE(CONTROL!$C$9, $C$13, 100%, $E$13) + CHOOSE(CONTROL!$C$28, 0.0226, 0)</f>
        <v>44.9223</v>
      </c>
      <c r="C678" s="4">
        <f>44.5364 * CHOOSE(CONTROL!$C$9, $C$13, 100%, $E$13) + CHOOSE(CONTROL!$C$28, 0.0226, 0)</f>
        <v>44.558999999999997</v>
      </c>
      <c r="D678" s="4">
        <f>65.0488 * CHOOSE(CONTROL!$C$9, $C$13, 100%, $E$13) + CHOOSE(CONTROL!$C$28, 0.0021, 0)</f>
        <v>65.050899999999999</v>
      </c>
      <c r="E678" s="4">
        <f>307.164209052518 * CHOOSE(CONTROL!$C$9, $C$13, 100%, $E$13) + CHOOSE(CONTROL!$C$28, 0.0021, 0)</f>
        <v>307.16630905251799</v>
      </c>
    </row>
    <row r="679" spans="1:5" ht="15">
      <c r="A679" s="13">
        <v>61818</v>
      </c>
      <c r="B679" s="4">
        <f>47.5873 * CHOOSE(CONTROL!$C$9, $C$13, 100%, $E$13) + CHOOSE(CONTROL!$C$28, 0.0226, 0)</f>
        <v>47.609899999999996</v>
      </c>
      <c r="C679" s="4">
        <f>47.224 * CHOOSE(CONTROL!$C$9, $C$13, 100%, $E$13) + CHOOSE(CONTROL!$C$28, 0.0226, 0)</f>
        <v>47.246599999999994</v>
      </c>
      <c r="D679" s="4">
        <f>68.4214 * CHOOSE(CONTROL!$C$9, $C$13, 100%, $E$13) + CHOOSE(CONTROL!$C$28, 0.0021, 0)</f>
        <v>68.423500000000004</v>
      </c>
      <c r="E679" s="4">
        <f>325.872563055055 * CHOOSE(CONTROL!$C$9, $C$13, 100%, $E$13) + CHOOSE(CONTROL!$C$28, 0.0021, 0)</f>
        <v>325.87466305505501</v>
      </c>
    </row>
    <row r="680" spans="1:5" ht="15">
      <c r="A680" s="13">
        <v>61848</v>
      </c>
      <c r="B680" s="4">
        <f>49.4969 * CHOOSE(CONTROL!$C$9, $C$13, 100%, $E$13) + CHOOSE(CONTROL!$C$28, 0.0226, 0)</f>
        <v>49.519499999999994</v>
      </c>
      <c r="C680" s="4">
        <f>49.1336 * CHOOSE(CONTROL!$C$9, $C$13, 100%, $E$13) + CHOOSE(CONTROL!$C$28, 0.0226, 0)</f>
        <v>49.156199999999998</v>
      </c>
      <c r="D680" s="4">
        <f>70.3641 * CHOOSE(CONTROL!$C$9, $C$13, 100%, $E$13) + CHOOSE(CONTROL!$C$28, 0.0021, 0)</f>
        <v>70.366199999999992</v>
      </c>
      <c r="E680" s="4">
        <f>339.165097895457 * CHOOSE(CONTROL!$C$9, $C$13, 100%, $E$13) + CHOOSE(CONTROL!$C$28, 0.0021, 0)</f>
        <v>339.16719789545698</v>
      </c>
    </row>
    <row r="681" spans="1:5" ht="15">
      <c r="A681" s="13">
        <v>61879</v>
      </c>
      <c r="B681" s="4">
        <f>50.6636 * CHOOSE(CONTROL!$C$9, $C$13, 100%, $E$13) + CHOOSE(CONTROL!$C$28, 0.0226, 0)</f>
        <v>50.686199999999999</v>
      </c>
      <c r="C681" s="4">
        <f>50.3003 * CHOOSE(CONTROL!$C$9, $C$13, 100%, $E$13) + CHOOSE(CONTROL!$C$28, 0.0226, 0)</f>
        <v>50.322899999999997</v>
      </c>
      <c r="D681" s="4">
        <f>69.5965 * CHOOSE(CONTROL!$C$9, $C$13, 100%, $E$13) + CHOOSE(CONTROL!$C$28, 0.0021, 0)</f>
        <v>69.598600000000005</v>
      </c>
      <c r="E681" s="4">
        <f>347.286518105344 * CHOOSE(CONTROL!$C$9, $C$13, 100%, $E$13) + CHOOSE(CONTROL!$C$28, 0.0021, 0)</f>
        <v>347.28861810534397</v>
      </c>
    </row>
    <row r="682" spans="1:5" ht="15">
      <c r="A682" s="13">
        <v>61909</v>
      </c>
      <c r="B682" s="4">
        <f>50.8214 * CHOOSE(CONTROL!$C$9, $C$13, 100%, $E$13) + CHOOSE(CONTROL!$C$28, 0.0226, 0)</f>
        <v>50.843999999999994</v>
      </c>
      <c r="C682" s="4">
        <f>50.4582 * CHOOSE(CONTROL!$C$9, $C$13, 100%, $E$13) + CHOOSE(CONTROL!$C$28, 0.0226, 0)</f>
        <v>50.480799999999995</v>
      </c>
      <c r="D682" s="4">
        <f>70.2217 * CHOOSE(CONTROL!$C$9, $C$13, 100%, $E$13) + CHOOSE(CONTROL!$C$28, 0.0021, 0)</f>
        <v>70.223799999999997</v>
      </c>
      <c r="E682" s="4">
        <f>348.385379964328 * CHOOSE(CONTROL!$C$9, $C$13, 100%, $E$13) + CHOOSE(CONTROL!$C$28, 0.0021, 0)</f>
        <v>348.38747996432801</v>
      </c>
    </row>
    <row r="683" spans="1:5" ht="15">
      <c r="A683" s="13">
        <v>61940</v>
      </c>
      <c r="B683" s="4">
        <f>50.8055 * CHOOSE(CONTROL!$C$9, $C$13, 100%, $E$13) + CHOOSE(CONTROL!$C$28, 0.0226, 0)</f>
        <v>50.828099999999999</v>
      </c>
      <c r="C683" s="4">
        <f>50.4422 * CHOOSE(CONTROL!$C$9, $C$13, 100%, $E$13) + CHOOSE(CONTROL!$C$28, 0.0226, 0)</f>
        <v>50.464799999999997</v>
      </c>
      <c r="D683" s="4">
        <f>71.3498 * CHOOSE(CONTROL!$C$9, $C$13, 100%, $E$13) + CHOOSE(CONTROL!$C$28, 0.0021, 0)</f>
        <v>71.351900000000001</v>
      </c>
      <c r="E683" s="4">
        <f>348.274570365103 * CHOOSE(CONTROL!$C$9, $C$13, 100%, $E$13) + CHOOSE(CONTROL!$C$28, 0.0021, 0)</f>
        <v>348.27667036510297</v>
      </c>
    </row>
    <row r="684" spans="1:5" ht="15">
      <c r="A684" s="13">
        <v>61971</v>
      </c>
      <c r="B684" s="4">
        <f>52.0034 * CHOOSE(CONTROL!$C$9, $C$13, 100%, $E$13) + CHOOSE(CONTROL!$C$28, 0.0226, 0)</f>
        <v>52.025999999999996</v>
      </c>
      <c r="C684" s="4">
        <f>51.6401 * CHOOSE(CONTROL!$C$9, $C$13, 100%, $E$13) + CHOOSE(CONTROL!$C$28, 0.0226, 0)</f>
        <v>51.662699999999994</v>
      </c>
      <c r="D684" s="4">
        <f>70.6048 * CHOOSE(CONTROL!$C$9, $C$13, 100%, $E$13) + CHOOSE(CONTROL!$C$28, 0.0021, 0)</f>
        <v>70.606899999999996</v>
      </c>
      <c r="E684" s="4">
        <f>356.612992706806 * CHOOSE(CONTROL!$C$9, $C$13, 100%, $E$13) + CHOOSE(CONTROL!$C$28, 0.0021, 0)</f>
        <v>356.61509270680597</v>
      </c>
    </row>
    <row r="685" spans="1:5" ht="15">
      <c r="A685" s="13">
        <v>62001</v>
      </c>
      <c r="B685" s="4">
        <f>49.9618 * CHOOSE(CONTROL!$C$9, $C$13, 100%, $E$13) + CHOOSE(CONTROL!$C$28, 0.0226, 0)</f>
        <v>49.984399999999994</v>
      </c>
      <c r="C685" s="4">
        <f>49.5985 * CHOOSE(CONTROL!$C$9, $C$13, 100%, $E$13) + CHOOSE(CONTROL!$C$28, 0.0226, 0)</f>
        <v>49.621099999999998</v>
      </c>
      <c r="D685" s="4">
        <f>70.2528 * CHOOSE(CONTROL!$C$9, $C$13, 100%, $E$13) + CHOOSE(CONTROL!$C$28, 0.0021, 0)</f>
        <v>70.254899999999992</v>
      </c>
      <c r="E685" s="4">
        <f>342.401661606162 * CHOOSE(CONTROL!$C$9, $C$13, 100%, $E$13) + CHOOSE(CONTROL!$C$28, 0.0021, 0)</f>
        <v>342.40376160616199</v>
      </c>
    </row>
    <row r="686" spans="1:5" ht="15">
      <c r="A686" s="13">
        <v>62032</v>
      </c>
      <c r="B686" s="4">
        <f>48.3275 * CHOOSE(CONTROL!$C$9, $C$13, 100%, $E$13) + CHOOSE(CONTROL!$C$28, 0.0226, 0)</f>
        <v>48.350099999999998</v>
      </c>
      <c r="C686" s="4">
        <f>47.9642 * CHOOSE(CONTROL!$C$9, $C$13, 100%, $E$13) + CHOOSE(CONTROL!$C$28, 0.0226, 0)</f>
        <v>47.986799999999995</v>
      </c>
      <c r="D686" s="4">
        <f>69.3103 * CHOOSE(CONTROL!$C$9, $C$13, 100%, $E$13) + CHOOSE(CONTROL!$C$28, 0.0021, 0)</f>
        <v>69.312399999999997</v>
      </c>
      <c r="E686" s="4">
        <f>331.025209419032 * CHOOSE(CONTROL!$C$9, $C$13, 100%, $E$13) + CHOOSE(CONTROL!$C$28, 0.0021, 0)</f>
        <v>331.02730941903201</v>
      </c>
    </row>
    <row r="687" spans="1:5" ht="15">
      <c r="A687" s="13">
        <v>62062</v>
      </c>
      <c r="B687" s="4">
        <f>47.2749 * CHOOSE(CONTROL!$C$9, $C$13, 100%, $E$13) + CHOOSE(CONTROL!$C$28, 0.0226, 0)</f>
        <v>47.297499999999999</v>
      </c>
      <c r="C687" s="4">
        <f>46.9116 * CHOOSE(CONTROL!$C$9, $C$13, 100%, $E$13) + CHOOSE(CONTROL!$C$28, 0.0226, 0)</f>
        <v>46.934199999999997</v>
      </c>
      <c r="D687" s="4">
        <f>68.9863 * CHOOSE(CONTROL!$C$9, $C$13, 100%, $E$13) + CHOOSE(CONTROL!$C$28, 0.0021, 0)</f>
        <v>68.988399999999999</v>
      </c>
      <c r="E687" s="4">
        <f>323.697924670259 * CHOOSE(CONTROL!$C$9, $C$13, 100%, $E$13) + CHOOSE(CONTROL!$C$28, 0.0021, 0)</f>
        <v>323.70002467025898</v>
      </c>
    </row>
    <row r="688" spans="1:5" ht="15">
      <c r="A688" s="13">
        <v>62093</v>
      </c>
      <c r="B688" s="4">
        <f>46.5466 * CHOOSE(CONTROL!$C$9, $C$13, 100%, $E$13) + CHOOSE(CONTROL!$C$28, 0.0226, 0)</f>
        <v>46.569199999999995</v>
      </c>
      <c r="C688" s="4">
        <f>46.1834 * CHOOSE(CONTROL!$C$9, $C$13, 100%, $E$13) + CHOOSE(CONTROL!$C$28, 0.0226, 0)</f>
        <v>46.205999999999996</v>
      </c>
      <c r="D688" s="4">
        <f>66.6007 * CHOOSE(CONTROL!$C$9, $C$13, 100%, $E$13) + CHOOSE(CONTROL!$C$28, 0.0021, 0)</f>
        <v>66.602800000000002</v>
      </c>
      <c r="E688" s="4">
        <f>318.628385505702 * CHOOSE(CONTROL!$C$9, $C$13, 100%, $E$13) + CHOOSE(CONTROL!$C$28, 0.0021, 0)</f>
        <v>318.63048550570198</v>
      </c>
    </row>
    <row r="689" spans="1:5" ht="15">
      <c r="A689" s="13">
        <v>62124</v>
      </c>
      <c r="B689" s="4">
        <f>44.5541 * CHOOSE(CONTROL!$C$9, $C$13, 100%, $E$13) + CHOOSE(CONTROL!$C$28, 0.0226, 0)</f>
        <v>44.576699999999995</v>
      </c>
      <c r="C689" s="4">
        <f>44.1908 * CHOOSE(CONTROL!$C$9, $C$13, 100%, $E$13) + CHOOSE(CONTROL!$C$28, 0.0226, 0)</f>
        <v>44.2134</v>
      </c>
      <c r="D689" s="4">
        <f>63.9729 * CHOOSE(CONTROL!$C$9, $C$13, 100%, $E$13) + CHOOSE(CONTROL!$C$28, 0.0021, 0)</f>
        <v>63.975000000000001</v>
      </c>
      <c r="E689" s="4">
        <f>305.356218531583 * CHOOSE(CONTROL!$C$9, $C$13, 100%, $E$13) + CHOOSE(CONTROL!$C$28, 0.0021, 0)</f>
        <v>305.358318531583</v>
      </c>
    </row>
    <row r="690" spans="1:5" ht="15">
      <c r="A690" s="13">
        <v>62152</v>
      </c>
      <c r="B690" s="4">
        <f>45.5936 * CHOOSE(CONTROL!$C$9, $C$13, 100%, $E$13) + CHOOSE(CONTROL!$C$28, 0.0226, 0)</f>
        <v>45.616199999999999</v>
      </c>
      <c r="C690" s="4">
        <f>45.2303 * CHOOSE(CONTROL!$C$9, $C$13, 100%, $E$13) + CHOOSE(CONTROL!$C$28, 0.0226, 0)</f>
        <v>45.252899999999997</v>
      </c>
      <c r="D690" s="4">
        <f>66.1654 * CHOOSE(CONTROL!$C$9, $C$13, 100%, $E$13) + CHOOSE(CONTROL!$C$28, 0.0021, 0)</f>
        <v>66.167500000000004</v>
      </c>
      <c r="E690" s="4">
        <f>312.606578540727 * CHOOSE(CONTROL!$C$9, $C$13, 100%, $E$13) + CHOOSE(CONTROL!$C$28, 0.0021, 0)</f>
        <v>312.608678540727</v>
      </c>
    </row>
    <row r="691" spans="1:5" ht="15">
      <c r="A691" s="13">
        <v>62183</v>
      </c>
      <c r="B691" s="4">
        <f>48.3235 * CHOOSE(CONTROL!$C$9, $C$13, 100%, $E$13) + CHOOSE(CONTROL!$C$28, 0.0226, 0)</f>
        <v>48.3461</v>
      </c>
      <c r="C691" s="4">
        <f>47.9602 * CHOOSE(CONTROL!$C$9, $C$13, 100%, $E$13) + CHOOSE(CONTROL!$C$28, 0.0226, 0)</f>
        <v>47.982799999999997</v>
      </c>
      <c r="D691" s="4">
        <f>69.5976 * CHOOSE(CONTROL!$C$9, $C$13, 100%, $E$13) + CHOOSE(CONTROL!$C$28, 0.0021, 0)</f>
        <v>69.599699999999999</v>
      </c>
      <c r="E691" s="4">
        <f>331.646409232271 * CHOOSE(CONTROL!$C$9, $C$13, 100%, $E$13) + CHOOSE(CONTROL!$C$28, 0.0021, 0)</f>
        <v>331.64850923227101</v>
      </c>
    </row>
    <row r="692" spans="1:5" ht="15">
      <c r="A692" s="13">
        <v>62213</v>
      </c>
      <c r="B692" s="4">
        <f>50.263 * CHOOSE(CONTROL!$C$9, $C$13, 100%, $E$13) + CHOOSE(CONTROL!$C$28, 0.0226, 0)</f>
        <v>50.285599999999995</v>
      </c>
      <c r="C692" s="4">
        <f>49.8998 * CHOOSE(CONTROL!$C$9, $C$13, 100%, $E$13) + CHOOSE(CONTROL!$C$28, 0.0226, 0)</f>
        <v>49.922399999999996</v>
      </c>
      <c r="D692" s="4">
        <f>71.5746 * CHOOSE(CONTROL!$C$9, $C$13, 100%, $E$13) + CHOOSE(CONTROL!$C$28, 0.0021, 0)</f>
        <v>71.576700000000002</v>
      </c>
      <c r="E692" s="4">
        <f>345.174462677719 * CHOOSE(CONTROL!$C$9, $C$13, 100%, $E$13) + CHOOSE(CONTROL!$C$28, 0.0021, 0)</f>
        <v>345.17656267771901</v>
      </c>
    </row>
    <row r="693" spans="1:5" ht="15">
      <c r="A693" s="13">
        <v>62244</v>
      </c>
      <c r="B693" s="4">
        <f>51.4481 * CHOOSE(CONTROL!$C$9, $C$13, 100%, $E$13) + CHOOSE(CONTROL!$C$28, 0.0226, 0)</f>
        <v>51.470699999999994</v>
      </c>
      <c r="C693" s="4">
        <f>51.0848 * CHOOSE(CONTROL!$C$9, $C$13, 100%, $E$13) + CHOOSE(CONTROL!$C$28, 0.0226, 0)</f>
        <v>51.107399999999998</v>
      </c>
      <c r="D693" s="4">
        <f>70.7934 * CHOOSE(CONTROL!$C$9, $C$13, 100%, $E$13) + CHOOSE(CONTROL!$C$28, 0.0021, 0)</f>
        <v>70.795500000000004</v>
      </c>
      <c r="E693" s="4">
        <f>353.439779110696 * CHOOSE(CONTROL!$C$9, $C$13, 100%, $E$13) + CHOOSE(CONTROL!$C$28, 0.0021, 0)</f>
        <v>353.44187911069599</v>
      </c>
    </row>
    <row r="694" spans="1:5" ht="15">
      <c r="A694" s="13">
        <v>62274</v>
      </c>
      <c r="B694" s="4">
        <f>51.6084 * CHOOSE(CONTROL!$C$9, $C$13, 100%, $E$13) + CHOOSE(CONTROL!$C$28, 0.0226, 0)</f>
        <v>51.631</v>
      </c>
      <c r="C694" s="4">
        <f>51.2452 * CHOOSE(CONTROL!$C$9, $C$13, 100%, $E$13) + CHOOSE(CONTROL!$C$28, 0.0226, 0)</f>
        <v>51.267799999999994</v>
      </c>
      <c r="D694" s="4">
        <f>71.4297 * CHOOSE(CONTROL!$C$9, $C$13, 100%, $E$13) + CHOOSE(CONTROL!$C$28, 0.0021, 0)</f>
        <v>71.431799999999996</v>
      </c>
      <c r="E694" s="4">
        <f>354.558110725846 * CHOOSE(CONTROL!$C$9, $C$13, 100%, $E$13) + CHOOSE(CONTROL!$C$28, 0.0021, 0)</f>
        <v>354.56021072584599</v>
      </c>
    </row>
    <row r="695" spans="1:5" ht="15">
      <c r="A695" s="13">
        <v>62305</v>
      </c>
      <c r="B695" s="4">
        <f>51.5923 * CHOOSE(CONTROL!$C$9, $C$13, 100%, $E$13) + CHOOSE(CONTROL!$C$28, 0.0226, 0)</f>
        <v>51.614899999999999</v>
      </c>
      <c r="C695" s="4">
        <f>51.229 * CHOOSE(CONTROL!$C$9, $C$13, 100%, $E$13) + CHOOSE(CONTROL!$C$28, 0.0226, 0)</f>
        <v>51.251599999999996</v>
      </c>
      <c r="D695" s="4">
        <f>72.5777 * CHOOSE(CONTROL!$C$9, $C$13, 100%, $E$13) + CHOOSE(CONTROL!$C$28, 0.0021, 0)</f>
        <v>72.579799999999992</v>
      </c>
      <c r="E695" s="4">
        <f>354.445337789865 * CHOOSE(CONTROL!$C$9, $C$13, 100%, $E$13) + CHOOSE(CONTROL!$C$28, 0.0021, 0)</f>
        <v>354.44743778986498</v>
      </c>
    </row>
    <row r="696" spans="1:5" ht="15">
      <c r="A696" s="13">
        <v>62336</v>
      </c>
      <c r="B696" s="4">
        <f>52.809 * CHOOSE(CONTROL!$C$9, $C$13, 100%, $E$13) + CHOOSE(CONTROL!$C$28, 0.0226, 0)</f>
        <v>52.831599999999995</v>
      </c>
      <c r="C696" s="4">
        <f>52.4457 * CHOOSE(CONTROL!$C$9, $C$13, 100%, $E$13) + CHOOSE(CONTROL!$C$28, 0.0226, 0)</f>
        <v>52.468299999999999</v>
      </c>
      <c r="D696" s="4">
        <f>71.8195 * CHOOSE(CONTROL!$C$9, $C$13, 100%, $E$13) + CHOOSE(CONTROL!$C$28, 0.0021, 0)</f>
        <v>71.821600000000004</v>
      </c>
      <c r="E696" s="4">
        <f>362.931501222473 * CHOOSE(CONTROL!$C$9, $C$13, 100%, $E$13) + CHOOSE(CONTROL!$C$28, 0.0021, 0)</f>
        <v>362.93360122247299</v>
      </c>
    </row>
    <row r="697" spans="1:5" ht="15">
      <c r="A697" s="13">
        <v>62366</v>
      </c>
      <c r="B697" s="4">
        <f>50.7353 * CHOOSE(CONTROL!$C$9, $C$13, 100%, $E$13) + CHOOSE(CONTROL!$C$28, 0.0226, 0)</f>
        <v>50.757899999999999</v>
      </c>
      <c r="C697" s="4">
        <f>50.372 * CHOOSE(CONTROL!$C$9, $C$13, 100%, $E$13) + CHOOSE(CONTROL!$C$28, 0.0226, 0)</f>
        <v>50.394599999999997</v>
      </c>
      <c r="D697" s="4">
        <f>71.4613 * CHOOSE(CONTROL!$C$9, $C$13, 100%, $E$13) + CHOOSE(CONTROL!$C$28, 0.0021, 0)</f>
        <v>71.463399999999993</v>
      </c>
      <c r="E697" s="4">
        <f>348.468372182845 * CHOOSE(CONTROL!$C$9, $C$13, 100%, $E$13) + CHOOSE(CONTROL!$C$28, 0.0021, 0)</f>
        <v>348.47047218284496</v>
      </c>
    </row>
    <row r="698" spans="1:5" ht="15">
      <c r="A698" s="13">
        <v>62397</v>
      </c>
      <c r="B698" s="4">
        <f>49.0753 * CHOOSE(CONTROL!$C$9, $C$13, 100%, $E$13) + CHOOSE(CONTROL!$C$28, 0.0226, 0)</f>
        <v>49.097899999999996</v>
      </c>
      <c r="C698" s="4">
        <f>48.712 * CHOOSE(CONTROL!$C$9, $C$13, 100%, $E$13) + CHOOSE(CONTROL!$C$28, 0.0226, 0)</f>
        <v>48.7346</v>
      </c>
      <c r="D698" s="4">
        <f>70.5022 * CHOOSE(CONTROL!$C$9, $C$13, 100%, $E$13) + CHOOSE(CONTROL!$C$28, 0.0021, 0)</f>
        <v>70.504300000000001</v>
      </c>
      <c r="E698" s="4">
        <f>336.890350755411 * CHOOSE(CONTROL!$C$9, $C$13, 100%, $E$13) + CHOOSE(CONTROL!$C$28, 0.0021, 0)</f>
        <v>336.89245075541101</v>
      </c>
    </row>
    <row r="699" spans="1:5" ht="15">
      <c r="A699" s="13">
        <v>62427</v>
      </c>
      <c r="B699" s="4">
        <f>48.0061 * CHOOSE(CONTROL!$C$9, $C$13, 100%, $E$13) + CHOOSE(CONTROL!$C$28, 0.0226, 0)</f>
        <v>48.028700000000001</v>
      </c>
      <c r="C699" s="4">
        <f>47.6429 * CHOOSE(CONTROL!$C$9, $C$13, 100%, $E$13) + CHOOSE(CONTROL!$C$28, 0.0226, 0)</f>
        <v>47.665499999999994</v>
      </c>
      <c r="D699" s="4">
        <f>70.1724 * CHOOSE(CONTROL!$C$9, $C$13, 100%, $E$13) + CHOOSE(CONTROL!$C$28, 0.0021, 0)</f>
        <v>70.174499999999995</v>
      </c>
      <c r="E699" s="4">
        <f>329.433240363634 * CHOOSE(CONTROL!$C$9, $C$13, 100%, $E$13) + CHOOSE(CONTROL!$C$28, 0.0021, 0)</f>
        <v>329.435340363634</v>
      </c>
    </row>
    <row r="700" spans="1:5" ht="15">
      <c r="A700" s="13">
        <v>62458</v>
      </c>
      <c r="B700" s="4">
        <f>47.2664 * CHOOSE(CONTROL!$C$9, $C$13, 100%, $E$13) + CHOOSE(CONTROL!$C$28, 0.0226, 0)</f>
        <v>47.288999999999994</v>
      </c>
      <c r="C700" s="4">
        <f>46.9031 * CHOOSE(CONTROL!$C$9, $C$13, 100%, $E$13) + CHOOSE(CONTROL!$C$28, 0.0226, 0)</f>
        <v>46.925699999999999</v>
      </c>
      <c r="D700" s="4">
        <f>67.7448 * CHOOSE(CONTROL!$C$9, $C$13, 100%, $E$13) + CHOOSE(CONTROL!$C$28, 0.0021, 0)</f>
        <v>67.746899999999997</v>
      </c>
      <c r="E700" s="4">
        <f>324.27387854248 * CHOOSE(CONTROL!$C$9, $C$13, 100%, $E$13) + CHOOSE(CONTROL!$C$28, 0.0021, 0)</f>
        <v>324.27597854248</v>
      </c>
    </row>
    <row r="701" spans="1:5" ht="15">
      <c r="A701" s="13">
        <v>62489</v>
      </c>
      <c r="B701" s="4">
        <f>45.2425 * CHOOSE(CONTROL!$C$9, $C$13, 100%, $E$13) + CHOOSE(CONTROL!$C$28, 0.0226, 0)</f>
        <v>45.265099999999997</v>
      </c>
      <c r="C701" s="4">
        <f>44.8792 * CHOOSE(CONTROL!$C$9, $C$13, 100%, $E$13) + CHOOSE(CONTROL!$C$28, 0.0226, 0)</f>
        <v>44.901799999999994</v>
      </c>
      <c r="D701" s="4">
        <f>65.0705 * CHOOSE(CONTROL!$C$9, $C$13, 100%, $E$13) + CHOOSE(CONTROL!$C$28, 0.0021, 0)</f>
        <v>65.072599999999994</v>
      </c>
      <c r="E701" s="4">
        <f>310.766553843426 * CHOOSE(CONTROL!$C$9, $C$13, 100%, $E$13) + CHOOSE(CONTROL!$C$28, 0.0021, 0)</f>
        <v>310.76865384342597</v>
      </c>
    </row>
    <row r="702" spans="1:5" ht="15">
      <c r="A702" s="13">
        <v>62517</v>
      </c>
      <c r="B702" s="4">
        <f>46.2984 * CHOOSE(CONTROL!$C$9, $C$13, 100%, $E$13) + CHOOSE(CONTROL!$C$28, 0.0226, 0)</f>
        <v>46.320999999999998</v>
      </c>
      <c r="C702" s="4">
        <f>45.9351 * CHOOSE(CONTROL!$C$9, $C$13, 100%, $E$13) + CHOOSE(CONTROL!$C$28, 0.0226, 0)</f>
        <v>45.957699999999996</v>
      </c>
      <c r="D702" s="4">
        <f>67.3017 * CHOOSE(CONTROL!$C$9, $C$13, 100%, $E$13) + CHOOSE(CONTROL!$C$28, 0.0021, 0)</f>
        <v>67.303799999999995</v>
      </c>
      <c r="E702" s="4">
        <f>318.145376534515 * CHOOSE(CONTROL!$C$9, $C$13, 100%, $E$13) + CHOOSE(CONTROL!$C$28, 0.0021, 0)</f>
        <v>318.14747653451496</v>
      </c>
    </row>
    <row r="703" spans="1:5" ht="15">
      <c r="A703" s="13">
        <v>62548</v>
      </c>
      <c r="B703" s="4">
        <f>49.0712 * CHOOSE(CONTROL!$C$9, $C$13, 100%, $E$13) + CHOOSE(CONTROL!$C$28, 0.0226, 0)</f>
        <v>49.093799999999995</v>
      </c>
      <c r="C703" s="4">
        <f>48.7079 * CHOOSE(CONTROL!$C$9, $C$13, 100%, $E$13) + CHOOSE(CONTROL!$C$28, 0.0226, 0)</f>
        <v>48.730499999999999</v>
      </c>
      <c r="D703" s="4">
        <f>70.7945 * CHOOSE(CONTROL!$C$9, $C$13, 100%, $E$13) + CHOOSE(CONTROL!$C$28, 0.0021, 0)</f>
        <v>70.796599999999998</v>
      </c>
      <c r="E703" s="4">
        <f>337.522557055767 * CHOOSE(CONTROL!$C$9, $C$13, 100%, $E$13) + CHOOSE(CONTROL!$C$28, 0.0021, 0)</f>
        <v>337.52465705576697</v>
      </c>
    </row>
    <row r="704" spans="1:5" ht="15">
      <c r="A704" s="13">
        <v>62578</v>
      </c>
      <c r="B704" s="4">
        <f>51.0413 * CHOOSE(CONTROL!$C$9, $C$13, 100%, $E$13) + CHOOSE(CONTROL!$C$28, 0.0226, 0)</f>
        <v>51.063899999999997</v>
      </c>
      <c r="C704" s="4">
        <f>50.678 * CHOOSE(CONTROL!$C$9, $C$13, 100%, $E$13) + CHOOSE(CONTROL!$C$28, 0.0226, 0)</f>
        <v>50.700599999999994</v>
      </c>
      <c r="D704" s="4">
        <f>72.8065 * CHOOSE(CONTROL!$C$9, $C$13, 100%, $E$13) + CHOOSE(CONTROL!$C$28, 0.0021, 0)</f>
        <v>72.808599999999998</v>
      </c>
      <c r="E704" s="4">
        <f>351.290302051 * CHOOSE(CONTROL!$C$9, $C$13, 100%, $E$13) + CHOOSE(CONTROL!$C$28, 0.0021, 0)</f>
        <v>351.29240205100001</v>
      </c>
    </row>
    <row r="705" spans="1:5" ht="15">
      <c r="A705" s="13">
        <v>62609</v>
      </c>
      <c r="B705" s="4">
        <f>52.2449 * CHOOSE(CONTROL!$C$9, $C$13, 100%, $E$13) + CHOOSE(CONTROL!$C$28, 0.0226, 0)</f>
        <v>52.267499999999998</v>
      </c>
      <c r="C705" s="4">
        <f>51.8817 * CHOOSE(CONTROL!$C$9, $C$13, 100%, $E$13) + CHOOSE(CONTROL!$C$28, 0.0226, 0)</f>
        <v>51.904299999999999</v>
      </c>
      <c r="D705" s="4">
        <f>72.0115 * CHOOSE(CONTROL!$C$9, $C$13, 100%, $E$13) + CHOOSE(CONTROL!$C$28, 0.0021, 0)</f>
        <v>72.013599999999997</v>
      </c>
      <c r="E705" s="4">
        <f>359.702064276292 * CHOOSE(CONTROL!$C$9, $C$13, 100%, $E$13) + CHOOSE(CONTROL!$C$28, 0.0021, 0)</f>
        <v>359.70416427629198</v>
      </c>
    </row>
    <row r="706" spans="1:5" ht="15">
      <c r="A706" s="13">
        <v>62639</v>
      </c>
      <c r="B706" s="4">
        <f>52.4078 * CHOOSE(CONTROL!$C$9, $C$13, 100%, $E$13) + CHOOSE(CONTROL!$C$28, 0.0226, 0)</f>
        <v>52.430399999999999</v>
      </c>
      <c r="C706" s="4">
        <f>52.0445 * CHOOSE(CONTROL!$C$9, $C$13, 100%, $E$13) + CHOOSE(CONTROL!$C$28, 0.0226, 0)</f>
        <v>52.067099999999996</v>
      </c>
      <c r="D706" s="4">
        <f>72.659 * CHOOSE(CONTROL!$C$9, $C$13, 100%, $E$13) + CHOOSE(CONTROL!$C$28, 0.0021, 0)</f>
        <v>72.661100000000005</v>
      </c>
      <c r="E706" s="4">
        <f>360.840210614904 * CHOOSE(CONTROL!$C$9, $C$13, 100%, $E$13) + CHOOSE(CONTROL!$C$28, 0.0021, 0)</f>
        <v>360.84231061490397</v>
      </c>
    </row>
    <row r="707" spans="1:5" ht="15">
      <c r="A707" s="13">
        <v>62670</v>
      </c>
      <c r="B707" s="4">
        <f>52.3914 * CHOOSE(CONTROL!$C$9, $C$13, 100%, $E$13) + CHOOSE(CONTROL!$C$28, 0.0226, 0)</f>
        <v>52.413999999999994</v>
      </c>
      <c r="C707" s="4">
        <f>52.0281 * CHOOSE(CONTROL!$C$9, $C$13, 100%, $E$13) + CHOOSE(CONTROL!$C$28, 0.0226, 0)</f>
        <v>52.050699999999999</v>
      </c>
      <c r="D707" s="4">
        <f>73.8273 * CHOOSE(CONTROL!$C$9, $C$13, 100%, $E$13) + CHOOSE(CONTROL!$C$28, 0.0021, 0)</f>
        <v>73.829399999999993</v>
      </c>
      <c r="E707" s="4">
        <f>360.725439555548 * CHOOSE(CONTROL!$C$9, $C$13, 100%, $E$13) + CHOOSE(CONTROL!$C$28, 0.0021, 0)</f>
        <v>360.72753955554799</v>
      </c>
    </row>
    <row r="708" spans="1:5" ht="15">
      <c r="A708" s="13">
        <v>62701</v>
      </c>
      <c r="B708" s="4">
        <f>53.6272 * CHOOSE(CONTROL!$C$9, $C$13, 100%, $E$13) + CHOOSE(CONTROL!$C$28, 0.0226, 0)</f>
        <v>53.649799999999999</v>
      </c>
      <c r="C708" s="4">
        <f>53.2639 * CHOOSE(CONTROL!$C$9, $C$13, 100%, $E$13) + CHOOSE(CONTROL!$C$28, 0.0226, 0)</f>
        <v>53.286499999999997</v>
      </c>
      <c r="D708" s="4">
        <f>73.0557 * CHOOSE(CONTROL!$C$9, $C$13, 100%, $E$13) + CHOOSE(CONTROL!$C$28, 0.0021, 0)</f>
        <v>73.0578</v>
      </c>
      <c r="E708" s="4">
        <f>369.361961772079 * CHOOSE(CONTROL!$C$9, $C$13, 100%, $E$13) + CHOOSE(CONTROL!$C$28, 0.0021, 0)</f>
        <v>369.36406177207897</v>
      </c>
    </row>
    <row r="709" spans="1:5" ht="15">
      <c r="A709" s="13">
        <v>62731</v>
      </c>
      <c r="B709" s="4">
        <f>51.521 * CHOOSE(CONTROL!$C$9, $C$13, 100%, $E$13) + CHOOSE(CONTROL!$C$28, 0.0226, 0)</f>
        <v>51.543599999999998</v>
      </c>
      <c r="C709" s="4">
        <f>51.1577 * CHOOSE(CONTROL!$C$9, $C$13, 100%, $E$13) + CHOOSE(CONTROL!$C$28, 0.0226, 0)</f>
        <v>51.180299999999995</v>
      </c>
      <c r="D709" s="4">
        <f>72.6912 * CHOOSE(CONTROL!$C$9, $C$13, 100%, $E$13) + CHOOSE(CONTROL!$C$28, 0.0021, 0)</f>
        <v>72.693299999999994</v>
      </c>
      <c r="E709" s="4">
        <f>354.642573409686 * CHOOSE(CONTROL!$C$9, $C$13, 100%, $E$13) + CHOOSE(CONTROL!$C$28, 0.0021, 0)</f>
        <v>354.64467340968599</v>
      </c>
    </row>
    <row r="710" spans="1:5" ht="15">
      <c r="A710" s="13">
        <v>62762</v>
      </c>
      <c r="B710" s="4">
        <f>49.8348 * CHOOSE(CONTROL!$C$9, $C$13, 100%, $E$13) + CHOOSE(CONTROL!$C$28, 0.0226, 0)</f>
        <v>49.857399999999998</v>
      </c>
      <c r="C710" s="4">
        <f>49.4716 * CHOOSE(CONTROL!$C$9, $C$13, 100%, $E$13) + CHOOSE(CONTROL!$C$28, 0.0226, 0)</f>
        <v>49.494199999999999</v>
      </c>
      <c r="D710" s="4">
        <f>71.7151 * CHOOSE(CONTROL!$C$9, $C$13, 100%, $E$13) + CHOOSE(CONTROL!$C$28, 0.0021, 0)</f>
        <v>71.717200000000005</v>
      </c>
      <c r="E710" s="4">
        <f>342.859411315815 * CHOOSE(CONTROL!$C$9, $C$13, 100%, $E$13) + CHOOSE(CONTROL!$C$28, 0.0021, 0)</f>
        <v>342.86151131581499</v>
      </c>
    </row>
    <row r="711" spans="1:5" ht="15">
      <c r="A711" s="13">
        <v>62792</v>
      </c>
      <c r="B711" s="4">
        <f>48.7489 * CHOOSE(CONTROL!$C$9, $C$13, 100%, $E$13) + CHOOSE(CONTROL!$C$28, 0.0226, 0)</f>
        <v>48.771499999999996</v>
      </c>
      <c r="C711" s="4">
        <f>48.3856 * CHOOSE(CONTROL!$C$9, $C$13, 100%, $E$13) + CHOOSE(CONTROL!$C$28, 0.0226, 0)</f>
        <v>48.408199999999994</v>
      </c>
      <c r="D711" s="4">
        <f>71.3795 * CHOOSE(CONTROL!$C$9, $C$13, 100%, $E$13) + CHOOSE(CONTROL!$C$28, 0.0021, 0)</f>
        <v>71.381599999999992</v>
      </c>
      <c r="E711" s="4">
        <f>335.270175015907 * CHOOSE(CONTROL!$C$9, $C$13, 100%, $E$13) + CHOOSE(CONTROL!$C$28, 0.0021, 0)</f>
        <v>335.27227501590698</v>
      </c>
    </row>
    <row r="712" spans="1:5" ht="15">
      <c r="A712" s="13">
        <v>62823</v>
      </c>
      <c r="B712" s="4">
        <f>47.9975 * CHOOSE(CONTROL!$C$9, $C$13, 100%, $E$13) + CHOOSE(CONTROL!$C$28, 0.0226, 0)</f>
        <v>48.020099999999999</v>
      </c>
      <c r="C712" s="4">
        <f>47.6342 * CHOOSE(CONTROL!$C$9, $C$13, 100%, $E$13) + CHOOSE(CONTROL!$C$28, 0.0226, 0)</f>
        <v>47.656799999999997</v>
      </c>
      <c r="D712" s="4">
        <f>68.909 * CHOOSE(CONTROL!$C$9, $C$13, 100%, $E$13) + CHOOSE(CONTROL!$C$28, 0.0021, 0)</f>
        <v>68.911100000000005</v>
      </c>
      <c r="E712" s="4">
        <f>330.019399050376 * CHOOSE(CONTROL!$C$9, $C$13, 100%, $E$13) + CHOOSE(CONTROL!$C$28, 0.0021, 0)</f>
        <v>330.02149905037601</v>
      </c>
    </row>
    <row r="713" spans="1:5" ht="15">
      <c r="A713" s="13">
        <v>62854</v>
      </c>
      <c r="B713" s="4">
        <f>45.9418 * CHOOSE(CONTROL!$C$9, $C$13, 100%, $E$13) + CHOOSE(CONTROL!$C$28, 0.0226, 0)</f>
        <v>45.964399999999998</v>
      </c>
      <c r="C713" s="4">
        <f>45.5785 * CHOOSE(CONTROL!$C$9, $C$13, 100%, $E$13) + CHOOSE(CONTROL!$C$28, 0.0226, 0)</f>
        <v>45.601099999999995</v>
      </c>
      <c r="D713" s="4">
        <f>66.1874 * CHOOSE(CONTROL!$C$9, $C$13, 100%, $E$13) + CHOOSE(CONTROL!$C$28, 0.0021, 0)</f>
        <v>66.189499999999995</v>
      </c>
      <c r="E713" s="4">
        <f>316.272750075762 * CHOOSE(CONTROL!$C$9, $C$13, 100%, $E$13) + CHOOSE(CONTROL!$C$28, 0.0021, 0)</f>
        <v>316.274850075762</v>
      </c>
    </row>
    <row r="714" spans="1:5" ht="15">
      <c r="A714" s="13">
        <v>62883</v>
      </c>
      <c r="B714" s="4">
        <f>47.0143 * CHOOSE(CONTROL!$C$9, $C$13, 100%, $E$13) + CHOOSE(CONTROL!$C$28, 0.0226, 0)</f>
        <v>47.036899999999996</v>
      </c>
      <c r="C714" s="4">
        <f>46.651 * CHOOSE(CONTROL!$C$9, $C$13, 100%, $E$13) + CHOOSE(CONTROL!$C$28, 0.0226, 0)</f>
        <v>46.6736</v>
      </c>
      <c r="D714" s="4">
        <f>68.4581 * CHOOSE(CONTROL!$C$9, $C$13, 100%, $E$13) + CHOOSE(CONTROL!$C$28, 0.0021, 0)</f>
        <v>68.4602</v>
      </c>
      <c r="E714" s="4">
        <f>323.782311564827 * CHOOSE(CONTROL!$C$9, $C$13, 100%, $E$13) + CHOOSE(CONTROL!$C$28, 0.0021, 0)</f>
        <v>323.784411564827</v>
      </c>
    </row>
    <row r="715" spans="1:5" ht="15">
      <c r="A715" s="13">
        <v>62914</v>
      </c>
      <c r="B715" s="4">
        <f>49.8307 * CHOOSE(CONTROL!$C$9, $C$13, 100%, $E$13) + CHOOSE(CONTROL!$C$28, 0.0226, 0)</f>
        <v>49.853299999999997</v>
      </c>
      <c r="C715" s="4">
        <f>49.4674 * CHOOSE(CONTROL!$C$9, $C$13, 100%, $E$13) + CHOOSE(CONTROL!$C$28, 0.0226, 0)</f>
        <v>49.489999999999995</v>
      </c>
      <c r="D715" s="4">
        <f>72.0126 * CHOOSE(CONTROL!$C$9, $C$13, 100%, $E$13) + CHOOSE(CONTROL!$C$28, 0.0021, 0)</f>
        <v>72.014700000000005</v>
      </c>
      <c r="E715" s="4">
        <f>343.502819117446 * CHOOSE(CONTROL!$C$9, $C$13, 100%, $E$13) + CHOOSE(CONTROL!$C$28, 0.0021, 0)</f>
        <v>343.50491911744598</v>
      </c>
    </row>
    <row r="716" spans="1:5" ht="15">
      <c r="A716" s="13">
        <v>62944</v>
      </c>
      <c r="B716" s="4">
        <f>51.8317 * CHOOSE(CONTROL!$C$9, $C$13, 100%, $E$13) + CHOOSE(CONTROL!$C$28, 0.0226, 0)</f>
        <v>51.854299999999995</v>
      </c>
      <c r="C716" s="4">
        <f>51.4684 * CHOOSE(CONTROL!$C$9, $C$13, 100%, $E$13) + CHOOSE(CONTROL!$C$28, 0.0226, 0)</f>
        <v>51.491</v>
      </c>
      <c r="D716" s="4">
        <f>74.0602 * CHOOSE(CONTROL!$C$9, $C$13, 100%, $E$13) + CHOOSE(CONTROL!$C$28, 0.0021, 0)</f>
        <v>74.062299999999993</v>
      </c>
      <c r="E716" s="4">
        <f>357.5145025439 * CHOOSE(CONTROL!$C$9, $C$13, 100%, $E$13) + CHOOSE(CONTROL!$C$28, 0.0021, 0)</f>
        <v>357.51660254389998</v>
      </c>
    </row>
    <row r="717" spans="1:5" ht="15">
      <c r="A717" s="13">
        <v>62975</v>
      </c>
      <c r="B717" s="4">
        <f>53.0543 * CHOOSE(CONTROL!$C$9, $C$13, 100%, $E$13) + CHOOSE(CONTROL!$C$28, 0.0226, 0)</f>
        <v>53.076899999999995</v>
      </c>
      <c r="C717" s="4">
        <f>52.6911 * CHOOSE(CONTROL!$C$9, $C$13, 100%, $E$13) + CHOOSE(CONTROL!$C$28, 0.0226, 0)</f>
        <v>52.713699999999996</v>
      </c>
      <c r="D717" s="4">
        <f>73.2511 * CHOOSE(CONTROL!$C$9, $C$13, 100%, $E$13) + CHOOSE(CONTROL!$C$28, 0.0021, 0)</f>
        <v>73.253199999999993</v>
      </c>
      <c r="E717" s="4">
        <f>366.07530530428 * CHOOSE(CONTROL!$C$9, $C$13, 100%, $E$13) + CHOOSE(CONTROL!$C$28, 0.0021, 0)</f>
        <v>366.07740530427998</v>
      </c>
    </row>
    <row r="718" spans="1:5" ht="15">
      <c r="A718" s="13">
        <v>63005</v>
      </c>
      <c r="B718" s="4">
        <f>53.2198 * CHOOSE(CONTROL!$C$9, $C$13, 100%, $E$13) + CHOOSE(CONTROL!$C$28, 0.0226, 0)</f>
        <v>53.242399999999996</v>
      </c>
      <c r="C718" s="4">
        <f>52.8565 * CHOOSE(CONTROL!$C$9, $C$13, 100%, $E$13) + CHOOSE(CONTROL!$C$28, 0.0226, 0)</f>
        <v>52.879099999999994</v>
      </c>
      <c r="D718" s="4">
        <f>73.91 * CHOOSE(CONTROL!$C$9, $C$13, 100%, $E$13) + CHOOSE(CONTROL!$C$28, 0.0021, 0)</f>
        <v>73.912099999999995</v>
      </c>
      <c r="E718" s="4">
        <f>367.233617445821 * CHOOSE(CONTROL!$C$9, $C$13, 100%, $E$13) + CHOOSE(CONTROL!$C$28, 0.0021, 0)</f>
        <v>367.23571744582097</v>
      </c>
    </row>
    <row r="719" spans="1:5" ht="15">
      <c r="A719" s="13">
        <v>63036</v>
      </c>
      <c r="B719" s="4">
        <f>53.2031 * CHOOSE(CONTROL!$C$9, $C$13, 100%, $E$13) + CHOOSE(CONTROL!$C$28, 0.0226, 0)</f>
        <v>53.225699999999996</v>
      </c>
      <c r="C719" s="4">
        <f>52.8398 * CHOOSE(CONTROL!$C$9, $C$13, 100%, $E$13) + CHOOSE(CONTROL!$C$28, 0.0226, 0)</f>
        <v>52.862399999999994</v>
      </c>
      <c r="D719" s="4">
        <f>75.099 * CHOOSE(CONTROL!$C$9, $C$13, 100%, $E$13) + CHOOSE(CONTROL!$C$28, 0.0021, 0)</f>
        <v>75.101100000000002</v>
      </c>
      <c r="E719" s="4">
        <f>367.116812860119 * CHOOSE(CONTROL!$C$9, $C$13, 100%, $E$13) + CHOOSE(CONTROL!$C$28, 0.0021, 0)</f>
        <v>367.118912860119</v>
      </c>
    </row>
    <row r="720" spans="1:5" ht="15">
      <c r="A720" s="13">
        <v>63067</v>
      </c>
      <c r="B720" s="4">
        <f>54.4583 * CHOOSE(CONTROL!$C$9, $C$13, 100%, $E$13) + CHOOSE(CONTROL!$C$28, 0.0226, 0)</f>
        <v>54.480899999999998</v>
      </c>
      <c r="C720" s="4">
        <f>54.0951 * CHOOSE(CONTROL!$C$9, $C$13, 100%, $E$13) + CHOOSE(CONTROL!$C$28, 0.0226, 0)</f>
        <v>54.117699999999999</v>
      </c>
      <c r="D720" s="4">
        <f>74.3138 * CHOOSE(CONTROL!$C$9, $C$13, 100%, $E$13) + CHOOSE(CONTROL!$C$28, 0.0021, 0)</f>
        <v>74.315899999999999</v>
      </c>
      <c r="E720" s="4">
        <f>375.906357934164 * CHOOSE(CONTROL!$C$9, $C$13, 100%, $E$13) + CHOOSE(CONTROL!$C$28, 0.0021, 0)</f>
        <v>375.90845793416401</v>
      </c>
    </row>
    <row r="721" spans="1:5" ht="15">
      <c r="A721" s="13">
        <v>63097</v>
      </c>
      <c r="B721" s="4">
        <f>52.319 * CHOOSE(CONTROL!$C$9, $C$13, 100%, $E$13) + CHOOSE(CONTROL!$C$28, 0.0226, 0)</f>
        <v>52.3416</v>
      </c>
      <c r="C721" s="4">
        <f>51.9557 * CHOOSE(CONTROL!$C$9, $C$13, 100%, $E$13) + CHOOSE(CONTROL!$C$28, 0.0226, 0)</f>
        <v>51.978299999999997</v>
      </c>
      <c r="D721" s="4">
        <f>73.9428 * CHOOSE(CONTROL!$C$9, $C$13, 100%, $E$13) + CHOOSE(CONTROL!$C$28, 0.0021, 0)</f>
        <v>73.944900000000004</v>
      </c>
      <c r="E721" s="4">
        <f>360.926169817935 * CHOOSE(CONTROL!$C$9, $C$13, 100%, $E$13) + CHOOSE(CONTROL!$C$28, 0.0021, 0)</f>
        <v>360.92826981793496</v>
      </c>
    </row>
    <row r="722" spans="1:5" ht="15">
      <c r="A722" s="13">
        <v>63128</v>
      </c>
      <c r="B722" s="4">
        <f>50.6063 * CHOOSE(CONTROL!$C$9, $C$13, 100%, $E$13) + CHOOSE(CONTROL!$C$28, 0.0226, 0)</f>
        <v>50.628899999999994</v>
      </c>
      <c r="C722" s="4">
        <f>50.2431 * CHOOSE(CONTROL!$C$9, $C$13, 100%, $E$13) + CHOOSE(CONTROL!$C$28, 0.0226, 0)</f>
        <v>50.265699999999995</v>
      </c>
      <c r="D722" s="4">
        <f>72.9495 * CHOOSE(CONTROL!$C$9, $C$13, 100%, $E$13) + CHOOSE(CONTROL!$C$28, 0.0021, 0)</f>
        <v>72.951599999999999</v>
      </c>
      <c r="E722" s="4">
        <f>348.934232352571 * CHOOSE(CONTROL!$C$9, $C$13, 100%, $E$13) + CHOOSE(CONTROL!$C$28, 0.0021, 0)</f>
        <v>348.93633235257096</v>
      </c>
    </row>
    <row r="723" spans="1:5" ht="15">
      <c r="A723" s="13">
        <v>63158</v>
      </c>
      <c r="B723" s="4">
        <f>49.5033 * CHOOSE(CONTROL!$C$9, $C$13, 100%, $E$13) + CHOOSE(CONTROL!$C$28, 0.0226, 0)</f>
        <v>49.5259</v>
      </c>
      <c r="C723" s="4">
        <f>49.14 * CHOOSE(CONTROL!$C$9, $C$13, 100%, $E$13) + CHOOSE(CONTROL!$C$28, 0.0226, 0)</f>
        <v>49.162599999999998</v>
      </c>
      <c r="D723" s="4">
        <f>72.608 * CHOOSE(CONTROL!$C$9, $C$13, 100%, $E$13) + CHOOSE(CONTROL!$C$28, 0.0021, 0)</f>
        <v>72.610100000000003</v>
      </c>
      <c r="E723" s="4">
        <f>341.210529123052 * CHOOSE(CONTROL!$C$9, $C$13, 100%, $E$13) + CHOOSE(CONTROL!$C$28, 0.0021, 0)</f>
        <v>341.21262912305201</v>
      </c>
    </row>
    <row r="724" spans="1:5" ht="15">
      <c r="A724" s="13">
        <v>63189</v>
      </c>
      <c r="B724" s="4">
        <f>48.7401 * CHOOSE(CONTROL!$C$9, $C$13, 100%, $E$13) + CHOOSE(CONTROL!$C$28, 0.0226, 0)</f>
        <v>48.762699999999995</v>
      </c>
      <c r="C724" s="4">
        <f>48.3768 * CHOOSE(CONTROL!$C$9, $C$13, 100%, $E$13) + CHOOSE(CONTROL!$C$28, 0.0226, 0)</f>
        <v>48.3994</v>
      </c>
      <c r="D724" s="4">
        <f>70.0938 * CHOOSE(CONTROL!$C$9, $C$13, 100%, $E$13) + CHOOSE(CONTROL!$C$28, 0.0021, 0)</f>
        <v>70.0959</v>
      </c>
      <c r="E724" s="4">
        <f>335.866719327204 * CHOOSE(CONTROL!$C$9, $C$13, 100%, $E$13) + CHOOSE(CONTROL!$C$28, 0.0021, 0)</f>
        <v>335.86881932720399</v>
      </c>
    </row>
    <row r="725" spans="1:5" ht="15">
      <c r="A725" s="13">
        <v>63220</v>
      </c>
      <c r="B725" s="4">
        <f>46.6521 * CHOOSE(CONTROL!$C$9, $C$13, 100%, $E$13) + CHOOSE(CONTROL!$C$28, 0.0226, 0)</f>
        <v>46.674699999999994</v>
      </c>
      <c r="C725" s="4">
        <f>46.2888 * CHOOSE(CONTROL!$C$9, $C$13, 100%, $E$13) + CHOOSE(CONTROL!$C$28, 0.0226, 0)</f>
        <v>46.311399999999999</v>
      </c>
      <c r="D725" s="4">
        <f>67.3241 * CHOOSE(CONTROL!$C$9, $C$13, 100%, $E$13) + CHOOSE(CONTROL!$C$28, 0.0021, 0)</f>
        <v>67.3262</v>
      </c>
      <c r="E725" s="4">
        <f>321.876505703 * CHOOSE(CONTROL!$C$9, $C$13, 100%, $E$13) + CHOOSE(CONTROL!$C$28, 0.0021, 0)</f>
        <v>321.87860570300001</v>
      </c>
    </row>
    <row r="726" spans="1:5" ht="15">
      <c r="A726" s="13">
        <v>63248</v>
      </c>
      <c r="B726" s="4">
        <f>47.7414 * CHOOSE(CONTROL!$C$9, $C$13, 100%, $E$13) + CHOOSE(CONTROL!$C$28, 0.0226, 0)</f>
        <v>47.763999999999996</v>
      </c>
      <c r="C726" s="4">
        <f>47.3781 * CHOOSE(CONTROL!$C$9, $C$13, 100%, $E$13) + CHOOSE(CONTROL!$C$28, 0.0226, 0)</f>
        <v>47.400700000000001</v>
      </c>
      <c r="D726" s="4">
        <f>69.6349 * CHOOSE(CONTROL!$C$9, $C$13, 100%, $E$13) + CHOOSE(CONTROL!$C$28, 0.0021, 0)</f>
        <v>69.637</v>
      </c>
      <c r="E726" s="4">
        <f>329.519122434549 * CHOOSE(CONTROL!$C$9, $C$13, 100%, $E$13) + CHOOSE(CONTROL!$C$28, 0.0021, 0)</f>
        <v>329.52122243454897</v>
      </c>
    </row>
    <row r="727" spans="1:5" ht="15">
      <c r="A727" s="13">
        <v>63279</v>
      </c>
      <c r="B727" s="4">
        <f>50.6021 * CHOOSE(CONTROL!$C$9, $C$13, 100%, $E$13) + CHOOSE(CONTROL!$C$28, 0.0226, 0)</f>
        <v>50.624699999999997</v>
      </c>
      <c r="C727" s="4">
        <f>50.2388 * CHOOSE(CONTROL!$C$9, $C$13, 100%, $E$13) + CHOOSE(CONTROL!$C$28, 0.0226, 0)</f>
        <v>50.261399999999995</v>
      </c>
      <c r="D727" s="4">
        <f>73.2523 * CHOOSE(CONTROL!$C$9, $C$13, 100%, $E$13) + CHOOSE(CONTROL!$C$28, 0.0021, 0)</f>
        <v>73.254400000000004</v>
      </c>
      <c r="E727" s="4">
        <f>349.589040124917 * CHOOSE(CONTROL!$C$9, $C$13, 100%, $E$13) + CHOOSE(CONTROL!$C$28, 0.0021, 0)</f>
        <v>349.59114012491699</v>
      </c>
    </row>
    <row r="728" spans="1:5" ht="15">
      <c r="A728" s="13">
        <v>63309</v>
      </c>
      <c r="B728" s="4">
        <f>52.6346 * CHOOSE(CONTROL!$C$9, $C$13, 100%, $E$13) + CHOOSE(CONTROL!$C$28, 0.0226, 0)</f>
        <v>52.657199999999996</v>
      </c>
      <c r="C728" s="4">
        <f>52.2713 * CHOOSE(CONTROL!$C$9, $C$13, 100%, $E$13) + CHOOSE(CONTROL!$C$28, 0.0226, 0)</f>
        <v>52.293899999999994</v>
      </c>
      <c r="D728" s="4">
        <f>75.336 * CHOOSE(CONTROL!$C$9, $C$13, 100%, $E$13) + CHOOSE(CONTROL!$C$28, 0.0021, 0)</f>
        <v>75.338099999999997</v>
      </c>
      <c r="E728" s="4">
        <f>363.848984110744 * CHOOSE(CONTROL!$C$9, $C$13, 100%, $E$13) + CHOOSE(CONTROL!$C$28, 0.0021, 0)</f>
        <v>363.85108411074401</v>
      </c>
    </row>
    <row r="729" spans="1:5" ht="15">
      <c r="A729" s="13">
        <v>63340</v>
      </c>
      <c r="B729" s="4">
        <f>53.8764 * CHOOSE(CONTROL!$C$9, $C$13, 100%, $E$13) + CHOOSE(CONTROL!$C$28, 0.0226, 0)</f>
        <v>53.898999999999994</v>
      </c>
      <c r="C729" s="4">
        <f>53.5132 * CHOOSE(CONTROL!$C$9, $C$13, 100%, $E$13) + CHOOSE(CONTROL!$C$28, 0.0226, 0)</f>
        <v>53.535799999999995</v>
      </c>
      <c r="D729" s="4">
        <f>74.5126 * CHOOSE(CONTROL!$C$9, $C$13, 100%, $E$13) + CHOOSE(CONTROL!$C$28, 0.0021, 0)</f>
        <v>74.514700000000005</v>
      </c>
      <c r="E729" s="4">
        <f>372.561468122924 * CHOOSE(CONTROL!$C$9, $C$13, 100%, $E$13) + CHOOSE(CONTROL!$C$28, 0.0021, 0)</f>
        <v>372.56356812292398</v>
      </c>
    </row>
    <row r="730" spans="1:5" ht="15">
      <c r="A730" s="13">
        <v>63370</v>
      </c>
      <c r="B730" s="4">
        <f>54.0445 * CHOOSE(CONTROL!$C$9, $C$13, 100%, $E$13) + CHOOSE(CONTROL!$C$28, 0.0226, 0)</f>
        <v>54.067099999999996</v>
      </c>
      <c r="C730" s="4">
        <f>53.6812 * CHOOSE(CONTROL!$C$9, $C$13, 100%, $E$13) + CHOOSE(CONTROL!$C$28, 0.0226, 0)</f>
        <v>53.703799999999994</v>
      </c>
      <c r="D730" s="4">
        <f>75.1832 * CHOOSE(CONTROL!$C$9, $C$13, 100%, $E$13) + CHOOSE(CONTROL!$C$28, 0.0021, 0)</f>
        <v>75.185299999999998</v>
      </c>
      <c r="E730" s="4">
        <f>373.740303367324 * CHOOSE(CONTROL!$C$9, $C$13, 100%, $E$13) + CHOOSE(CONTROL!$C$28, 0.0021, 0)</f>
        <v>373.74240336732396</v>
      </c>
    </row>
    <row r="731" spans="1:5" ht="15">
      <c r="A731" s="13">
        <v>63401</v>
      </c>
      <c r="B731" s="4">
        <f>54.0275 * CHOOSE(CONTROL!$C$9, $C$13, 100%, $E$13) + CHOOSE(CONTROL!$C$28, 0.0226, 0)</f>
        <v>54.0501</v>
      </c>
      <c r="C731" s="4">
        <f>53.6642 * CHOOSE(CONTROL!$C$9, $C$13, 100%, $E$13) + CHOOSE(CONTROL!$C$28, 0.0226, 0)</f>
        <v>53.686799999999998</v>
      </c>
      <c r="D731" s="4">
        <f>76.3931 * CHOOSE(CONTROL!$C$9, $C$13, 100%, $E$13) + CHOOSE(CONTROL!$C$28, 0.0021, 0)</f>
        <v>76.395200000000003</v>
      </c>
      <c r="E731" s="4">
        <f>373.621429225032 * CHOOSE(CONTROL!$C$9, $C$13, 100%, $E$13) + CHOOSE(CONTROL!$C$28, 0.0021, 0)</f>
        <v>373.62352922503197</v>
      </c>
    </row>
    <row r="732" spans="1:5" ht="15">
      <c r="A732" s="13">
        <v>63432</v>
      </c>
      <c r="B732" s="4">
        <f>55.3025 * CHOOSE(CONTROL!$C$9, $C$13, 100%, $E$13) + CHOOSE(CONTROL!$C$28, 0.0226, 0)</f>
        <v>55.325099999999999</v>
      </c>
      <c r="C732" s="4">
        <f>54.9393 * CHOOSE(CONTROL!$C$9, $C$13, 100%, $E$13) + CHOOSE(CONTROL!$C$28, 0.0226, 0)</f>
        <v>54.9619</v>
      </c>
      <c r="D732" s="4">
        <f>75.5941 * CHOOSE(CONTROL!$C$9, $C$13, 100%, $E$13) + CHOOSE(CONTROL!$C$28, 0.0021, 0)</f>
        <v>75.596199999999996</v>
      </c>
      <c r="E732" s="4">
        <f>382.566708432535 * CHOOSE(CONTROL!$C$9, $C$13, 100%, $E$13) + CHOOSE(CONTROL!$C$28, 0.0021, 0)</f>
        <v>382.56880843253498</v>
      </c>
    </row>
    <row r="733" spans="1:5" ht="15">
      <c r="A733" s="13">
        <v>63462</v>
      </c>
      <c r="B733" s="4">
        <f>53.1295 * CHOOSE(CONTROL!$C$9, $C$13, 100%, $E$13) + CHOOSE(CONTROL!$C$28, 0.0226, 0)</f>
        <v>53.152099999999997</v>
      </c>
      <c r="C733" s="4">
        <f>52.7662 * CHOOSE(CONTROL!$C$9, $C$13, 100%, $E$13) + CHOOSE(CONTROL!$C$28, 0.0226, 0)</f>
        <v>52.788799999999995</v>
      </c>
      <c r="D733" s="4">
        <f>75.2165 * CHOOSE(CONTROL!$C$9, $C$13, 100%, $E$13) + CHOOSE(CONTROL!$C$28, 0.0021, 0)</f>
        <v>75.218599999999995</v>
      </c>
      <c r="E733" s="4">
        <f>367.321099683534 * CHOOSE(CONTROL!$C$9, $C$13, 100%, $E$13) + CHOOSE(CONTROL!$C$28, 0.0021, 0)</f>
        <v>367.32319968353397</v>
      </c>
    </row>
    <row r="734" spans="1:5" ht="15">
      <c r="A734" s="13">
        <v>63493</v>
      </c>
      <c r="B734" s="4">
        <f>51.39 * CHOOSE(CONTROL!$C$9, $C$13, 100%, $E$13) + CHOOSE(CONTROL!$C$28, 0.0226, 0)</f>
        <v>51.412599999999998</v>
      </c>
      <c r="C734" s="4">
        <f>51.0267 * CHOOSE(CONTROL!$C$9, $C$13, 100%, $E$13) + CHOOSE(CONTROL!$C$28, 0.0226, 0)</f>
        <v>51.049299999999995</v>
      </c>
      <c r="D734" s="4">
        <f>74.2056 * CHOOSE(CONTROL!$C$9, $C$13, 100%, $E$13) + CHOOSE(CONTROL!$C$28, 0.0021, 0)</f>
        <v>74.207700000000003</v>
      </c>
      <c r="E734" s="4">
        <f>355.116687741514 * CHOOSE(CONTROL!$C$9, $C$13, 100%, $E$13) + CHOOSE(CONTROL!$C$28, 0.0021, 0)</f>
        <v>355.11878774151398</v>
      </c>
    </row>
    <row r="735" spans="1:5" ht="15">
      <c r="A735" s="13">
        <v>63523</v>
      </c>
      <c r="B735" s="4">
        <f>50.2696 * CHOOSE(CONTROL!$C$9, $C$13, 100%, $E$13) + CHOOSE(CONTROL!$C$28, 0.0226, 0)</f>
        <v>50.292199999999994</v>
      </c>
      <c r="C735" s="4">
        <f>49.9063 * CHOOSE(CONTROL!$C$9, $C$13, 100%, $E$13) + CHOOSE(CONTROL!$C$28, 0.0226, 0)</f>
        <v>49.928899999999999</v>
      </c>
      <c r="D735" s="4">
        <f>73.8581 * CHOOSE(CONTROL!$C$9, $C$13, 100%, $E$13) + CHOOSE(CONTROL!$C$28, 0.0021, 0)</f>
        <v>73.860199999999992</v>
      </c>
      <c r="E735" s="4">
        <f>347.256135082429 * CHOOSE(CONTROL!$C$9, $C$13, 100%, $E$13) + CHOOSE(CONTROL!$C$28, 0.0021, 0)</f>
        <v>347.258235082429</v>
      </c>
    </row>
    <row r="736" spans="1:5" ht="15">
      <c r="A736" s="13">
        <v>63554</v>
      </c>
      <c r="B736" s="4">
        <f>49.4944 * CHOOSE(CONTROL!$C$9, $C$13, 100%, $E$13) + CHOOSE(CONTROL!$C$28, 0.0226, 0)</f>
        <v>49.516999999999996</v>
      </c>
      <c r="C736" s="4">
        <f>49.1311 * CHOOSE(CONTROL!$C$9, $C$13, 100%, $E$13) + CHOOSE(CONTROL!$C$28, 0.0226, 0)</f>
        <v>49.153700000000001</v>
      </c>
      <c r="D736" s="4">
        <f>71.2995 * CHOOSE(CONTROL!$C$9, $C$13, 100%, $E$13) + CHOOSE(CONTROL!$C$28, 0.0021, 0)</f>
        <v>71.301599999999993</v>
      </c>
      <c r="E736" s="4">
        <f>341.817643072551 * CHOOSE(CONTROL!$C$9, $C$13, 100%, $E$13) + CHOOSE(CONTROL!$C$28, 0.0021, 0)</f>
        <v>341.81974307255098</v>
      </c>
    </row>
    <row r="737" spans="1:5" ht="15">
      <c r="A737" s="13">
        <v>63585</v>
      </c>
      <c r="B737" s="4">
        <f>47.3735 * CHOOSE(CONTROL!$C$9, $C$13, 100%, $E$13) + CHOOSE(CONTROL!$C$28, 0.0226, 0)</f>
        <v>47.396099999999997</v>
      </c>
      <c r="C737" s="4">
        <f>47.0102 * CHOOSE(CONTROL!$C$9, $C$13, 100%, $E$13) + CHOOSE(CONTROL!$C$28, 0.0226, 0)</f>
        <v>47.032799999999995</v>
      </c>
      <c r="D737" s="4">
        <f>68.4809 * CHOOSE(CONTROL!$C$9, $C$13, 100%, $E$13) + CHOOSE(CONTROL!$C$28, 0.0021, 0)</f>
        <v>68.483000000000004</v>
      </c>
      <c r="E737" s="4">
        <f>327.579549293309 * CHOOSE(CONTROL!$C$9, $C$13, 100%, $E$13) + CHOOSE(CONTROL!$C$28, 0.0021, 0)</f>
        <v>327.581649293309</v>
      </c>
    </row>
    <row r="738" spans="1:5" ht="15">
      <c r="A738" s="13">
        <v>63613</v>
      </c>
      <c r="B738" s="4">
        <f>48.48 * CHOOSE(CONTROL!$C$9, $C$13, 100%, $E$13) + CHOOSE(CONTROL!$C$28, 0.0226, 0)</f>
        <v>48.502599999999994</v>
      </c>
      <c r="C738" s="4">
        <f>48.1167 * CHOOSE(CONTROL!$C$9, $C$13, 100%, $E$13) + CHOOSE(CONTROL!$C$28, 0.0226, 0)</f>
        <v>48.139299999999999</v>
      </c>
      <c r="D738" s="4">
        <f>70.8325 * CHOOSE(CONTROL!$C$9, $C$13, 100%, $E$13) + CHOOSE(CONTROL!$C$28, 0.0021, 0)</f>
        <v>70.834599999999995</v>
      </c>
      <c r="E738" s="4">
        <f>335.357578754871 * CHOOSE(CONTROL!$C$9, $C$13, 100%, $E$13) + CHOOSE(CONTROL!$C$28, 0.0021, 0)</f>
        <v>335.35967875487097</v>
      </c>
    </row>
    <row r="739" spans="1:5" ht="15">
      <c r="A739" s="13">
        <v>63644</v>
      </c>
      <c r="B739" s="4">
        <f>51.3856 * CHOOSE(CONTROL!$C$9, $C$13, 100%, $E$13) + CHOOSE(CONTROL!$C$28, 0.0226, 0)</f>
        <v>51.408199999999994</v>
      </c>
      <c r="C739" s="4">
        <f>51.0223 * CHOOSE(CONTROL!$C$9, $C$13, 100%, $E$13) + CHOOSE(CONTROL!$C$28, 0.0226, 0)</f>
        <v>51.044899999999998</v>
      </c>
      <c r="D739" s="4">
        <f>74.5138 * CHOOSE(CONTROL!$C$9, $C$13, 100%, $E$13) + CHOOSE(CONTROL!$C$28, 0.0021, 0)</f>
        <v>74.515900000000002</v>
      </c>
      <c r="E739" s="4">
        <f>355.78309747052 * CHOOSE(CONTROL!$C$9, $C$13, 100%, $E$13) + CHOOSE(CONTROL!$C$28, 0.0021, 0)</f>
        <v>355.78519747051996</v>
      </c>
    </row>
    <row r="740" spans="1:5" ht="15">
      <c r="A740" s="13">
        <v>63674</v>
      </c>
      <c r="B740" s="4">
        <f>53.4501 * CHOOSE(CONTROL!$C$9, $C$13, 100%, $E$13) + CHOOSE(CONTROL!$C$28, 0.0226, 0)</f>
        <v>53.472699999999996</v>
      </c>
      <c r="C740" s="4">
        <f>53.0868 * CHOOSE(CONTROL!$C$9, $C$13, 100%, $E$13) + CHOOSE(CONTROL!$C$28, 0.0226, 0)</f>
        <v>53.109399999999994</v>
      </c>
      <c r="D740" s="4">
        <f>76.6343 * CHOOSE(CONTROL!$C$9, $C$13, 100%, $E$13) + CHOOSE(CONTROL!$C$28, 0.0021, 0)</f>
        <v>76.636399999999995</v>
      </c>
      <c r="E740" s="4">
        <f>370.295700723816 * CHOOSE(CONTROL!$C$9, $C$13, 100%, $E$13) + CHOOSE(CONTROL!$C$28, 0.0021, 0)</f>
        <v>370.29780072381601</v>
      </c>
    </row>
    <row r="741" spans="1:5" ht="15">
      <c r="A741" s="13">
        <v>63705</v>
      </c>
      <c r="B741" s="4">
        <f>54.7115 * CHOOSE(CONTROL!$C$9, $C$13, 100%, $E$13) + CHOOSE(CONTROL!$C$28, 0.0226, 0)</f>
        <v>54.734099999999998</v>
      </c>
      <c r="C741" s="4">
        <f>54.3482 * CHOOSE(CONTROL!$C$9, $C$13, 100%, $E$13) + CHOOSE(CONTROL!$C$28, 0.0226, 0)</f>
        <v>54.370799999999996</v>
      </c>
      <c r="D741" s="4">
        <f>75.7964 * CHOOSE(CONTROL!$C$9, $C$13, 100%, $E$13) + CHOOSE(CONTROL!$C$28, 0.0021, 0)</f>
        <v>75.798500000000004</v>
      </c>
      <c r="E741" s="4">
        <f>379.162553493023 * CHOOSE(CONTROL!$C$9, $C$13, 100%, $E$13) + CHOOSE(CONTROL!$C$28, 0.0021, 0)</f>
        <v>379.16465349302297</v>
      </c>
    </row>
    <row r="742" spans="1:5" ht="15">
      <c r="A742" s="13">
        <v>63735</v>
      </c>
      <c r="B742" s="4">
        <f>54.8822 * CHOOSE(CONTROL!$C$9, $C$13, 100%, $E$13) + CHOOSE(CONTROL!$C$28, 0.0226, 0)</f>
        <v>54.904799999999994</v>
      </c>
      <c r="C742" s="4">
        <f>54.5189 * CHOOSE(CONTROL!$C$9, $C$13, 100%, $E$13) + CHOOSE(CONTROL!$C$28, 0.0226, 0)</f>
        <v>54.541499999999999</v>
      </c>
      <c r="D742" s="4">
        <f>76.4788 * CHOOSE(CONTROL!$C$9, $C$13, 100%, $E$13) + CHOOSE(CONTROL!$C$28, 0.0021, 0)</f>
        <v>76.480900000000005</v>
      </c>
      <c r="E742" s="4">
        <f>380.362275470892 * CHOOSE(CONTROL!$C$9, $C$13, 100%, $E$13) + CHOOSE(CONTROL!$C$28, 0.0021, 0)</f>
        <v>380.36437547089196</v>
      </c>
    </row>
    <row r="743" spans="1:5" ht="15">
      <c r="A743" s="13">
        <v>63766</v>
      </c>
      <c r="B743" s="4">
        <f>54.8649 * CHOOSE(CONTROL!$C$9, $C$13, 100%, $E$13) + CHOOSE(CONTROL!$C$28, 0.0226, 0)</f>
        <v>54.887499999999996</v>
      </c>
      <c r="C743" s="4">
        <f>54.5017 * CHOOSE(CONTROL!$C$9, $C$13, 100%, $E$13) + CHOOSE(CONTROL!$C$28, 0.0226, 0)</f>
        <v>54.524299999999997</v>
      </c>
      <c r="D743" s="4">
        <f>77.7102 * CHOOSE(CONTROL!$C$9, $C$13, 100%, $E$13) + CHOOSE(CONTROL!$C$28, 0.0021, 0)</f>
        <v>77.712299999999999</v>
      </c>
      <c r="E743" s="4">
        <f>380.241295103376 * CHOOSE(CONTROL!$C$9, $C$13, 100%, $E$13) + CHOOSE(CONTROL!$C$28, 0.0021, 0)</f>
        <v>380.24339510337597</v>
      </c>
    </row>
    <row r="744" spans="1:5" ht="15">
      <c r="A744" s="13">
        <v>63797</v>
      </c>
      <c r="B744" s="4">
        <f>56.16 * CHOOSE(CONTROL!$C$9, $C$13, 100%, $E$13) + CHOOSE(CONTROL!$C$28, 0.0226, 0)</f>
        <v>56.182599999999994</v>
      </c>
      <c r="C744" s="4">
        <f>55.7967 * CHOOSE(CONTROL!$C$9, $C$13, 100%, $E$13) + CHOOSE(CONTROL!$C$28, 0.0226, 0)</f>
        <v>55.819299999999998</v>
      </c>
      <c r="D744" s="4">
        <f>76.897 * CHOOSE(CONTROL!$C$9, $C$13, 100%, $E$13) + CHOOSE(CONTROL!$C$28, 0.0021, 0)</f>
        <v>76.899100000000004</v>
      </c>
      <c r="E744" s="4">
        <f>389.345067758969 * CHOOSE(CONTROL!$C$9, $C$13, 100%, $E$13) + CHOOSE(CONTROL!$C$28, 0.0021, 0)</f>
        <v>389.34716775896896</v>
      </c>
    </row>
    <row r="745" spans="1:5" ht="15">
      <c r="A745" s="13">
        <v>63827</v>
      </c>
      <c r="B745" s="4">
        <f>53.9528 * CHOOSE(CONTROL!$C$9, $C$13, 100%, $E$13) + CHOOSE(CONTROL!$C$28, 0.0226, 0)</f>
        <v>53.9754</v>
      </c>
      <c r="C745" s="4">
        <f>53.5895 * CHOOSE(CONTROL!$C$9, $C$13, 100%, $E$13) + CHOOSE(CONTROL!$C$28, 0.0226, 0)</f>
        <v>53.612099999999998</v>
      </c>
      <c r="D745" s="4">
        <f>76.5128 * CHOOSE(CONTROL!$C$9, $C$13, 100%, $E$13) + CHOOSE(CONTROL!$C$28, 0.0021, 0)</f>
        <v>76.514899999999997</v>
      </c>
      <c r="E745" s="4">
        <f>373.829335625018 * CHOOSE(CONTROL!$C$9, $C$13, 100%, $E$13) + CHOOSE(CONTROL!$C$28, 0.0021, 0)</f>
        <v>373.831435625018</v>
      </c>
    </row>
    <row r="746" spans="1:5" ht="15">
      <c r="A746" s="13">
        <v>63858</v>
      </c>
      <c r="B746" s="4">
        <f>52.1859 * CHOOSE(CONTROL!$C$9, $C$13, 100%, $E$13) + CHOOSE(CONTROL!$C$28, 0.0226, 0)</f>
        <v>52.208499999999994</v>
      </c>
      <c r="C746" s="4">
        <f>51.8226 * CHOOSE(CONTROL!$C$9, $C$13, 100%, $E$13) + CHOOSE(CONTROL!$C$28, 0.0226, 0)</f>
        <v>51.845199999999998</v>
      </c>
      <c r="D746" s="4">
        <f>75.484 * CHOOSE(CONTROL!$C$9, $C$13, 100%, $E$13) + CHOOSE(CONTROL!$C$28, 0.0021, 0)</f>
        <v>75.486099999999993</v>
      </c>
      <c r="E746" s="4">
        <f>361.408684560023 * CHOOSE(CONTROL!$C$9, $C$13, 100%, $E$13) + CHOOSE(CONTROL!$C$28, 0.0021, 0)</f>
        <v>361.41078456002299</v>
      </c>
    </row>
    <row r="747" spans="1:5" ht="15">
      <c r="A747" s="13">
        <v>63888</v>
      </c>
      <c r="B747" s="4">
        <f>51.0479 * CHOOSE(CONTROL!$C$9, $C$13, 100%, $E$13) + CHOOSE(CONTROL!$C$28, 0.0226, 0)</f>
        <v>51.070499999999996</v>
      </c>
      <c r="C747" s="4">
        <f>50.6846 * CHOOSE(CONTROL!$C$9, $C$13, 100%, $E$13) + CHOOSE(CONTROL!$C$28, 0.0226, 0)</f>
        <v>50.7072</v>
      </c>
      <c r="D747" s="4">
        <f>75.1303 * CHOOSE(CONTROL!$C$9, $C$13, 100%, $E$13) + CHOOSE(CONTROL!$C$28, 0.0021, 0)</f>
        <v>75.132400000000004</v>
      </c>
      <c r="E747" s="4">
        <f>353.408857758015 * CHOOSE(CONTROL!$C$9, $C$13, 100%, $E$13) + CHOOSE(CONTROL!$C$28, 0.0021, 0)</f>
        <v>353.410957758015</v>
      </c>
    </row>
    <row r="748" spans="1:5" ht="15">
      <c r="A748" s="13">
        <v>63919</v>
      </c>
      <c r="B748" s="4">
        <f>50.2605 * CHOOSE(CONTROL!$C$9, $C$13, 100%, $E$13) + CHOOSE(CONTROL!$C$28, 0.0226, 0)</f>
        <v>50.283099999999997</v>
      </c>
      <c r="C748" s="4">
        <f>49.8972 * CHOOSE(CONTROL!$C$9, $C$13, 100%, $E$13) + CHOOSE(CONTROL!$C$28, 0.0226, 0)</f>
        <v>49.919799999999995</v>
      </c>
      <c r="D748" s="4">
        <f>72.5265 * CHOOSE(CONTROL!$C$9, $C$13, 100%, $E$13) + CHOOSE(CONTROL!$C$28, 0.0021, 0)</f>
        <v>72.528599999999997</v>
      </c>
      <c r="E748" s="4">
        <f>347.874005944149 * CHOOSE(CONTROL!$C$9, $C$13, 100%, $E$13) + CHOOSE(CONTROL!$C$28, 0.0021, 0)</f>
        <v>347.876105944149</v>
      </c>
    </row>
    <row r="749" spans="1:5" ht="15">
      <c r="A749" s="13">
        <v>63950</v>
      </c>
      <c r="B749" s="4">
        <f>48.1063 * CHOOSE(CONTROL!$C$9, $C$13, 100%, $E$13) + CHOOSE(CONTROL!$C$28, 0.0226, 0)</f>
        <v>48.128899999999994</v>
      </c>
      <c r="C749" s="4">
        <f>47.743 * CHOOSE(CONTROL!$C$9, $C$13, 100%, $E$13) + CHOOSE(CONTROL!$C$28, 0.0226, 0)</f>
        <v>47.765599999999999</v>
      </c>
      <c r="D749" s="4">
        <f>69.6582 * CHOOSE(CONTROL!$C$9, $C$13, 100%, $E$13) + CHOOSE(CONTROL!$C$28, 0.0021, 0)</f>
        <v>69.660299999999992</v>
      </c>
      <c r="E749" s="4">
        <f>333.383640041819 * CHOOSE(CONTROL!$C$9, $C$13, 100%, $E$13) + CHOOSE(CONTROL!$C$28, 0.0021, 0)</f>
        <v>333.38574004181896</v>
      </c>
    </row>
    <row r="750" spans="1:5" ht="15">
      <c r="A750" s="13">
        <v>63978</v>
      </c>
      <c r="B750" s="4">
        <f>49.2302 * CHOOSE(CONTROL!$C$9, $C$13, 100%, $E$13) + CHOOSE(CONTROL!$C$28, 0.0226, 0)</f>
        <v>49.252800000000001</v>
      </c>
      <c r="C750" s="4">
        <f>48.8669 * CHOOSE(CONTROL!$C$9, $C$13, 100%, $E$13) + CHOOSE(CONTROL!$C$28, 0.0226, 0)</f>
        <v>48.889499999999998</v>
      </c>
      <c r="D750" s="4">
        <f>72.0513 * CHOOSE(CONTROL!$C$9, $C$13, 100%, $E$13) + CHOOSE(CONTROL!$C$28, 0.0021, 0)</f>
        <v>72.053399999999996</v>
      </c>
      <c r="E750" s="4">
        <f>341.299481491146 * CHOOSE(CONTROL!$C$9, $C$13, 100%, $E$13) + CHOOSE(CONTROL!$C$28, 0.0021, 0)</f>
        <v>341.30158149114601</v>
      </c>
    </row>
    <row r="751" spans="1:5" ht="15">
      <c r="A751" s="13">
        <v>64009</v>
      </c>
      <c r="B751" s="4">
        <f>52.1815 * CHOOSE(CONTROL!$C$9, $C$13, 100%, $E$13) + CHOOSE(CONTROL!$C$28, 0.0226, 0)</f>
        <v>52.204099999999997</v>
      </c>
      <c r="C751" s="4">
        <f>51.8182 * CHOOSE(CONTROL!$C$9, $C$13, 100%, $E$13) + CHOOSE(CONTROL!$C$28, 0.0226, 0)</f>
        <v>51.840799999999994</v>
      </c>
      <c r="D751" s="4">
        <f>75.7976 * CHOOSE(CONTROL!$C$9, $C$13, 100%, $E$13) + CHOOSE(CONTROL!$C$28, 0.0021, 0)</f>
        <v>75.799700000000001</v>
      </c>
      <c r="E751" s="4">
        <f>362.086901810442 * CHOOSE(CONTROL!$C$9, $C$13, 100%, $E$13) + CHOOSE(CONTROL!$C$28, 0.0021, 0)</f>
        <v>362.08900181044197</v>
      </c>
    </row>
    <row r="752" spans="1:5" ht="15">
      <c r="A752" s="13">
        <v>64039</v>
      </c>
      <c r="B752" s="4">
        <f>54.2785 * CHOOSE(CONTROL!$C$9, $C$13, 100%, $E$13) + CHOOSE(CONTROL!$C$28, 0.0226, 0)</f>
        <v>54.301099999999998</v>
      </c>
      <c r="C752" s="4">
        <f>53.9152 * CHOOSE(CONTROL!$C$9, $C$13, 100%, $E$13) + CHOOSE(CONTROL!$C$28, 0.0226, 0)</f>
        <v>53.937799999999996</v>
      </c>
      <c r="D752" s="4">
        <f>77.9556 * CHOOSE(CONTROL!$C$9, $C$13, 100%, $E$13) + CHOOSE(CONTROL!$C$28, 0.0021, 0)</f>
        <v>77.957700000000003</v>
      </c>
      <c r="E752" s="4">
        <f>376.856640976102 * CHOOSE(CONTROL!$C$9, $C$13, 100%, $E$13) + CHOOSE(CONTROL!$C$28, 0.0021, 0)</f>
        <v>376.85874097610201</v>
      </c>
    </row>
    <row r="753" spans="1:5" ht="15">
      <c r="A753" s="13">
        <v>64070</v>
      </c>
      <c r="B753" s="4">
        <f>55.5597 * CHOOSE(CONTROL!$C$9, $C$13, 100%, $E$13) + CHOOSE(CONTROL!$C$28, 0.0226, 0)</f>
        <v>55.582299999999996</v>
      </c>
      <c r="C753" s="4">
        <f>55.1964 * CHOOSE(CONTROL!$C$9, $C$13, 100%, $E$13) + CHOOSE(CONTROL!$C$28, 0.0226, 0)</f>
        <v>55.218999999999994</v>
      </c>
      <c r="D753" s="4">
        <f>77.1029 * CHOOSE(CONTROL!$C$9, $C$13, 100%, $E$13) + CHOOSE(CONTROL!$C$28, 0.0021, 0)</f>
        <v>77.105000000000004</v>
      </c>
      <c r="E753" s="4">
        <f>385.880597625076 * CHOOSE(CONTROL!$C$9, $C$13, 100%, $E$13) + CHOOSE(CONTROL!$C$28, 0.0021, 0)</f>
        <v>385.88269762507599</v>
      </c>
    </row>
    <row r="754" spans="1:5" ht="15">
      <c r="A754" s="13">
        <v>64100</v>
      </c>
      <c r="B754" s="4">
        <f>55.733 * CHOOSE(CONTROL!$C$9, $C$13, 100%, $E$13) + CHOOSE(CONTROL!$C$28, 0.0226, 0)</f>
        <v>55.755599999999994</v>
      </c>
      <c r="C754" s="4">
        <f>55.3697 * CHOOSE(CONTROL!$C$9, $C$13, 100%, $E$13) + CHOOSE(CONTROL!$C$28, 0.0226, 0)</f>
        <v>55.392299999999999</v>
      </c>
      <c r="D754" s="4">
        <f>77.7973 * CHOOSE(CONTROL!$C$9, $C$13, 100%, $E$13) + CHOOSE(CONTROL!$C$28, 0.0021, 0)</f>
        <v>77.799400000000006</v>
      </c>
      <c r="E754" s="4">
        <f>387.101576409871 * CHOOSE(CONTROL!$C$9, $C$13, 100%, $E$13) + CHOOSE(CONTROL!$C$28, 0.0021, 0)</f>
        <v>387.10367640987096</v>
      </c>
    </row>
    <row r="755" spans="1:5" ht="15">
      <c r="A755" s="13">
        <v>64131</v>
      </c>
      <c r="B755" s="4">
        <f>55.7155 * CHOOSE(CONTROL!$C$9, $C$13, 100%, $E$13) + CHOOSE(CONTROL!$C$28, 0.0226, 0)</f>
        <v>55.738099999999996</v>
      </c>
      <c r="C755" s="4">
        <f>55.3522 * CHOOSE(CONTROL!$C$9, $C$13, 100%, $E$13) + CHOOSE(CONTROL!$C$28, 0.0226, 0)</f>
        <v>55.3748</v>
      </c>
      <c r="D755" s="4">
        <f>79.0504 * CHOOSE(CONTROL!$C$9, $C$13, 100%, $E$13) + CHOOSE(CONTROL!$C$28, 0.0021, 0)</f>
        <v>79.052499999999995</v>
      </c>
      <c r="E755" s="4">
        <f>386.9784524988 * CHOOSE(CONTROL!$C$9, $C$13, 100%, $E$13) + CHOOSE(CONTROL!$C$28, 0.0021, 0)</f>
        <v>386.98055249879997</v>
      </c>
    </row>
    <row r="756" spans="1:5" ht="15">
      <c r="A756" s="13">
        <v>64162</v>
      </c>
      <c r="B756" s="4">
        <f>57.031 * CHOOSE(CONTROL!$C$9, $C$13, 100%, $E$13) + CHOOSE(CONTROL!$C$28, 0.0226, 0)</f>
        <v>57.053599999999996</v>
      </c>
      <c r="C756" s="4">
        <f>56.6677 * CHOOSE(CONTROL!$C$9, $C$13, 100%, $E$13) + CHOOSE(CONTROL!$C$28, 0.0226, 0)</f>
        <v>56.690300000000001</v>
      </c>
      <c r="D756" s="4">
        <f>78.2229 * CHOOSE(CONTROL!$C$9, $C$13, 100%, $E$13) + CHOOSE(CONTROL!$C$28, 0.0021, 0)</f>
        <v>78.224999999999994</v>
      </c>
      <c r="E756" s="4">
        <f>396.243526806956 * CHOOSE(CONTROL!$C$9, $C$13, 100%, $E$13) + CHOOSE(CONTROL!$C$28, 0.0021, 0)</f>
        <v>396.24562680695601</v>
      </c>
    </row>
    <row r="757" spans="1:5" ht="15">
      <c r="A757" s="13">
        <v>64192</v>
      </c>
      <c r="B757" s="4">
        <f>54.789 * CHOOSE(CONTROL!$C$9, $C$13, 100%, $E$13) + CHOOSE(CONTROL!$C$28, 0.0226, 0)</f>
        <v>54.811599999999999</v>
      </c>
      <c r="C757" s="4">
        <f>54.4258 * CHOOSE(CONTROL!$C$9, $C$13, 100%, $E$13) + CHOOSE(CONTROL!$C$28, 0.0226, 0)</f>
        <v>54.448399999999999</v>
      </c>
      <c r="D757" s="4">
        <f>77.8319 * CHOOSE(CONTROL!$C$9, $C$13, 100%, $E$13) + CHOOSE(CONTROL!$C$28, 0.0021, 0)</f>
        <v>77.834000000000003</v>
      </c>
      <c r="E757" s="4">
        <f>380.452885211992 * CHOOSE(CONTROL!$C$9, $C$13, 100%, $E$13) + CHOOSE(CONTROL!$C$28, 0.0021, 0)</f>
        <v>380.45498521199198</v>
      </c>
    </row>
    <row r="758" spans="1:5" ht="15">
      <c r="A758" s="13">
        <v>64223</v>
      </c>
      <c r="B758" s="4">
        <f>52.9944 * CHOOSE(CONTROL!$C$9, $C$13, 100%, $E$13) + CHOOSE(CONTROL!$C$28, 0.0226, 0)</f>
        <v>53.016999999999996</v>
      </c>
      <c r="C758" s="4">
        <f>52.6311 * CHOOSE(CONTROL!$C$9, $C$13, 100%, $E$13) + CHOOSE(CONTROL!$C$28, 0.0226, 0)</f>
        <v>52.653700000000001</v>
      </c>
      <c r="D758" s="4">
        <f>76.785 * CHOOSE(CONTROL!$C$9, $C$13, 100%, $E$13) + CHOOSE(CONTROL!$C$28, 0.0021, 0)</f>
        <v>76.787099999999995</v>
      </c>
      <c r="E758" s="4">
        <f>367.812163675283 * CHOOSE(CONTROL!$C$9, $C$13, 100%, $E$13) + CHOOSE(CONTROL!$C$28, 0.0021, 0)</f>
        <v>367.81426367528297</v>
      </c>
    </row>
    <row r="759" spans="1:5" ht="15">
      <c r="A759" s="13">
        <v>64253</v>
      </c>
      <c r="B759" s="4">
        <f>51.8384 * CHOOSE(CONTROL!$C$9, $C$13, 100%, $E$13) + CHOOSE(CONTROL!$C$28, 0.0226, 0)</f>
        <v>51.860999999999997</v>
      </c>
      <c r="C759" s="4">
        <f>51.4752 * CHOOSE(CONTROL!$C$9, $C$13, 100%, $E$13) + CHOOSE(CONTROL!$C$28, 0.0226, 0)</f>
        <v>51.497799999999998</v>
      </c>
      <c r="D759" s="4">
        <f>76.425 * CHOOSE(CONTROL!$C$9, $C$13, 100%, $E$13) + CHOOSE(CONTROL!$C$28, 0.0021, 0)</f>
        <v>76.427099999999996</v>
      </c>
      <c r="E759" s="4">
        <f>359.670595055657 * CHOOSE(CONTROL!$C$9, $C$13, 100%, $E$13) + CHOOSE(CONTROL!$C$28, 0.0021, 0)</f>
        <v>359.67269505565696</v>
      </c>
    </row>
    <row r="760" spans="1:5" ht="15">
      <c r="A760" s="13">
        <v>64284</v>
      </c>
      <c r="B760" s="4">
        <f>51.0387 * CHOOSE(CONTROL!$C$9, $C$13, 100%, $E$13) + CHOOSE(CONTROL!$C$28, 0.0226, 0)</f>
        <v>51.061299999999996</v>
      </c>
      <c r="C760" s="4">
        <f>50.6754 * CHOOSE(CONTROL!$C$9, $C$13, 100%, $E$13) + CHOOSE(CONTROL!$C$28, 0.0226, 0)</f>
        <v>50.698</v>
      </c>
      <c r="D760" s="4">
        <f>73.7752 * CHOOSE(CONTROL!$C$9, $C$13, 100%, $E$13) + CHOOSE(CONTROL!$C$28, 0.0021, 0)</f>
        <v>73.777299999999997</v>
      </c>
      <c r="E760" s="4">
        <f>354.037676124121 * CHOOSE(CONTROL!$C$9, $C$13, 100%, $E$13) + CHOOSE(CONTROL!$C$28, 0.0021, 0)</f>
        <v>354.03977612412098</v>
      </c>
    </row>
    <row r="761" spans="1:5" ht="15">
      <c r="A761" s="13">
        <v>64315</v>
      </c>
      <c r="B761" s="4">
        <f>48.8506 * CHOOSE(CONTROL!$C$9, $C$13, 100%, $E$13) + CHOOSE(CONTROL!$C$28, 0.0226, 0)</f>
        <v>48.873199999999997</v>
      </c>
      <c r="C761" s="4">
        <f>48.4873 * CHOOSE(CONTROL!$C$9, $C$13, 100%, $E$13) + CHOOSE(CONTROL!$C$28, 0.0226, 0)</f>
        <v>48.509899999999995</v>
      </c>
      <c r="D761" s="4">
        <f>70.8562 * CHOOSE(CONTROL!$C$9, $C$13, 100%, $E$13) + CHOOSE(CONTROL!$C$28, 0.0021, 0)</f>
        <v>70.8583</v>
      </c>
      <c r="E761" s="4">
        <f>339.290568313275 * CHOOSE(CONTROL!$C$9, $C$13, 100%, $E$13) + CHOOSE(CONTROL!$C$28, 0.0021, 0)</f>
        <v>339.29266831327499</v>
      </c>
    </row>
    <row r="762" spans="1:5" ht="15">
      <c r="A762" s="13">
        <v>64344</v>
      </c>
      <c r="B762" s="4">
        <f>49.9921 * CHOOSE(CONTROL!$C$9, $C$13, 100%, $E$13) + CHOOSE(CONTROL!$C$28, 0.0226, 0)</f>
        <v>50.014699999999998</v>
      </c>
      <c r="C762" s="4">
        <f>49.6289 * CHOOSE(CONTROL!$C$9, $C$13, 100%, $E$13) + CHOOSE(CONTROL!$C$28, 0.0226, 0)</f>
        <v>49.651499999999999</v>
      </c>
      <c r="D762" s="4">
        <f>73.2916 * CHOOSE(CONTROL!$C$9, $C$13, 100%, $E$13) + CHOOSE(CONTROL!$C$28, 0.0021, 0)</f>
        <v>73.293700000000001</v>
      </c>
      <c r="E762" s="4">
        <f>347.346663518436 * CHOOSE(CONTROL!$C$9, $C$13, 100%, $E$13) + CHOOSE(CONTROL!$C$28, 0.0021, 0)</f>
        <v>347.34876351843599</v>
      </c>
    </row>
    <row r="763" spans="1:5" ht="15">
      <c r="A763" s="13">
        <v>64375</v>
      </c>
      <c r="B763" s="4">
        <f>52.9899 * CHOOSE(CONTROL!$C$9, $C$13, 100%, $E$13) + CHOOSE(CONTROL!$C$28, 0.0226, 0)</f>
        <v>53.012499999999996</v>
      </c>
      <c r="C763" s="4">
        <f>52.6266 * CHOOSE(CONTROL!$C$9, $C$13, 100%, $E$13) + CHOOSE(CONTROL!$C$28, 0.0226, 0)</f>
        <v>52.6492</v>
      </c>
      <c r="D763" s="4">
        <f>77.1041 * CHOOSE(CONTROL!$C$9, $C$13, 100%, $E$13) + CHOOSE(CONTROL!$C$28, 0.0021, 0)</f>
        <v>77.106200000000001</v>
      </c>
      <c r="E763" s="4">
        <f>368.502397654088 * CHOOSE(CONTROL!$C$9, $C$13, 100%, $E$13) + CHOOSE(CONTROL!$C$28, 0.0021, 0)</f>
        <v>368.50449765408797</v>
      </c>
    </row>
    <row r="764" spans="1:5" ht="15">
      <c r="A764" s="13">
        <v>64405</v>
      </c>
      <c r="B764" s="4">
        <f>55.1198 * CHOOSE(CONTROL!$C$9, $C$13, 100%, $E$13) + CHOOSE(CONTROL!$C$28, 0.0226, 0)</f>
        <v>55.142399999999995</v>
      </c>
      <c r="C764" s="4">
        <f>54.7565 * CHOOSE(CONTROL!$C$9, $C$13, 100%, $E$13) + CHOOSE(CONTROL!$C$28, 0.0226, 0)</f>
        <v>54.7791</v>
      </c>
      <c r="D764" s="4">
        <f>79.3002 * CHOOSE(CONTROL!$C$9, $C$13, 100%, $E$13) + CHOOSE(CONTROL!$C$28, 0.0021, 0)</f>
        <v>79.302300000000002</v>
      </c>
      <c r="E764" s="4">
        <f>383.533828694696 * CHOOSE(CONTROL!$C$9, $C$13, 100%, $E$13) + CHOOSE(CONTROL!$C$28, 0.0021, 0)</f>
        <v>383.535928694696</v>
      </c>
    </row>
    <row r="765" spans="1:5" ht="15">
      <c r="A765" s="13">
        <v>64436</v>
      </c>
      <c r="B765" s="4">
        <f>56.4212 * CHOOSE(CONTROL!$C$9, $C$13, 100%, $E$13) + CHOOSE(CONTROL!$C$28, 0.0226, 0)</f>
        <v>56.443799999999996</v>
      </c>
      <c r="C765" s="4">
        <f>56.0579 * CHOOSE(CONTROL!$C$9, $C$13, 100%, $E$13) + CHOOSE(CONTROL!$C$28, 0.0226, 0)</f>
        <v>56.080499999999994</v>
      </c>
      <c r="D765" s="4">
        <f>78.4324 * CHOOSE(CONTROL!$C$9, $C$13, 100%, $E$13) + CHOOSE(CONTROL!$C$28, 0.0021, 0)</f>
        <v>78.4345</v>
      </c>
      <c r="E765" s="4">
        <f>392.717672807385 * CHOOSE(CONTROL!$C$9, $C$13, 100%, $E$13) + CHOOSE(CONTROL!$C$28, 0.0021, 0)</f>
        <v>392.71977280738497</v>
      </c>
    </row>
    <row r="766" spans="1:5" ht="15">
      <c r="A766" s="13">
        <v>64466</v>
      </c>
      <c r="B766" s="4">
        <f>56.5972 * CHOOSE(CONTROL!$C$9, $C$13, 100%, $E$13) + CHOOSE(CONTROL!$C$28, 0.0226, 0)</f>
        <v>56.619799999999998</v>
      </c>
      <c r="C766" s="4">
        <f>56.234 * CHOOSE(CONTROL!$C$9, $C$13, 100%, $E$13) + CHOOSE(CONTROL!$C$28, 0.0226, 0)</f>
        <v>56.256599999999999</v>
      </c>
      <c r="D766" s="4">
        <f>79.1392 * CHOOSE(CONTROL!$C$9, $C$13, 100%, $E$13) + CHOOSE(CONTROL!$C$28, 0.0021, 0)</f>
        <v>79.141300000000001</v>
      </c>
      <c r="E766" s="4">
        <f>393.960285029568 * CHOOSE(CONTROL!$C$9, $C$13, 100%, $E$13) + CHOOSE(CONTROL!$C$28, 0.0021, 0)</f>
        <v>393.962385029568</v>
      </c>
    </row>
    <row r="767" spans="1:5" ht="15">
      <c r="A767" s="13">
        <v>64497</v>
      </c>
      <c r="B767" s="4">
        <f>56.5795 * CHOOSE(CONTROL!$C$9, $C$13, 100%, $E$13) + CHOOSE(CONTROL!$C$28, 0.0226, 0)</f>
        <v>56.6021</v>
      </c>
      <c r="C767" s="4">
        <f>56.2162 * CHOOSE(CONTROL!$C$9, $C$13, 100%, $E$13) + CHOOSE(CONTROL!$C$28, 0.0226, 0)</f>
        <v>56.238799999999998</v>
      </c>
      <c r="D767" s="4">
        <f>80.4144 * CHOOSE(CONTROL!$C$9, $C$13, 100%, $E$13) + CHOOSE(CONTROL!$C$28, 0.0021, 0)</f>
        <v>80.416499999999999</v>
      </c>
      <c r="E767" s="4">
        <f>393.834979595398 * CHOOSE(CONTROL!$C$9, $C$13, 100%, $E$13) + CHOOSE(CONTROL!$C$28, 0.0021, 0)</f>
        <v>393.837079595398</v>
      </c>
    </row>
    <row r="768" spans="1:5" ht="15">
      <c r="A768" s="13">
        <v>64528</v>
      </c>
      <c r="B768" s="4">
        <f>57.9156 * CHOOSE(CONTROL!$C$9, $C$13, 100%, $E$13) + CHOOSE(CONTROL!$C$28, 0.0226, 0)</f>
        <v>57.938199999999995</v>
      </c>
      <c r="C768" s="4">
        <f>57.5523 * CHOOSE(CONTROL!$C$9, $C$13, 100%, $E$13) + CHOOSE(CONTROL!$C$28, 0.0226, 0)</f>
        <v>57.5749</v>
      </c>
      <c r="D768" s="4">
        <f>79.5722 * CHOOSE(CONTROL!$C$9, $C$13, 100%, $E$13) + CHOOSE(CONTROL!$C$28, 0.0021, 0)</f>
        <v>79.574299999999994</v>
      </c>
      <c r="E768" s="4">
        <f>403.264213516669 * CHOOSE(CONTROL!$C$9, $C$13, 100%, $E$13) + CHOOSE(CONTROL!$C$28, 0.0021, 0)</f>
        <v>403.26631351666896</v>
      </c>
    </row>
    <row r="769" spans="1:5" ht="15">
      <c r="A769" s="13">
        <v>64558</v>
      </c>
      <c r="B769" s="4">
        <f>55.6384 * CHOOSE(CONTROL!$C$9, $C$13, 100%, $E$13) + CHOOSE(CONTROL!$C$28, 0.0226, 0)</f>
        <v>55.660999999999994</v>
      </c>
      <c r="C769" s="4">
        <f>55.2752 * CHOOSE(CONTROL!$C$9, $C$13, 100%, $E$13) + CHOOSE(CONTROL!$C$28, 0.0226, 0)</f>
        <v>55.297799999999995</v>
      </c>
      <c r="D769" s="4">
        <f>79.1743 * CHOOSE(CONTROL!$C$9, $C$13, 100%, $E$13) + CHOOSE(CONTROL!$C$28, 0.0021, 0)</f>
        <v>79.176400000000001</v>
      </c>
      <c r="E769" s="4">
        <f>387.193791584403 * CHOOSE(CONTROL!$C$9, $C$13, 100%, $E$13) + CHOOSE(CONTROL!$C$28, 0.0021, 0)</f>
        <v>387.195891584403</v>
      </c>
    </row>
    <row r="770" spans="1:5" ht="15">
      <c r="A770" s="13">
        <v>64589</v>
      </c>
      <c r="B770" s="4">
        <f>53.8155 * CHOOSE(CONTROL!$C$9, $C$13, 100%, $E$13) + CHOOSE(CONTROL!$C$28, 0.0226, 0)</f>
        <v>53.838099999999997</v>
      </c>
      <c r="C770" s="4">
        <f>53.4522 * CHOOSE(CONTROL!$C$9, $C$13, 100%, $E$13) + CHOOSE(CONTROL!$C$28, 0.0226, 0)</f>
        <v>53.474799999999995</v>
      </c>
      <c r="D770" s="4">
        <f>78.1089 * CHOOSE(CONTROL!$C$9, $C$13, 100%, $E$13) + CHOOSE(CONTROL!$C$28, 0.0021, 0)</f>
        <v>78.111000000000004</v>
      </c>
      <c r="E770" s="4">
        <f>374.32910034298 * CHOOSE(CONTROL!$C$9, $C$13, 100%, $E$13) + CHOOSE(CONTROL!$C$28, 0.0021, 0)</f>
        <v>374.33120034297997</v>
      </c>
    </row>
    <row r="771" spans="1:5" ht="15">
      <c r="A771" s="13">
        <v>64619</v>
      </c>
      <c r="B771" s="4">
        <f>52.6414 * CHOOSE(CONTROL!$C$9, $C$13, 100%, $E$13) + CHOOSE(CONTROL!$C$28, 0.0226, 0)</f>
        <v>52.663999999999994</v>
      </c>
      <c r="C771" s="4">
        <f>52.2781 * CHOOSE(CONTROL!$C$9, $C$13, 100%, $E$13) + CHOOSE(CONTROL!$C$28, 0.0226, 0)</f>
        <v>52.300699999999999</v>
      </c>
      <c r="D771" s="4">
        <f>77.7426 * CHOOSE(CONTROL!$C$9, $C$13, 100%, $E$13) + CHOOSE(CONTROL!$C$28, 0.0021, 0)</f>
        <v>77.744699999999995</v>
      </c>
      <c r="E771" s="4">
        <f>366.043278508508 * CHOOSE(CONTROL!$C$9, $C$13, 100%, $E$13) + CHOOSE(CONTROL!$C$28, 0.0021, 0)</f>
        <v>366.04537850850801</v>
      </c>
    </row>
    <row r="772" spans="1:5" ht="15">
      <c r="A772" s="13">
        <v>64650</v>
      </c>
      <c r="B772" s="4">
        <f>51.8291 * CHOOSE(CONTROL!$C$9, $C$13, 100%, $E$13) + CHOOSE(CONTROL!$C$28, 0.0226, 0)</f>
        <v>51.851699999999994</v>
      </c>
      <c r="C772" s="4">
        <f>51.4658 * CHOOSE(CONTROL!$C$9, $C$13, 100%, $E$13) + CHOOSE(CONTROL!$C$28, 0.0226, 0)</f>
        <v>51.488399999999999</v>
      </c>
      <c r="D772" s="4">
        <f>75.046 * CHOOSE(CONTROL!$C$9, $C$13, 100%, $E$13) + CHOOSE(CONTROL!$C$28, 0.0021, 0)</f>
        <v>75.048100000000005</v>
      </c>
      <c r="E772" s="4">
        <f>360.310554895244 * CHOOSE(CONTROL!$C$9, $C$13, 100%, $E$13) + CHOOSE(CONTROL!$C$28, 0.0021, 0)</f>
        <v>360.31265489524401</v>
      </c>
    </row>
    <row r="773" spans="1:5" ht="15">
      <c r="A773" s="13">
        <v>64681</v>
      </c>
      <c r="B773" s="4">
        <f>49.6066 * CHOOSE(CONTROL!$C$9, $C$13, 100%, $E$13) + CHOOSE(CONTROL!$C$28, 0.0226, 0)</f>
        <v>49.629199999999997</v>
      </c>
      <c r="C773" s="4">
        <f>49.2433 * CHOOSE(CONTROL!$C$9, $C$13, 100%, $E$13) + CHOOSE(CONTROL!$C$28, 0.0226, 0)</f>
        <v>49.265899999999995</v>
      </c>
      <c r="D773" s="4">
        <f>72.0754 * CHOOSE(CONTROL!$C$9, $C$13, 100%, $E$13) + CHOOSE(CONTROL!$C$28, 0.0021, 0)</f>
        <v>72.077500000000001</v>
      </c>
      <c r="E773" s="4">
        <f>345.302156194301 * CHOOSE(CONTROL!$C$9, $C$13, 100%, $E$13) + CHOOSE(CONTROL!$C$28, 0.0021, 0)</f>
        <v>345.30425619430099</v>
      </c>
    </row>
    <row r="774" spans="1:5" ht="15">
      <c r="A774" s="13">
        <v>64709</v>
      </c>
      <c r="B774" s="4">
        <f>50.7661 * CHOOSE(CONTROL!$C$9, $C$13, 100%, $E$13) + CHOOSE(CONTROL!$C$28, 0.0226, 0)</f>
        <v>50.788699999999999</v>
      </c>
      <c r="C774" s="4">
        <f>50.4028 * CHOOSE(CONTROL!$C$9, $C$13, 100%, $E$13) + CHOOSE(CONTROL!$C$28, 0.0226, 0)</f>
        <v>50.425399999999996</v>
      </c>
      <c r="D774" s="4">
        <f>74.5538 * CHOOSE(CONTROL!$C$9, $C$13, 100%, $E$13) + CHOOSE(CONTROL!$C$28, 0.0021, 0)</f>
        <v>74.555899999999994</v>
      </c>
      <c r="E774" s="4">
        <f>353.500990186881 * CHOOSE(CONTROL!$C$9, $C$13, 100%, $E$13) + CHOOSE(CONTROL!$C$28, 0.0021, 0)</f>
        <v>353.50309018688097</v>
      </c>
    </row>
    <row r="775" spans="1:5" ht="15">
      <c r="A775" s="13">
        <v>64740</v>
      </c>
      <c r="B775" s="4">
        <f>53.811 * CHOOSE(CONTROL!$C$9, $C$13, 100%, $E$13) + CHOOSE(CONTROL!$C$28, 0.0226, 0)</f>
        <v>53.833599999999997</v>
      </c>
      <c r="C775" s="4">
        <f>53.4477 * CHOOSE(CONTROL!$C$9, $C$13, 100%, $E$13) + CHOOSE(CONTROL!$C$28, 0.0226, 0)</f>
        <v>53.470299999999995</v>
      </c>
      <c r="D775" s="4">
        <f>78.4337 * CHOOSE(CONTROL!$C$9, $C$13, 100%, $E$13) + CHOOSE(CONTROL!$C$28, 0.0021, 0)</f>
        <v>78.4358</v>
      </c>
      <c r="E775" s="4">
        <f>375.031563963896 * CHOOSE(CONTROL!$C$9, $C$13, 100%, $E$13) + CHOOSE(CONTROL!$C$28, 0.0021, 0)</f>
        <v>375.033663963896</v>
      </c>
    </row>
    <row r="776" spans="1:5" ht="15">
      <c r="A776" s="13">
        <v>64770</v>
      </c>
      <c r="B776" s="4">
        <f>55.9744 * CHOOSE(CONTROL!$C$9, $C$13, 100%, $E$13) + CHOOSE(CONTROL!$C$28, 0.0226, 0)</f>
        <v>55.997</v>
      </c>
      <c r="C776" s="4">
        <f>55.6111 * CHOOSE(CONTROL!$C$9, $C$13, 100%, $E$13) + CHOOSE(CONTROL!$C$28, 0.0226, 0)</f>
        <v>55.633699999999997</v>
      </c>
      <c r="D776" s="4">
        <f>80.6686 * CHOOSE(CONTROL!$C$9, $C$13, 100%, $E$13) + CHOOSE(CONTROL!$C$28, 0.0021, 0)</f>
        <v>80.670699999999997</v>
      </c>
      <c r="E776" s="4">
        <f>390.329323565087 * CHOOSE(CONTROL!$C$9, $C$13, 100%, $E$13) + CHOOSE(CONTROL!$C$28, 0.0021, 0)</f>
        <v>390.33142356508699</v>
      </c>
    </row>
    <row r="777" spans="1:5" ht="15">
      <c r="A777" s="13">
        <v>64801</v>
      </c>
      <c r="B777" s="4">
        <f>57.2962 * CHOOSE(CONTROL!$C$9, $C$13, 100%, $E$13) + CHOOSE(CONTROL!$C$28, 0.0226, 0)</f>
        <v>57.318799999999996</v>
      </c>
      <c r="C777" s="4">
        <f>56.9329 * CHOOSE(CONTROL!$C$9, $C$13, 100%, $E$13) + CHOOSE(CONTROL!$C$28, 0.0226, 0)</f>
        <v>56.955499999999994</v>
      </c>
      <c r="D777" s="4">
        <f>79.7855 * CHOOSE(CONTROL!$C$9, $C$13, 100%, $E$13) + CHOOSE(CONTROL!$C$28, 0.0021, 0)</f>
        <v>79.787599999999998</v>
      </c>
      <c r="E777" s="4">
        <f>399.675888045287 * CHOOSE(CONTROL!$C$9, $C$13, 100%, $E$13) + CHOOSE(CONTROL!$C$28, 0.0021, 0)</f>
        <v>399.67798804528701</v>
      </c>
    </row>
    <row r="778" spans="1:5" ht="15">
      <c r="A778" s="13">
        <v>64831</v>
      </c>
      <c r="B778" s="4">
        <f>57.4751 * CHOOSE(CONTROL!$C$9, $C$13, 100%, $E$13) + CHOOSE(CONTROL!$C$28, 0.0226, 0)</f>
        <v>57.497699999999995</v>
      </c>
      <c r="C778" s="4">
        <f>57.1118 * CHOOSE(CONTROL!$C$9, $C$13, 100%, $E$13) + CHOOSE(CONTROL!$C$28, 0.0226, 0)</f>
        <v>57.134399999999999</v>
      </c>
      <c r="D778" s="4">
        <f>80.5047 * CHOOSE(CONTROL!$C$9, $C$13, 100%, $E$13) + CHOOSE(CONTROL!$C$28, 0.0021, 0)</f>
        <v>80.506799999999998</v>
      </c>
      <c r="E778" s="4">
        <f>400.940517008497 * CHOOSE(CONTROL!$C$9, $C$13, 100%, $E$13) + CHOOSE(CONTROL!$C$28, 0.0021, 0)</f>
        <v>400.942617008497</v>
      </c>
    </row>
    <row r="779" spans="1:5" ht="15">
      <c r="A779" s="13">
        <v>64862</v>
      </c>
      <c r="B779" s="4">
        <f>57.457 * CHOOSE(CONTROL!$C$9, $C$13, 100%, $E$13) + CHOOSE(CONTROL!$C$28, 0.0226, 0)</f>
        <v>57.479599999999998</v>
      </c>
      <c r="C779" s="4">
        <f>57.0938 * CHOOSE(CONTROL!$C$9, $C$13, 100%, $E$13) + CHOOSE(CONTROL!$C$28, 0.0226, 0)</f>
        <v>57.116399999999999</v>
      </c>
      <c r="D779" s="4">
        <f>81.8025 * CHOOSE(CONTROL!$C$9, $C$13, 100%, $E$13) + CHOOSE(CONTROL!$C$28, 0.0021, 0)</f>
        <v>81.804599999999994</v>
      </c>
      <c r="E779" s="4">
        <f>400.812991398762 * CHOOSE(CONTROL!$C$9, $C$13, 100%, $E$13) + CHOOSE(CONTROL!$C$28, 0.0021, 0)</f>
        <v>400.81509139876198</v>
      </c>
    </row>
    <row r="780" spans="1:5" ht="15">
      <c r="A780" s="13">
        <v>64893</v>
      </c>
      <c r="B780" s="4">
        <f>58.8142 * CHOOSE(CONTROL!$C$9, $C$13, 100%, $E$13) + CHOOSE(CONTROL!$C$28, 0.0226, 0)</f>
        <v>58.836799999999997</v>
      </c>
      <c r="C780" s="4">
        <f>58.4509 * CHOOSE(CONTROL!$C$9, $C$13, 100%, $E$13) + CHOOSE(CONTROL!$C$28, 0.0226, 0)</f>
        <v>58.473499999999994</v>
      </c>
      <c r="D780" s="4">
        <f>80.9454 * CHOOSE(CONTROL!$C$9, $C$13, 100%, $E$13) + CHOOSE(CONTROL!$C$28, 0.0021, 0)</f>
        <v>80.947500000000005</v>
      </c>
      <c r="E780" s="4">
        <f>410.40929353136 * CHOOSE(CONTROL!$C$9, $C$13, 100%, $E$13) + CHOOSE(CONTROL!$C$28, 0.0021, 0)</f>
        <v>410.41139353135998</v>
      </c>
    </row>
    <row r="781" spans="1:5" ht="15">
      <c r="A781" s="13">
        <v>64923</v>
      </c>
      <c r="B781" s="4">
        <f>56.5012 * CHOOSE(CONTROL!$C$9, $C$13, 100%, $E$13) + CHOOSE(CONTROL!$C$28, 0.0226, 0)</f>
        <v>56.523799999999994</v>
      </c>
      <c r="C781" s="4">
        <f>56.1379 * CHOOSE(CONTROL!$C$9, $C$13, 100%, $E$13) + CHOOSE(CONTROL!$C$28, 0.0226, 0)</f>
        <v>56.160499999999999</v>
      </c>
      <c r="D781" s="4">
        <f>80.5405 * CHOOSE(CONTROL!$C$9, $C$13, 100%, $E$13) + CHOOSE(CONTROL!$C$28, 0.0021, 0)</f>
        <v>80.542599999999993</v>
      </c>
      <c r="E781" s="4">
        <f>394.054134082779 * CHOOSE(CONTROL!$C$9, $C$13, 100%, $E$13) + CHOOSE(CONTROL!$C$28, 0.0021, 0)</f>
        <v>394.05623408277899</v>
      </c>
    </row>
    <row r="782" spans="1:5" ht="15">
      <c r="A782" s="13">
        <v>64954</v>
      </c>
      <c r="B782" s="4">
        <f>54.6496 * CHOOSE(CONTROL!$C$9, $C$13, 100%, $E$13) + CHOOSE(CONTROL!$C$28, 0.0226, 0)</f>
        <v>54.672199999999997</v>
      </c>
      <c r="C782" s="4">
        <f>54.2863 * CHOOSE(CONTROL!$C$9, $C$13, 100%, $E$13) + CHOOSE(CONTROL!$C$28, 0.0226, 0)</f>
        <v>54.308899999999994</v>
      </c>
      <c r="D782" s="4">
        <f>79.4562 * CHOOSE(CONTROL!$C$9, $C$13, 100%, $E$13) + CHOOSE(CONTROL!$C$28, 0.0021, 0)</f>
        <v>79.458299999999994</v>
      </c>
      <c r="E782" s="4">
        <f>380.961504816598 * CHOOSE(CONTROL!$C$9, $C$13, 100%, $E$13) + CHOOSE(CONTROL!$C$28, 0.0021, 0)</f>
        <v>380.96360481659798</v>
      </c>
    </row>
    <row r="783" spans="1:5" ht="15">
      <c r="A783" s="13">
        <v>64984</v>
      </c>
      <c r="B783" s="4">
        <f>53.457 * CHOOSE(CONTROL!$C$9, $C$13, 100%, $E$13) + CHOOSE(CONTROL!$C$28, 0.0226, 0)</f>
        <v>53.479599999999998</v>
      </c>
      <c r="C783" s="4">
        <f>53.0938 * CHOOSE(CONTROL!$C$9, $C$13, 100%, $E$13) + CHOOSE(CONTROL!$C$28, 0.0226, 0)</f>
        <v>53.116399999999999</v>
      </c>
      <c r="D783" s="4">
        <f>79.0835 * CHOOSE(CONTROL!$C$9, $C$13, 100%, $E$13) + CHOOSE(CONTROL!$C$28, 0.0021, 0)</f>
        <v>79.085599999999999</v>
      </c>
      <c r="E783" s="4">
        <f>372.528873872836 * CHOOSE(CONTROL!$C$9, $C$13, 100%, $E$13) + CHOOSE(CONTROL!$C$28, 0.0021, 0)</f>
        <v>372.530973872836</v>
      </c>
    </row>
    <row r="784" spans="1:5" ht="15">
      <c r="A784" s="13">
        <v>65015</v>
      </c>
      <c r="B784" s="4">
        <f>52.632 * CHOOSE(CONTROL!$C$9, $C$13, 100%, $E$13) + CHOOSE(CONTROL!$C$28, 0.0226, 0)</f>
        <v>52.654599999999995</v>
      </c>
      <c r="C784" s="4">
        <f>52.2687 * CHOOSE(CONTROL!$C$9, $C$13, 100%, $E$13) + CHOOSE(CONTROL!$C$28, 0.0226, 0)</f>
        <v>52.2913</v>
      </c>
      <c r="D784" s="4">
        <f>76.3392 * CHOOSE(CONTROL!$C$9, $C$13, 100%, $E$13) + CHOOSE(CONTROL!$C$28, 0.0021, 0)</f>
        <v>76.341300000000004</v>
      </c>
      <c r="E784" s="4">
        <f>366.694577227436 * CHOOSE(CONTROL!$C$9, $C$13, 100%, $E$13) + CHOOSE(CONTROL!$C$28, 0.0021, 0)</f>
        <v>366.696677227436</v>
      </c>
    </row>
    <row r="785" spans="1:5" ht="15">
      <c r="A785" s="13">
        <v>65046</v>
      </c>
      <c r="B785" s="4">
        <f>50.3745 * CHOOSE(CONTROL!$C$9, $C$13, 100%, $E$13) + CHOOSE(CONTROL!$C$28, 0.0226, 0)</f>
        <v>50.397099999999995</v>
      </c>
      <c r="C785" s="4">
        <f>50.0112 * CHOOSE(CONTROL!$C$9, $C$13, 100%, $E$13) + CHOOSE(CONTROL!$C$28, 0.0226, 0)</f>
        <v>50.033799999999999</v>
      </c>
      <c r="D785" s="4">
        <f>73.3161 * CHOOSE(CONTROL!$C$9, $C$13, 100%, $E$13) + CHOOSE(CONTROL!$C$28, 0.0021, 0)</f>
        <v>73.318200000000004</v>
      </c>
      <c r="E785" s="4">
        <f>351.420258055457 * CHOOSE(CONTROL!$C$9, $C$13, 100%, $E$13) + CHOOSE(CONTROL!$C$28, 0.0021, 0)</f>
        <v>351.42235805545698</v>
      </c>
    </row>
    <row r="786" spans="1:5" ht="15">
      <c r="A786" s="13">
        <v>65074</v>
      </c>
      <c r="B786" s="4">
        <f>51.5522 * CHOOSE(CONTROL!$C$9, $C$13, 100%, $E$13) + CHOOSE(CONTROL!$C$28, 0.0226, 0)</f>
        <v>51.574799999999996</v>
      </c>
      <c r="C786" s="4">
        <f>51.1889 * CHOOSE(CONTROL!$C$9, $C$13, 100%, $E$13) + CHOOSE(CONTROL!$C$28, 0.0226, 0)</f>
        <v>51.211499999999994</v>
      </c>
      <c r="D786" s="4">
        <f>75.8384 * CHOOSE(CONTROL!$C$9, $C$13, 100%, $E$13) + CHOOSE(CONTROL!$C$28, 0.0021, 0)</f>
        <v>75.840499999999992</v>
      </c>
      <c r="E786" s="4">
        <f>359.764359897106 * CHOOSE(CONTROL!$C$9, $C$13, 100%, $E$13) + CHOOSE(CONTROL!$C$28, 0.0021, 0)</f>
        <v>359.76645989710596</v>
      </c>
    </row>
    <row r="787" spans="1:5" ht="15">
      <c r="A787" s="13">
        <v>65105</v>
      </c>
      <c r="B787" s="4">
        <f>54.645 * CHOOSE(CONTROL!$C$9, $C$13, 100%, $E$13) + CHOOSE(CONTROL!$C$28, 0.0226, 0)</f>
        <v>54.6676</v>
      </c>
      <c r="C787" s="4">
        <f>54.2817 * CHOOSE(CONTROL!$C$9, $C$13, 100%, $E$13) + CHOOSE(CONTROL!$C$28, 0.0226, 0)</f>
        <v>54.304299999999998</v>
      </c>
      <c r="D787" s="4">
        <f>79.7868 * CHOOSE(CONTROL!$C$9, $C$13, 100%, $E$13) + CHOOSE(CONTROL!$C$28, 0.0021, 0)</f>
        <v>79.788899999999998</v>
      </c>
      <c r="E787" s="4">
        <f>381.676414765779 * CHOOSE(CONTROL!$C$9, $C$13, 100%, $E$13) + CHOOSE(CONTROL!$C$28, 0.0021, 0)</f>
        <v>381.67851476577897</v>
      </c>
    </row>
    <row r="788" spans="1:5" ht="15">
      <c r="A788" s="13">
        <v>65135</v>
      </c>
      <c r="B788" s="4">
        <f>56.8424 * CHOOSE(CONTROL!$C$9, $C$13, 100%, $E$13) + CHOOSE(CONTROL!$C$28, 0.0226, 0)</f>
        <v>56.864999999999995</v>
      </c>
      <c r="C788" s="4">
        <f>56.4792 * CHOOSE(CONTROL!$C$9, $C$13, 100%, $E$13) + CHOOSE(CONTROL!$C$28, 0.0226, 0)</f>
        <v>56.501799999999996</v>
      </c>
      <c r="D788" s="4">
        <f>82.0612 * CHOOSE(CONTROL!$C$9, $C$13, 100%, $E$13) + CHOOSE(CONTROL!$C$28, 0.0021, 0)</f>
        <v>82.063299999999998</v>
      </c>
      <c r="E788" s="4">
        <f>397.245221766497 * CHOOSE(CONTROL!$C$9, $C$13, 100%, $E$13) + CHOOSE(CONTROL!$C$28, 0.0021, 0)</f>
        <v>397.24732176649701</v>
      </c>
    </row>
    <row r="789" spans="1:5" ht="15">
      <c r="A789" s="13">
        <v>65166</v>
      </c>
      <c r="B789" s="4">
        <f>58.185 * CHOOSE(CONTROL!$C$9, $C$13, 100%, $E$13) + CHOOSE(CONTROL!$C$28, 0.0226, 0)</f>
        <v>58.207599999999999</v>
      </c>
      <c r="C789" s="4">
        <f>57.8218 * CHOOSE(CONTROL!$C$9, $C$13, 100%, $E$13) + CHOOSE(CONTROL!$C$28, 0.0226, 0)</f>
        <v>57.8444</v>
      </c>
      <c r="D789" s="4">
        <f>81.1624 * CHOOSE(CONTROL!$C$9, $C$13, 100%, $E$13) + CHOOSE(CONTROL!$C$28, 0.0021, 0)</f>
        <v>81.164500000000004</v>
      </c>
      <c r="E789" s="4">
        <f>406.757389711708 * CHOOSE(CONTROL!$C$9, $C$13, 100%, $E$13) + CHOOSE(CONTROL!$C$28, 0.0021, 0)</f>
        <v>406.759489711708</v>
      </c>
    </row>
    <row r="790" spans="1:5" ht="15">
      <c r="A790" s="13">
        <v>65196</v>
      </c>
      <c r="B790" s="4">
        <f>58.3667 * CHOOSE(CONTROL!$C$9, $C$13, 100%, $E$13) + CHOOSE(CONTROL!$C$28, 0.0226, 0)</f>
        <v>58.389299999999999</v>
      </c>
      <c r="C790" s="4">
        <f>58.0034 * CHOOSE(CONTROL!$C$9, $C$13, 100%, $E$13) + CHOOSE(CONTROL!$C$28, 0.0226, 0)</f>
        <v>58.025999999999996</v>
      </c>
      <c r="D790" s="4">
        <f>81.8944 * CHOOSE(CONTROL!$C$9, $C$13, 100%, $E$13) + CHOOSE(CONTROL!$C$28, 0.0021, 0)</f>
        <v>81.896500000000003</v>
      </c>
      <c r="E790" s="4">
        <f>408.044425511004 * CHOOSE(CONTROL!$C$9, $C$13, 100%, $E$13) + CHOOSE(CONTROL!$C$28, 0.0021, 0)</f>
        <v>408.04652551100401</v>
      </c>
    </row>
    <row r="791" spans="1:5" ht="15">
      <c r="A791" s="13">
        <v>65227</v>
      </c>
      <c r="B791" s="4">
        <f>58.3484 * CHOOSE(CONTROL!$C$9, $C$13, 100%, $E$13) + CHOOSE(CONTROL!$C$28, 0.0226, 0)</f>
        <v>58.370999999999995</v>
      </c>
      <c r="C791" s="4">
        <f>57.9851 * CHOOSE(CONTROL!$C$9, $C$13, 100%, $E$13) + CHOOSE(CONTROL!$C$28, 0.0226, 0)</f>
        <v>58.0077</v>
      </c>
      <c r="D791" s="4">
        <f>83.2151 * CHOOSE(CONTROL!$C$9, $C$13, 100%, $E$13) + CHOOSE(CONTROL!$C$28, 0.0021, 0)</f>
        <v>83.217200000000005</v>
      </c>
      <c r="E791" s="4">
        <f>407.914640388386 * CHOOSE(CONTROL!$C$9, $C$13, 100%, $E$13) + CHOOSE(CONTROL!$C$28, 0.0021, 0)</f>
        <v>407.91674038838596</v>
      </c>
    </row>
    <row r="792" spans="1:5" ht="15">
      <c r="A792" s="13">
        <v>65258</v>
      </c>
      <c r="B792" s="4">
        <f>59.7268 * CHOOSE(CONTROL!$C$9, $C$13, 100%, $E$13) + CHOOSE(CONTROL!$C$28, 0.0226, 0)</f>
        <v>59.749399999999994</v>
      </c>
      <c r="C792" s="4">
        <f>59.3636 * CHOOSE(CONTROL!$C$9, $C$13, 100%, $E$13) + CHOOSE(CONTROL!$C$28, 0.0226, 0)</f>
        <v>59.386199999999995</v>
      </c>
      <c r="D792" s="4">
        <f>82.3429 * CHOOSE(CONTROL!$C$9, $C$13, 100%, $E$13) + CHOOSE(CONTROL!$C$28, 0.0021, 0)</f>
        <v>82.344999999999999</v>
      </c>
      <c r="E792" s="4">
        <f>417.68097086539 * CHOOSE(CONTROL!$C$9, $C$13, 100%, $E$13) + CHOOSE(CONTROL!$C$28, 0.0021, 0)</f>
        <v>417.68307086538999</v>
      </c>
    </row>
    <row r="793" spans="1:5" ht="15">
      <c r="A793" s="13">
        <v>65288</v>
      </c>
      <c r="B793" s="4">
        <f>57.3775 * CHOOSE(CONTROL!$C$9, $C$13, 100%, $E$13) + CHOOSE(CONTROL!$C$28, 0.0226, 0)</f>
        <v>57.400099999999995</v>
      </c>
      <c r="C793" s="4">
        <f>57.0142 * CHOOSE(CONTROL!$C$9, $C$13, 100%, $E$13) + CHOOSE(CONTROL!$C$28, 0.0226, 0)</f>
        <v>57.036799999999999</v>
      </c>
      <c r="D793" s="4">
        <f>81.9308 * CHOOSE(CONTROL!$C$9, $C$13, 100%, $E$13) + CHOOSE(CONTROL!$C$28, 0.0021, 0)</f>
        <v>81.932900000000004</v>
      </c>
      <c r="E793" s="4">
        <f>401.036028889632 * CHOOSE(CONTROL!$C$9, $C$13, 100%, $E$13) + CHOOSE(CONTROL!$C$28, 0.0021, 0)</f>
        <v>401.03812888963199</v>
      </c>
    </row>
    <row r="794" spans="1:5" ht="15">
      <c r="A794" s="13">
        <v>65319</v>
      </c>
      <c r="B794" s="4">
        <f>55.4968 * CHOOSE(CONTROL!$C$9, $C$13, 100%, $E$13) + CHOOSE(CONTROL!$C$28, 0.0226, 0)</f>
        <v>55.519399999999997</v>
      </c>
      <c r="C794" s="4">
        <f>55.1335 * CHOOSE(CONTROL!$C$9, $C$13, 100%, $E$13) + CHOOSE(CONTROL!$C$28, 0.0226, 0)</f>
        <v>55.156099999999995</v>
      </c>
      <c r="D794" s="4">
        <f>80.8274 * CHOOSE(CONTROL!$C$9, $C$13, 100%, $E$13) + CHOOSE(CONTROL!$C$28, 0.0021, 0)</f>
        <v>80.829499999999996</v>
      </c>
      <c r="E794" s="4">
        <f>387.711422967516 * CHOOSE(CONTROL!$C$9, $C$13, 100%, $E$13) + CHOOSE(CONTROL!$C$28, 0.0021, 0)</f>
        <v>387.71352296751598</v>
      </c>
    </row>
    <row r="795" spans="1:5" ht="15">
      <c r="A795" s="13">
        <v>65349</v>
      </c>
      <c r="B795" s="4">
        <f>54.2855 * CHOOSE(CONTROL!$C$9, $C$13, 100%, $E$13) + CHOOSE(CONTROL!$C$28, 0.0226, 0)</f>
        <v>54.308099999999996</v>
      </c>
      <c r="C795" s="4">
        <f>53.9222 * CHOOSE(CONTROL!$C$9, $C$13, 100%, $E$13) + CHOOSE(CONTROL!$C$28, 0.0226, 0)</f>
        <v>53.944799999999994</v>
      </c>
      <c r="D795" s="4">
        <f>80.448 * CHOOSE(CONTROL!$C$9, $C$13, 100%, $E$13) + CHOOSE(CONTROL!$C$28, 0.0021, 0)</f>
        <v>80.450099999999992</v>
      </c>
      <c r="E795" s="4">
        <f>379.129381734401 * CHOOSE(CONTROL!$C$9, $C$13, 100%, $E$13) + CHOOSE(CONTROL!$C$28, 0.0021, 0)</f>
        <v>379.13148173440101</v>
      </c>
    </row>
    <row r="796" spans="1:5" ht="15">
      <c r="A796" s="13">
        <v>65380</v>
      </c>
      <c r="B796" s="4">
        <f>53.4474 * CHOOSE(CONTROL!$C$9, $C$13, 100%, $E$13) + CHOOSE(CONTROL!$C$28, 0.0226, 0)</f>
        <v>53.47</v>
      </c>
      <c r="C796" s="4">
        <f>53.0841 * CHOOSE(CONTROL!$C$9, $C$13, 100%, $E$13) + CHOOSE(CONTROL!$C$28, 0.0226, 0)</f>
        <v>53.106699999999996</v>
      </c>
      <c r="D796" s="4">
        <f>77.6552 * CHOOSE(CONTROL!$C$9, $C$13, 100%, $E$13) + CHOOSE(CONTROL!$C$28, 0.0021, 0)</f>
        <v>77.657299999999992</v>
      </c>
      <c r="E796" s="4">
        <f>373.191712374627 * CHOOSE(CONTROL!$C$9, $C$13, 100%, $E$13) + CHOOSE(CONTROL!$C$28, 0.0021, 0)</f>
        <v>373.19381237462699</v>
      </c>
    </row>
    <row r="797" spans="1:5" ht="15">
      <c r="A797" s="13">
        <v>65411</v>
      </c>
      <c r="B797" s="4">
        <f>51.1545 * CHOOSE(CONTROL!$C$9, $C$13, 100%, $E$13) + CHOOSE(CONTROL!$C$28, 0.0226, 0)</f>
        <v>51.177099999999996</v>
      </c>
      <c r="C797" s="4">
        <f>50.7912 * CHOOSE(CONTROL!$C$9, $C$13, 100%, $E$13) + CHOOSE(CONTROL!$C$28, 0.0226, 0)</f>
        <v>50.813800000000001</v>
      </c>
      <c r="D797" s="4">
        <f>74.5787 * CHOOSE(CONTROL!$C$9, $C$13, 100%, $E$13) + CHOOSE(CONTROL!$C$28, 0.0021, 0)</f>
        <v>74.580799999999996</v>
      </c>
      <c r="E797" s="4">
        <f>357.646761123243 * CHOOSE(CONTROL!$C$9, $C$13, 100%, $E$13) + CHOOSE(CONTROL!$C$28, 0.0021, 0)</f>
        <v>357.64886112324297</v>
      </c>
    </row>
    <row r="798" spans="1:5" ht="15">
      <c r="A798" s="13">
        <v>65439</v>
      </c>
      <c r="B798" s="4">
        <f>52.3507 * CHOOSE(CONTROL!$C$9, $C$13, 100%, $E$13) + CHOOSE(CONTROL!$C$28, 0.0226, 0)</f>
        <v>52.3733</v>
      </c>
      <c r="C798" s="4">
        <f>51.9874 * CHOOSE(CONTROL!$C$9, $C$13, 100%, $E$13) + CHOOSE(CONTROL!$C$28, 0.0226, 0)</f>
        <v>52.01</v>
      </c>
      <c r="D798" s="4">
        <f>77.1456 * CHOOSE(CONTROL!$C$9, $C$13, 100%, $E$13) + CHOOSE(CONTROL!$C$28, 0.0021, 0)</f>
        <v>77.1477</v>
      </c>
      <c r="E798" s="4">
        <f>366.138704685806 * CHOOSE(CONTROL!$C$9, $C$13, 100%, $E$13) + CHOOSE(CONTROL!$C$28, 0.0021, 0)</f>
        <v>366.14080468580596</v>
      </c>
    </row>
    <row r="799" spans="1:5" ht="15">
      <c r="A799" s="13">
        <v>65470</v>
      </c>
      <c r="B799" s="4">
        <f>55.4921 * CHOOSE(CONTROL!$C$9, $C$13, 100%, $E$13) + CHOOSE(CONTROL!$C$28, 0.0226, 0)</f>
        <v>55.514699999999998</v>
      </c>
      <c r="C799" s="4">
        <f>55.1288 * CHOOSE(CONTROL!$C$9, $C$13, 100%, $E$13) + CHOOSE(CONTROL!$C$28, 0.0226, 0)</f>
        <v>55.151399999999995</v>
      </c>
      <c r="D799" s="4">
        <f>81.1637 * CHOOSE(CONTROL!$C$9, $C$13, 100%, $E$13) + CHOOSE(CONTROL!$C$28, 0.0021, 0)</f>
        <v>81.165800000000004</v>
      </c>
      <c r="E799" s="4">
        <f>388.438999770385 * CHOOSE(CONTROL!$C$9, $C$13, 100%, $E$13) + CHOOSE(CONTROL!$C$28, 0.0021, 0)</f>
        <v>388.44109977038499</v>
      </c>
    </row>
    <row r="800" spans="1:5" ht="15">
      <c r="A800" s="13">
        <v>65500</v>
      </c>
      <c r="B800" s="4">
        <f>57.7241 * CHOOSE(CONTROL!$C$9, $C$13, 100%, $E$13) + CHOOSE(CONTROL!$C$28, 0.0226, 0)</f>
        <v>57.746699999999997</v>
      </c>
      <c r="C800" s="4">
        <f>57.3608 * CHOOSE(CONTROL!$C$9, $C$13, 100%, $E$13) + CHOOSE(CONTROL!$C$28, 0.0226, 0)</f>
        <v>57.383399999999995</v>
      </c>
      <c r="D800" s="4">
        <f>83.4783 * CHOOSE(CONTROL!$C$9, $C$13, 100%, $E$13) + CHOOSE(CONTROL!$C$28, 0.0021, 0)</f>
        <v>83.480400000000003</v>
      </c>
      <c r="E800" s="4">
        <f>404.283656618486 * CHOOSE(CONTROL!$C$9, $C$13, 100%, $E$13) + CHOOSE(CONTROL!$C$28, 0.0021, 0)</f>
        <v>404.285756618486</v>
      </c>
    </row>
    <row r="801" spans="1:5" ht="15">
      <c r="A801" s="13">
        <v>65531</v>
      </c>
      <c r="B801" s="4">
        <f>59.0878 * CHOOSE(CONTROL!$C$9, $C$13, 100%, $E$13) + CHOOSE(CONTROL!$C$28, 0.0226, 0)</f>
        <v>59.110399999999998</v>
      </c>
      <c r="C801" s="4">
        <f>58.7246 * CHOOSE(CONTROL!$C$9, $C$13, 100%, $E$13) + CHOOSE(CONTROL!$C$28, 0.0226, 0)</f>
        <v>58.747199999999999</v>
      </c>
      <c r="D801" s="4">
        <f>82.5637 * CHOOSE(CONTROL!$C$9, $C$13, 100%, $E$13) + CHOOSE(CONTROL!$C$28, 0.0021, 0)</f>
        <v>82.565799999999996</v>
      </c>
      <c r="E801" s="4">
        <f>413.96436220925 * CHOOSE(CONTROL!$C$9, $C$13, 100%, $E$13) + CHOOSE(CONTROL!$C$28, 0.0021, 0)</f>
        <v>413.96646220924998</v>
      </c>
    </row>
    <row r="802" spans="1:5" ht="15">
      <c r="A802" s="13">
        <v>65561</v>
      </c>
      <c r="B802" s="4">
        <f>59.2723 * CHOOSE(CONTROL!$C$9, $C$13, 100%, $E$13) + CHOOSE(CONTROL!$C$28, 0.0226, 0)</f>
        <v>59.294899999999998</v>
      </c>
      <c r="C802" s="4">
        <f>58.9091 * CHOOSE(CONTROL!$C$9, $C$13, 100%, $E$13) + CHOOSE(CONTROL!$C$28, 0.0226, 0)</f>
        <v>58.931699999999999</v>
      </c>
      <c r="D802" s="4">
        <f>83.3086 * CHOOSE(CONTROL!$C$9, $C$13, 100%, $E$13) + CHOOSE(CONTROL!$C$28, 0.0021, 0)</f>
        <v>83.310699999999997</v>
      </c>
      <c r="E802" s="4">
        <f>415.274201851434 * CHOOSE(CONTROL!$C$9, $C$13, 100%, $E$13) + CHOOSE(CONTROL!$C$28, 0.0021, 0)</f>
        <v>415.27630185143397</v>
      </c>
    </row>
    <row r="803" spans="1:5" ht="15">
      <c r="A803" s="13">
        <v>65592</v>
      </c>
      <c r="B803" s="4">
        <f>59.2537 * CHOOSE(CONTROL!$C$9, $C$13, 100%, $E$13) + CHOOSE(CONTROL!$C$28, 0.0226, 0)</f>
        <v>59.276299999999999</v>
      </c>
      <c r="C803" s="4">
        <f>58.8905 * CHOOSE(CONTROL!$C$9, $C$13, 100%, $E$13) + CHOOSE(CONTROL!$C$28, 0.0226, 0)</f>
        <v>58.9131</v>
      </c>
      <c r="D803" s="4">
        <f>84.6526 * CHOOSE(CONTROL!$C$9, $C$13, 100%, $E$13) + CHOOSE(CONTROL!$C$28, 0.0021, 0)</f>
        <v>84.654700000000005</v>
      </c>
      <c r="E803" s="4">
        <f>415.142117181634 * CHOOSE(CONTROL!$C$9, $C$13, 100%, $E$13) + CHOOSE(CONTROL!$C$28, 0.0021, 0)</f>
        <v>415.14421718163396</v>
      </c>
    </row>
    <row r="804" spans="1:5" ht="15">
      <c r="A804" s="13">
        <v>65623</v>
      </c>
      <c r="B804" s="4">
        <f>60.6539 * CHOOSE(CONTROL!$C$9, $C$13, 100%, $E$13) + CHOOSE(CONTROL!$C$28, 0.0226, 0)</f>
        <v>60.676499999999997</v>
      </c>
      <c r="C804" s="4">
        <f>60.2906 * CHOOSE(CONTROL!$C$9, $C$13, 100%, $E$13) + CHOOSE(CONTROL!$C$28, 0.0226, 0)</f>
        <v>60.313199999999995</v>
      </c>
      <c r="D804" s="4">
        <f>83.765 * CHOOSE(CONTROL!$C$9, $C$13, 100%, $E$13) + CHOOSE(CONTROL!$C$28, 0.0021, 0)</f>
        <v>83.767099999999999</v>
      </c>
      <c r="E804" s="4">
        <f>425.081488584089 * CHOOSE(CONTROL!$C$9, $C$13, 100%, $E$13) + CHOOSE(CONTROL!$C$28, 0.0021, 0)</f>
        <v>425.083588584089</v>
      </c>
    </row>
    <row r="805" spans="1:5" ht="15">
      <c r="A805" s="13">
        <v>65653</v>
      </c>
      <c r="B805" s="4">
        <f>58.2676 * CHOOSE(CONTROL!$C$9, $C$13, 100%, $E$13) + CHOOSE(CONTROL!$C$28, 0.0226, 0)</f>
        <v>58.290199999999999</v>
      </c>
      <c r="C805" s="4">
        <f>57.9043 * CHOOSE(CONTROL!$C$9, $C$13, 100%, $E$13) + CHOOSE(CONTROL!$C$28, 0.0226, 0)</f>
        <v>57.926899999999996</v>
      </c>
      <c r="D805" s="4">
        <f>83.3456 * CHOOSE(CONTROL!$C$9, $C$13, 100%, $E$13) + CHOOSE(CONTROL!$C$28, 0.0021, 0)</f>
        <v>83.347700000000003</v>
      </c>
      <c r="E805" s="4">
        <f>408.14162968223 * CHOOSE(CONTROL!$C$9, $C$13, 100%, $E$13) + CHOOSE(CONTROL!$C$28, 0.0021, 0)</f>
        <v>408.14372968223</v>
      </c>
    </row>
    <row r="806" spans="1:5" ht="15">
      <c r="A806" s="13">
        <v>65684</v>
      </c>
      <c r="B806" s="4">
        <f>56.3573 * CHOOSE(CONTROL!$C$9, $C$13, 100%, $E$13) + CHOOSE(CONTROL!$C$28, 0.0226, 0)</f>
        <v>56.379899999999999</v>
      </c>
      <c r="C806" s="4">
        <f>55.994 * CHOOSE(CONTROL!$C$9, $C$13, 100%, $E$13) + CHOOSE(CONTROL!$C$28, 0.0226, 0)</f>
        <v>56.016599999999997</v>
      </c>
      <c r="D806" s="4">
        <f>82.2227 * CHOOSE(CONTROL!$C$9, $C$13, 100%, $E$13) + CHOOSE(CONTROL!$C$28, 0.0021, 0)</f>
        <v>82.224800000000002</v>
      </c>
      <c r="E806" s="4">
        <f>394.580936916089 * CHOOSE(CONTROL!$C$9, $C$13, 100%, $E$13) + CHOOSE(CONTROL!$C$28, 0.0021, 0)</f>
        <v>394.58303691608899</v>
      </c>
    </row>
    <row r="807" spans="1:5" ht="15">
      <c r="A807" s="13">
        <v>65714</v>
      </c>
      <c r="B807" s="4">
        <f>55.127 * CHOOSE(CONTROL!$C$9, $C$13, 100%, $E$13) + CHOOSE(CONTROL!$C$28, 0.0226, 0)</f>
        <v>55.1496</v>
      </c>
      <c r="C807" s="4">
        <f>54.7637 * CHOOSE(CONTROL!$C$9, $C$13, 100%, $E$13) + CHOOSE(CONTROL!$C$28, 0.0226, 0)</f>
        <v>54.786299999999997</v>
      </c>
      <c r="D807" s="4">
        <f>81.8367 * CHOOSE(CONTROL!$C$9, $C$13, 100%, $E$13) + CHOOSE(CONTROL!$C$28, 0.0021, 0)</f>
        <v>81.838799999999992</v>
      </c>
      <c r="E807" s="4">
        <f>385.846838125559 * CHOOSE(CONTROL!$C$9, $C$13, 100%, $E$13) + CHOOSE(CONTROL!$C$28, 0.0021, 0)</f>
        <v>385.84893812555896</v>
      </c>
    </row>
    <row r="808" spans="1:5" ht="15">
      <c r="A808" s="13">
        <v>65745</v>
      </c>
      <c r="B808" s="4">
        <f>54.2757 * CHOOSE(CONTROL!$C$9, $C$13, 100%, $E$13) + CHOOSE(CONTROL!$C$28, 0.0226, 0)</f>
        <v>54.298299999999998</v>
      </c>
      <c r="C808" s="4">
        <f>53.9124 * CHOOSE(CONTROL!$C$9, $C$13, 100%, $E$13) + CHOOSE(CONTROL!$C$28, 0.0226, 0)</f>
        <v>53.934999999999995</v>
      </c>
      <c r="D808" s="4">
        <f>78.9946 * CHOOSE(CONTROL!$C$9, $C$13, 100%, $E$13) + CHOOSE(CONTROL!$C$28, 0.0021, 0)</f>
        <v>78.996700000000004</v>
      </c>
      <c r="E808" s="4">
        <f>379.803964482205 * CHOOSE(CONTROL!$C$9, $C$13, 100%, $E$13) + CHOOSE(CONTROL!$C$28, 0.0021, 0)</f>
        <v>379.80606448220499</v>
      </c>
    </row>
    <row r="809" spans="1:5" ht="15">
      <c r="A809" s="13">
        <v>65776</v>
      </c>
      <c r="B809" s="4">
        <f>51.9467 * CHOOSE(CONTROL!$C$9, $C$13, 100%, $E$13) + CHOOSE(CONTROL!$C$28, 0.0226, 0)</f>
        <v>51.969299999999997</v>
      </c>
      <c r="C809" s="4">
        <f>51.5834 * CHOOSE(CONTROL!$C$9, $C$13, 100%, $E$13) + CHOOSE(CONTROL!$C$28, 0.0226, 0)</f>
        <v>51.605999999999995</v>
      </c>
      <c r="D809" s="4">
        <f>75.8637 * CHOOSE(CONTROL!$C$9, $C$13, 100%, $E$13) + CHOOSE(CONTROL!$C$28, 0.0021, 0)</f>
        <v>75.865799999999993</v>
      </c>
      <c r="E809" s="4">
        <f>363.983586062248 * CHOOSE(CONTROL!$C$9, $C$13, 100%, $E$13) + CHOOSE(CONTROL!$C$28, 0.0021, 0)</f>
        <v>363.98568606224796</v>
      </c>
    </row>
    <row r="810" spans="1:5" ht="15">
      <c r="A810" s="13">
        <v>65805</v>
      </c>
      <c r="B810" s="4">
        <f>53.1618 * CHOOSE(CONTROL!$C$9, $C$13, 100%, $E$13) + CHOOSE(CONTROL!$C$28, 0.0226, 0)</f>
        <v>53.184399999999997</v>
      </c>
      <c r="C810" s="4">
        <f>52.7985 * CHOOSE(CONTROL!$C$9, $C$13, 100%, $E$13) + CHOOSE(CONTROL!$C$28, 0.0226, 0)</f>
        <v>52.821099999999994</v>
      </c>
      <c r="D810" s="4">
        <f>78.4759 * CHOOSE(CONTROL!$C$9, $C$13, 100%, $E$13) + CHOOSE(CONTROL!$C$28, 0.0021, 0)</f>
        <v>78.477999999999994</v>
      </c>
      <c r="E810" s="4">
        <f>372.625990821717 * CHOOSE(CONTROL!$C$9, $C$13, 100%, $E$13) + CHOOSE(CONTROL!$C$28, 0.0021, 0)</f>
        <v>372.62809082171697</v>
      </c>
    </row>
    <row r="811" spans="1:5" ht="15">
      <c r="A811" s="13">
        <v>65836</v>
      </c>
      <c r="B811" s="4">
        <f>56.3526 * CHOOSE(CONTROL!$C$9, $C$13, 100%, $E$13) + CHOOSE(CONTROL!$C$28, 0.0226, 0)</f>
        <v>56.3752</v>
      </c>
      <c r="C811" s="4">
        <f>55.9893 * CHOOSE(CONTROL!$C$9, $C$13, 100%, $E$13) + CHOOSE(CONTROL!$C$28, 0.0226, 0)</f>
        <v>56.011899999999997</v>
      </c>
      <c r="D811" s="4">
        <f>82.565 * CHOOSE(CONTROL!$C$9, $C$13, 100%, $E$13) + CHOOSE(CONTROL!$C$28, 0.0021, 0)</f>
        <v>82.567099999999996</v>
      </c>
      <c r="E811" s="4">
        <f>395.321405005363 * CHOOSE(CONTROL!$C$9, $C$13, 100%, $E$13) + CHOOSE(CONTROL!$C$28, 0.0021, 0)</f>
        <v>395.32350500536296</v>
      </c>
    </row>
    <row r="812" spans="1:5" ht="15">
      <c r="A812" s="13">
        <v>65866</v>
      </c>
      <c r="B812" s="4">
        <f>58.6197 * CHOOSE(CONTROL!$C$9, $C$13, 100%, $E$13) + CHOOSE(CONTROL!$C$28, 0.0226, 0)</f>
        <v>58.642299999999999</v>
      </c>
      <c r="C812" s="4">
        <f>58.2564 * CHOOSE(CONTROL!$C$9, $C$13, 100%, $E$13) + CHOOSE(CONTROL!$C$28, 0.0226, 0)</f>
        <v>58.278999999999996</v>
      </c>
      <c r="D812" s="4">
        <f>84.9205 * CHOOSE(CONTROL!$C$9, $C$13, 100%, $E$13) + CHOOSE(CONTROL!$C$28, 0.0021, 0)</f>
        <v>84.922600000000003</v>
      </c>
      <c r="E812" s="4">
        <f>411.446799239005 * CHOOSE(CONTROL!$C$9, $C$13, 100%, $E$13) + CHOOSE(CONTROL!$C$28, 0.0021, 0)</f>
        <v>411.44889923900496</v>
      </c>
    </row>
    <row r="813" spans="1:5" ht="15">
      <c r="A813" s="13">
        <v>65897</v>
      </c>
      <c r="B813" s="4">
        <f>60.0048 * CHOOSE(CONTROL!$C$9, $C$13, 100%, $E$13) + CHOOSE(CONTROL!$C$28, 0.0226, 0)</f>
        <v>60.0274</v>
      </c>
      <c r="C813" s="4">
        <f>59.6415 * CHOOSE(CONTROL!$C$9, $C$13, 100%, $E$13) + CHOOSE(CONTROL!$C$28, 0.0226, 0)</f>
        <v>59.664099999999998</v>
      </c>
      <c r="D813" s="4">
        <f>83.9897 * CHOOSE(CONTROL!$C$9, $C$13, 100%, $E$13) + CHOOSE(CONTROL!$C$28, 0.0021, 0)</f>
        <v>83.991799999999998</v>
      </c>
      <c r="E813" s="4">
        <f>421.299028643998 * CHOOSE(CONTROL!$C$9, $C$13, 100%, $E$13) + CHOOSE(CONTROL!$C$28, 0.0021, 0)</f>
        <v>421.30112864399797</v>
      </c>
    </row>
    <row r="814" spans="1:5" ht="15">
      <c r="A814" s="13">
        <v>65927</v>
      </c>
      <c r="B814" s="4">
        <f>60.1922 * CHOOSE(CONTROL!$C$9, $C$13, 100%, $E$13) + CHOOSE(CONTROL!$C$28, 0.0226, 0)</f>
        <v>60.214799999999997</v>
      </c>
      <c r="C814" s="4">
        <f>59.829 * CHOOSE(CONTROL!$C$9, $C$13, 100%, $E$13) + CHOOSE(CONTROL!$C$28, 0.0226, 0)</f>
        <v>59.851599999999998</v>
      </c>
      <c r="D814" s="4">
        <f>84.7478 * CHOOSE(CONTROL!$C$9, $C$13, 100%, $E$13) + CHOOSE(CONTROL!$C$28, 0.0021, 0)</f>
        <v>84.749899999999997</v>
      </c>
      <c r="E814" s="4">
        <f>422.632076170086 * CHOOSE(CONTROL!$C$9, $C$13, 100%, $E$13) + CHOOSE(CONTROL!$C$28, 0.0021, 0)</f>
        <v>422.63417617008599</v>
      </c>
    </row>
    <row r="815" spans="1:5" ht="15">
      <c r="A815" s="13">
        <v>65958</v>
      </c>
      <c r="B815" s="4">
        <f>60.1733 * CHOOSE(CONTROL!$C$9, $C$13, 100%, $E$13) + CHOOSE(CONTROL!$C$28, 0.0226, 0)</f>
        <v>60.195899999999995</v>
      </c>
      <c r="C815" s="4">
        <f>59.8101 * CHOOSE(CONTROL!$C$9, $C$13, 100%, $E$13) + CHOOSE(CONTROL!$C$28, 0.0226, 0)</f>
        <v>59.832699999999996</v>
      </c>
      <c r="D815" s="4">
        <f>86.1156 * CHOOSE(CONTROL!$C$9, $C$13, 100%, $E$13) + CHOOSE(CONTROL!$C$28, 0.0021, 0)</f>
        <v>86.117699999999999</v>
      </c>
      <c r="E815" s="4">
        <f>422.497651209472 * CHOOSE(CONTROL!$C$9, $C$13, 100%, $E$13) + CHOOSE(CONTROL!$C$28, 0.0021, 0)</f>
        <v>422.49975120947198</v>
      </c>
    </row>
    <row r="816" spans="1:5" ht="15">
      <c r="A816" s="13">
        <v>65989</v>
      </c>
      <c r="B816" s="4">
        <f>61.5955 * CHOOSE(CONTROL!$C$9, $C$13, 100%, $E$13) + CHOOSE(CONTROL!$C$28, 0.0226, 0)</f>
        <v>61.618099999999998</v>
      </c>
      <c r="C816" s="4">
        <f>61.2322 * CHOOSE(CONTROL!$C$9, $C$13, 100%, $E$13) + CHOOSE(CONTROL!$C$28, 0.0226, 0)</f>
        <v>61.254799999999996</v>
      </c>
      <c r="D816" s="4">
        <f>85.2123 * CHOOSE(CONTROL!$C$9, $C$13, 100%, $E$13) + CHOOSE(CONTROL!$C$28, 0.0021, 0)</f>
        <v>85.214399999999998</v>
      </c>
      <c r="E816" s="4">
        <f>432.613129495667 * CHOOSE(CONTROL!$C$9, $C$13, 100%, $E$13) + CHOOSE(CONTROL!$C$28, 0.0021, 0)</f>
        <v>432.61522949566699</v>
      </c>
    </row>
    <row r="817" spans="1:5" ht="15">
      <c r="A817" s="13">
        <v>66019</v>
      </c>
      <c r="B817" s="4">
        <f>59.1717 * CHOOSE(CONTROL!$C$9, $C$13, 100%, $E$13) + CHOOSE(CONTROL!$C$28, 0.0226, 0)</f>
        <v>59.194299999999998</v>
      </c>
      <c r="C817" s="4">
        <f>58.8084 * CHOOSE(CONTROL!$C$9, $C$13, 100%, $E$13) + CHOOSE(CONTROL!$C$28, 0.0226, 0)</f>
        <v>58.830999999999996</v>
      </c>
      <c r="D817" s="4">
        <f>84.7855 * CHOOSE(CONTROL!$C$9, $C$13, 100%, $E$13) + CHOOSE(CONTROL!$C$28, 0.0021, 0)</f>
        <v>84.787599999999998</v>
      </c>
      <c r="E817" s="4">
        <f>415.373128296936 * CHOOSE(CONTROL!$C$9, $C$13, 100%, $E$13) + CHOOSE(CONTROL!$C$28, 0.0021, 0)</f>
        <v>415.37522829693597</v>
      </c>
    </row>
    <row r="818" spans="1:5" ht="15">
      <c r="A818" s="13">
        <v>66050</v>
      </c>
      <c r="B818" s="4">
        <f>57.2314 * CHOOSE(CONTROL!$C$9, $C$13, 100%, $E$13) + CHOOSE(CONTROL!$C$28, 0.0226, 0)</f>
        <v>57.253999999999998</v>
      </c>
      <c r="C818" s="4">
        <f>56.8681 * CHOOSE(CONTROL!$C$9, $C$13, 100%, $E$13) + CHOOSE(CONTROL!$C$28, 0.0226, 0)</f>
        <v>56.890699999999995</v>
      </c>
      <c r="D818" s="4">
        <f>83.6428 * CHOOSE(CONTROL!$C$9, $C$13, 100%, $E$13) + CHOOSE(CONTROL!$C$28, 0.0021, 0)</f>
        <v>83.644899999999993</v>
      </c>
      <c r="E818" s="4">
        <f>401.572165673909 * CHOOSE(CONTROL!$C$9, $C$13, 100%, $E$13) + CHOOSE(CONTROL!$C$28, 0.0021, 0)</f>
        <v>401.574265673909</v>
      </c>
    </row>
    <row r="819" spans="1:5" ht="15">
      <c r="A819" s="13">
        <v>66080</v>
      </c>
      <c r="B819" s="4">
        <f>55.9817 * CHOOSE(CONTROL!$C$9, $C$13, 100%, $E$13) + CHOOSE(CONTROL!$C$28, 0.0226, 0)</f>
        <v>56.004299999999994</v>
      </c>
      <c r="C819" s="4">
        <f>55.6184 * CHOOSE(CONTROL!$C$9, $C$13, 100%, $E$13) + CHOOSE(CONTROL!$C$28, 0.0226, 0)</f>
        <v>55.640999999999998</v>
      </c>
      <c r="D819" s="4">
        <f>83.2499 * CHOOSE(CONTROL!$C$9, $C$13, 100%, $E$13) + CHOOSE(CONTROL!$C$28, 0.0021, 0)</f>
        <v>83.251999999999995</v>
      </c>
      <c r="E819" s="4">
        <f>392.683315153315 * CHOOSE(CONTROL!$C$9, $C$13, 100%, $E$13) + CHOOSE(CONTROL!$C$28, 0.0021, 0)</f>
        <v>392.68541515331498</v>
      </c>
    </row>
    <row r="820" spans="1:5" ht="15">
      <c r="A820" s="13">
        <v>66111</v>
      </c>
      <c r="B820" s="4">
        <f>55.117 * CHOOSE(CONTROL!$C$9, $C$13, 100%, $E$13) + CHOOSE(CONTROL!$C$28, 0.0226, 0)</f>
        <v>55.139599999999994</v>
      </c>
      <c r="C820" s="4">
        <f>54.7538 * CHOOSE(CONTROL!$C$9, $C$13, 100%, $E$13) + CHOOSE(CONTROL!$C$28, 0.0226, 0)</f>
        <v>54.776399999999995</v>
      </c>
      <c r="D820" s="4">
        <f>80.3575 * CHOOSE(CONTROL!$C$9, $C$13, 100%, $E$13) + CHOOSE(CONTROL!$C$28, 0.0021, 0)</f>
        <v>80.3596</v>
      </c>
      <c r="E820" s="4">
        <f>386.533373205229 * CHOOSE(CONTROL!$C$9, $C$13, 100%, $E$13) + CHOOSE(CONTROL!$C$28, 0.0021, 0)</f>
        <v>386.53547320522898</v>
      </c>
    </row>
    <row r="821" spans="1:5" ht="15">
      <c r="A821" s="13">
        <v>66142</v>
      </c>
      <c r="B821" s="4">
        <f>52.7514 * CHOOSE(CONTROL!$C$9, $C$13, 100%, $E$13) + CHOOSE(CONTROL!$C$28, 0.0226, 0)</f>
        <v>52.773999999999994</v>
      </c>
      <c r="C821" s="4">
        <f>52.3881 * CHOOSE(CONTROL!$C$9, $C$13, 100%, $E$13) + CHOOSE(CONTROL!$C$28, 0.0226, 0)</f>
        <v>52.410699999999999</v>
      </c>
      <c r="D821" s="4">
        <f>77.1714 * CHOOSE(CONTROL!$C$9, $C$13, 100%, $E$13) + CHOOSE(CONTROL!$C$28, 0.0021, 0)</f>
        <v>77.173500000000004</v>
      </c>
      <c r="E821" s="4">
        <f>370.432687567611 * CHOOSE(CONTROL!$C$9, $C$13, 100%, $E$13) + CHOOSE(CONTROL!$C$28, 0.0021, 0)</f>
        <v>370.43478756761101</v>
      </c>
    </row>
    <row r="822" spans="1:5" ht="15">
      <c r="A822" s="13">
        <v>66170</v>
      </c>
      <c r="B822" s="4">
        <f>53.9856 * CHOOSE(CONTROL!$C$9, $C$13, 100%, $E$13) + CHOOSE(CONTROL!$C$28, 0.0226, 0)</f>
        <v>54.008199999999995</v>
      </c>
      <c r="C822" s="4">
        <f>53.6223 * CHOOSE(CONTROL!$C$9, $C$13, 100%, $E$13) + CHOOSE(CONTROL!$C$28, 0.0226, 0)</f>
        <v>53.6449</v>
      </c>
      <c r="D822" s="4">
        <f>79.8297 * CHOOSE(CONTROL!$C$9, $C$13, 100%, $E$13) + CHOOSE(CONTROL!$C$28, 0.0021, 0)</f>
        <v>79.831800000000001</v>
      </c>
      <c r="E822" s="4">
        <f>379.228219412142 * CHOOSE(CONTROL!$C$9, $C$13, 100%, $E$13) + CHOOSE(CONTROL!$C$28, 0.0021, 0)</f>
        <v>379.23031941214197</v>
      </c>
    </row>
    <row r="823" spans="1:5" ht="15">
      <c r="A823" s="13">
        <v>66201</v>
      </c>
      <c r="B823" s="4">
        <f>57.2265 * CHOOSE(CONTROL!$C$9, $C$13, 100%, $E$13) + CHOOSE(CONTROL!$C$28, 0.0226, 0)</f>
        <v>57.249099999999999</v>
      </c>
      <c r="C823" s="4">
        <f>56.8633 * CHOOSE(CONTROL!$C$9, $C$13, 100%, $E$13) + CHOOSE(CONTROL!$C$28, 0.0226, 0)</f>
        <v>56.885899999999999</v>
      </c>
      <c r="D823" s="4">
        <f>83.9911 * CHOOSE(CONTROL!$C$9, $C$13, 100%, $E$13) + CHOOSE(CONTROL!$C$28, 0.0021, 0)</f>
        <v>83.993200000000002</v>
      </c>
      <c r="E823" s="4">
        <f>402.325753458829 * CHOOSE(CONTROL!$C$9, $C$13, 100%, $E$13) + CHOOSE(CONTROL!$C$28, 0.0021, 0)</f>
        <v>402.327853458829</v>
      </c>
    </row>
    <row r="824" spans="1:5" ht="15">
      <c r="A824" s="13">
        <v>66231</v>
      </c>
      <c r="B824" s="4">
        <f>59.5293 * CHOOSE(CONTROL!$C$9, $C$13, 100%, $E$13) + CHOOSE(CONTROL!$C$28, 0.0226, 0)</f>
        <v>59.551899999999996</v>
      </c>
      <c r="C824" s="4">
        <f>59.166 * CHOOSE(CONTROL!$C$9, $C$13, 100%, $E$13) + CHOOSE(CONTROL!$C$28, 0.0226, 0)</f>
        <v>59.188599999999994</v>
      </c>
      <c r="D824" s="4">
        <f>86.3882 * CHOOSE(CONTROL!$C$9, $C$13, 100%, $E$13) + CHOOSE(CONTROL!$C$28, 0.0021, 0)</f>
        <v>86.390299999999996</v>
      </c>
      <c r="E824" s="4">
        <f>418.736859214113 * CHOOSE(CONTROL!$C$9, $C$13, 100%, $E$13) + CHOOSE(CONTROL!$C$28, 0.0021, 0)</f>
        <v>418.73895921411298</v>
      </c>
    </row>
    <row r="825" spans="1:5" ht="15">
      <c r="A825" s="13">
        <v>66262</v>
      </c>
      <c r="B825" s="4">
        <f>60.9362 * CHOOSE(CONTROL!$C$9, $C$13, 100%, $E$13) + CHOOSE(CONTROL!$C$28, 0.0226, 0)</f>
        <v>60.958799999999997</v>
      </c>
      <c r="C825" s="4">
        <f>60.5729 * CHOOSE(CONTROL!$C$9, $C$13, 100%, $E$13) + CHOOSE(CONTROL!$C$28, 0.0226, 0)</f>
        <v>60.595499999999994</v>
      </c>
      <c r="D825" s="4">
        <f>85.441 * CHOOSE(CONTROL!$C$9, $C$13, 100%, $E$13) + CHOOSE(CONTROL!$C$28, 0.0021, 0)</f>
        <v>85.443100000000001</v>
      </c>
      <c r="E825" s="4">
        <f>428.76365151128 * CHOOSE(CONTROL!$C$9, $C$13, 100%, $E$13) + CHOOSE(CONTROL!$C$28, 0.0021, 0)</f>
        <v>428.76575151127997</v>
      </c>
    </row>
    <row r="826" spans="1:5" ht="15">
      <c r="A826" s="13">
        <v>66292</v>
      </c>
      <c r="B826" s="4">
        <f>61.1266 * CHOOSE(CONTROL!$C$9, $C$13, 100%, $E$13) + CHOOSE(CONTROL!$C$28, 0.0226, 0)</f>
        <v>61.1492</v>
      </c>
      <c r="C826" s="4">
        <f>60.7633 * CHOOSE(CONTROL!$C$9, $C$13, 100%, $E$13) + CHOOSE(CONTROL!$C$28, 0.0226, 0)</f>
        <v>60.785899999999998</v>
      </c>
      <c r="D826" s="4">
        <f>86.2124 * CHOOSE(CONTROL!$C$9, $C$13, 100%, $E$13) + CHOOSE(CONTROL!$C$28, 0.0021, 0)</f>
        <v>86.214500000000001</v>
      </c>
      <c r="E826" s="4">
        <f>430.12031812113 * CHOOSE(CONTROL!$C$9, $C$13, 100%, $E$13) + CHOOSE(CONTROL!$C$28, 0.0021, 0)</f>
        <v>430.12241812113001</v>
      </c>
    </row>
    <row r="827" spans="1:5" ht="15">
      <c r="A827" s="13">
        <v>66323</v>
      </c>
      <c r="B827" s="4">
        <f>61.1074 * CHOOSE(CONTROL!$C$9, $C$13, 100%, $E$13) + CHOOSE(CONTROL!$C$28, 0.0226, 0)</f>
        <v>61.129999999999995</v>
      </c>
      <c r="C827" s="4">
        <f>60.7441 * CHOOSE(CONTROL!$C$9, $C$13, 100%, $E$13) + CHOOSE(CONTROL!$C$28, 0.0226, 0)</f>
        <v>60.7667</v>
      </c>
      <c r="D827" s="4">
        <f>87.6044 * CHOOSE(CONTROL!$C$9, $C$13, 100%, $E$13) + CHOOSE(CONTROL!$C$28, 0.0021, 0)</f>
        <v>87.606499999999997</v>
      </c>
      <c r="E827" s="4">
        <f>429.983511404171 * CHOOSE(CONTROL!$C$9, $C$13, 100%, $E$13) + CHOOSE(CONTROL!$C$28, 0.0021, 0)</f>
        <v>429.98561140417098</v>
      </c>
    </row>
    <row r="828" spans="1:5" ht="15">
      <c r="A828" s="13">
        <v>66354</v>
      </c>
      <c r="B828" s="4">
        <f>62.5519 * CHOOSE(CONTROL!$C$9, $C$13, 100%, $E$13) + CHOOSE(CONTROL!$C$28, 0.0226, 0)</f>
        <v>62.5745</v>
      </c>
      <c r="C828" s="4">
        <f>62.1886 * CHOOSE(CONTROL!$C$9, $C$13, 100%, $E$13) + CHOOSE(CONTROL!$C$28, 0.0226, 0)</f>
        <v>62.211199999999998</v>
      </c>
      <c r="D828" s="4">
        <f>86.6851 * CHOOSE(CONTROL!$C$9, $C$13, 100%, $E$13) + CHOOSE(CONTROL!$C$28, 0.0021, 0)</f>
        <v>86.687200000000004</v>
      </c>
      <c r="E828" s="4">
        <f>440.278216855384 * CHOOSE(CONTROL!$C$9, $C$13, 100%, $E$13) + CHOOSE(CONTROL!$C$28, 0.0021, 0)</f>
        <v>440.280316855384</v>
      </c>
    </row>
    <row r="829" spans="1:5" ht="15">
      <c r="A829" s="13">
        <v>66384</v>
      </c>
      <c r="B829" s="4">
        <f>60.09 * CHOOSE(CONTROL!$C$9, $C$13, 100%, $E$13) + CHOOSE(CONTROL!$C$28, 0.0226, 0)</f>
        <v>60.1126</v>
      </c>
      <c r="C829" s="4">
        <f>59.7267 * CHOOSE(CONTROL!$C$9, $C$13, 100%, $E$13) + CHOOSE(CONTROL!$C$28, 0.0226, 0)</f>
        <v>59.749299999999998</v>
      </c>
      <c r="D829" s="4">
        <f>86.2508 * CHOOSE(CONTROL!$C$9, $C$13, 100%, $E$13) + CHOOSE(CONTROL!$C$28, 0.0021, 0)</f>
        <v>86.252899999999997</v>
      </c>
      <c r="E829" s="4">
        <f>422.732755405309 * CHOOSE(CONTROL!$C$9, $C$13, 100%, $E$13) + CHOOSE(CONTROL!$C$28, 0.0021, 0)</f>
        <v>422.73485540530896</v>
      </c>
    </row>
    <row r="830" spans="1:5" ht="15">
      <c r="A830" s="13">
        <v>66415</v>
      </c>
      <c r="B830" s="4">
        <f>58.1192 * CHOOSE(CONTROL!$C$9, $C$13, 100%, $E$13) + CHOOSE(CONTROL!$C$28, 0.0226, 0)</f>
        <v>58.141799999999996</v>
      </c>
      <c r="C830" s="4">
        <f>57.7559 * CHOOSE(CONTROL!$C$9, $C$13, 100%, $E$13) + CHOOSE(CONTROL!$C$28, 0.0226, 0)</f>
        <v>57.778499999999994</v>
      </c>
      <c r="D830" s="4">
        <f>85.0879 * CHOOSE(CONTROL!$C$9, $C$13, 100%, $E$13) + CHOOSE(CONTROL!$C$28, 0.0021, 0)</f>
        <v>85.09</v>
      </c>
      <c r="E830" s="4">
        <f>408.687265797452 * CHOOSE(CONTROL!$C$9, $C$13, 100%, $E$13) + CHOOSE(CONTROL!$C$28, 0.0021, 0)</f>
        <v>408.68936579745201</v>
      </c>
    </row>
    <row r="831" spans="1:5" ht="15">
      <c r="A831" s="13">
        <v>66445</v>
      </c>
      <c r="B831" s="4">
        <f>56.8498 * CHOOSE(CONTROL!$C$9, $C$13, 100%, $E$13) + CHOOSE(CONTROL!$C$28, 0.0226, 0)</f>
        <v>56.872399999999999</v>
      </c>
      <c r="C831" s="4">
        <f>56.4865 * CHOOSE(CONTROL!$C$9, $C$13, 100%, $E$13) + CHOOSE(CONTROL!$C$28, 0.0226, 0)</f>
        <v>56.509099999999997</v>
      </c>
      <c r="D831" s="4">
        <f>84.6881 * CHOOSE(CONTROL!$C$9, $C$13, 100%, $E$13) + CHOOSE(CONTROL!$C$28, 0.0021, 0)</f>
        <v>84.690200000000004</v>
      </c>
      <c r="E831" s="4">
        <f>399.640921638496 * CHOOSE(CONTROL!$C$9, $C$13, 100%, $E$13) + CHOOSE(CONTROL!$C$28, 0.0021, 0)</f>
        <v>399.64302163849601</v>
      </c>
    </row>
    <row r="832" spans="1:5" ht="15">
      <c r="A832" s="13">
        <v>66476</v>
      </c>
      <c r="B832" s="4">
        <f>55.9716 * CHOOSE(CONTROL!$C$9, $C$13, 100%, $E$13) + CHOOSE(CONTROL!$C$28, 0.0226, 0)</f>
        <v>55.994199999999999</v>
      </c>
      <c r="C832" s="4">
        <f>55.6083 * CHOOSE(CONTROL!$C$9, $C$13, 100%, $E$13) + CHOOSE(CONTROL!$C$28, 0.0226, 0)</f>
        <v>55.630899999999997</v>
      </c>
      <c r="D832" s="4">
        <f>81.7446 * CHOOSE(CONTROL!$C$9, $C$13, 100%, $E$13) + CHOOSE(CONTROL!$C$28, 0.0021, 0)</f>
        <v>81.746700000000004</v>
      </c>
      <c r="E832" s="4">
        <f>393.382014337592 * CHOOSE(CONTROL!$C$9, $C$13, 100%, $E$13) + CHOOSE(CONTROL!$C$28, 0.0021, 0)</f>
        <v>393.384114337592</v>
      </c>
    </row>
    <row r="833" spans="1:5" ht="15">
      <c r="A833" s="13">
        <v>66507</v>
      </c>
      <c r="B833" s="4">
        <f>53.5688 * CHOOSE(CONTROL!$C$9, $C$13, 100%, $E$13) + CHOOSE(CONTROL!$C$28, 0.0226, 0)</f>
        <v>53.5914</v>
      </c>
      <c r="C833" s="4">
        <f>53.2055 * CHOOSE(CONTROL!$C$9, $C$13, 100%, $E$13) + CHOOSE(CONTROL!$C$28, 0.0226, 0)</f>
        <v>53.228099999999998</v>
      </c>
      <c r="D833" s="4">
        <f>78.5021 * CHOOSE(CONTROL!$C$9, $C$13, 100%, $E$13) + CHOOSE(CONTROL!$C$28, 0.0021, 0)</f>
        <v>78.504199999999997</v>
      </c>
      <c r="E833" s="4">
        <f>376.996054967973 * CHOOSE(CONTROL!$C$9, $C$13, 100%, $E$13) + CHOOSE(CONTROL!$C$28, 0.0021, 0)</f>
        <v>376.99815496797299</v>
      </c>
    </row>
    <row r="834" spans="1:5" ht="15">
      <c r="A834" s="13">
        <v>66535</v>
      </c>
      <c r="B834" s="4">
        <f>54.8223 * CHOOSE(CONTROL!$C$9, $C$13, 100%, $E$13) + CHOOSE(CONTROL!$C$28, 0.0226, 0)</f>
        <v>54.844899999999996</v>
      </c>
      <c r="C834" s="4">
        <f>54.459 * CHOOSE(CONTROL!$C$9, $C$13, 100%, $E$13) + CHOOSE(CONTROL!$C$28, 0.0226, 0)</f>
        <v>54.4816</v>
      </c>
      <c r="D834" s="4">
        <f>81.2074 * CHOOSE(CONTROL!$C$9, $C$13, 100%, $E$13) + CHOOSE(CONTROL!$C$28, 0.0021, 0)</f>
        <v>81.209500000000006</v>
      </c>
      <c r="E834" s="4">
        <f>385.947427020225 * CHOOSE(CONTROL!$C$9, $C$13, 100%, $E$13) + CHOOSE(CONTROL!$C$28, 0.0021, 0)</f>
        <v>385.94952702022499</v>
      </c>
    </row>
    <row r="835" spans="1:5" ht="15">
      <c r="A835" s="13">
        <v>66566</v>
      </c>
      <c r="B835" s="4">
        <f>58.1143 * CHOOSE(CONTROL!$C$9, $C$13, 100%, $E$13) + CHOOSE(CONTROL!$C$28, 0.0226, 0)</f>
        <v>58.136899999999997</v>
      </c>
      <c r="C835" s="4">
        <f>57.751 * CHOOSE(CONTROL!$C$9, $C$13, 100%, $E$13) + CHOOSE(CONTROL!$C$28, 0.0226, 0)</f>
        <v>57.773599999999995</v>
      </c>
      <c r="D835" s="4">
        <f>85.4424 * CHOOSE(CONTROL!$C$9, $C$13, 100%, $E$13) + CHOOSE(CONTROL!$C$28, 0.0021, 0)</f>
        <v>85.444500000000005</v>
      </c>
      <c r="E835" s="4">
        <f>409.454205734239 * CHOOSE(CONTROL!$C$9, $C$13, 100%, $E$13) + CHOOSE(CONTROL!$C$28, 0.0021, 0)</f>
        <v>409.45630573423898</v>
      </c>
    </row>
    <row r="836" spans="1:5" ht="15">
      <c r="A836" s="13">
        <v>66596</v>
      </c>
      <c r="B836" s="4">
        <f>60.4532 * CHOOSE(CONTROL!$C$9, $C$13, 100%, $E$13) + CHOOSE(CONTROL!$C$28, 0.0226, 0)</f>
        <v>60.4758</v>
      </c>
      <c r="C836" s="4">
        <f>60.09 * CHOOSE(CONTROL!$C$9, $C$13, 100%, $E$13) + CHOOSE(CONTROL!$C$28, 0.0226, 0)</f>
        <v>60.1126</v>
      </c>
      <c r="D836" s="4">
        <f>87.8818 * CHOOSE(CONTROL!$C$9, $C$13, 100%, $E$13) + CHOOSE(CONTROL!$C$28, 0.0021, 0)</f>
        <v>87.883899999999997</v>
      </c>
      <c r="E836" s="4">
        <f>426.156085279562 * CHOOSE(CONTROL!$C$9, $C$13, 100%, $E$13) + CHOOSE(CONTROL!$C$28, 0.0021, 0)</f>
        <v>426.15818527956196</v>
      </c>
    </row>
    <row r="837" spans="1:5" ht="15">
      <c r="A837" s="13">
        <v>66627</v>
      </c>
      <c r="B837" s="4">
        <f>61.8823 * CHOOSE(CONTROL!$C$9, $C$13, 100%, $E$13) + CHOOSE(CONTROL!$C$28, 0.0226, 0)</f>
        <v>61.904899999999998</v>
      </c>
      <c r="C837" s="4">
        <f>61.519 * CHOOSE(CONTROL!$C$9, $C$13, 100%, $E$13) + CHOOSE(CONTROL!$C$28, 0.0226, 0)</f>
        <v>61.541599999999995</v>
      </c>
      <c r="D837" s="4">
        <f>86.9179 * CHOOSE(CONTROL!$C$9, $C$13, 100%, $E$13) + CHOOSE(CONTROL!$C$28, 0.0021, 0)</f>
        <v>86.92</v>
      </c>
      <c r="E837" s="4">
        <f>436.360533393567 * CHOOSE(CONTROL!$C$9, $C$13, 100%, $E$13) + CHOOSE(CONTROL!$C$28, 0.0021, 0)</f>
        <v>436.36263339356697</v>
      </c>
    </row>
    <row r="838" spans="1:5" ht="15">
      <c r="A838" s="13">
        <v>66657</v>
      </c>
      <c r="B838" s="4">
        <f>62.0756 * CHOOSE(CONTROL!$C$9, $C$13, 100%, $E$13) + CHOOSE(CONTROL!$C$28, 0.0226, 0)</f>
        <v>62.098199999999999</v>
      </c>
      <c r="C838" s="4">
        <f>61.7124 * CHOOSE(CONTROL!$C$9, $C$13, 100%, $E$13) + CHOOSE(CONTROL!$C$28, 0.0226, 0)</f>
        <v>61.734999999999999</v>
      </c>
      <c r="D838" s="4">
        <f>87.7029 * CHOOSE(CONTROL!$C$9, $C$13, 100%, $E$13) + CHOOSE(CONTROL!$C$28, 0.0021, 0)</f>
        <v>87.704999999999998</v>
      </c>
      <c r="E838" s="4">
        <f>437.741237572722 * CHOOSE(CONTROL!$C$9, $C$13, 100%, $E$13) + CHOOSE(CONTROL!$C$28, 0.0021, 0)</f>
        <v>437.743337572722</v>
      </c>
    </row>
    <row r="839" spans="1:5" ht="15">
      <c r="A839" s="13">
        <v>66688</v>
      </c>
      <c r="B839" s="4">
        <f>62.0561 * CHOOSE(CONTROL!$C$9, $C$13, 100%, $E$13) + CHOOSE(CONTROL!$C$28, 0.0226, 0)</f>
        <v>62.078699999999998</v>
      </c>
      <c r="C839" s="4">
        <f>61.6929 * CHOOSE(CONTROL!$C$9, $C$13, 100%, $E$13) + CHOOSE(CONTROL!$C$28, 0.0226, 0)</f>
        <v>61.715499999999999</v>
      </c>
      <c r="D839" s="4">
        <f>89.1195 * CHOOSE(CONTROL!$C$9, $C$13, 100%, $E$13) + CHOOSE(CONTROL!$C$28, 0.0021, 0)</f>
        <v>89.121600000000001</v>
      </c>
      <c r="E839" s="4">
        <f>437.602006899194 * CHOOSE(CONTROL!$C$9, $C$13, 100%, $E$13) + CHOOSE(CONTROL!$C$28, 0.0021, 0)</f>
        <v>437.60410689919399</v>
      </c>
    </row>
    <row r="840" spans="1:5" ht="15">
      <c r="A840" s="13">
        <v>66719</v>
      </c>
      <c r="B840" s="4">
        <f>63.5234 * CHOOSE(CONTROL!$C$9, $C$13, 100%, $E$13) + CHOOSE(CONTROL!$C$28, 0.0226, 0)</f>
        <v>63.545999999999999</v>
      </c>
      <c r="C840" s="4">
        <f>63.1601 * CHOOSE(CONTROL!$C$9, $C$13, 100%, $E$13) + CHOOSE(CONTROL!$C$28, 0.0226, 0)</f>
        <v>63.182699999999997</v>
      </c>
      <c r="D840" s="4">
        <f>88.184 * CHOOSE(CONTROL!$C$9, $C$13, 100%, $E$13) + CHOOSE(CONTROL!$C$28, 0.0021, 0)</f>
        <v>88.186099999999996</v>
      </c>
      <c r="E840" s="4">
        <f>448.079115082192 * CHOOSE(CONTROL!$C$9, $C$13, 100%, $E$13) + CHOOSE(CONTROL!$C$28, 0.0021, 0)</f>
        <v>448.08121508219199</v>
      </c>
    </row>
    <row r="841" spans="1:5" ht="15">
      <c r="A841" s="13">
        <v>66749</v>
      </c>
      <c r="B841" s="4">
        <f>61.0227 * CHOOSE(CONTROL!$C$9, $C$13, 100%, $E$13) + CHOOSE(CONTROL!$C$28, 0.0226, 0)</f>
        <v>61.045299999999997</v>
      </c>
      <c r="C841" s="4">
        <f>60.6595 * CHOOSE(CONTROL!$C$9, $C$13, 100%, $E$13) + CHOOSE(CONTROL!$C$28, 0.0226, 0)</f>
        <v>60.682099999999998</v>
      </c>
      <c r="D841" s="4">
        <f>87.742 * CHOOSE(CONTROL!$C$9, $C$13, 100%, $E$13) + CHOOSE(CONTROL!$C$28, 0.0021, 0)</f>
        <v>87.744100000000003</v>
      </c>
      <c r="E841" s="4">
        <f>430.222781202198 * CHOOSE(CONTROL!$C$9, $C$13, 100%, $E$13) + CHOOSE(CONTROL!$C$28, 0.0021, 0)</f>
        <v>430.22488120219799</v>
      </c>
    </row>
    <row r="842" spans="1:5" ht="15">
      <c r="A842" s="13">
        <v>66780</v>
      </c>
      <c r="B842" s="4">
        <f>59.0209 * CHOOSE(CONTROL!$C$9, $C$13, 100%, $E$13) + CHOOSE(CONTROL!$C$28, 0.0226, 0)</f>
        <v>59.043499999999995</v>
      </c>
      <c r="C842" s="4">
        <f>58.6577 * CHOOSE(CONTROL!$C$9, $C$13, 100%, $E$13) + CHOOSE(CONTROL!$C$28, 0.0226, 0)</f>
        <v>58.680299999999995</v>
      </c>
      <c r="D842" s="4">
        <f>86.5585 * CHOOSE(CONTROL!$C$9, $C$13, 100%, $E$13) + CHOOSE(CONTROL!$C$28, 0.0021, 0)</f>
        <v>86.560599999999994</v>
      </c>
      <c r="E842" s="4">
        <f>415.928432053301 * CHOOSE(CONTROL!$C$9, $C$13, 100%, $E$13) + CHOOSE(CONTROL!$C$28, 0.0021, 0)</f>
        <v>415.93053205330096</v>
      </c>
    </row>
    <row r="843" spans="1:5" ht="15">
      <c r="A843" s="13">
        <v>66810</v>
      </c>
      <c r="B843" s="4">
        <f>57.7316 * CHOOSE(CONTROL!$C$9, $C$13, 100%, $E$13) + CHOOSE(CONTROL!$C$28, 0.0226, 0)</f>
        <v>57.754199999999997</v>
      </c>
      <c r="C843" s="4">
        <f>57.3683 * CHOOSE(CONTROL!$C$9, $C$13, 100%, $E$13) + CHOOSE(CONTROL!$C$28, 0.0226, 0)</f>
        <v>57.390899999999995</v>
      </c>
      <c r="D843" s="4">
        <f>86.1516 * CHOOSE(CONTROL!$C$9, $C$13, 100%, $E$13) + CHOOSE(CONTROL!$C$28, 0.0021, 0)</f>
        <v>86.153700000000001</v>
      </c>
      <c r="E843" s="4">
        <f>406.721803766248 * CHOOSE(CONTROL!$C$9, $C$13, 100%, $E$13) + CHOOSE(CONTROL!$C$28, 0.0021, 0)</f>
        <v>406.72390376624799</v>
      </c>
    </row>
    <row r="844" spans="1:5" ht="15">
      <c r="A844" s="13">
        <v>66841</v>
      </c>
      <c r="B844" s="4">
        <f>56.8396 * CHOOSE(CONTROL!$C$9, $C$13, 100%, $E$13) + CHOOSE(CONTROL!$C$28, 0.0226, 0)</f>
        <v>56.862199999999994</v>
      </c>
      <c r="C844" s="4">
        <f>56.4763 * CHOOSE(CONTROL!$C$9, $C$13, 100%, $E$13) + CHOOSE(CONTROL!$C$28, 0.0226, 0)</f>
        <v>56.498899999999999</v>
      </c>
      <c r="D844" s="4">
        <f>83.1562 * CHOOSE(CONTROL!$C$9, $C$13, 100%, $E$13) + CHOOSE(CONTROL!$C$28, 0.0021, 0)</f>
        <v>83.158299999999997</v>
      </c>
      <c r="E844" s="4">
        <f>400.352000452332 * CHOOSE(CONTROL!$C$9, $C$13, 100%, $E$13) + CHOOSE(CONTROL!$C$28, 0.0021, 0)</f>
        <v>400.35410045233198</v>
      </c>
    </row>
    <row r="845" spans="1:5" ht="15">
      <c r="A845" s="13">
        <v>66872</v>
      </c>
      <c r="B845" s="4">
        <f>54.399 * CHOOSE(CONTROL!$C$9, $C$13, 100%, $E$13) + CHOOSE(CONTROL!$C$28, 0.0226, 0)</f>
        <v>54.421599999999998</v>
      </c>
      <c r="C845" s="4">
        <f>54.0357 * CHOOSE(CONTROL!$C$9, $C$13, 100%, $E$13) + CHOOSE(CONTROL!$C$28, 0.0226, 0)</f>
        <v>54.058299999999996</v>
      </c>
      <c r="D845" s="4">
        <f>79.8564 * CHOOSE(CONTROL!$C$9, $C$13, 100%, $E$13) + CHOOSE(CONTROL!$C$28, 0.0021, 0)</f>
        <v>79.858499999999992</v>
      </c>
      <c r="E845" s="4">
        <f>383.675712839122 * CHOOSE(CONTROL!$C$9, $C$13, 100%, $E$13) + CHOOSE(CONTROL!$C$28, 0.0021, 0)</f>
        <v>383.677812839122</v>
      </c>
    </row>
    <row r="846" spans="1:5" ht="15">
      <c r="A846" s="13">
        <v>66900</v>
      </c>
      <c r="B846" s="4">
        <f>55.6722 * CHOOSE(CONTROL!$C$9, $C$13, 100%, $E$13) + CHOOSE(CONTROL!$C$28, 0.0226, 0)</f>
        <v>55.694799999999994</v>
      </c>
      <c r="C846" s="4">
        <f>55.309 * CHOOSE(CONTROL!$C$9, $C$13, 100%, $E$13) + CHOOSE(CONTROL!$C$28, 0.0226, 0)</f>
        <v>55.331599999999995</v>
      </c>
      <c r="D846" s="4">
        <f>82.6095 * CHOOSE(CONTROL!$C$9, $C$13, 100%, $E$13) + CHOOSE(CONTROL!$C$28, 0.0021, 0)</f>
        <v>82.611599999999996</v>
      </c>
      <c r="E846" s="4">
        <f>392.785686293161 * CHOOSE(CONTROL!$C$9, $C$13, 100%, $E$13) + CHOOSE(CONTROL!$C$28, 0.0021, 0)</f>
        <v>392.78778629316099</v>
      </c>
    </row>
    <row r="847" spans="1:5" ht="15">
      <c r="A847" s="13">
        <v>66931</v>
      </c>
      <c r="B847" s="4">
        <f>59.0159 * CHOOSE(CONTROL!$C$9, $C$13, 100%, $E$13) + CHOOSE(CONTROL!$C$28, 0.0226, 0)</f>
        <v>59.038499999999999</v>
      </c>
      <c r="C847" s="4">
        <f>58.6527 * CHOOSE(CONTROL!$C$9, $C$13, 100%, $E$13) + CHOOSE(CONTROL!$C$28, 0.0226, 0)</f>
        <v>58.6753</v>
      </c>
      <c r="D847" s="4">
        <f>86.9193 * CHOOSE(CONTROL!$C$9, $C$13, 100%, $E$13) + CHOOSE(CONTROL!$C$28, 0.0021, 0)</f>
        <v>86.921400000000006</v>
      </c>
      <c r="E847" s="4">
        <f>416.708960716861 * CHOOSE(CONTROL!$C$9, $C$13, 100%, $E$13) + CHOOSE(CONTROL!$C$28, 0.0021, 0)</f>
        <v>416.71106071686097</v>
      </c>
    </row>
    <row r="848" spans="1:5" ht="15">
      <c r="A848" s="13">
        <v>66961</v>
      </c>
      <c r="B848" s="4">
        <f>61.3917 * CHOOSE(CONTROL!$C$9, $C$13, 100%, $E$13) + CHOOSE(CONTROL!$C$28, 0.0226, 0)</f>
        <v>61.414299999999997</v>
      </c>
      <c r="C848" s="4">
        <f>61.0284 * CHOOSE(CONTROL!$C$9, $C$13, 100%, $E$13) + CHOOSE(CONTROL!$C$28, 0.0226, 0)</f>
        <v>61.050999999999995</v>
      </c>
      <c r="D848" s="4">
        <f>89.4018 * CHOOSE(CONTROL!$C$9, $C$13, 100%, $E$13) + CHOOSE(CONTROL!$C$28, 0.0021, 0)</f>
        <v>89.403899999999993</v>
      </c>
      <c r="E848" s="4">
        <f>433.70676601445 * CHOOSE(CONTROL!$C$9, $C$13, 100%, $E$13) + CHOOSE(CONTROL!$C$28, 0.0021, 0)</f>
        <v>433.70886601445</v>
      </c>
    </row>
    <row r="849" spans="1:5" ht="15">
      <c r="A849" s="13">
        <v>66992</v>
      </c>
      <c r="B849" s="4">
        <f>62.8432 * CHOOSE(CONTROL!$C$9, $C$13, 100%, $E$13) + CHOOSE(CONTROL!$C$28, 0.0226, 0)</f>
        <v>62.8658</v>
      </c>
      <c r="C849" s="4">
        <f>62.4799 * CHOOSE(CONTROL!$C$9, $C$13, 100%, $E$13) + CHOOSE(CONTROL!$C$28, 0.0226, 0)</f>
        <v>62.502499999999998</v>
      </c>
      <c r="D849" s="4">
        <f>88.4208 * CHOOSE(CONTROL!$C$9, $C$13, 100%, $E$13) + CHOOSE(CONTROL!$C$28, 0.0021, 0)</f>
        <v>88.422899999999998</v>
      </c>
      <c r="E849" s="4">
        <f>444.09201767074 * CHOOSE(CONTROL!$C$9, $C$13, 100%, $E$13) + CHOOSE(CONTROL!$C$28, 0.0021, 0)</f>
        <v>444.09411767073999</v>
      </c>
    </row>
    <row r="850" spans="1:5" ht="15">
      <c r="A850" s="13">
        <v>67022</v>
      </c>
      <c r="B850" s="4">
        <f>63.0396 * CHOOSE(CONTROL!$C$9, $C$13, 100%, $E$13) + CHOOSE(CONTROL!$C$28, 0.0226, 0)</f>
        <v>63.062199999999997</v>
      </c>
      <c r="C850" s="4">
        <f>62.6763 * CHOOSE(CONTROL!$C$9, $C$13, 100%, $E$13) + CHOOSE(CONTROL!$C$28, 0.0226, 0)</f>
        <v>62.698899999999995</v>
      </c>
      <c r="D850" s="4">
        <f>89.2198 * CHOOSE(CONTROL!$C$9, $C$13, 100%, $E$13) + CHOOSE(CONTROL!$C$28, 0.0021, 0)</f>
        <v>89.221900000000005</v>
      </c>
      <c r="E850" s="4">
        <f>445.497185319516 * CHOOSE(CONTROL!$C$9, $C$13, 100%, $E$13) + CHOOSE(CONTROL!$C$28, 0.0021, 0)</f>
        <v>445.49928531951599</v>
      </c>
    </row>
    <row r="851" spans="1:5" ht="15">
      <c r="A851" s="13">
        <v>67053</v>
      </c>
      <c r="B851" s="4">
        <f>63.0198 * CHOOSE(CONTROL!$C$9, $C$13, 100%, $E$13) + CHOOSE(CONTROL!$C$28, 0.0226, 0)</f>
        <v>63.042399999999994</v>
      </c>
      <c r="C851" s="4">
        <f>62.6565 * CHOOSE(CONTROL!$C$9, $C$13, 100%, $E$13) + CHOOSE(CONTROL!$C$28, 0.0226, 0)</f>
        <v>62.679099999999998</v>
      </c>
      <c r="D851" s="4">
        <f>90.6613 * CHOOSE(CONTROL!$C$9, $C$13, 100%, $E$13) + CHOOSE(CONTROL!$C$28, 0.0021, 0)</f>
        <v>90.663399999999996</v>
      </c>
      <c r="E851" s="4">
        <f>445.355487741488 * CHOOSE(CONTROL!$C$9, $C$13, 100%, $E$13) + CHOOSE(CONTROL!$C$28, 0.0021, 0)</f>
        <v>445.35758774148798</v>
      </c>
    </row>
    <row r="852" spans="1:5" ht="15">
      <c r="A852" s="13">
        <v>67084</v>
      </c>
      <c r="B852" s="4">
        <f>64.5101 * CHOOSE(CONTROL!$C$9, $C$13, 100%, $E$13) + CHOOSE(CONTROL!$C$28, 0.0226, 0)</f>
        <v>64.532699999999991</v>
      </c>
      <c r="C852" s="4">
        <f>64.1468 * CHOOSE(CONTROL!$C$9, $C$13, 100%, $E$13) + CHOOSE(CONTROL!$C$28, 0.0226, 0)</f>
        <v>64.169399999999996</v>
      </c>
      <c r="D852" s="4">
        <f>89.7093 * CHOOSE(CONTROL!$C$9, $C$13, 100%, $E$13) + CHOOSE(CONTROL!$C$28, 0.0021, 0)</f>
        <v>89.711399999999998</v>
      </c>
      <c r="E852" s="4">
        <f>456.018230488083 * CHOOSE(CONTROL!$C$9, $C$13, 100%, $E$13) + CHOOSE(CONTROL!$C$28, 0.0021, 0)</f>
        <v>456.020330488083</v>
      </c>
    </row>
    <row r="853" spans="1:5" ht="15">
      <c r="A853" s="13">
        <v>67114</v>
      </c>
      <c r="B853" s="4">
        <f>61.9702 * CHOOSE(CONTROL!$C$9, $C$13, 100%, $E$13) + CHOOSE(CONTROL!$C$28, 0.0226, 0)</f>
        <v>61.992799999999995</v>
      </c>
      <c r="C853" s="4">
        <f>61.6069 * CHOOSE(CONTROL!$C$9, $C$13, 100%, $E$13) + CHOOSE(CONTROL!$C$28, 0.0226, 0)</f>
        <v>61.6295</v>
      </c>
      <c r="D853" s="4">
        <f>89.2595 * CHOOSE(CONTROL!$C$9, $C$13, 100%, $E$13) + CHOOSE(CONTROL!$C$28, 0.0021, 0)</f>
        <v>89.261600000000001</v>
      </c>
      <c r="E853" s="4">
        <f>437.845516106013 * CHOOSE(CONTROL!$C$9, $C$13, 100%, $E$13) + CHOOSE(CONTROL!$C$28, 0.0021, 0)</f>
        <v>437.84761610601299</v>
      </c>
    </row>
    <row r="854" spans="1:5" ht="15">
      <c r="A854" s="13">
        <v>67145</v>
      </c>
      <c r="B854" s="4">
        <f>59.9369 * CHOOSE(CONTROL!$C$9, $C$13, 100%, $E$13) + CHOOSE(CONTROL!$C$28, 0.0226, 0)</f>
        <v>59.959499999999998</v>
      </c>
      <c r="C854" s="4">
        <f>59.5736 * CHOOSE(CONTROL!$C$9, $C$13, 100%, $E$13) + CHOOSE(CONTROL!$C$28, 0.0226, 0)</f>
        <v>59.596199999999996</v>
      </c>
      <c r="D854" s="4">
        <f>88.0551 * CHOOSE(CONTROL!$C$9, $C$13, 100%, $E$13) + CHOOSE(CONTROL!$C$28, 0.0021, 0)</f>
        <v>88.057199999999995</v>
      </c>
      <c r="E854" s="4">
        <f>423.297898095155 * CHOOSE(CONTROL!$C$9, $C$13, 100%, $E$13) + CHOOSE(CONTROL!$C$28, 0.0021, 0)</f>
        <v>423.29999809515499</v>
      </c>
    </row>
    <row r="855" spans="1:5" ht="15">
      <c r="A855" s="13">
        <v>67175</v>
      </c>
      <c r="B855" s="4">
        <f>58.6273 * CHOOSE(CONTROL!$C$9, $C$13, 100%, $E$13) + CHOOSE(CONTROL!$C$28, 0.0226, 0)</f>
        <v>58.649899999999995</v>
      </c>
      <c r="C855" s="4">
        <f>58.264 * CHOOSE(CONTROL!$C$9, $C$13, 100%, $E$13) + CHOOSE(CONTROL!$C$28, 0.0226, 0)</f>
        <v>58.2866</v>
      </c>
      <c r="D855" s="4">
        <f>87.6411 * CHOOSE(CONTROL!$C$9, $C$13, 100%, $E$13) + CHOOSE(CONTROL!$C$28, 0.0021, 0)</f>
        <v>87.643199999999993</v>
      </c>
      <c r="E855" s="4">
        <f>413.928145748064 * CHOOSE(CONTROL!$C$9, $C$13, 100%, $E$13) + CHOOSE(CONTROL!$C$28, 0.0021, 0)</f>
        <v>413.93024574806401</v>
      </c>
    </row>
    <row r="856" spans="1:5" ht="15">
      <c r="A856" s="13">
        <v>67206</v>
      </c>
      <c r="B856" s="4">
        <f>57.7212 * CHOOSE(CONTROL!$C$9, $C$13, 100%, $E$13) + CHOOSE(CONTROL!$C$28, 0.0226, 0)</f>
        <v>57.7438</v>
      </c>
      <c r="C856" s="4">
        <f>57.3579 * CHOOSE(CONTROL!$C$9, $C$13, 100%, $E$13) + CHOOSE(CONTROL!$C$28, 0.0226, 0)</f>
        <v>57.380499999999998</v>
      </c>
      <c r="D856" s="4">
        <f>84.5927 * CHOOSE(CONTROL!$C$9, $C$13, 100%, $E$13) + CHOOSE(CONTROL!$C$28, 0.0021, 0)</f>
        <v>84.594799999999992</v>
      </c>
      <c r="E856" s="4">
        <f>407.445481553291 * CHOOSE(CONTROL!$C$9, $C$13, 100%, $E$13) + CHOOSE(CONTROL!$C$28, 0.0021, 0)</f>
        <v>407.447581553291</v>
      </c>
    </row>
    <row r="857" spans="1:5" ht="15">
      <c r="A857" s="13">
        <v>67237</v>
      </c>
      <c r="B857" s="4">
        <f>55.2422 * CHOOSE(CONTROL!$C$9, $C$13, 100%, $E$13) + CHOOSE(CONTROL!$C$28, 0.0226, 0)</f>
        <v>55.264799999999994</v>
      </c>
      <c r="C857" s="4">
        <f>54.8789 * CHOOSE(CONTROL!$C$9, $C$13, 100%, $E$13) + CHOOSE(CONTROL!$C$28, 0.0226, 0)</f>
        <v>54.901499999999999</v>
      </c>
      <c r="D857" s="4">
        <f>81.2346 * CHOOSE(CONTROL!$C$9, $C$13, 100%, $E$13) + CHOOSE(CONTROL!$C$28, 0.0021, 0)</f>
        <v>81.236699999999999</v>
      </c>
      <c r="E857" s="4">
        <f>390.473721628503 * CHOOSE(CONTROL!$C$9, $C$13, 100%, $E$13) + CHOOSE(CONTROL!$C$28, 0.0021, 0)</f>
        <v>390.47582162850296</v>
      </c>
    </row>
    <row r="858" spans="1:5" ht="15">
      <c r="A858" s="13">
        <v>67266</v>
      </c>
      <c r="B858" s="4">
        <f>56.5355 * CHOOSE(CONTROL!$C$9, $C$13, 100%, $E$13) + CHOOSE(CONTROL!$C$28, 0.0226, 0)</f>
        <v>56.558099999999996</v>
      </c>
      <c r="C858" s="4">
        <f>56.1722 * CHOOSE(CONTROL!$C$9, $C$13, 100%, $E$13) + CHOOSE(CONTROL!$C$28, 0.0226, 0)</f>
        <v>56.194799999999994</v>
      </c>
      <c r="D858" s="4">
        <f>84.0364 * CHOOSE(CONTROL!$C$9, $C$13, 100%, $E$13) + CHOOSE(CONTROL!$C$28, 0.0021, 0)</f>
        <v>84.038499999999999</v>
      </c>
      <c r="E858" s="4">
        <f>399.74510660154 * CHOOSE(CONTROL!$C$9, $C$13, 100%, $E$13) + CHOOSE(CONTROL!$C$28, 0.0021, 0)</f>
        <v>399.74720660153997</v>
      </c>
    </row>
    <row r="859" spans="1:5" ht="15">
      <c r="A859" s="13">
        <v>67297</v>
      </c>
      <c r="B859" s="4">
        <f>59.9318 * CHOOSE(CONTROL!$C$9, $C$13, 100%, $E$13) + CHOOSE(CONTROL!$C$28, 0.0226, 0)</f>
        <v>59.9544</v>
      </c>
      <c r="C859" s="4">
        <f>59.5685 * CHOOSE(CONTROL!$C$9, $C$13, 100%, $E$13) + CHOOSE(CONTROL!$C$28, 0.0226, 0)</f>
        <v>59.591099999999997</v>
      </c>
      <c r="D859" s="4">
        <f>88.4223 * CHOOSE(CONTROL!$C$9, $C$13, 100%, $E$13) + CHOOSE(CONTROL!$C$28, 0.0021, 0)</f>
        <v>88.424400000000006</v>
      </c>
      <c r="E859" s="4">
        <f>424.092256252054 * CHOOSE(CONTROL!$C$9, $C$13, 100%, $E$13) + CHOOSE(CONTROL!$C$28, 0.0021, 0)</f>
        <v>424.09435625205401</v>
      </c>
    </row>
    <row r="860" spans="1:5" ht="15">
      <c r="A860" s="13">
        <v>67327</v>
      </c>
      <c r="B860" s="4">
        <f>62.3449 * CHOOSE(CONTROL!$C$9, $C$13, 100%, $E$13) + CHOOSE(CONTROL!$C$28, 0.0226, 0)</f>
        <v>62.3675</v>
      </c>
      <c r="C860" s="4">
        <f>61.9816 * CHOOSE(CONTROL!$C$9, $C$13, 100%, $E$13) + CHOOSE(CONTROL!$C$28, 0.0226, 0)</f>
        <v>62.004199999999997</v>
      </c>
      <c r="D860" s="4">
        <f>90.9487 * CHOOSE(CONTROL!$C$9, $C$13, 100%, $E$13) + CHOOSE(CONTROL!$C$28, 0.0021, 0)</f>
        <v>90.950800000000001</v>
      </c>
      <c r="E860" s="4">
        <f>441.391230547176 * CHOOSE(CONTROL!$C$9, $C$13, 100%, $E$13) + CHOOSE(CONTROL!$C$28, 0.0021, 0)</f>
        <v>441.39333054717599</v>
      </c>
    </row>
    <row r="861" spans="1:5" ht="15">
      <c r="A861" s="13">
        <v>67358</v>
      </c>
      <c r="B861" s="4">
        <f>63.8193 * CHOOSE(CONTROL!$C$9, $C$13, 100%, $E$13) + CHOOSE(CONTROL!$C$28, 0.0226, 0)</f>
        <v>63.841899999999995</v>
      </c>
      <c r="C861" s="4">
        <f>63.456 * CHOOSE(CONTROL!$C$9, $C$13, 100%, $E$13) + CHOOSE(CONTROL!$C$28, 0.0226, 0)</f>
        <v>63.4786</v>
      </c>
      <c r="D861" s="4">
        <f>89.9504 * CHOOSE(CONTROL!$C$9, $C$13, 100%, $E$13) + CHOOSE(CONTROL!$C$28, 0.0021, 0)</f>
        <v>89.952500000000001</v>
      </c>
      <c r="E861" s="4">
        <f>451.960489242945 * CHOOSE(CONTROL!$C$9, $C$13, 100%, $E$13) + CHOOSE(CONTROL!$C$28, 0.0021, 0)</f>
        <v>451.962589242945</v>
      </c>
    </row>
    <row r="862" spans="1:5" ht="15">
      <c r="A862" s="13">
        <v>67388</v>
      </c>
      <c r="B862" s="4">
        <f>64.0187 * CHOOSE(CONTROL!$C$9, $C$13, 100%, $E$13) + CHOOSE(CONTROL!$C$28, 0.0226, 0)</f>
        <v>64.041299999999993</v>
      </c>
      <c r="C862" s="4">
        <f>63.6555 * CHOOSE(CONTROL!$C$9, $C$13, 100%, $E$13) + CHOOSE(CONTROL!$C$28, 0.0226, 0)</f>
        <v>63.678100000000001</v>
      </c>
      <c r="D862" s="4">
        <f>90.7634 * CHOOSE(CONTROL!$C$9, $C$13, 100%, $E$13) + CHOOSE(CONTROL!$C$28, 0.0021, 0)</f>
        <v>90.765500000000003</v>
      </c>
      <c r="E862" s="4">
        <f>453.390553807807 * CHOOSE(CONTROL!$C$9, $C$13, 100%, $E$13) + CHOOSE(CONTROL!$C$28, 0.0021, 0)</f>
        <v>453.39265380780699</v>
      </c>
    </row>
    <row r="863" spans="1:5" ht="15">
      <c r="A863" s="13">
        <v>67419</v>
      </c>
      <c r="B863" s="4">
        <f>63.9986 * CHOOSE(CONTROL!$C$9, $C$13, 100%, $E$13) + CHOOSE(CONTROL!$C$28, 0.0226, 0)</f>
        <v>64.021200000000007</v>
      </c>
      <c r="C863" s="4">
        <f>63.6353 * CHOOSE(CONTROL!$C$9, $C$13, 100%, $E$13) + CHOOSE(CONTROL!$C$28, 0.0226, 0)</f>
        <v>63.657899999999998</v>
      </c>
      <c r="D863" s="4">
        <f>92.2305 * CHOOSE(CONTROL!$C$9, $C$13, 100%, $E$13) + CHOOSE(CONTROL!$C$28, 0.0021, 0)</f>
        <v>92.232600000000005</v>
      </c>
      <c r="E863" s="4">
        <f>453.246345616392 * CHOOSE(CONTROL!$C$9, $C$13, 100%, $E$13) + CHOOSE(CONTROL!$C$28, 0.0021, 0)</f>
        <v>453.24844561639196</v>
      </c>
    </row>
    <row r="864" spans="1:5" ht="15">
      <c r="A864" s="13">
        <v>67450</v>
      </c>
      <c r="B864" s="4">
        <f>65.5124 * CHOOSE(CONTROL!$C$9, $C$13, 100%, $E$13) + CHOOSE(CONTROL!$C$28, 0.0226, 0)</f>
        <v>65.534999999999997</v>
      </c>
      <c r="C864" s="4">
        <f>65.1491 * CHOOSE(CONTROL!$C$9, $C$13, 100%, $E$13) + CHOOSE(CONTROL!$C$28, 0.0226, 0)</f>
        <v>65.171700000000001</v>
      </c>
      <c r="D864" s="4">
        <f>91.2616 * CHOOSE(CONTROL!$C$9, $C$13, 100%, $E$13) + CHOOSE(CONTROL!$C$28, 0.0021, 0)</f>
        <v>91.2637</v>
      </c>
      <c r="E864" s="4">
        <f>464.098012020348 * CHOOSE(CONTROL!$C$9, $C$13, 100%, $E$13) + CHOOSE(CONTROL!$C$28, 0.0021, 0)</f>
        <v>464.10011202034798</v>
      </c>
    </row>
    <row r="865" spans="1:5" ht="15">
      <c r="A865" s="13">
        <v>67480</v>
      </c>
      <c r="B865" s="4">
        <f>62.9325 * CHOOSE(CONTROL!$C$9, $C$13, 100%, $E$13) + CHOOSE(CONTROL!$C$28, 0.0226, 0)</f>
        <v>62.955099999999995</v>
      </c>
      <c r="C865" s="4">
        <f>62.5692 * CHOOSE(CONTROL!$C$9, $C$13, 100%, $E$13) + CHOOSE(CONTROL!$C$28, 0.0226, 0)</f>
        <v>62.591799999999999</v>
      </c>
      <c r="D865" s="4">
        <f>90.8039 * CHOOSE(CONTROL!$C$9, $C$13, 100%, $E$13) + CHOOSE(CONTROL!$C$28, 0.0021, 0)</f>
        <v>90.805999999999997</v>
      </c>
      <c r="E865" s="4">
        <f>445.603311471413 * CHOOSE(CONTROL!$C$9, $C$13, 100%, $E$13) + CHOOSE(CONTROL!$C$28, 0.0021, 0)</f>
        <v>445.60541147141299</v>
      </c>
    </row>
    <row r="866" spans="1:5" ht="15">
      <c r="A866" s="13">
        <v>67511</v>
      </c>
      <c r="B866" s="4">
        <f>60.8672 * CHOOSE(CONTROL!$C$9, $C$13, 100%, $E$13) + CHOOSE(CONTROL!$C$28, 0.0226, 0)</f>
        <v>60.889799999999994</v>
      </c>
      <c r="C866" s="4">
        <f>60.5039 * CHOOSE(CONTROL!$C$9, $C$13, 100%, $E$13) + CHOOSE(CONTROL!$C$28, 0.0226, 0)</f>
        <v>60.526499999999999</v>
      </c>
      <c r="D866" s="4">
        <f>89.5782 * CHOOSE(CONTROL!$C$9, $C$13, 100%, $E$13) + CHOOSE(CONTROL!$C$28, 0.0021, 0)</f>
        <v>89.580299999999994</v>
      </c>
      <c r="E866" s="4">
        <f>430.797937152838 * CHOOSE(CONTROL!$C$9, $C$13, 100%, $E$13) + CHOOSE(CONTROL!$C$28, 0.0021, 0)</f>
        <v>430.800037152838</v>
      </c>
    </row>
    <row r="867" spans="1:5" ht="15">
      <c r="A867" s="13">
        <v>67541</v>
      </c>
      <c r="B867" s="4">
        <f>59.537 * CHOOSE(CONTROL!$C$9, $C$13, 100%, $E$13) + CHOOSE(CONTROL!$C$28, 0.0226, 0)</f>
        <v>59.559599999999996</v>
      </c>
      <c r="C867" s="4">
        <f>59.1737 * CHOOSE(CONTROL!$C$9, $C$13, 100%, $E$13) + CHOOSE(CONTROL!$C$28, 0.0226, 0)</f>
        <v>59.196299999999994</v>
      </c>
      <c r="D867" s="4">
        <f>89.1568 * CHOOSE(CONTROL!$C$9, $C$13, 100%, $E$13) + CHOOSE(CONTROL!$C$28, 0.0021, 0)</f>
        <v>89.158900000000003</v>
      </c>
      <c r="E867" s="4">
        <f>421.262170495541 * CHOOSE(CONTROL!$C$9, $C$13, 100%, $E$13) + CHOOSE(CONTROL!$C$28, 0.0021, 0)</f>
        <v>421.26427049554098</v>
      </c>
    </row>
    <row r="868" spans="1:5" ht="15">
      <c r="A868" s="13">
        <v>67572</v>
      </c>
      <c r="B868" s="4">
        <f>58.6167 * CHOOSE(CONTROL!$C$9, $C$13, 100%, $E$13) + CHOOSE(CONTROL!$C$28, 0.0226, 0)</f>
        <v>58.639299999999999</v>
      </c>
      <c r="C868" s="4">
        <f>58.2534 * CHOOSE(CONTROL!$C$9, $C$13, 100%, $E$13) + CHOOSE(CONTROL!$C$28, 0.0226, 0)</f>
        <v>58.275999999999996</v>
      </c>
      <c r="D868" s="4">
        <f>86.0546 * CHOOSE(CONTROL!$C$9, $C$13, 100%, $E$13) + CHOOSE(CONTROL!$C$28, 0.0021, 0)</f>
        <v>86.056699999999992</v>
      </c>
      <c r="E868" s="4">
        <f>414.664645738319 * CHOOSE(CONTROL!$C$9, $C$13, 100%, $E$13) + CHOOSE(CONTROL!$C$28, 0.0021, 0)</f>
        <v>414.66674573831898</v>
      </c>
    </row>
    <row r="869" spans="1:5" ht="15">
      <c r="A869" s="13">
        <v>67603</v>
      </c>
      <c r="B869" s="4">
        <f>56.0987 * CHOOSE(CONTROL!$C$9, $C$13, 100%, $E$13) + CHOOSE(CONTROL!$C$28, 0.0226, 0)</f>
        <v>56.121299999999998</v>
      </c>
      <c r="C869" s="4">
        <f>55.7355 * CHOOSE(CONTROL!$C$9, $C$13, 100%, $E$13) + CHOOSE(CONTROL!$C$28, 0.0226, 0)</f>
        <v>55.758099999999999</v>
      </c>
      <c r="D869" s="4">
        <f>82.6372 * CHOOSE(CONTROL!$C$9, $C$13, 100%, $E$13) + CHOOSE(CONTROL!$C$28, 0.0021, 0)</f>
        <v>82.639300000000006</v>
      </c>
      <c r="E869" s="4">
        <f>397.392178290799 * CHOOSE(CONTROL!$C$9, $C$13, 100%, $E$13) + CHOOSE(CONTROL!$C$28, 0.0021, 0)</f>
        <v>397.39427829079898</v>
      </c>
    </row>
    <row r="870" spans="1:5" ht="15">
      <c r="A870" s="13">
        <v>67631</v>
      </c>
      <c r="B870" s="4">
        <f>57.4124 * CHOOSE(CONTROL!$C$9, $C$13, 100%, $E$13) + CHOOSE(CONTROL!$C$28, 0.0226, 0)</f>
        <v>57.434999999999995</v>
      </c>
      <c r="C870" s="4">
        <f>57.0491 * CHOOSE(CONTROL!$C$9, $C$13, 100%, $E$13) + CHOOSE(CONTROL!$C$28, 0.0226, 0)</f>
        <v>57.0717</v>
      </c>
      <c r="D870" s="4">
        <f>85.4884 * CHOOSE(CONTROL!$C$9, $C$13, 100%, $E$13) + CHOOSE(CONTROL!$C$28, 0.0021, 0)</f>
        <v>85.490499999999997</v>
      </c>
      <c r="E870" s="4">
        <f>406.82783469001 * CHOOSE(CONTROL!$C$9, $C$13, 100%, $E$13) + CHOOSE(CONTROL!$C$28, 0.0021, 0)</f>
        <v>406.82993469000996</v>
      </c>
    </row>
    <row r="871" spans="1:5" ht="15">
      <c r="A871" s="13">
        <v>67662</v>
      </c>
      <c r="B871" s="4">
        <f>60.8621 * CHOOSE(CONTROL!$C$9, $C$13, 100%, $E$13) + CHOOSE(CONTROL!$C$28, 0.0226, 0)</f>
        <v>60.884699999999995</v>
      </c>
      <c r="C871" s="4">
        <f>60.4988 * CHOOSE(CONTROL!$C$9, $C$13, 100%, $E$13) + CHOOSE(CONTROL!$C$28, 0.0226, 0)</f>
        <v>60.5214</v>
      </c>
      <c r="D871" s="4">
        <f>89.9518 * CHOOSE(CONTROL!$C$9, $C$13, 100%, $E$13) + CHOOSE(CONTROL!$C$28, 0.0021, 0)</f>
        <v>89.953900000000004</v>
      </c>
      <c r="E871" s="4">
        <f>431.606369835572 * CHOOSE(CONTROL!$C$9, $C$13, 100%, $E$13) + CHOOSE(CONTROL!$C$28, 0.0021, 0)</f>
        <v>431.60846983557201</v>
      </c>
    </row>
    <row r="872" spans="1:5" ht="15">
      <c r="A872" s="13">
        <v>67692</v>
      </c>
      <c r="B872" s="4">
        <f>63.3131 * CHOOSE(CONTROL!$C$9, $C$13, 100%, $E$13) + CHOOSE(CONTROL!$C$28, 0.0226, 0)</f>
        <v>63.335699999999996</v>
      </c>
      <c r="C872" s="4">
        <f>62.9498 * CHOOSE(CONTROL!$C$9, $C$13, 100%, $E$13) + CHOOSE(CONTROL!$C$28, 0.0226, 0)</f>
        <v>62.9724</v>
      </c>
      <c r="D872" s="4">
        <f>92.5229 * CHOOSE(CONTROL!$C$9, $C$13, 100%, $E$13) + CHOOSE(CONTROL!$C$28, 0.0021, 0)</f>
        <v>92.525000000000006</v>
      </c>
      <c r="E872" s="4">
        <f>449.211849273892 * CHOOSE(CONTROL!$C$9, $C$13, 100%, $E$13) + CHOOSE(CONTROL!$C$28, 0.0021, 0)</f>
        <v>449.21394927389201</v>
      </c>
    </row>
    <row r="873" spans="1:5" ht="15">
      <c r="A873" s="13">
        <v>67723</v>
      </c>
      <c r="B873" s="4">
        <f>64.8107 * CHOOSE(CONTROL!$C$9, $C$13, 100%, $E$13) + CHOOSE(CONTROL!$C$28, 0.0226, 0)</f>
        <v>64.833299999999994</v>
      </c>
      <c r="C873" s="4">
        <f>64.4474 * CHOOSE(CONTROL!$C$9, $C$13, 100%, $E$13) + CHOOSE(CONTROL!$C$28, 0.0226, 0)</f>
        <v>64.47</v>
      </c>
      <c r="D873" s="4">
        <f>91.5069 * CHOOSE(CONTROL!$C$9, $C$13, 100%, $E$13) + CHOOSE(CONTROL!$C$28, 0.0021, 0)</f>
        <v>91.509</v>
      </c>
      <c r="E873" s="4">
        <f>459.968375266251 * CHOOSE(CONTROL!$C$9, $C$13, 100%, $E$13) + CHOOSE(CONTROL!$C$28, 0.0021, 0)</f>
        <v>459.97047526625096</v>
      </c>
    </row>
    <row r="874" spans="1:5" ht="15">
      <c r="A874" s="13">
        <v>67753</v>
      </c>
      <c r="B874" s="4">
        <f>65.0133 * CHOOSE(CONTROL!$C$9, $C$13, 100%, $E$13) + CHOOSE(CONTROL!$C$28, 0.0226, 0)</f>
        <v>65.035899999999998</v>
      </c>
      <c r="C874" s="4">
        <f>64.65 * CHOOSE(CONTROL!$C$9, $C$13, 100%, $E$13) + CHOOSE(CONTROL!$C$28, 0.0226, 0)</f>
        <v>64.672600000000003</v>
      </c>
      <c r="D874" s="4">
        <f>92.3343 * CHOOSE(CONTROL!$C$9, $C$13, 100%, $E$13) + CHOOSE(CONTROL!$C$28, 0.0021, 0)</f>
        <v>92.336399999999998</v>
      </c>
      <c r="E874" s="4">
        <f>461.423777873518 * CHOOSE(CONTROL!$C$9, $C$13, 100%, $E$13) + CHOOSE(CONTROL!$C$28, 0.0021, 0)</f>
        <v>461.425877873518</v>
      </c>
    </row>
    <row r="875" spans="1:5" ht="15">
      <c r="A875" s="13">
        <v>67784</v>
      </c>
      <c r="B875" s="4">
        <f>64.9928 * CHOOSE(CONTROL!$C$9, $C$13, 100%, $E$13) + CHOOSE(CONTROL!$C$28, 0.0226, 0)</f>
        <v>65.0154</v>
      </c>
      <c r="C875" s="4">
        <f>64.6296 * CHOOSE(CONTROL!$C$9, $C$13, 100%, $E$13) + CHOOSE(CONTROL!$C$28, 0.0226, 0)</f>
        <v>64.652199999999993</v>
      </c>
      <c r="D875" s="4">
        <f>93.8273 * CHOOSE(CONTROL!$C$9, $C$13, 100%, $E$13) + CHOOSE(CONTROL!$C$28, 0.0021, 0)</f>
        <v>93.829399999999993</v>
      </c>
      <c r="E875" s="4">
        <f>461.27701458539 * CHOOSE(CONTROL!$C$9, $C$13, 100%, $E$13) + CHOOSE(CONTROL!$C$28, 0.0021, 0)</f>
        <v>461.27911458539</v>
      </c>
    </row>
    <row r="876" spans="1:5" ht="15">
      <c r="A876" s="13">
        <v>67815</v>
      </c>
      <c r="B876" s="4">
        <f>66.5304 * CHOOSE(CONTROL!$C$9, $C$13, 100%, $E$13) + CHOOSE(CONTROL!$C$28, 0.0226, 0)</f>
        <v>66.552999999999997</v>
      </c>
      <c r="C876" s="4">
        <f>66.1671 * CHOOSE(CONTROL!$C$9, $C$13, 100%, $E$13) + CHOOSE(CONTROL!$C$28, 0.0226, 0)</f>
        <v>66.189700000000002</v>
      </c>
      <c r="D876" s="4">
        <f>92.8413 * CHOOSE(CONTROL!$C$9, $C$13, 100%, $E$13) + CHOOSE(CONTROL!$C$28, 0.0021, 0)</f>
        <v>92.843400000000003</v>
      </c>
      <c r="E876" s="4">
        <f>472.320952017 * CHOOSE(CONTROL!$C$9, $C$13, 100%, $E$13) + CHOOSE(CONTROL!$C$28, 0.0021, 0)</f>
        <v>472.32305201700001</v>
      </c>
    </row>
    <row r="877" spans="1:5" ht="15">
      <c r="A877" s="13">
        <v>67845</v>
      </c>
      <c r="B877" s="4">
        <f>63.9099 * CHOOSE(CONTROL!$C$9, $C$13, 100%, $E$13) + CHOOSE(CONTROL!$C$28, 0.0226, 0)</f>
        <v>63.932499999999997</v>
      </c>
      <c r="C877" s="4">
        <f>63.5466 * CHOOSE(CONTROL!$C$9, $C$13, 100%, $E$13) + CHOOSE(CONTROL!$C$28, 0.0226, 0)</f>
        <v>63.569199999999995</v>
      </c>
      <c r="D877" s="4">
        <f>92.3755 * CHOOSE(CONTROL!$C$9, $C$13, 100%, $E$13) + CHOOSE(CONTROL!$C$28, 0.0021, 0)</f>
        <v>92.377600000000001</v>
      </c>
      <c r="E877" s="4">
        <f>453.498560314622 * CHOOSE(CONTROL!$C$9, $C$13, 100%, $E$13) + CHOOSE(CONTROL!$C$28, 0.0021, 0)</f>
        <v>453.500660314622</v>
      </c>
    </row>
    <row r="878" spans="1:5" ht="15">
      <c r="A878" s="13">
        <v>67876</v>
      </c>
      <c r="B878" s="4">
        <f>61.8122 * CHOOSE(CONTROL!$C$9, $C$13, 100%, $E$13) + CHOOSE(CONTROL!$C$28, 0.0226, 0)</f>
        <v>61.834799999999994</v>
      </c>
      <c r="C878" s="4">
        <f>61.4489 * CHOOSE(CONTROL!$C$9, $C$13, 100%, $E$13) + CHOOSE(CONTROL!$C$28, 0.0226, 0)</f>
        <v>61.471499999999999</v>
      </c>
      <c r="D878" s="4">
        <f>91.1282 * CHOOSE(CONTROL!$C$9, $C$13, 100%, $E$13) + CHOOSE(CONTROL!$C$28, 0.0021, 0)</f>
        <v>91.130300000000005</v>
      </c>
      <c r="E878" s="4">
        <f>438.43086273351 * CHOOSE(CONTROL!$C$9, $C$13, 100%, $E$13) + CHOOSE(CONTROL!$C$28, 0.0021, 0)</f>
        <v>438.43296273351001</v>
      </c>
    </row>
    <row r="879" spans="1:5" ht="15">
      <c r="A879" s="13">
        <v>67906</v>
      </c>
      <c r="B879" s="4">
        <f>60.4611 * CHOOSE(CONTROL!$C$9, $C$13, 100%, $E$13) + CHOOSE(CONTROL!$C$28, 0.0226, 0)</f>
        <v>60.483699999999999</v>
      </c>
      <c r="C879" s="4">
        <f>60.0978 * CHOOSE(CONTROL!$C$9, $C$13, 100%, $E$13) + CHOOSE(CONTROL!$C$28, 0.0226, 0)</f>
        <v>60.120399999999997</v>
      </c>
      <c r="D879" s="4">
        <f>90.6993 * CHOOSE(CONTROL!$C$9, $C$13, 100%, $E$13) + CHOOSE(CONTROL!$C$28, 0.0021, 0)</f>
        <v>90.701399999999992</v>
      </c>
      <c r="E879" s="4">
        <f>428.726140306065 * CHOOSE(CONTROL!$C$9, $C$13, 100%, $E$13) + CHOOSE(CONTROL!$C$28, 0.0021, 0)</f>
        <v>428.728240306065</v>
      </c>
    </row>
    <row r="880" spans="1:5" ht="15">
      <c r="A880" s="13">
        <v>67937</v>
      </c>
      <c r="B880" s="4">
        <f>59.5263 * CHOOSE(CONTROL!$C$9, $C$13, 100%, $E$13) + CHOOSE(CONTROL!$C$28, 0.0226, 0)</f>
        <v>59.548899999999996</v>
      </c>
      <c r="C880" s="4">
        <f>59.163 * CHOOSE(CONTROL!$C$9, $C$13, 100%, $E$13) + CHOOSE(CONTROL!$C$28, 0.0226, 0)</f>
        <v>59.185599999999994</v>
      </c>
      <c r="D880" s="4">
        <f>87.5423 * CHOOSE(CONTROL!$C$9, $C$13, 100%, $E$13) + CHOOSE(CONTROL!$C$28, 0.0021, 0)</f>
        <v>87.544399999999996</v>
      </c>
      <c r="E880" s="4">
        <f>422.011719874223 * CHOOSE(CONTROL!$C$9, $C$13, 100%, $E$13) + CHOOSE(CONTROL!$C$28, 0.0021, 0)</f>
        <v>422.01381987422297</v>
      </c>
    </row>
    <row r="881" spans="1:5" ht="15">
      <c r="A881" s="13">
        <v>67968</v>
      </c>
      <c r="B881" s="4">
        <f>56.9687 * CHOOSE(CONTROL!$C$9, $C$13, 100%, $E$13) + CHOOSE(CONTROL!$C$28, 0.0226, 0)</f>
        <v>56.991299999999995</v>
      </c>
      <c r="C881" s="4">
        <f>56.6054 * CHOOSE(CONTROL!$C$9, $C$13, 100%, $E$13) + CHOOSE(CONTROL!$C$28, 0.0226, 0)</f>
        <v>56.628</v>
      </c>
      <c r="D881" s="4">
        <f>84.0645 * CHOOSE(CONTROL!$C$9, $C$13, 100%, $E$13) + CHOOSE(CONTROL!$C$28, 0.0021, 0)</f>
        <v>84.066599999999994</v>
      </c>
      <c r="E881" s="4">
        <f>404.433216934768 * CHOOSE(CONTROL!$C$9, $C$13, 100%, $E$13) + CHOOSE(CONTROL!$C$28, 0.0021, 0)</f>
        <v>404.43531693476797</v>
      </c>
    </row>
    <row r="882" spans="1:5" ht="15">
      <c r="A882" s="13">
        <v>67996</v>
      </c>
      <c r="B882" s="4">
        <f>58.303 * CHOOSE(CONTROL!$C$9, $C$13, 100%, $E$13) + CHOOSE(CONTROL!$C$28, 0.0226, 0)</f>
        <v>58.325599999999994</v>
      </c>
      <c r="C882" s="4">
        <f>57.9397 * CHOOSE(CONTROL!$C$9, $C$13, 100%, $E$13) + CHOOSE(CONTROL!$C$28, 0.0226, 0)</f>
        <v>57.962299999999999</v>
      </c>
      <c r="D882" s="4">
        <f>86.9661 * CHOOSE(CONTROL!$C$9, $C$13, 100%, $E$13) + CHOOSE(CONTROL!$C$28, 0.0021, 0)</f>
        <v>86.968199999999996</v>
      </c>
      <c r="E882" s="4">
        <f>414.036055339482 * CHOOSE(CONTROL!$C$9, $C$13, 100%, $E$13) + CHOOSE(CONTROL!$C$28, 0.0021, 0)</f>
        <v>414.03815533948199</v>
      </c>
    </row>
    <row r="883" spans="1:5" ht="15">
      <c r="A883" s="13">
        <v>68027</v>
      </c>
      <c r="B883" s="4">
        <f>61.807 * CHOOSE(CONTROL!$C$9, $C$13, 100%, $E$13) + CHOOSE(CONTROL!$C$28, 0.0226, 0)</f>
        <v>61.829599999999999</v>
      </c>
      <c r="C883" s="4">
        <f>61.4437 * CHOOSE(CONTROL!$C$9, $C$13, 100%, $E$13) + CHOOSE(CONTROL!$C$28, 0.0226, 0)</f>
        <v>61.466299999999997</v>
      </c>
      <c r="D883" s="4">
        <f>91.5084 * CHOOSE(CONTROL!$C$9, $C$13, 100%, $E$13) + CHOOSE(CONTROL!$C$28, 0.0021, 0)</f>
        <v>91.510499999999993</v>
      </c>
      <c r="E883" s="4">
        <f>439.253619316087 * CHOOSE(CONTROL!$C$9, $C$13, 100%, $E$13) + CHOOSE(CONTROL!$C$28, 0.0021, 0)</f>
        <v>439.25571931608698</v>
      </c>
    </row>
    <row r="884" spans="1:5" ht="15">
      <c r="A884" s="13">
        <v>68057</v>
      </c>
      <c r="B884" s="4">
        <f>64.2965 * CHOOSE(CONTROL!$C$9, $C$13, 100%, $E$13) + CHOOSE(CONTROL!$C$28, 0.0226, 0)</f>
        <v>64.319099999999992</v>
      </c>
      <c r="C884" s="4">
        <f>63.9333 * CHOOSE(CONTROL!$C$9, $C$13, 100%, $E$13) + CHOOSE(CONTROL!$C$28, 0.0226, 0)</f>
        <v>63.9559</v>
      </c>
      <c r="D884" s="4">
        <f>94.1249 * CHOOSE(CONTROL!$C$9, $C$13, 100%, $E$13) + CHOOSE(CONTROL!$C$28, 0.0021, 0)</f>
        <v>94.126999999999995</v>
      </c>
      <c r="E884" s="4">
        <f>457.171034589692 * CHOOSE(CONTROL!$C$9, $C$13, 100%, $E$13) + CHOOSE(CONTROL!$C$28, 0.0021, 0)</f>
        <v>457.17313458969198</v>
      </c>
    </row>
    <row r="885" spans="1:5" ht="15">
      <c r="A885" s="13">
        <v>68088</v>
      </c>
      <c r="B885" s="4">
        <f>65.8176 * CHOOSE(CONTROL!$C$9, $C$13, 100%, $E$13) + CHOOSE(CONTROL!$C$28, 0.0226, 0)</f>
        <v>65.840199999999996</v>
      </c>
      <c r="C885" s="4">
        <f>65.4544 * CHOOSE(CONTROL!$C$9, $C$13, 100%, $E$13) + CHOOSE(CONTROL!$C$28, 0.0226, 0)</f>
        <v>65.477000000000004</v>
      </c>
      <c r="D885" s="4">
        <f>93.091 * CHOOSE(CONTROL!$C$9, $C$13, 100%, $E$13) + CHOOSE(CONTROL!$C$28, 0.0021, 0)</f>
        <v>93.093099999999993</v>
      </c>
      <c r="E885" s="4">
        <f>468.118145901352 * CHOOSE(CONTROL!$C$9, $C$13, 100%, $E$13) + CHOOSE(CONTROL!$C$28, 0.0021, 0)</f>
        <v>468.12024590135201</v>
      </c>
    </row>
    <row r="886" spans="1:5" ht="15">
      <c r="A886" s="13">
        <v>68118</v>
      </c>
      <c r="B886" s="4">
        <f>66.0234 * CHOOSE(CONTROL!$C$9, $C$13, 100%, $E$13) + CHOOSE(CONTROL!$C$28, 0.0226, 0)</f>
        <v>66.045999999999992</v>
      </c>
      <c r="C886" s="4">
        <f>65.6602 * CHOOSE(CONTROL!$C$9, $C$13, 100%, $E$13) + CHOOSE(CONTROL!$C$28, 0.0226, 0)</f>
        <v>65.6828</v>
      </c>
      <c r="D886" s="4">
        <f>93.933 * CHOOSE(CONTROL!$C$9, $C$13, 100%, $E$13) + CHOOSE(CONTROL!$C$28, 0.0021, 0)</f>
        <v>93.935100000000006</v>
      </c>
      <c r="E886" s="4">
        <f>469.599335493265 * CHOOSE(CONTROL!$C$9, $C$13, 100%, $E$13) + CHOOSE(CONTROL!$C$28, 0.0021, 0)</f>
        <v>469.601435493265</v>
      </c>
    </row>
    <row r="887" spans="1:5" ht="15">
      <c r="A887" s="13">
        <v>68149</v>
      </c>
      <c r="B887" s="4">
        <f>66.0027 * CHOOSE(CONTROL!$C$9, $C$13, 100%, $E$13) + CHOOSE(CONTROL!$C$28, 0.0226, 0)</f>
        <v>66.025300000000001</v>
      </c>
      <c r="C887" s="4">
        <f>65.6394 * CHOOSE(CONTROL!$C$9, $C$13, 100%, $E$13) + CHOOSE(CONTROL!$C$28, 0.0226, 0)</f>
        <v>65.661999999999992</v>
      </c>
      <c r="D887" s="4">
        <f>95.4523 * CHOOSE(CONTROL!$C$9, $C$13, 100%, $E$13) + CHOOSE(CONTROL!$C$28, 0.0021, 0)</f>
        <v>95.454399999999993</v>
      </c>
      <c r="E887" s="4">
        <f>469.449971836938 * CHOOSE(CONTROL!$C$9, $C$13, 100%, $E$13) + CHOOSE(CONTROL!$C$28, 0.0021, 0)</f>
        <v>469.45207183693799</v>
      </c>
    </row>
    <row r="888" spans="1:5" ht="15">
      <c r="A888" s="13">
        <v>68180</v>
      </c>
      <c r="B888" s="4">
        <f>67.5644 * CHOOSE(CONTROL!$C$9, $C$13, 100%, $E$13) + CHOOSE(CONTROL!$C$28, 0.0226, 0)</f>
        <v>67.587000000000003</v>
      </c>
      <c r="C888" s="4">
        <f>67.2011 * CHOOSE(CONTROL!$C$9, $C$13, 100%, $E$13) + CHOOSE(CONTROL!$C$28, 0.0226, 0)</f>
        <v>67.223699999999994</v>
      </c>
      <c r="D888" s="4">
        <f>94.449 * CHOOSE(CONTROL!$C$9, $C$13, 100%, $E$13) + CHOOSE(CONTROL!$C$28, 0.0021, 0)</f>
        <v>94.451099999999997</v>
      </c>
      <c r="E888" s="4">
        <f>480.689586975573 * CHOOSE(CONTROL!$C$9, $C$13, 100%, $E$13) + CHOOSE(CONTROL!$C$28, 0.0021, 0)</f>
        <v>480.69168697557296</v>
      </c>
    </row>
    <row r="889" spans="1:5" ht="15">
      <c r="A889" s="13">
        <v>68210</v>
      </c>
      <c r="B889" s="4">
        <f>64.9027 * CHOOSE(CONTROL!$C$9, $C$13, 100%, $E$13) + CHOOSE(CONTROL!$C$28, 0.0226, 0)</f>
        <v>64.925299999999993</v>
      </c>
      <c r="C889" s="4">
        <f>64.5395 * CHOOSE(CONTROL!$C$9, $C$13, 100%, $E$13) + CHOOSE(CONTROL!$C$28, 0.0226, 0)</f>
        <v>64.562100000000001</v>
      </c>
      <c r="D889" s="4">
        <f>93.9749 * CHOOSE(CONTROL!$C$9, $C$13, 100%, $E$13) + CHOOSE(CONTROL!$C$28, 0.0021, 0)</f>
        <v>93.977000000000004</v>
      </c>
      <c r="E889" s="4">
        <f>461.533698051587 * CHOOSE(CONTROL!$C$9, $C$13, 100%, $E$13) + CHOOSE(CONTROL!$C$28, 0.0021, 0)</f>
        <v>461.53579805158699</v>
      </c>
    </row>
    <row r="890" spans="1:5" ht="15">
      <c r="A890" s="13">
        <v>68241</v>
      </c>
      <c r="B890" s="4">
        <f>62.772 * CHOOSE(CONTROL!$C$9, $C$13, 100%, $E$13) + CHOOSE(CONTROL!$C$28, 0.0226, 0)</f>
        <v>62.794599999999996</v>
      </c>
      <c r="C890" s="4">
        <f>62.4087 * CHOOSE(CONTROL!$C$9, $C$13, 100%, $E$13) + CHOOSE(CONTROL!$C$28, 0.0226, 0)</f>
        <v>62.4313</v>
      </c>
      <c r="D890" s="4">
        <f>92.7055 * CHOOSE(CONTROL!$C$9, $C$13, 100%, $E$13) + CHOOSE(CONTROL!$C$28, 0.0021, 0)</f>
        <v>92.707599999999999</v>
      </c>
      <c r="E890" s="4">
        <f>446.19902933531 * CHOOSE(CONTROL!$C$9, $C$13, 100%, $E$13) + CHOOSE(CONTROL!$C$28, 0.0021, 0)</f>
        <v>446.20112933530999</v>
      </c>
    </row>
    <row r="891" spans="1:5" ht="15">
      <c r="A891" s="13">
        <v>68271</v>
      </c>
      <c r="B891" s="4">
        <f>61.3997 * CHOOSE(CONTROL!$C$9, $C$13, 100%, $E$13) + CHOOSE(CONTROL!$C$28, 0.0226, 0)</f>
        <v>61.4223</v>
      </c>
      <c r="C891" s="4">
        <f>61.0364 * CHOOSE(CONTROL!$C$9, $C$13, 100%, $E$13) + CHOOSE(CONTROL!$C$28, 0.0226, 0)</f>
        <v>61.058999999999997</v>
      </c>
      <c r="D891" s="4">
        <f>92.2691 * CHOOSE(CONTROL!$C$9, $C$13, 100%, $E$13) + CHOOSE(CONTROL!$C$28, 0.0021, 0)</f>
        <v>92.271199999999993</v>
      </c>
      <c r="E891" s="4">
        <f>436.322357560662 * CHOOSE(CONTROL!$C$9, $C$13, 100%, $E$13) + CHOOSE(CONTROL!$C$28, 0.0021, 0)</f>
        <v>436.32445756066198</v>
      </c>
    </row>
    <row r="892" spans="1:5" ht="15">
      <c r="A892" s="13">
        <v>68302</v>
      </c>
      <c r="B892" s="4">
        <f>60.4502 * CHOOSE(CONTROL!$C$9, $C$13, 100%, $E$13) + CHOOSE(CONTROL!$C$28, 0.0226, 0)</f>
        <v>60.472799999999999</v>
      </c>
      <c r="C892" s="4">
        <f>60.0869 * CHOOSE(CONTROL!$C$9, $C$13, 100%, $E$13) + CHOOSE(CONTROL!$C$28, 0.0226, 0)</f>
        <v>60.109499999999997</v>
      </c>
      <c r="D892" s="4">
        <f>89.0563 * CHOOSE(CONTROL!$C$9, $C$13, 100%, $E$13) + CHOOSE(CONTROL!$C$28, 0.0021, 0)</f>
        <v>89.058399999999992</v>
      </c>
      <c r="E892" s="4">
        <f>429.488970283685 * CHOOSE(CONTROL!$C$9, $C$13, 100%, $E$13) + CHOOSE(CONTROL!$C$28, 0.0021, 0)</f>
        <v>429.49107028368496</v>
      </c>
    </row>
    <row r="893" spans="1:5" ht="15">
      <c r="A893" s="13">
        <v>68333</v>
      </c>
      <c r="B893" s="4">
        <f>57.8524 * CHOOSE(CONTROL!$C$9, $C$13, 100%, $E$13) + CHOOSE(CONTROL!$C$28, 0.0226, 0)</f>
        <v>57.875</v>
      </c>
      <c r="C893" s="4">
        <f>57.4891 * CHOOSE(CONTROL!$C$9, $C$13, 100%, $E$13) + CHOOSE(CONTROL!$C$28, 0.0226, 0)</f>
        <v>57.511699999999998</v>
      </c>
      <c r="D893" s="4">
        <f>85.5171 * CHOOSE(CONTROL!$C$9, $C$13, 100%, $E$13) + CHOOSE(CONTROL!$C$28, 0.0021, 0)</f>
        <v>85.519199999999998</v>
      </c>
      <c r="E893" s="4">
        <f>411.599009481541 * CHOOSE(CONTROL!$C$9, $C$13, 100%, $E$13) + CHOOSE(CONTROL!$C$28, 0.0021, 0)</f>
        <v>411.60110948154096</v>
      </c>
    </row>
    <row r="894" spans="1:5" ht="15">
      <c r="A894" s="13">
        <v>68361</v>
      </c>
      <c r="B894" s="4">
        <f>59.2077 * CHOOSE(CONTROL!$C$9, $C$13, 100%, $E$13) + CHOOSE(CONTROL!$C$28, 0.0226, 0)</f>
        <v>59.2303</v>
      </c>
      <c r="C894" s="4">
        <f>58.8444 * CHOOSE(CONTROL!$C$9, $C$13, 100%, $E$13) + CHOOSE(CONTROL!$C$28, 0.0226, 0)</f>
        <v>58.866999999999997</v>
      </c>
      <c r="D894" s="4">
        <f>88.47 * CHOOSE(CONTROL!$C$9, $C$13, 100%, $E$13) + CHOOSE(CONTROL!$C$28, 0.0021, 0)</f>
        <v>88.472099999999998</v>
      </c>
      <c r="E894" s="4">
        <f>421.371992041055 * CHOOSE(CONTROL!$C$9, $C$13, 100%, $E$13) + CHOOSE(CONTROL!$C$28, 0.0021, 0)</f>
        <v>421.37409204105501</v>
      </c>
    </row>
    <row r="895" spans="1:5" ht="15">
      <c r="A895" s="13">
        <v>68392</v>
      </c>
      <c r="B895" s="4">
        <f>62.7667 * CHOOSE(CONTROL!$C$9, $C$13, 100%, $E$13) + CHOOSE(CONTROL!$C$28, 0.0226, 0)</f>
        <v>62.789299999999997</v>
      </c>
      <c r="C895" s="4">
        <f>62.4034 * CHOOSE(CONTROL!$C$9, $C$13, 100%, $E$13) + CHOOSE(CONTROL!$C$28, 0.0226, 0)</f>
        <v>62.425999999999995</v>
      </c>
      <c r="D895" s="4">
        <f>93.0925 * CHOOSE(CONTROL!$C$9, $C$13, 100%, $E$13) + CHOOSE(CONTROL!$C$28, 0.0021, 0)</f>
        <v>93.0946</v>
      </c>
      <c r="E895" s="4">
        <f>447.036363610174 * CHOOSE(CONTROL!$C$9, $C$13, 100%, $E$13) + CHOOSE(CONTROL!$C$28, 0.0021, 0)</f>
        <v>447.03846361017401</v>
      </c>
    </row>
    <row r="896" spans="1:5" ht="15">
      <c r="A896" s="13">
        <v>68422</v>
      </c>
      <c r="B896" s="4">
        <f>65.2954 * CHOOSE(CONTROL!$C$9, $C$13, 100%, $E$13) + CHOOSE(CONTROL!$C$28, 0.0226, 0)</f>
        <v>65.317999999999998</v>
      </c>
      <c r="C896" s="4">
        <f>64.9322 * CHOOSE(CONTROL!$C$9, $C$13, 100%, $E$13) + CHOOSE(CONTROL!$C$28, 0.0226, 0)</f>
        <v>64.954799999999992</v>
      </c>
      <c r="D896" s="4">
        <f>95.7552 * CHOOSE(CONTROL!$C$9, $C$13, 100%, $E$13) + CHOOSE(CONTROL!$C$28, 0.0021, 0)</f>
        <v>95.757300000000001</v>
      </c>
      <c r="E896" s="4">
        <f>465.271241632754 * CHOOSE(CONTROL!$C$9, $C$13, 100%, $E$13) + CHOOSE(CONTROL!$C$28, 0.0021, 0)</f>
        <v>465.27334163275401</v>
      </c>
    </row>
    <row r="897" spans="1:5" ht="15">
      <c r="A897" s="13">
        <v>68453</v>
      </c>
      <c r="B897" s="4">
        <f>66.8404 * CHOOSE(CONTROL!$C$9, $C$13, 100%, $E$13) + CHOOSE(CONTROL!$C$28, 0.0226, 0)</f>
        <v>66.863</v>
      </c>
      <c r="C897" s="4">
        <f>66.4772 * CHOOSE(CONTROL!$C$9, $C$13, 100%, $E$13) + CHOOSE(CONTROL!$C$28, 0.0226, 0)</f>
        <v>66.499799999999993</v>
      </c>
      <c r="D897" s="4">
        <f>94.703 * CHOOSE(CONTROL!$C$9, $C$13, 100%, $E$13) + CHOOSE(CONTROL!$C$28, 0.0021, 0)</f>
        <v>94.705100000000002</v>
      </c>
      <c r="E897" s="4">
        <f>476.412315075518 * CHOOSE(CONTROL!$C$9, $C$13, 100%, $E$13) + CHOOSE(CONTROL!$C$28, 0.0021, 0)</f>
        <v>476.41441507551798</v>
      </c>
    </row>
    <row r="898" spans="1:5" ht="15">
      <c r="A898" s="13">
        <v>68483</v>
      </c>
      <c r="B898" s="4">
        <f>67.0495 * CHOOSE(CONTROL!$C$9, $C$13, 100%, $E$13) + CHOOSE(CONTROL!$C$28, 0.0226, 0)</f>
        <v>67.072099999999992</v>
      </c>
      <c r="C898" s="4">
        <f>66.6862 * CHOOSE(CONTROL!$C$9, $C$13, 100%, $E$13) + CHOOSE(CONTROL!$C$28, 0.0226, 0)</f>
        <v>66.708799999999997</v>
      </c>
      <c r="D898" s="4">
        <f>95.5599 * CHOOSE(CONTROL!$C$9, $C$13, 100%, $E$13) + CHOOSE(CONTROL!$C$28, 0.0021, 0)</f>
        <v>95.561999999999998</v>
      </c>
      <c r="E898" s="4">
        <f>477.919748548729 * CHOOSE(CONTROL!$C$9, $C$13, 100%, $E$13) + CHOOSE(CONTROL!$C$28, 0.0021, 0)</f>
        <v>477.92184854872897</v>
      </c>
    </row>
    <row r="899" spans="1:5" ht="15">
      <c r="A899" s="13">
        <v>68514</v>
      </c>
      <c r="B899" s="4">
        <f>67.0284 * CHOOSE(CONTROL!$C$9, $C$13, 100%, $E$13) + CHOOSE(CONTROL!$C$28, 0.0226, 0)</f>
        <v>67.051000000000002</v>
      </c>
      <c r="C899" s="4">
        <f>66.6651 * CHOOSE(CONTROL!$C$9, $C$13, 100%, $E$13) + CHOOSE(CONTROL!$C$28, 0.0226, 0)</f>
        <v>66.687699999999992</v>
      </c>
      <c r="D899" s="4">
        <f>97.1061 * CHOOSE(CONTROL!$C$9, $C$13, 100%, $E$13) + CHOOSE(CONTROL!$C$28, 0.0021, 0)</f>
        <v>97.108199999999997</v>
      </c>
      <c r="E899" s="4">
        <f>477.76773845059 * CHOOSE(CONTROL!$C$9, $C$13, 100%, $E$13) + CHOOSE(CONTROL!$C$28, 0.0021, 0)</f>
        <v>477.76983845058999</v>
      </c>
    </row>
    <row r="900" spans="1:5" ht="15">
      <c r="A900" s="13">
        <v>68545</v>
      </c>
      <c r="B900" s="4">
        <f>68.6147 * CHOOSE(CONTROL!$C$9, $C$13, 100%, $E$13) + CHOOSE(CONTROL!$C$28, 0.0226, 0)</f>
        <v>68.637299999999996</v>
      </c>
      <c r="C900" s="4">
        <f>68.2514 * CHOOSE(CONTROL!$C$9, $C$13, 100%, $E$13) + CHOOSE(CONTROL!$C$28, 0.0226, 0)</f>
        <v>68.274000000000001</v>
      </c>
      <c r="D900" s="4">
        <f>96.085 * CHOOSE(CONTROL!$C$9, $C$13, 100%, $E$13) + CHOOSE(CONTROL!$C$28, 0.0021, 0)</f>
        <v>96.087099999999992</v>
      </c>
      <c r="E900" s="4">
        <f>489.206498335543 * CHOOSE(CONTROL!$C$9, $C$13, 100%, $E$13) + CHOOSE(CONTROL!$C$28, 0.0021, 0)</f>
        <v>489.208598335543</v>
      </c>
    </row>
    <row r="901" spans="1:5" ht="15">
      <c r="A901" s="13">
        <v>68575</v>
      </c>
      <c r="B901" s="4">
        <f>65.9112 * CHOOSE(CONTROL!$C$9, $C$13, 100%, $E$13) + CHOOSE(CONTROL!$C$28, 0.0226, 0)</f>
        <v>65.933799999999991</v>
      </c>
      <c r="C901" s="4">
        <f>65.5479 * CHOOSE(CONTROL!$C$9, $C$13, 100%, $E$13) + CHOOSE(CONTROL!$C$28, 0.0226, 0)</f>
        <v>65.570499999999996</v>
      </c>
      <c r="D901" s="4">
        <f>95.6025 * CHOOSE(CONTROL!$C$9, $C$13, 100%, $E$13) + CHOOSE(CONTROL!$C$28, 0.0021, 0)</f>
        <v>95.604600000000005</v>
      </c>
      <c r="E901" s="4">
        <f>469.711203249228 * CHOOSE(CONTROL!$C$9, $C$13, 100%, $E$13) + CHOOSE(CONTROL!$C$28, 0.0021, 0)</f>
        <v>469.71330324922798</v>
      </c>
    </row>
    <row r="902" spans="1:5" ht="15">
      <c r="A902" s="13">
        <v>68606</v>
      </c>
      <c r="B902" s="4">
        <f>63.7469 * CHOOSE(CONTROL!$C$9, $C$13, 100%, $E$13) + CHOOSE(CONTROL!$C$28, 0.0226, 0)</f>
        <v>63.769499999999994</v>
      </c>
      <c r="C902" s="4">
        <f>63.3837 * CHOOSE(CONTROL!$C$9, $C$13, 100%, $E$13) + CHOOSE(CONTROL!$C$28, 0.0226, 0)</f>
        <v>63.406299999999995</v>
      </c>
      <c r="D902" s="4">
        <f>94.3108 * CHOOSE(CONTROL!$C$9, $C$13, 100%, $E$13) + CHOOSE(CONTROL!$C$28, 0.0021, 0)</f>
        <v>94.312899999999999</v>
      </c>
      <c r="E902" s="4">
        <f>454.104833173633 * CHOOSE(CONTROL!$C$9, $C$13, 100%, $E$13) + CHOOSE(CONTROL!$C$28, 0.0021, 0)</f>
        <v>454.10693317363297</v>
      </c>
    </row>
    <row r="903" spans="1:5" ht="15">
      <c r="A903" s="13">
        <v>68636</v>
      </c>
      <c r="B903" s="4">
        <f>62.353 * CHOOSE(CONTROL!$C$9, $C$13, 100%, $E$13) + CHOOSE(CONTROL!$C$28, 0.0226, 0)</f>
        <v>62.375599999999999</v>
      </c>
      <c r="C903" s="4">
        <f>61.9897 * CHOOSE(CONTROL!$C$9, $C$13, 100%, $E$13) + CHOOSE(CONTROL!$C$28, 0.0226, 0)</f>
        <v>62.012299999999996</v>
      </c>
      <c r="D903" s="4">
        <f>93.8666 * CHOOSE(CONTROL!$C$9, $C$13, 100%, $E$13) + CHOOSE(CONTROL!$C$28, 0.0021, 0)</f>
        <v>93.868700000000004</v>
      </c>
      <c r="E903" s="4">
        <f>444.053165434198 * CHOOSE(CONTROL!$C$9, $C$13, 100%, $E$13) + CHOOSE(CONTROL!$C$28, 0.0021, 0)</f>
        <v>444.05526543419796</v>
      </c>
    </row>
    <row r="904" spans="1:5" ht="15">
      <c r="A904" s="13">
        <v>68667</v>
      </c>
      <c r="B904" s="4">
        <f>61.3886 * CHOOSE(CONTROL!$C$9, $C$13, 100%, $E$13) + CHOOSE(CONTROL!$C$28, 0.0226, 0)</f>
        <v>61.411199999999994</v>
      </c>
      <c r="C904" s="4">
        <f>61.0253 * CHOOSE(CONTROL!$C$9, $C$13, 100%, $E$13) + CHOOSE(CONTROL!$C$28, 0.0226, 0)</f>
        <v>61.047899999999998</v>
      </c>
      <c r="D904" s="4">
        <f>90.597 * CHOOSE(CONTROL!$C$9, $C$13, 100%, $E$13) + CHOOSE(CONTROL!$C$28, 0.0021, 0)</f>
        <v>90.599099999999993</v>
      </c>
      <c r="E904" s="4">
        <f>437.098703444343 * CHOOSE(CONTROL!$C$9, $C$13, 100%, $E$13) + CHOOSE(CONTROL!$C$28, 0.0021, 0)</f>
        <v>437.100803444343</v>
      </c>
    </row>
    <row r="905" spans="1:5" ht="15">
      <c r="A905" s="13">
        <v>68698</v>
      </c>
      <c r="B905" s="4">
        <f>58.75 * CHOOSE(CONTROL!$C$9, $C$13, 100%, $E$13) + CHOOSE(CONTROL!$C$28, 0.0226, 0)</f>
        <v>58.772599999999997</v>
      </c>
      <c r="C905" s="4">
        <f>58.3867 * CHOOSE(CONTROL!$C$9, $C$13, 100%, $E$13) + CHOOSE(CONTROL!$C$28, 0.0226, 0)</f>
        <v>58.409299999999995</v>
      </c>
      <c r="D905" s="4">
        <f>86.9953 * CHOOSE(CONTROL!$C$9, $C$13, 100%, $E$13) + CHOOSE(CONTROL!$C$28, 0.0021, 0)</f>
        <v>86.997399999999999</v>
      </c>
      <c r="E905" s="4">
        <f>418.891766334591 * CHOOSE(CONTROL!$C$9, $C$13, 100%, $E$13) + CHOOSE(CONTROL!$C$28, 0.0021, 0)</f>
        <v>418.893866334591</v>
      </c>
    </row>
    <row r="906" spans="1:5" ht="15">
      <c r="A906" s="13">
        <v>68727</v>
      </c>
      <c r="B906" s="4">
        <f>60.1265 * CHOOSE(CONTROL!$C$9, $C$13, 100%, $E$13) + CHOOSE(CONTROL!$C$28, 0.0226, 0)</f>
        <v>60.149099999999997</v>
      </c>
      <c r="C906" s="4">
        <f>59.7633 * CHOOSE(CONTROL!$C$9, $C$13, 100%, $E$13) + CHOOSE(CONTROL!$C$28, 0.0226, 0)</f>
        <v>59.785899999999998</v>
      </c>
      <c r="D906" s="4">
        <f>90.0004 * CHOOSE(CONTROL!$C$9, $C$13, 100%, $E$13) + CHOOSE(CONTROL!$C$28, 0.0021, 0)</f>
        <v>90.002499999999998</v>
      </c>
      <c r="E906" s="4">
        <f>428.83790768189 * CHOOSE(CONTROL!$C$9, $C$13, 100%, $E$13) + CHOOSE(CONTROL!$C$28, 0.0021, 0)</f>
        <v>428.84000768188997</v>
      </c>
    </row>
    <row r="907" spans="1:5" ht="15">
      <c r="A907" s="13">
        <v>68758</v>
      </c>
      <c r="B907" s="4">
        <f>63.7415 * CHOOSE(CONTROL!$C$9, $C$13, 100%, $E$13) + CHOOSE(CONTROL!$C$28, 0.0226, 0)</f>
        <v>63.764099999999999</v>
      </c>
      <c r="C907" s="4">
        <f>63.3783 * CHOOSE(CONTROL!$C$9, $C$13, 100%, $E$13) + CHOOSE(CONTROL!$C$28, 0.0226, 0)</f>
        <v>63.4009</v>
      </c>
      <c r="D907" s="4">
        <f>94.7045 * CHOOSE(CONTROL!$C$9, $C$13, 100%, $E$13) + CHOOSE(CONTROL!$C$28, 0.0021, 0)</f>
        <v>94.706599999999995</v>
      </c>
      <c r="E907" s="4">
        <f>454.957003429952 * CHOOSE(CONTROL!$C$9, $C$13, 100%, $E$13) + CHOOSE(CONTROL!$C$28, 0.0021, 0)</f>
        <v>454.95910342995199</v>
      </c>
    </row>
    <row r="908" spans="1:5" ht="15">
      <c r="A908" s="13">
        <v>68788</v>
      </c>
      <c r="B908" s="4">
        <f>66.31 * CHOOSE(CONTROL!$C$9, $C$13, 100%, $E$13) + CHOOSE(CONTROL!$C$28, 0.0226, 0)</f>
        <v>66.332599999999999</v>
      </c>
      <c r="C908" s="4">
        <f>65.9468 * CHOOSE(CONTROL!$C$9, $C$13, 100%, $E$13) + CHOOSE(CONTROL!$C$28, 0.0226, 0)</f>
        <v>65.969399999999993</v>
      </c>
      <c r="D908" s="4">
        <f>97.4143 * CHOOSE(CONTROL!$C$9, $C$13, 100%, $E$13) + CHOOSE(CONTROL!$C$28, 0.0021, 0)</f>
        <v>97.416399999999996</v>
      </c>
      <c r="E908" s="4">
        <f>473.514969041666 * CHOOSE(CONTROL!$C$9, $C$13, 100%, $E$13) + CHOOSE(CONTROL!$C$28, 0.0021, 0)</f>
        <v>473.51706904166599</v>
      </c>
    </row>
    <row r="909" spans="1:5" ht="15">
      <c r="A909" s="13">
        <v>68819</v>
      </c>
      <c r="B909" s="4">
        <f>67.8793 * CHOOSE(CONTROL!$C$9, $C$13, 100%, $E$13) + CHOOSE(CONTROL!$C$28, 0.0226, 0)</f>
        <v>67.901899999999998</v>
      </c>
      <c r="C909" s="4">
        <f>67.5161 * CHOOSE(CONTROL!$C$9, $C$13, 100%, $E$13) + CHOOSE(CONTROL!$C$28, 0.0226, 0)</f>
        <v>67.538699999999992</v>
      </c>
      <c r="D909" s="4">
        <f>96.3435 * CHOOSE(CONTROL!$C$9, $C$13, 100%, $E$13) + CHOOSE(CONTROL!$C$28, 0.0021, 0)</f>
        <v>96.345600000000005</v>
      </c>
      <c r="E909" s="4">
        <f>484.853441258063 * CHOOSE(CONTROL!$C$9, $C$13, 100%, $E$13) + CHOOSE(CONTROL!$C$28, 0.0021, 0)</f>
        <v>484.855541258063</v>
      </c>
    </row>
    <row r="910" spans="1:5" ht="15">
      <c r="A910" s="13">
        <v>68849</v>
      </c>
      <c r="B910" s="4">
        <f>68.0917 * CHOOSE(CONTROL!$C$9, $C$13, 100%, $E$13) + CHOOSE(CONTROL!$C$28, 0.0226, 0)</f>
        <v>68.1143</v>
      </c>
      <c r="C910" s="4">
        <f>67.7284 * CHOOSE(CONTROL!$C$9, $C$13, 100%, $E$13) + CHOOSE(CONTROL!$C$28, 0.0226, 0)</f>
        <v>67.750999999999991</v>
      </c>
      <c r="D910" s="4">
        <f>97.2156 * CHOOSE(CONTROL!$C$9, $C$13, 100%, $E$13) + CHOOSE(CONTROL!$C$28, 0.0021, 0)</f>
        <v>97.217699999999994</v>
      </c>
      <c r="E910" s="4">
        <f>486.387583604568 * CHOOSE(CONTROL!$C$9, $C$13, 100%, $E$13) + CHOOSE(CONTROL!$C$28, 0.0021, 0)</f>
        <v>486.38968360456801</v>
      </c>
    </row>
    <row r="911" spans="1:5" ht="15">
      <c r="A911" s="13">
        <v>68880</v>
      </c>
      <c r="B911" s="4">
        <f>68.0703 * CHOOSE(CONTROL!$C$9, $C$13, 100%, $E$13) + CHOOSE(CONTROL!$C$28, 0.0226, 0)</f>
        <v>68.0929</v>
      </c>
      <c r="C911" s="4">
        <f>67.707 * CHOOSE(CONTROL!$C$9, $C$13, 100%, $E$13) + CHOOSE(CONTROL!$C$28, 0.0226, 0)</f>
        <v>67.729599999999991</v>
      </c>
      <c r="D911" s="4">
        <f>98.7891 * CHOOSE(CONTROL!$C$9, $C$13, 100%, $E$13) + CHOOSE(CONTROL!$C$28, 0.0021, 0)</f>
        <v>98.791200000000003</v>
      </c>
      <c r="E911" s="4">
        <f>486.232880174669 * CHOOSE(CONTROL!$C$9, $C$13, 100%, $E$13) + CHOOSE(CONTROL!$C$28, 0.0021, 0)</f>
        <v>486.23498017466898</v>
      </c>
    </row>
    <row r="912" spans="1:5" ht="15">
      <c r="A912" s="13">
        <v>68911</v>
      </c>
      <c r="B912" s="4">
        <f>69.6815 * CHOOSE(CONTROL!$C$9, $C$13, 100%, $E$13) + CHOOSE(CONTROL!$C$28, 0.0226, 0)</f>
        <v>69.704099999999997</v>
      </c>
      <c r="C912" s="4">
        <f>69.3182 * CHOOSE(CONTROL!$C$9, $C$13, 100%, $E$13) + CHOOSE(CONTROL!$C$28, 0.0226, 0)</f>
        <v>69.340800000000002</v>
      </c>
      <c r="D912" s="4">
        <f>97.7499 * CHOOSE(CONTROL!$C$9, $C$13, 100%, $E$13) + CHOOSE(CONTROL!$C$28, 0.0021, 0)</f>
        <v>97.751999999999995</v>
      </c>
      <c r="E912" s="4">
        <f>497.874313274619 * CHOOSE(CONTROL!$C$9, $C$13, 100%, $E$13) + CHOOSE(CONTROL!$C$28, 0.0021, 0)</f>
        <v>497.87641327461898</v>
      </c>
    </row>
    <row r="913" spans="1:5" ht="15">
      <c r="A913" s="13">
        <v>68941</v>
      </c>
      <c r="B913" s="4">
        <f>66.9354 * CHOOSE(CONTROL!$C$9, $C$13, 100%, $E$13) + CHOOSE(CONTROL!$C$28, 0.0226, 0)</f>
        <v>66.957999999999998</v>
      </c>
      <c r="C913" s="4">
        <f>66.5722 * CHOOSE(CONTROL!$C$9, $C$13, 100%, $E$13) + CHOOSE(CONTROL!$C$28, 0.0226, 0)</f>
        <v>66.594799999999992</v>
      </c>
      <c r="D913" s="4">
        <f>97.259 * CHOOSE(CONTROL!$C$9, $C$13, 100%, $E$13) + CHOOSE(CONTROL!$C$28, 0.0021, 0)</f>
        <v>97.261099999999999</v>
      </c>
      <c r="E913" s="4">
        <f>478.033598389986 * CHOOSE(CONTROL!$C$9, $C$13, 100%, $E$13) + CHOOSE(CONTROL!$C$28, 0.0021, 0)</f>
        <v>478.03569838998601</v>
      </c>
    </row>
    <row r="914" spans="1:5" ht="15">
      <c r="A914" s="13">
        <v>68972</v>
      </c>
      <c r="B914" s="4">
        <f>64.7372 * CHOOSE(CONTROL!$C$9, $C$13, 100%, $E$13) + CHOOSE(CONTROL!$C$28, 0.0226, 0)</f>
        <v>64.759799999999998</v>
      </c>
      <c r="C914" s="4">
        <f>64.3739 * CHOOSE(CONTROL!$C$9, $C$13, 100%, $E$13) + CHOOSE(CONTROL!$C$28, 0.0226, 0)</f>
        <v>64.396500000000003</v>
      </c>
      <c r="D914" s="4">
        <f>95.9443 * CHOOSE(CONTROL!$C$9, $C$13, 100%, $E$13) + CHOOSE(CONTROL!$C$28, 0.0021, 0)</f>
        <v>95.946399999999997</v>
      </c>
      <c r="E914" s="4">
        <f>462.150712920286 * CHOOSE(CONTROL!$C$9, $C$13, 100%, $E$13) + CHOOSE(CONTROL!$C$28, 0.0021, 0)</f>
        <v>462.15281292028601</v>
      </c>
    </row>
    <row r="915" spans="1:5" ht="15">
      <c r="A915" s="13">
        <v>69002</v>
      </c>
      <c r="B915" s="4">
        <f>63.3213 * CHOOSE(CONTROL!$C$9, $C$13, 100%, $E$13) + CHOOSE(CONTROL!$C$28, 0.0226, 0)</f>
        <v>63.343899999999998</v>
      </c>
      <c r="C915" s="4">
        <f>62.9581 * CHOOSE(CONTROL!$C$9, $C$13, 100%, $E$13) + CHOOSE(CONTROL!$C$28, 0.0226, 0)</f>
        <v>62.980699999999999</v>
      </c>
      <c r="D915" s="4">
        <f>95.4924 * CHOOSE(CONTROL!$C$9, $C$13, 100%, $E$13) + CHOOSE(CONTROL!$C$28, 0.0021, 0)</f>
        <v>95.494500000000002</v>
      </c>
      <c r="E915" s="4">
        <f>451.92094861817 * CHOOSE(CONTROL!$C$9, $C$13, 100%, $E$13) + CHOOSE(CONTROL!$C$28, 0.0021, 0)</f>
        <v>451.92304861816996</v>
      </c>
    </row>
    <row r="916" spans="1:5" ht="15">
      <c r="A916" s="13">
        <v>69033</v>
      </c>
      <c r="B916" s="4">
        <f>62.3418 * CHOOSE(CONTROL!$C$9, $C$13, 100%, $E$13) + CHOOSE(CONTROL!$C$28, 0.0226, 0)</f>
        <v>62.364399999999996</v>
      </c>
      <c r="C916" s="4">
        <f>61.9785 * CHOOSE(CONTROL!$C$9, $C$13, 100%, $E$13) + CHOOSE(CONTROL!$C$28, 0.0226, 0)</f>
        <v>62.001099999999994</v>
      </c>
      <c r="D916" s="4">
        <f>92.165 * CHOOSE(CONTROL!$C$9, $C$13, 100%, $E$13) + CHOOSE(CONTROL!$C$28, 0.0021, 0)</f>
        <v>92.167100000000005</v>
      </c>
      <c r="E916" s="4">
        <f>444.843266700261 * CHOOSE(CONTROL!$C$9, $C$13, 100%, $E$13) + CHOOSE(CONTROL!$C$28, 0.0021, 0)</f>
        <v>444.84536670026097</v>
      </c>
    </row>
    <row r="917" spans="1:5" ht="15">
      <c r="A917" s="13">
        <v>69064</v>
      </c>
      <c r="B917" s="4">
        <f>59.6616 * CHOOSE(CONTROL!$C$9, $C$13, 100%, $E$13) + CHOOSE(CONTROL!$C$28, 0.0226, 0)</f>
        <v>59.684199999999997</v>
      </c>
      <c r="C917" s="4">
        <f>59.2983 * CHOOSE(CONTROL!$C$9, $C$13, 100%, $E$13) + CHOOSE(CONTROL!$C$28, 0.0226, 0)</f>
        <v>59.320899999999995</v>
      </c>
      <c r="D917" s="4">
        <f>88.4996 * CHOOSE(CONTROL!$C$9, $C$13, 100%, $E$13) + CHOOSE(CONTROL!$C$28, 0.0021, 0)</f>
        <v>88.5017</v>
      </c>
      <c r="E917" s="4">
        <f>426.313737061563 * CHOOSE(CONTROL!$C$9, $C$13, 100%, $E$13) + CHOOSE(CONTROL!$C$28, 0.0021, 0)</f>
        <v>426.315837061563</v>
      </c>
    </row>
    <row r="918" spans="1:5" ht="15">
      <c r="A918" s="13">
        <v>69092</v>
      </c>
      <c r="B918" s="4">
        <f>61.0599 * CHOOSE(CONTROL!$C$9, $C$13, 100%, $E$13) + CHOOSE(CONTROL!$C$28, 0.0226, 0)</f>
        <v>61.082499999999996</v>
      </c>
      <c r="C918" s="4">
        <f>60.6966 * CHOOSE(CONTROL!$C$9, $C$13, 100%, $E$13) + CHOOSE(CONTROL!$C$28, 0.0226, 0)</f>
        <v>60.719199999999994</v>
      </c>
      <c r="D918" s="4">
        <f>91.5578 * CHOOSE(CONTROL!$C$9, $C$13, 100%, $E$13) + CHOOSE(CONTROL!$C$28, 0.0021, 0)</f>
        <v>91.559899999999999</v>
      </c>
      <c r="E918" s="4">
        <f>436.436105243235 * CHOOSE(CONTROL!$C$9, $C$13, 100%, $E$13) + CHOOSE(CONTROL!$C$28, 0.0021, 0)</f>
        <v>436.43820524323496</v>
      </c>
    </row>
    <row r="919" spans="1:5" ht="15">
      <c r="A919" s="13">
        <v>69123</v>
      </c>
      <c r="B919" s="4">
        <f>64.7317 * CHOOSE(CONTROL!$C$9, $C$13, 100%, $E$13) + CHOOSE(CONTROL!$C$28, 0.0226, 0)</f>
        <v>64.754300000000001</v>
      </c>
      <c r="C919" s="4">
        <f>64.3684 * CHOOSE(CONTROL!$C$9, $C$13, 100%, $E$13) + CHOOSE(CONTROL!$C$28, 0.0226, 0)</f>
        <v>64.390999999999991</v>
      </c>
      <c r="D919" s="4">
        <f>96.3451 * CHOOSE(CONTROL!$C$9, $C$13, 100%, $E$13) + CHOOSE(CONTROL!$C$28, 0.0021, 0)</f>
        <v>96.347200000000001</v>
      </c>
      <c r="E919" s="4">
        <f>463.017982023622 * CHOOSE(CONTROL!$C$9, $C$13, 100%, $E$13) + CHOOSE(CONTROL!$C$28, 0.0021, 0)</f>
        <v>463.02008202362197</v>
      </c>
    </row>
    <row r="920" spans="1:5" ht="15">
      <c r="A920" s="13">
        <v>69153</v>
      </c>
      <c r="B920" s="4">
        <f>67.3406 * CHOOSE(CONTROL!$C$9, $C$13, 100%, $E$13) + CHOOSE(CONTROL!$C$28, 0.0226, 0)</f>
        <v>67.363199999999992</v>
      </c>
      <c r="C920" s="4">
        <f>66.9773 * CHOOSE(CONTROL!$C$9, $C$13, 100%, $E$13) + CHOOSE(CONTROL!$C$28, 0.0226, 0)</f>
        <v>66.999899999999997</v>
      </c>
      <c r="D920" s="4">
        <f>99.1027 * CHOOSE(CONTROL!$C$9, $C$13, 100%, $E$13) + CHOOSE(CONTROL!$C$28, 0.0021, 0)</f>
        <v>99.104799999999997</v>
      </c>
      <c r="E920" s="4">
        <f>481.904759726173 * CHOOSE(CONTROL!$C$9, $C$13, 100%, $E$13) + CHOOSE(CONTROL!$C$28, 0.0021, 0)</f>
        <v>481.90685972617297</v>
      </c>
    </row>
    <row r="921" spans="1:5" ht="15">
      <c r="A921" s="13">
        <v>69184</v>
      </c>
      <c r="B921" s="4">
        <f>68.9346 * CHOOSE(CONTROL!$C$9, $C$13, 100%, $E$13) + CHOOSE(CONTROL!$C$28, 0.0226, 0)</f>
        <v>68.9572</v>
      </c>
      <c r="C921" s="4">
        <f>68.5713 * CHOOSE(CONTROL!$C$9, $C$13, 100%, $E$13) + CHOOSE(CONTROL!$C$28, 0.0226, 0)</f>
        <v>68.593899999999991</v>
      </c>
      <c r="D921" s="4">
        <f>98.013 * CHOOSE(CONTROL!$C$9, $C$13, 100%, $E$13) + CHOOSE(CONTROL!$C$28, 0.0021, 0)</f>
        <v>98.015100000000004</v>
      </c>
      <c r="E921" s="4">
        <f>493.444128249544 * CHOOSE(CONTROL!$C$9, $C$13, 100%, $E$13) + CHOOSE(CONTROL!$C$28, 0.0021, 0)</f>
        <v>493.44622824954399</v>
      </c>
    </row>
    <row r="922" spans="1:5" ht="15">
      <c r="A922" s="13">
        <v>69214</v>
      </c>
      <c r="B922" s="4">
        <f>69.1503 * CHOOSE(CONTROL!$C$9, $C$13, 100%, $E$13) + CHOOSE(CONTROL!$C$28, 0.0226, 0)</f>
        <v>69.172899999999998</v>
      </c>
      <c r="C922" s="4">
        <f>68.787 * CHOOSE(CONTROL!$C$9, $C$13, 100%, $E$13) + CHOOSE(CONTROL!$C$28, 0.0226, 0)</f>
        <v>68.809600000000003</v>
      </c>
      <c r="D922" s="4">
        <f>98.9005 * CHOOSE(CONTROL!$C$9, $C$13, 100%, $E$13) + CHOOSE(CONTROL!$C$28, 0.0021, 0)</f>
        <v>98.902599999999993</v>
      </c>
      <c r="E922" s="4">
        <f>495.00545270012 * CHOOSE(CONTROL!$C$9, $C$13, 100%, $E$13) + CHOOSE(CONTROL!$C$28, 0.0021, 0)</f>
        <v>495.00755270011996</v>
      </c>
    </row>
    <row r="923" spans="1:5" ht="15">
      <c r="A923" s="13">
        <v>69245</v>
      </c>
      <c r="B923" s="4">
        <f>69.1285 * CHOOSE(CONTROL!$C$9, $C$13, 100%, $E$13) + CHOOSE(CONTROL!$C$28, 0.0226, 0)</f>
        <v>69.1511</v>
      </c>
      <c r="C923" s="4">
        <f>68.7652 * CHOOSE(CONTROL!$C$9, $C$13, 100%, $E$13) + CHOOSE(CONTROL!$C$28, 0.0226, 0)</f>
        <v>68.78779999999999</v>
      </c>
      <c r="D923" s="4">
        <f>100.5018 * CHOOSE(CONTROL!$C$9, $C$13, 100%, $E$13) + CHOOSE(CONTROL!$C$28, 0.0021, 0)</f>
        <v>100.5039</v>
      </c>
      <c r="E923" s="4">
        <f>494.848008217709 * CHOOSE(CONTROL!$C$9, $C$13, 100%, $E$13) + CHOOSE(CONTROL!$C$28, 0.0021, 0)</f>
        <v>494.85010821770896</v>
      </c>
    </row>
    <row r="924" spans="1:5" ht="15">
      <c r="A924" s="13">
        <v>69276</v>
      </c>
      <c r="B924" s="4">
        <f>70.7651 * CHOOSE(CONTROL!$C$9, $C$13, 100%, $E$13) + CHOOSE(CONTROL!$C$28, 0.0226, 0)</f>
        <v>70.787700000000001</v>
      </c>
      <c r="C924" s="4">
        <f>70.4018 * CHOOSE(CONTROL!$C$9, $C$13, 100%, $E$13) + CHOOSE(CONTROL!$C$28, 0.0226, 0)</f>
        <v>70.424399999999991</v>
      </c>
      <c r="D924" s="4">
        <f>99.4443 * CHOOSE(CONTROL!$C$9, $C$13, 100%, $E$13) + CHOOSE(CONTROL!$C$28, 0.0021, 0)</f>
        <v>99.446399999999997</v>
      </c>
      <c r="E924" s="4">
        <f>506.695705519135 * CHOOSE(CONTROL!$C$9, $C$13, 100%, $E$13) + CHOOSE(CONTROL!$C$28, 0.0021, 0)</f>
        <v>506.69780551913499</v>
      </c>
    </row>
    <row r="925" spans="1:5" ht="15">
      <c r="A925" s="13">
        <v>69306</v>
      </c>
      <c r="B925" s="4">
        <f>67.9758 * CHOOSE(CONTROL!$C$9, $C$13, 100%, $E$13) + CHOOSE(CONTROL!$C$28, 0.0226, 0)</f>
        <v>67.998400000000004</v>
      </c>
      <c r="C925" s="4">
        <f>67.6126 * CHOOSE(CONTROL!$C$9, $C$13, 100%, $E$13) + CHOOSE(CONTROL!$C$28, 0.0226, 0)</f>
        <v>67.635199999999998</v>
      </c>
      <c r="D925" s="4">
        <f>98.9446 * CHOOSE(CONTROL!$C$9, $C$13, 100%, $E$13) + CHOOSE(CONTROL!$C$28, 0.0021, 0)</f>
        <v>98.946699999999993</v>
      </c>
      <c r="E925" s="4">
        <f>486.503450649927 * CHOOSE(CONTROL!$C$9, $C$13, 100%, $E$13) + CHOOSE(CONTROL!$C$28, 0.0021, 0)</f>
        <v>486.50555064992699</v>
      </c>
    </row>
    <row r="926" spans="1:5" ht="15">
      <c r="A926" s="13">
        <v>69337</v>
      </c>
      <c r="B926" s="4">
        <f>65.743 * CHOOSE(CONTROL!$C$9, $C$13, 100%, $E$13) + CHOOSE(CONTROL!$C$28, 0.0226, 0)</f>
        <v>65.765599999999992</v>
      </c>
      <c r="C926" s="4">
        <f>65.3797 * CHOOSE(CONTROL!$C$9, $C$13, 100%, $E$13) + CHOOSE(CONTROL!$C$28, 0.0226, 0)</f>
        <v>65.402299999999997</v>
      </c>
      <c r="D926" s="4">
        <f>97.6068 * CHOOSE(CONTROL!$C$9, $C$13, 100%, $E$13) + CHOOSE(CONTROL!$C$28, 0.0021, 0)</f>
        <v>97.608900000000006</v>
      </c>
      <c r="E926" s="4">
        <f>470.339150455733 * CHOOSE(CONTROL!$C$9, $C$13, 100%, $E$13) + CHOOSE(CONTROL!$C$28, 0.0021, 0)</f>
        <v>470.34125045573296</v>
      </c>
    </row>
    <row r="927" spans="1:5" ht="15">
      <c r="A927" s="13">
        <v>69367</v>
      </c>
      <c r="B927" s="4">
        <f>64.3049 * CHOOSE(CONTROL!$C$9, $C$13, 100%, $E$13) + CHOOSE(CONTROL!$C$28, 0.0226, 0)</f>
        <v>64.327500000000001</v>
      </c>
      <c r="C927" s="4">
        <f>63.9416 * CHOOSE(CONTROL!$C$9, $C$13, 100%, $E$13) + CHOOSE(CONTROL!$C$28, 0.0226, 0)</f>
        <v>63.964199999999998</v>
      </c>
      <c r="D927" s="4">
        <f>97.1469 * CHOOSE(CONTROL!$C$9, $C$13, 100%, $E$13) + CHOOSE(CONTROL!$C$28, 0.0021, 0)</f>
        <v>97.149000000000001</v>
      </c>
      <c r="E927" s="4">
        <f>459.928134056307 * CHOOSE(CONTROL!$C$9, $C$13, 100%, $E$13) + CHOOSE(CONTROL!$C$28, 0.0021, 0)</f>
        <v>459.93023405630697</v>
      </c>
    </row>
    <row r="928" spans="1:5" ht="15">
      <c r="A928" s="13">
        <v>69398</v>
      </c>
      <c r="B928" s="4">
        <f>63.3099 * CHOOSE(CONTROL!$C$9, $C$13, 100%, $E$13) + CHOOSE(CONTROL!$C$28, 0.0226, 0)</f>
        <v>63.332499999999996</v>
      </c>
      <c r="C928" s="4">
        <f>62.9466 * CHOOSE(CONTROL!$C$9, $C$13, 100%, $E$13) + CHOOSE(CONTROL!$C$28, 0.0226, 0)</f>
        <v>62.969199999999994</v>
      </c>
      <c r="D928" s="4">
        <f>93.7607 * CHOOSE(CONTROL!$C$9, $C$13, 100%, $E$13) + CHOOSE(CONTROL!$C$28, 0.0021, 0)</f>
        <v>93.762799999999999</v>
      </c>
      <c r="E928" s="4">
        <f>452.725048986005 * CHOOSE(CONTROL!$C$9, $C$13, 100%, $E$13) + CHOOSE(CONTROL!$C$28, 0.0021, 0)</f>
        <v>452.72714898600498</v>
      </c>
    </row>
    <row r="929" spans="1:5" ht="15">
      <c r="A929" s="13">
        <v>69429</v>
      </c>
      <c r="B929" s="4">
        <f>60.5876 * CHOOSE(CONTROL!$C$9, $C$13, 100%, $E$13) + CHOOSE(CONTROL!$C$28, 0.0226, 0)</f>
        <v>60.610199999999999</v>
      </c>
      <c r="C929" s="4">
        <f>60.2244 * CHOOSE(CONTROL!$C$9, $C$13, 100%, $E$13) + CHOOSE(CONTROL!$C$28, 0.0226, 0)</f>
        <v>60.247</v>
      </c>
      <c r="D929" s="4">
        <f>90.0306 * CHOOSE(CONTROL!$C$9, $C$13, 100%, $E$13) + CHOOSE(CONTROL!$C$28, 0.0021, 0)</f>
        <v>90.032700000000006</v>
      </c>
      <c r="E929" s="4">
        <f>433.867211088191 * CHOOSE(CONTROL!$C$9, $C$13, 100%, $E$13) + CHOOSE(CONTROL!$C$28, 0.0021, 0)</f>
        <v>433.86931108819101</v>
      </c>
    </row>
    <row r="930" spans="1:5" ht="15">
      <c r="A930" s="13">
        <v>69457</v>
      </c>
      <c r="B930" s="4">
        <f>62.0079 * CHOOSE(CONTROL!$C$9, $C$13, 100%, $E$13) + CHOOSE(CONTROL!$C$28, 0.0226, 0)</f>
        <v>62.030499999999996</v>
      </c>
      <c r="C930" s="4">
        <f>61.6446 * CHOOSE(CONTROL!$C$9, $C$13, 100%, $E$13) + CHOOSE(CONTROL!$C$28, 0.0226, 0)</f>
        <v>61.667199999999994</v>
      </c>
      <c r="D930" s="4">
        <f>93.1427 * CHOOSE(CONTROL!$C$9, $C$13, 100%, $E$13) + CHOOSE(CONTROL!$C$28, 0.0021, 0)</f>
        <v>93.144800000000004</v>
      </c>
      <c r="E930" s="4">
        <f>444.168928510813 * CHOOSE(CONTROL!$C$9, $C$13, 100%, $E$13) + CHOOSE(CONTROL!$C$28, 0.0021, 0)</f>
        <v>444.17102851081296</v>
      </c>
    </row>
    <row r="931" spans="1:5" ht="15">
      <c r="A931" s="13">
        <v>69488</v>
      </c>
      <c r="B931" s="4">
        <f>65.7375 * CHOOSE(CONTROL!$C$9, $C$13, 100%, $E$13) + CHOOSE(CONTROL!$C$28, 0.0226, 0)</f>
        <v>65.760099999999994</v>
      </c>
      <c r="C931" s="4">
        <f>65.3742 * CHOOSE(CONTROL!$C$9, $C$13, 100%, $E$13) + CHOOSE(CONTROL!$C$28, 0.0226, 0)</f>
        <v>65.396799999999999</v>
      </c>
      <c r="D931" s="4">
        <f>98.0146 * CHOOSE(CONTROL!$C$9, $C$13, 100%, $E$13) + CHOOSE(CONTROL!$C$28, 0.0021, 0)</f>
        <v>98.0167</v>
      </c>
      <c r="E931" s="4">
        <f>471.221785929131 * CHOOSE(CONTROL!$C$9, $C$13, 100%, $E$13) + CHOOSE(CONTROL!$C$28, 0.0021, 0)</f>
        <v>471.22388592913097</v>
      </c>
    </row>
    <row r="932" spans="1:5" ht="15">
      <c r="A932" s="13">
        <v>69518</v>
      </c>
      <c r="B932" s="4">
        <f>68.3874 * CHOOSE(CONTROL!$C$9, $C$13, 100%, $E$13) + CHOOSE(CONTROL!$C$28, 0.0226, 0)</f>
        <v>68.41</v>
      </c>
      <c r="C932" s="4">
        <f>68.0241 * CHOOSE(CONTROL!$C$9, $C$13, 100%, $E$13) + CHOOSE(CONTROL!$C$28, 0.0226, 0)</f>
        <v>68.046700000000001</v>
      </c>
      <c r="D932" s="4">
        <f>100.821 * CHOOSE(CONTROL!$C$9, $C$13, 100%, $E$13) + CHOOSE(CONTROL!$C$28, 0.0021, 0)</f>
        <v>100.8231</v>
      </c>
      <c r="E932" s="4">
        <f>490.443201651573 * CHOOSE(CONTROL!$C$9, $C$13, 100%, $E$13) + CHOOSE(CONTROL!$C$28, 0.0021, 0)</f>
        <v>490.445301651573</v>
      </c>
    </row>
    <row r="933" spans="1:5" ht="15">
      <c r="A933" s="13">
        <v>69549</v>
      </c>
      <c r="B933" s="4">
        <f>70.0064 * CHOOSE(CONTROL!$C$9, $C$13, 100%, $E$13) + CHOOSE(CONTROL!$C$28, 0.0226, 0)</f>
        <v>70.028999999999996</v>
      </c>
      <c r="C933" s="4">
        <f>69.6431 * CHOOSE(CONTROL!$C$9, $C$13, 100%, $E$13) + CHOOSE(CONTROL!$C$28, 0.0226, 0)</f>
        <v>69.665700000000001</v>
      </c>
      <c r="D933" s="4">
        <f>99.712 * CHOOSE(CONTROL!$C$9, $C$13, 100%, $E$13) + CHOOSE(CONTROL!$C$28, 0.0021, 0)</f>
        <v>99.714100000000002</v>
      </c>
      <c r="E933" s="4">
        <f>502.187025984944 * CHOOSE(CONTROL!$C$9, $C$13, 100%, $E$13) + CHOOSE(CONTROL!$C$28, 0.0021, 0)</f>
        <v>502.18912598494398</v>
      </c>
    </row>
    <row r="934" spans="1:5" ht="15">
      <c r="A934" s="13">
        <v>69579</v>
      </c>
      <c r="B934" s="4">
        <f>70.2255 * CHOOSE(CONTROL!$C$9, $C$13, 100%, $E$13) + CHOOSE(CONTROL!$C$28, 0.0226, 0)</f>
        <v>70.248099999999994</v>
      </c>
      <c r="C934" s="4">
        <f>69.8622 * CHOOSE(CONTROL!$C$9, $C$13, 100%, $E$13) + CHOOSE(CONTROL!$C$28, 0.0226, 0)</f>
        <v>69.884799999999998</v>
      </c>
      <c r="D934" s="4">
        <f>100.6152 * CHOOSE(CONTROL!$C$9, $C$13, 100%, $E$13) + CHOOSE(CONTROL!$C$28, 0.0021, 0)</f>
        <v>100.6173</v>
      </c>
      <c r="E934" s="4">
        <f>503.776014155122 * CHOOSE(CONTROL!$C$9, $C$13, 100%, $E$13) + CHOOSE(CONTROL!$C$28, 0.0021, 0)</f>
        <v>503.77811415512201</v>
      </c>
    </row>
    <row r="935" spans="1:5" ht="15">
      <c r="A935" s="13">
        <v>69610</v>
      </c>
      <c r="B935" s="4">
        <f>70.2034 * CHOOSE(CONTROL!$C$9, $C$13, 100%, $E$13) + CHOOSE(CONTROL!$C$28, 0.0226, 0)</f>
        <v>70.225999999999999</v>
      </c>
      <c r="C935" s="4">
        <f>69.8401 * CHOOSE(CONTROL!$C$9, $C$13, 100%, $E$13) + CHOOSE(CONTROL!$C$28, 0.0226, 0)</f>
        <v>69.862700000000004</v>
      </c>
      <c r="D935" s="4">
        <f>102.2448 * CHOOSE(CONTROL!$C$9, $C$13, 100%, $E$13) + CHOOSE(CONTROL!$C$28, 0.0021, 0)</f>
        <v>102.2469</v>
      </c>
      <c r="E935" s="4">
        <f>503.615780053927 * CHOOSE(CONTROL!$C$9, $C$13, 100%, $E$13) + CHOOSE(CONTROL!$C$28, 0.0021, 0)</f>
        <v>503.61788005392697</v>
      </c>
    </row>
    <row r="936" spans="1:5" ht="15">
      <c r="A936" s="13">
        <v>69641</v>
      </c>
      <c r="B936" s="4">
        <f>71.8657 * CHOOSE(CONTROL!$C$9, $C$13, 100%, $E$13) + CHOOSE(CONTROL!$C$28, 0.0226, 0)</f>
        <v>71.888300000000001</v>
      </c>
      <c r="C936" s="4">
        <f>71.5024 * CHOOSE(CONTROL!$C$9, $C$13, 100%, $E$13) + CHOOSE(CONTROL!$C$28, 0.0226, 0)</f>
        <v>71.524999999999991</v>
      </c>
      <c r="D936" s="4">
        <f>101.1686 * CHOOSE(CONTROL!$C$9, $C$13, 100%, $E$13) + CHOOSE(CONTROL!$C$28, 0.0021, 0)</f>
        <v>101.1707</v>
      </c>
      <c r="E936" s="4">
        <f>515.673396168804 * CHOOSE(CONTROL!$C$9, $C$13, 100%, $E$13) + CHOOSE(CONTROL!$C$28, 0.0021, 0)</f>
        <v>515.67549616880399</v>
      </c>
    </row>
    <row r="937" spans="1:5" ht="15">
      <c r="A937" s="13">
        <v>69671</v>
      </c>
      <c r="B937" s="4">
        <f>69.0326 * CHOOSE(CONTROL!$C$9, $C$13, 100%, $E$13) + CHOOSE(CONTROL!$C$28, 0.0226, 0)</f>
        <v>69.055199999999999</v>
      </c>
      <c r="C937" s="4">
        <f>68.6693 * CHOOSE(CONTROL!$C$9, $C$13, 100%, $E$13) + CHOOSE(CONTROL!$C$28, 0.0226, 0)</f>
        <v>68.691900000000004</v>
      </c>
      <c r="D937" s="4">
        <f>100.6601 * CHOOSE(CONTROL!$C$9, $C$13, 100%, $E$13) + CHOOSE(CONTROL!$C$28, 0.0021, 0)</f>
        <v>100.6622</v>
      </c>
      <c r="E937" s="4">
        <f>495.123372690625 * CHOOSE(CONTROL!$C$9, $C$13, 100%, $E$13) + CHOOSE(CONTROL!$C$28, 0.0021, 0)</f>
        <v>495.12547269062497</v>
      </c>
    </row>
    <row r="938" spans="1:5" ht="15">
      <c r="A938" s="13">
        <v>69702</v>
      </c>
      <c r="B938" s="4">
        <f>66.7647 * CHOOSE(CONTROL!$C$9, $C$13, 100%, $E$13) + CHOOSE(CONTROL!$C$28, 0.0226, 0)</f>
        <v>66.787300000000002</v>
      </c>
      <c r="C938" s="4">
        <f>66.4014 * CHOOSE(CONTROL!$C$9, $C$13, 100%, $E$13) + CHOOSE(CONTROL!$C$28, 0.0226, 0)</f>
        <v>66.423999999999992</v>
      </c>
      <c r="D938" s="4">
        <f>99.2986 * CHOOSE(CONTROL!$C$9, $C$13, 100%, $E$13) + CHOOSE(CONTROL!$C$28, 0.0021, 0)</f>
        <v>99.300699999999992</v>
      </c>
      <c r="E938" s="4">
        <f>478.672671634669 * CHOOSE(CONTROL!$C$9, $C$13, 100%, $E$13) + CHOOSE(CONTROL!$C$28, 0.0021, 0)</f>
        <v>478.67477163466896</v>
      </c>
    </row>
    <row r="939" spans="1:5" ht="15">
      <c r="A939" s="13">
        <v>69732</v>
      </c>
      <c r="B939" s="4">
        <f>65.3039 * CHOOSE(CONTROL!$C$9, $C$13, 100%, $E$13) + CHOOSE(CONTROL!$C$28, 0.0226, 0)</f>
        <v>65.326499999999996</v>
      </c>
      <c r="C939" s="4">
        <f>64.9406 * CHOOSE(CONTROL!$C$9, $C$13, 100%, $E$13) + CHOOSE(CONTROL!$C$28, 0.0226, 0)</f>
        <v>64.963200000000001</v>
      </c>
      <c r="D939" s="4">
        <f>98.8306 * CHOOSE(CONTROL!$C$9, $C$13, 100%, $E$13) + CHOOSE(CONTROL!$C$28, 0.0021, 0)</f>
        <v>98.832700000000003</v>
      </c>
      <c r="E939" s="4">
        <f>468.077191693191 * CHOOSE(CONTROL!$C$9, $C$13, 100%, $E$13) + CHOOSE(CONTROL!$C$28, 0.0021, 0)</f>
        <v>468.07929169319101</v>
      </c>
    </row>
    <row r="940" spans="1:5" ht="15">
      <c r="A940" s="13">
        <v>69763</v>
      </c>
      <c r="B940" s="4">
        <f>64.2933 * CHOOSE(CONTROL!$C$9, $C$13, 100%, $E$13) + CHOOSE(CONTROL!$C$28, 0.0226, 0)</f>
        <v>64.315899999999999</v>
      </c>
      <c r="C940" s="4">
        <f>63.93 * CHOOSE(CONTROL!$C$9, $C$13, 100%, $E$13) + CHOOSE(CONTROL!$C$28, 0.0226, 0)</f>
        <v>63.952599999999997</v>
      </c>
      <c r="D940" s="4">
        <f>95.3846 * CHOOSE(CONTROL!$C$9, $C$13, 100%, $E$13) + CHOOSE(CONTROL!$C$28, 0.0021, 0)</f>
        <v>95.386700000000005</v>
      </c>
      <c r="E940" s="4">
        <f>460.746481563548 * CHOOSE(CONTROL!$C$9, $C$13, 100%, $E$13) + CHOOSE(CONTROL!$C$28, 0.0021, 0)</f>
        <v>460.74858156354799</v>
      </c>
    </row>
    <row r="941" spans="1:5" ht="15">
      <c r="A941" s="13">
        <v>69794</v>
      </c>
      <c r="B941" s="4">
        <f>61.5282 * CHOOSE(CONTROL!$C$9, $C$13, 100%, $E$13) + CHOOSE(CONTROL!$C$28, 0.0226, 0)</f>
        <v>61.550799999999995</v>
      </c>
      <c r="C941" s="4">
        <f>61.1649 * CHOOSE(CONTROL!$C$9, $C$13, 100%, $E$13) + CHOOSE(CONTROL!$C$28, 0.0226, 0)</f>
        <v>61.1875</v>
      </c>
      <c r="D941" s="4">
        <f>91.5885 * CHOOSE(CONTROL!$C$9, $C$13, 100%, $E$13) + CHOOSE(CONTROL!$C$28, 0.0021, 0)</f>
        <v>91.590599999999995</v>
      </c>
      <c r="E941" s="4">
        <f>441.55451840451 * CHOOSE(CONTROL!$C$9, $C$13, 100%, $E$13) + CHOOSE(CONTROL!$C$28, 0.0021, 0)</f>
        <v>441.55661840451</v>
      </c>
    </row>
    <row r="942" spans="1:5" ht="15">
      <c r="A942" s="13">
        <v>69822</v>
      </c>
      <c r="B942" s="4">
        <f>62.9708 * CHOOSE(CONTROL!$C$9, $C$13, 100%, $E$13) + CHOOSE(CONTROL!$C$28, 0.0226, 0)</f>
        <v>62.993399999999994</v>
      </c>
      <c r="C942" s="4">
        <f>62.6075 * CHOOSE(CONTROL!$C$9, $C$13, 100%, $E$13) + CHOOSE(CONTROL!$C$28, 0.0226, 0)</f>
        <v>62.630099999999999</v>
      </c>
      <c r="D942" s="4">
        <f>94.7557 * CHOOSE(CONTROL!$C$9, $C$13, 100%, $E$13) + CHOOSE(CONTROL!$C$28, 0.0021, 0)</f>
        <v>94.757800000000003</v>
      </c>
      <c r="E942" s="4">
        <f>452.038762797804 * CHOOSE(CONTROL!$C$9, $C$13, 100%, $E$13) + CHOOSE(CONTROL!$C$28, 0.0021, 0)</f>
        <v>452.04086279780398</v>
      </c>
    </row>
    <row r="943" spans="1:5" ht="15">
      <c r="A943" s="13">
        <v>69853</v>
      </c>
      <c r="B943" s="4">
        <f>66.759 * CHOOSE(CONTROL!$C$9, $C$13, 100%, $E$13) + CHOOSE(CONTROL!$C$28, 0.0226, 0)</f>
        <v>66.781599999999997</v>
      </c>
      <c r="C943" s="4">
        <f>66.3957 * CHOOSE(CONTROL!$C$9, $C$13, 100%, $E$13) + CHOOSE(CONTROL!$C$28, 0.0226, 0)</f>
        <v>66.418300000000002</v>
      </c>
      <c r="D943" s="4">
        <f>99.7136 * CHOOSE(CONTROL!$C$9, $C$13, 100%, $E$13) + CHOOSE(CONTROL!$C$28, 0.0021, 0)</f>
        <v>99.715699999999998</v>
      </c>
      <c r="E943" s="4">
        <f>479.570945741176 * CHOOSE(CONTROL!$C$9, $C$13, 100%, $E$13) + CHOOSE(CONTROL!$C$28, 0.0021, 0)</f>
        <v>479.57304574117597</v>
      </c>
    </row>
    <row r="944" spans="1:5" ht="15">
      <c r="A944" s="13">
        <v>69883</v>
      </c>
      <c r="B944" s="4">
        <f>69.4506 * CHOOSE(CONTROL!$C$9, $C$13, 100%, $E$13) + CHOOSE(CONTROL!$C$28, 0.0226, 0)</f>
        <v>69.473199999999991</v>
      </c>
      <c r="C944" s="4">
        <f>69.0873 * CHOOSE(CONTROL!$C$9, $C$13, 100%, $E$13) + CHOOSE(CONTROL!$C$28, 0.0226, 0)</f>
        <v>69.109899999999996</v>
      </c>
      <c r="D944" s="4">
        <f>102.5696 * CHOOSE(CONTROL!$C$9, $C$13, 100%, $E$13) + CHOOSE(CONTROL!$C$28, 0.0021, 0)</f>
        <v>102.57169999999999</v>
      </c>
      <c r="E944" s="4">
        <f>499.132928637023 * CHOOSE(CONTROL!$C$9, $C$13, 100%, $E$13) + CHOOSE(CONTROL!$C$28, 0.0021, 0)</f>
        <v>499.13502863702297</v>
      </c>
    </row>
    <row r="945" spans="1:5" ht="15">
      <c r="A945" s="13">
        <v>69914</v>
      </c>
      <c r="B945" s="4">
        <f>71.0951 * CHOOSE(CONTROL!$C$9, $C$13, 100%, $E$13) + CHOOSE(CONTROL!$C$28, 0.0226, 0)</f>
        <v>71.117699999999999</v>
      </c>
      <c r="C945" s="4">
        <f>70.7318 * CHOOSE(CONTROL!$C$9, $C$13, 100%, $E$13) + CHOOSE(CONTROL!$C$28, 0.0226, 0)</f>
        <v>70.754400000000004</v>
      </c>
      <c r="D945" s="4">
        <f>101.4411 * CHOOSE(CONTROL!$C$9, $C$13, 100%, $E$13) + CHOOSE(CONTROL!$C$28, 0.0021, 0)</f>
        <v>101.4432</v>
      </c>
      <c r="E945" s="4">
        <f>511.084831351088 * CHOOSE(CONTROL!$C$9, $C$13, 100%, $E$13) + CHOOSE(CONTROL!$C$28, 0.0021, 0)</f>
        <v>511.08693135108797</v>
      </c>
    </row>
    <row r="946" spans="1:5" ht="15">
      <c r="A946" s="13">
        <v>69944</v>
      </c>
      <c r="B946" s="4">
        <f>71.3176 * CHOOSE(CONTROL!$C$9, $C$13, 100%, $E$13) + CHOOSE(CONTROL!$C$28, 0.0226, 0)</f>
        <v>71.340199999999996</v>
      </c>
      <c r="C946" s="4">
        <f>70.9543 * CHOOSE(CONTROL!$C$9, $C$13, 100%, $E$13) + CHOOSE(CONTROL!$C$28, 0.0226, 0)</f>
        <v>70.976900000000001</v>
      </c>
      <c r="D946" s="4">
        <f>102.3601 * CHOOSE(CONTROL!$C$9, $C$13, 100%, $E$13) + CHOOSE(CONTROL!$C$28, 0.0021, 0)</f>
        <v>102.3622</v>
      </c>
      <c r="E946" s="4">
        <f>512.701973389717 * CHOOSE(CONTROL!$C$9, $C$13, 100%, $E$13) + CHOOSE(CONTROL!$C$28, 0.0021, 0)</f>
        <v>512.704073389717</v>
      </c>
    </row>
    <row r="947" spans="1:5" ht="15">
      <c r="A947" s="13">
        <v>69975</v>
      </c>
      <c r="B947" s="4">
        <f>71.2952 * CHOOSE(CONTROL!$C$9, $C$13, 100%, $E$13) + CHOOSE(CONTROL!$C$28, 0.0226, 0)</f>
        <v>71.317799999999991</v>
      </c>
      <c r="C947" s="4">
        <f>70.9319 * CHOOSE(CONTROL!$C$9, $C$13, 100%, $E$13) + CHOOSE(CONTROL!$C$28, 0.0226, 0)</f>
        <v>70.954499999999996</v>
      </c>
      <c r="D947" s="4">
        <f>104.0185 * CHOOSE(CONTROL!$C$9, $C$13, 100%, $E$13) + CHOOSE(CONTROL!$C$28, 0.0021, 0)</f>
        <v>104.0206</v>
      </c>
      <c r="E947" s="4">
        <f>512.538900242964 * CHOOSE(CONTROL!$C$9, $C$13, 100%, $E$13) + CHOOSE(CONTROL!$C$28, 0.0021, 0)</f>
        <v>512.54100024296406</v>
      </c>
    </row>
    <row r="948" spans="1:5" ht="15">
      <c r="A948" s="13">
        <v>70006</v>
      </c>
      <c r="B948" s="4">
        <f>72.9836 * CHOOSE(CONTROL!$C$9, $C$13, 100%, $E$13) + CHOOSE(CONTROL!$C$28, 0.0226, 0)</f>
        <v>73.006199999999993</v>
      </c>
      <c r="C948" s="4">
        <f>72.6203 * CHOOSE(CONTROL!$C$9, $C$13, 100%, $E$13) + CHOOSE(CONTROL!$C$28, 0.0226, 0)</f>
        <v>72.642899999999997</v>
      </c>
      <c r="D948" s="4">
        <f>102.9233 * CHOOSE(CONTROL!$C$9, $C$13, 100%, $E$13) + CHOOSE(CONTROL!$C$28, 0.0021, 0)</f>
        <v>102.9254</v>
      </c>
      <c r="E948" s="4">
        <f>524.810154536086 * CHOOSE(CONTROL!$C$9, $C$13, 100%, $E$13) + CHOOSE(CONTROL!$C$28, 0.0021, 0)</f>
        <v>524.81225453608602</v>
      </c>
    </row>
    <row r="949" spans="1:5" ht="15">
      <c r="A949" s="13">
        <v>70036</v>
      </c>
      <c r="B949" s="4">
        <f>70.106 * CHOOSE(CONTROL!$C$9, $C$13, 100%, $E$13) + CHOOSE(CONTROL!$C$28, 0.0226, 0)</f>
        <v>70.128599999999992</v>
      </c>
      <c r="C949" s="4">
        <f>69.7427 * CHOOSE(CONTROL!$C$9, $C$13, 100%, $E$13) + CHOOSE(CONTROL!$C$28, 0.0226, 0)</f>
        <v>69.765299999999996</v>
      </c>
      <c r="D949" s="4">
        <f>102.4059 * CHOOSE(CONTROL!$C$9, $C$13, 100%, $E$13) + CHOOSE(CONTROL!$C$28, 0.0021, 0)</f>
        <v>102.408</v>
      </c>
      <c r="E949" s="4">
        <f>503.896023465084 * CHOOSE(CONTROL!$C$9, $C$13, 100%, $E$13) + CHOOSE(CONTROL!$C$28, 0.0021, 0)</f>
        <v>503.89812346508398</v>
      </c>
    </row>
    <row r="950" spans="1:5" ht="15">
      <c r="A950" s="13">
        <v>70067</v>
      </c>
      <c r="B950" s="4">
        <f>67.8024 * CHOOSE(CONTROL!$C$9, $C$13, 100%, $E$13) + CHOOSE(CONTROL!$C$28, 0.0226, 0)</f>
        <v>67.825000000000003</v>
      </c>
      <c r="C950" s="4">
        <f>67.4391 * CHOOSE(CONTROL!$C$9, $C$13, 100%, $E$13) + CHOOSE(CONTROL!$C$28, 0.0226, 0)</f>
        <v>67.461699999999993</v>
      </c>
      <c r="D950" s="4">
        <f>101.0203 * CHOOSE(CONTROL!$C$9, $C$13, 100%, $E$13) + CHOOSE(CONTROL!$C$28, 0.0021, 0)</f>
        <v>101.0224</v>
      </c>
      <c r="E950" s="4">
        <f>487.153847065165 * CHOOSE(CONTROL!$C$9, $C$13, 100%, $E$13) + CHOOSE(CONTROL!$C$28, 0.0021, 0)</f>
        <v>487.15594706516498</v>
      </c>
    </row>
    <row r="951" spans="1:5" ht="15">
      <c r="A951" s="13">
        <v>70097</v>
      </c>
      <c r="B951" s="4">
        <f>66.3187 * CHOOSE(CONTROL!$C$9, $C$13, 100%, $E$13) + CHOOSE(CONTROL!$C$28, 0.0226, 0)</f>
        <v>66.341300000000004</v>
      </c>
      <c r="C951" s="4">
        <f>65.9554 * CHOOSE(CONTROL!$C$9, $C$13, 100%, $E$13) + CHOOSE(CONTROL!$C$28, 0.0226, 0)</f>
        <v>65.977999999999994</v>
      </c>
      <c r="D951" s="4">
        <f>100.544 * CHOOSE(CONTROL!$C$9, $C$13, 100%, $E$13) + CHOOSE(CONTROL!$C$28, 0.0021, 0)</f>
        <v>100.5461</v>
      </c>
      <c r="E951" s="4">
        <f>476.370635236159 * CHOOSE(CONTROL!$C$9, $C$13, 100%, $E$13) + CHOOSE(CONTROL!$C$28, 0.0021, 0)</f>
        <v>476.37273523615897</v>
      </c>
    </row>
    <row r="952" spans="1:5" ht="15">
      <c r="A952" s="13">
        <v>70128</v>
      </c>
      <c r="B952" s="4">
        <f>65.2921 * CHOOSE(CONTROL!$C$9, $C$13, 100%, $E$13) + CHOOSE(CONTROL!$C$28, 0.0226, 0)</f>
        <v>65.314700000000002</v>
      </c>
      <c r="C952" s="4">
        <f>64.9289 * CHOOSE(CONTROL!$C$9, $C$13, 100%, $E$13) + CHOOSE(CONTROL!$C$28, 0.0226, 0)</f>
        <v>64.951499999999996</v>
      </c>
      <c r="D952" s="4">
        <f>97.0371 * CHOOSE(CONTROL!$C$9, $C$13, 100%, $E$13) + CHOOSE(CONTROL!$C$28, 0.0021, 0)</f>
        <v>97.039199999999994</v>
      </c>
      <c r="E952" s="4">
        <f>468.910038772235 * CHOOSE(CONTROL!$C$9, $C$13, 100%, $E$13) + CHOOSE(CONTROL!$C$28, 0.0021, 0)</f>
        <v>468.91213877223498</v>
      </c>
    </row>
    <row r="953" spans="1:5" ht="15">
      <c r="A953" s="13">
        <v>70159</v>
      </c>
      <c r="B953" s="4">
        <f>62.4836 * CHOOSE(CONTROL!$C$9, $C$13, 100%, $E$13) + CHOOSE(CONTROL!$C$28, 0.0226, 0)</f>
        <v>62.5062</v>
      </c>
      <c r="C953" s="4">
        <f>62.1203 * CHOOSE(CONTROL!$C$9, $C$13, 100%, $E$13) + CHOOSE(CONTROL!$C$28, 0.0226, 0)</f>
        <v>62.142899999999997</v>
      </c>
      <c r="D953" s="4">
        <f>93.174 * CHOOSE(CONTROL!$C$9, $C$13, 100%, $E$13) + CHOOSE(CONTROL!$C$28, 0.0021, 0)</f>
        <v>93.176100000000005</v>
      </c>
      <c r="E953" s="4">
        <f>449.378030283574 * CHOOSE(CONTROL!$C$9, $C$13, 100%, $E$13) + CHOOSE(CONTROL!$C$28, 0.0021, 0)</f>
        <v>449.38013028357398</v>
      </c>
    </row>
    <row r="954" spans="1:5" ht="15">
      <c r="A954" s="13">
        <v>70188</v>
      </c>
      <c r="B954" s="4">
        <f>63.9488 * CHOOSE(CONTROL!$C$9, $C$13, 100%, $E$13) + CHOOSE(CONTROL!$C$28, 0.0226, 0)</f>
        <v>63.971399999999996</v>
      </c>
      <c r="C954" s="4">
        <f>63.5855 * CHOOSE(CONTROL!$C$9, $C$13, 100%, $E$13) + CHOOSE(CONTROL!$C$28, 0.0226, 0)</f>
        <v>63.6081</v>
      </c>
      <c r="D954" s="4">
        <f>96.3971 * CHOOSE(CONTROL!$C$9, $C$13, 100%, $E$13) + CHOOSE(CONTROL!$C$28, 0.0021, 0)</f>
        <v>96.399199999999993</v>
      </c>
      <c r="E954" s="4">
        <f>460.048035680628 * CHOOSE(CONTROL!$C$9, $C$13, 100%, $E$13) + CHOOSE(CONTROL!$C$28, 0.0021, 0)</f>
        <v>460.05013568062799</v>
      </c>
    </row>
    <row r="955" spans="1:5" ht="15">
      <c r="A955" s="13">
        <v>70219</v>
      </c>
      <c r="B955" s="4">
        <f>67.7966 * CHOOSE(CONTROL!$C$9, $C$13, 100%, $E$13) + CHOOSE(CONTROL!$C$28, 0.0226, 0)</f>
        <v>67.819199999999995</v>
      </c>
      <c r="C955" s="4">
        <f>67.4333 * CHOOSE(CONTROL!$C$9, $C$13, 100%, $E$13) + CHOOSE(CONTROL!$C$28, 0.0226, 0)</f>
        <v>67.4559</v>
      </c>
      <c r="D955" s="4">
        <f>101.4427 * CHOOSE(CONTROL!$C$9, $C$13, 100%, $E$13) + CHOOSE(CONTROL!$C$28, 0.0021, 0)</f>
        <v>101.4448</v>
      </c>
      <c r="E955" s="4">
        <f>488.068036891816 * CHOOSE(CONTROL!$C$9, $C$13, 100%, $E$13) + CHOOSE(CONTROL!$C$28, 0.0021, 0)</f>
        <v>488.07013689181599</v>
      </c>
    </row>
    <row r="956" spans="1:5" ht="15">
      <c r="A956" s="13">
        <v>70249</v>
      </c>
      <c r="B956" s="4">
        <f>70.5305 * CHOOSE(CONTROL!$C$9, $C$13, 100%, $E$13) + CHOOSE(CONTROL!$C$28, 0.0226, 0)</f>
        <v>70.553100000000001</v>
      </c>
      <c r="C956" s="4">
        <f>70.1673 * CHOOSE(CONTROL!$C$9, $C$13, 100%, $E$13) + CHOOSE(CONTROL!$C$28, 0.0226, 0)</f>
        <v>70.189899999999994</v>
      </c>
      <c r="D956" s="4">
        <f>104.3491 * CHOOSE(CONTROL!$C$9, $C$13, 100%, $E$13) + CHOOSE(CONTROL!$C$28, 0.0021, 0)</f>
        <v>104.35120000000001</v>
      </c>
      <c r="E956" s="4">
        <f>507.976621167978 * CHOOSE(CONTROL!$C$9, $C$13, 100%, $E$13) + CHOOSE(CONTROL!$C$28, 0.0021, 0)</f>
        <v>507.97872116797799</v>
      </c>
    </row>
    <row r="957" spans="1:5" ht="15">
      <c r="A957" s="13">
        <v>70280</v>
      </c>
      <c r="B957" s="4">
        <f>72.2009 * CHOOSE(CONTROL!$C$9, $C$13, 100%, $E$13) + CHOOSE(CONTROL!$C$28, 0.0226, 0)</f>
        <v>72.223500000000001</v>
      </c>
      <c r="C957" s="4">
        <f>71.8376 * CHOOSE(CONTROL!$C$9, $C$13, 100%, $E$13) + CHOOSE(CONTROL!$C$28, 0.0226, 0)</f>
        <v>71.860199999999992</v>
      </c>
      <c r="D957" s="4">
        <f>103.2006 * CHOOSE(CONTROL!$C$9, $C$13, 100%, $E$13) + CHOOSE(CONTROL!$C$28, 0.0021, 0)</f>
        <v>103.20269999999999</v>
      </c>
      <c r="E957" s="4">
        <f>520.14028901854 * CHOOSE(CONTROL!$C$9, $C$13, 100%, $E$13) + CHOOSE(CONTROL!$C$28, 0.0021, 0)</f>
        <v>520.14238901854003</v>
      </c>
    </row>
    <row r="958" spans="1:5" ht="15">
      <c r="A958" s="13">
        <v>70310</v>
      </c>
      <c r="B958" s="4">
        <f>72.4269 * CHOOSE(CONTROL!$C$9, $C$13, 100%, $E$13) + CHOOSE(CONTROL!$C$28, 0.0226, 0)</f>
        <v>72.4495</v>
      </c>
      <c r="C958" s="4">
        <f>72.0636 * CHOOSE(CONTROL!$C$9, $C$13, 100%, $E$13) + CHOOSE(CONTROL!$C$28, 0.0226, 0)</f>
        <v>72.086199999999991</v>
      </c>
      <c r="D958" s="4">
        <f>104.136 * CHOOSE(CONTROL!$C$9, $C$13, 100%, $E$13) + CHOOSE(CONTROL!$C$28, 0.0021, 0)</f>
        <v>104.13809999999999</v>
      </c>
      <c r="E958" s="4">
        <f>521.78608375898 * CHOOSE(CONTROL!$C$9, $C$13, 100%, $E$13) + CHOOSE(CONTROL!$C$28, 0.0021, 0)</f>
        <v>521.78818375898004</v>
      </c>
    </row>
    <row r="959" spans="1:5" ht="15">
      <c r="A959" s="13">
        <v>70341</v>
      </c>
      <c r="B959" s="4">
        <f>72.4041 * CHOOSE(CONTROL!$C$9, $C$13, 100%, $E$13) + CHOOSE(CONTROL!$C$28, 0.0226, 0)</f>
        <v>72.426699999999997</v>
      </c>
      <c r="C959" s="4">
        <f>72.0408 * CHOOSE(CONTROL!$C$9, $C$13, 100%, $E$13) + CHOOSE(CONTROL!$C$28, 0.0226, 0)</f>
        <v>72.063400000000001</v>
      </c>
      <c r="D959" s="4">
        <f>105.8237 * CHOOSE(CONTROL!$C$9, $C$13, 100%, $E$13) + CHOOSE(CONTROL!$C$28, 0.0021, 0)</f>
        <v>105.8258</v>
      </c>
      <c r="E959" s="4">
        <f>521.620121264146 * CHOOSE(CONTROL!$C$9, $C$13, 100%, $E$13) + CHOOSE(CONTROL!$C$28, 0.0021, 0)</f>
        <v>521.62222126414599</v>
      </c>
    </row>
    <row r="960" spans="1:5" ht="15">
      <c r="A960" s="13">
        <v>70372</v>
      </c>
      <c r="B960" s="4">
        <f>74.1191 * CHOOSE(CONTROL!$C$9, $C$13, 100%, $E$13) + CHOOSE(CONTROL!$C$28, 0.0226, 0)</f>
        <v>74.1417</v>
      </c>
      <c r="C960" s="4">
        <f>73.7558 * CHOOSE(CONTROL!$C$9, $C$13, 100%, $E$13) + CHOOSE(CONTROL!$C$28, 0.0226, 0)</f>
        <v>73.778399999999991</v>
      </c>
      <c r="D960" s="4">
        <f>104.7091 * CHOOSE(CONTROL!$C$9, $C$13, 100%, $E$13) + CHOOSE(CONTROL!$C$28, 0.0021, 0)</f>
        <v>104.71120000000001</v>
      </c>
      <c r="E960" s="4">
        <f>534.108799000426 * CHOOSE(CONTROL!$C$9, $C$13, 100%, $E$13) + CHOOSE(CONTROL!$C$28, 0.0021, 0)</f>
        <v>534.110899000426</v>
      </c>
    </row>
    <row r="961" spans="1:5" ht="15">
      <c r="A961" s="13">
        <v>70402</v>
      </c>
      <c r="B961" s="4">
        <f>71.1962 * CHOOSE(CONTROL!$C$9, $C$13, 100%, $E$13) + CHOOSE(CONTROL!$C$28, 0.0226, 0)</f>
        <v>71.218800000000002</v>
      </c>
      <c r="C961" s="4">
        <f>70.8329 * CHOOSE(CONTROL!$C$9, $C$13, 100%, $E$13) + CHOOSE(CONTROL!$C$28, 0.0226, 0)</f>
        <v>70.855499999999992</v>
      </c>
      <c r="D961" s="4">
        <f>104.1825 * CHOOSE(CONTROL!$C$9, $C$13, 100%, $E$13) + CHOOSE(CONTROL!$C$28, 0.0021, 0)</f>
        <v>104.1846</v>
      </c>
      <c r="E961" s="4">
        <f>512.824109037929 * CHOOSE(CONTROL!$C$9, $C$13, 100%, $E$13) + CHOOSE(CONTROL!$C$28, 0.0021, 0)</f>
        <v>512.82620903792906</v>
      </c>
    </row>
    <row r="962" spans="1:5" ht="15">
      <c r="A962" s="13">
        <v>70433</v>
      </c>
      <c r="B962" s="4">
        <f>68.8564 * CHOOSE(CONTROL!$C$9, $C$13, 100%, $E$13) + CHOOSE(CONTROL!$C$28, 0.0226, 0)</f>
        <v>68.878999999999991</v>
      </c>
      <c r="C962" s="4">
        <f>68.4931 * CHOOSE(CONTROL!$C$9, $C$13, 100%, $E$13) + CHOOSE(CONTROL!$C$28, 0.0226, 0)</f>
        <v>68.515699999999995</v>
      </c>
      <c r="D962" s="4">
        <f>102.7725 * CHOOSE(CONTROL!$C$9, $C$13, 100%, $E$13) + CHOOSE(CONTROL!$C$28, 0.0021, 0)</f>
        <v>102.77459999999999</v>
      </c>
      <c r="E962" s="4">
        <f>495.78529290161 * CHOOSE(CONTROL!$C$9, $C$13, 100%, $E$13) + CHOOSE(CONTROL!$C$28, 0.0021, 0)</f>
        <v>495.78739290160996</v>
      </c>
    </row>
    <row r="963" spans="1:5" ht="15">
      <c r="A963" s="13">
        <v>70463</v>
      </c>
      <c r="B963" s="4">
        <f>67.3494 * CHOOSE(CONTROL!$C$9, $C$13, 100%, $E$13) + CHOOSE(CONTROL!$C$28, 0.0226, 0)</f>
        <v>67.372</v>
      </c>
      <c r="C963" s="4">
        <f>66.9861 * CHOOSE(CONTROL!$C$9, $C$13, 100%, $E$13) + CHOOSE(CONTROL!$C$28, 0.0226, 0)</f>
        <v>67.00869999999999</v>
      </c>
      <c r="D963" s="4">
        <f>102.2877 * CHOOSE(CONTROL!$C$9, $C$13, 100%, $E$13) + CHOOSE(CONTROL!$C$28, 0.0021, 0)</f>
        <v>102.2898</v>
      </c>
      <c r="E963" s="4">
        <f>484.811022930693 * CHOOSE(CONTROL!$C$9, $C$13, 100%, $E$13) + CHOOSE(CONTROL!$C$28, 0.0021, 0)</f>
        <v>484.813122930693</v>
      </c>
    </row>
    <row r="964" spans="1:5" ht="15">
      <c r="A964" s="13">
        <v>70494</v>
      </c>
      <c r="B964" s="4">
        <f>66.3067 * CHOOSE(CONTROL!$C$9, $C$13, 100%, $E$13) + CHOOSE(CONTROL!$C$28, 0.0226, 0)</f>
        <v>66.329300000000003</v>
      </c>
      <c r="C964" s="4">
        <f>65.9434 * CHOOSE(CONTROL!$C$9, $C$13, 100%, $E$13) + CHOOSE(CONTROL!$C$28, 0.0226, 0)</f>
        <v>65.965999999999994</v>
      </c>
      <c r="D964" s="4">
        <f>98.7189 * CHOOSE(CONTROL!$C$9, $C$13, 100%, $E$13) + CHOOSE(CONTROL!$C$28, 0.0021, 0)</f>
        <v>98.721000000000004</v>
      </c>
      <c r="E964" s="4">
        <f>477.218238792025 * CHOOSE(CONTROL!$C$9, $C$13, 100%, $E$13) + CHOOSE(CONTROL!$C$28, 0.0021, 0)</f>
        <v>477.22033879202496</v>
      </c>
    </row>
    <row r="965" spans="1:5" ht="15">
      <c r="A965" s="13">
        <v>70525</v>
      </c>
      <c r="B965" s="4">
        <f>63.454 * CHOOSE(CONTROL!$C$9, $C$13, 100%, $E$13) + CHOOSE(CONTROL!$C$28, 0.0226, 0)</f>
        <v>63.476599999999998</v>
      </c>
      <c r="C965" s="4">
        <f>63.0907 * CHOOSE(CONTROL!$C$9, $C$13, 100%, $E$13) + CHOOSE(CONTROL!$C$28, 0.0226, 0)</f>
        <v>63.113299999999995</v>
      </c>
      <c r="D965" s="4">
        <f>94.7875 * CHOOSE(CONTROL!$C$9, $C$13, 100%, $E$13) + CHOOSE(CONTROL!$C$28, 0.0021, 0)</f>
        <v>94.789599999999993</v>
      </c>
      <c r="E965" s="4">
        <f>457.340160012915 * CHOOSE(CONTROL!$C$9, $C$13, 100%, $E$13) + CHOOSE(CONTROL!$C$28, 0.0021, 0)</f>
        <v>457.34226001291501</v>
      </c>
    </row>
    <row r="966" spans="1:5" ht="15">
      <c r="A966" s="13">
        <v>70553</v>
      </c>
      <c r="B966" s="4">
        <f>64.9422 * CHOOSE(CONTROL!$C$9, $C$13, 100%, $E$13) + CHOOSE(CONTROL!$C$28, 0.0226, 0)</f>
        <v>64.964799999999997</v>
      </c>
      <c r="C966" s="4">
        <f>64.579 * CHOOSE(CONTROL!$C$9, $C$13, 100%, $E$13) + CHOOSE(CONTROL!$C$28, 0.0226, 0)</f>
        <v>64.601599999999991</v>
      </c>
      <c r="D966" s="4">
        <f>98.0676 * CHOOSE(CONTROL!$C$9, $C$13, 100%, $E$13) + CHOOSE(CONTROL!$C$28, 0.0021, 0)</f>
        <v>98.069699999999997</v>
      </c>
      <c r="E966" s="4">
        <f>468.199217747776 * CHOOSE(CONTROL!$C$9, $C$13, 100%, $E$13) + CHOOSE(CONTROL!$C$28, 0.0021, 0)</f>
        <v>468.20131774777599</v>
      </c>
    </row>
    <row r="967" spans="1:5" ht="15">
      <c r="A967" s="13">
        <v>70584</v>
      </c>
      <c r="B967" s="4">
        <f>68.8506 * CHOOSE(CONTROL!$C$9, $C$13, 100%, $E$13) + CHOOSE(CONTROL!$C$28, 0.0226, 0)</f>
        <v>68.873199999999997</v>
      </c>
      <c r="C967" s="4">
        <f>68.4873 * CHOOSE(CONTROL!$C$9, $C$13, 100%, $E$13) + CHOOSE(CONTROL!$C$28, 0.0226, 0)</f>
        <v>68.509900000000002</v>
      </c>
      <c r="D967" s="4">
        <f>103.2023 * CHOOSE(CONTROL!$C$9, $C$13, 100%, $E$13) + CHOOSE(CONTROL!$C$28, 0.0021, 0)</f>
        <v>103.20439999999999</v>
      </c>
      <c r="E967" s="4">
        <f>496.715680444896 * CHOOSE(CONTROL!$C$9, $C$13, 100%, $E$13) + CHOOSE(CONTROL!$C$28, 0.0021, 0)</f>
        <v>496.71778044489599</v>
      </c>
    </row>
    <row r="968" spans="1:5" ht="15">
      <c r="A968" s="13">
        <v>70614</v>
      </c>
      <c r="B968" s="4">
        <f>71.6275 * CHOOSE(CONTROL!$C$9, $C$13, 100%, $E$13) + CHOOSE(CONTROL!$C$28, 0.0226, 0)</f>
        <v>71.650099999999995</v>
      </c>
      <c r="C968" s="4">
        <f>71.2642 * CHOOSE(CONTROL!$C$9, $C$13, 100%, $E$13) + CHOOSE(CONTROL!$C$28, 0.0226, 0)</f>
        <v>71.286799999999999</v>
      </c>
      <c r="D968" s="4">
        <f>106.16 * CHOOSE(CONTROL!$C$9, $C$13, 100%, $E$13) + CHOOSE(CONTROL!$C$28, 0.0021, 0)</f>
        <v>106.1621</v>
      </c>
      <c r="E968" s="4">
        <f>516.977007223032 * CHOOSE(CONTROL!$C$9, $C$13, 100%, $E$13) + CHOOSE(CONTROL!$C$28, 0.0021, 0)</f>
        <v>516.97910722303209</v>
      </c>
    </row>
    <row r="969" spans="1:5" ht="15">
      <c r="A969" s="13">
        <v>70645</v>
      </c>
      <c r="B969" s="4">
        <f>73.3241 * CHOOSE(CONTROL!$C$9, $C$13, 100%, $E$13) + CHOOSE(CONTROL!$C$28, 0.0226, 0)</f>
        <v>73.346699999999998</v>
      </c>
      <c r="C969" s="4">
        <f>72.9608 * CHOOSE(CONTROL!$C$9, $C$13, 100%, $E$13) + CHOOSE(CONTROL!$C$28, 0.0226, 0)</f>
        <v>72.983400000000003</v>
      </c>
      <c r="D969" s="4">
        <f>104.9913 * CHOOSE(CONTROL!$C$9, $C$13, 100%, $E$13) + CHOOSE(CONTROL!$C$28, 0.0021, 0)</f>
        <v>104.99339999999999</v>
      </c>
      <c r="E969" s="4">
        <f>529.356192288243 * CHOOSE(CONTROL!$C$9, $C$13, 100%, $E$13) + CHOOSE(CONTROL!$C$28, 0.0021, 0)</f>
        <v>529.35829228824309</v>
      </c>
    </row>
    <row r="970" spans="1:5" ht="15">
      <c r="A970" s="13">
        <v>70675</v>
      </c>
      <c r="B970" s="4">
        <f>73.5536 * CHOOSE(CONTROL!$C$9, $C$13, 100%, $E$13) + CHOOSE(CONTROL!$C$28, 0.0226, 0)</f>
        <v>73.5762</v>
      </c>
      <c r="C970" s="4">
        <f>73.1904 * CHOOSE(CONTROL!$C$9, $C$13, 100%, $E$13) + CHOOSE(CONTROL!$C$28, 0.0226, 0)</f>
        <v>73.212999999999994</v>
      </c>
      <c r="D970" s="4">
        <f>105.9431 * CHOOSE(CONTROL!$C$9, $C$13, 100%, $E$13) + CHOOSE(CONTROL!$C$28, 0.0021, 0)</f>
        <v>105.9452</v>
      </c>
      <c r="E970" s="4">
        <f>531.03114740224 * CHOOSE(CONTROL!$C$9, $C$13, 100%, $E$13) + CHOOSE(CONTROL!$C$28, 0.0021, 0)</f>
        <v>531.03324740224002</v>
      </c>
    </row>
    <row r="971" spans="1:5" ht="15">
      <c r="A971" s="13">
        <v>70706</v>
      </c>
      <c r="B971" s="4">
        <f>73.5305 * CHOOSE(CONTROL!$C$9, $C$13, 100%, $E$13) + CHOOSE(CONTROL!$C$28, 0.0226, 0)</f>
        <v>73.553100000000001</v>
      </c>
      <c r="C971" s="4">
        <f>73.1672 * CHOOSE(CONTROL!$C$9, $C$13, 100%, $E$13) + CHOOSE(CONTROL!$C$28, 0.0226, 0)</f>
        <v>73.189799999999991</v>
      </c>
      <c r="D971" s="4">
        <f>107.6607 * CHOOSE(CONTROL!$C$9, $C$13, 100%, $E$13) + CHOOSE(CONTROL!$C$28, 0.0021, 0)</f>
        <v>107.6628</v>
      </c>
      <c r="E971" s="4">
        <f>530.862244365534 * CHOOSE(CONTROL!$C$9, $C$13, 100%, $E$13) + CHOOSE(CONTROL!$C$28, 0.0021, 0)</f>
        <v>530.86434436553407</v>
      </c>
    </row>
    <row r="972" spans="1:5" ht="15">
      <c r="A972" s="13">
        <v>70737</v>
      </c>
      <c r="B972" s="4">
        <f>75.2725 * CHOOSE(CONTROL!$C$9, $C$13, 100%, $E$13) + CHOOSE(CONTROL!$C$28, 0.0226, 0)</f>
        <v>75.295099999999991</v>
      </c>
      <c r="C972" s="4">
        <f>74.9092 * CHOOSE(CONTROL!$C$9, $C$13, 100%, $E$13) + CHOOSE(CONTROL!$C$28, 0.0226, 0)</f>
        <v>74.931799999999996</v>
      </c>
      <c r="D972" s="4">
        <f>106.5264 * CHOOSE(CONTROL!$C$9, $C$13, 100%, $E$13) + CHOOSE(CONTROL!$C$28, 0.0021, 0)</f>
        <v>106.52849999999999</v>
      </c>
      <c r="E972" s="4">
        <f>543.572197877627 * CHOOSE(CONTROL!$C$9, $C$13, 100%, $E$13) + CHOOSE(CONTROL!$C$28, 0.0021, 0)</f>
        <v>543.57429787762703</v>
      </c>
    </row>
    <row r="973" spans="1:5" ht="15">
      <c r="A973" s="13">
        <v>70767</v>
      </c>
      <c r="B973" s="4">
        <f>72.3036 * CHOOSE(CONTROL!$C$9, $C$13, 100%, $E$13) + CHOOSE(CONTROL!$C$28, 0.0226, 0)</f>
        <v>72.3262</v>
      </c>
      <c r="C973" s="4">
        <f>71.9403 * CHOOSE(CONTROL!$C$9, $C$13, 100%, $E$13) + CHOOSE(CONTROL!$C$28, 0.0226, 0)</f>
        <v>71.962899999999991</v>
      </c>
      <c r="D973" s="4">
        <f>105.9905 * CHOOSE(CONTROL!$C$9, $C$13, 100%, $E$13) + CHOOSE(CONTROL!$C$28, 0.0021, 0)</f>
        <v>105.9926</v>
      </c>
      <c r="E973" s="4">
        <f>521.91038342014 * CHOOSE(CONTROL!$C$9, $C$13, 100%, $E$13) + CHOOSE(CONTROL!$C$28, 0.0021, 0)</f>
        <v>521.91248342014001</v>
      </c>
    </row>
    <row r="974" spans="1:5" ht="15">
      <c r="A974" s="13">
        <v>70798</v>
      </c>
      <c r="B974" s="4">
        <f>69.927 * CHOOSE(CONTROL!$C$9, $C$13, 100%, $E$13) + CHOOSE(CONTROL!$C$28, 0.0226, 0)</f>
        <v>69.949600000000004</v>
      </c>
      <c r="C974" s="4">
        <f>69.5637 * CHOOSE(CONTROL!$C$9, $C$13, 100%, $E$13) + CHOOSE(CONTROL!$C$28, 0.0226, 0)</f>
        <v>69.586299999999994</v>
      </c>
      <c r="D974" s="4">
        <f>104.5556 * CHOOSE(CONTROL!$C$9, $C$13, 100%, $E$13) + CHOOSE(CONTROL!$C$28, 0.0021, 0)</f>
        <v>104.5577</v>
      </c>
      <c r="E974" s="4">
        <f>504.569671651704 * CHOOSE(CONTROL!$C$9, $C$13, 100%, $E$13) + CHOOSE(CONTROL!$C$28, 0.0021, 0)</f>
        <v>504.57177165170401</v>
      </c>
    </row>
    <row r="975" spans="1:5" ht="15">
      <c r="A975" s="13">
        <v>70828</v>
      </c>
      <c r="B975" s="4">
        <f>68.3963 * CHOOSE(CONTROL!$C$9, $C$13, 100%, $E$13) + CHOOSE(CONTROL!$C$28, 0.0226, 0)</f>
        <v>68.418899999999994</v>
      </c>
      <c r="C975" s="4">
        <f>68.033 * CHOOSE(CONTROL!$C$9, $C$13, 100%, $E$13) + CHOOSE(CONTROL!$C$28, 0.0226, 0)</f>
        <v>68.055599999999998</v>
      </c>
      <c r="D975" s="4">
        <f>104.0623 * CHOOSE(CONTROL!$C$9, $C$13, 100%, $E$13) + CHOOSE(CONTROL!$C$28, 0.0021, 0)</f>
        <v>104.06439999999999</v>
      </c>
      <c r="E975" s="4">
        <f>493.40095834955 * CHOOSE(CONTROL!$C$9, $C$13, 100%, $E$13) + CHOOSE(CONTROL!$C$28, 0.0021, 0)</f>
        <v>493.40305834955001</v>
      </c>
    </row>
    <row r="976" spans="1:5" ht="15">
      <c r="A976" s="13">
        <v>70859</v>
      </c>
      <c r="B976" s="4">
        <f>67.3372 * CHOOSE(CONTROL!$C$9, $C$13, 100%, $E$13) + CHOOSE(CONTROL!$C$28, 0.0226, 0)</f>
        <v>67.359799999999993</v>
      </c>
      <c r="C976" s="4">
        <f>66.9739 * CHOOSE(CONTROL!$C$9, $C$13, 100%, $E$13) + CHOOSE(CONTROL!$C$28, 0.0226, 0)</f>
        <v>66.996499999999997</v>
      </c>
      <c r="D976" s="4">
        <f>100.4304 * CHOOSE(CONTROL!$C$9, $C$13, 100%, $E$13) + CHOOSE(CONTROL!$C$28, 0.0021, 0)</f>
        <v>100.4325</v>
      </c>
      <c r="E976" s="4">
        <f>485.673644420271 * CHOOSE(CONTROL!$C$9, $C$13, 100%, $E$13) + CHOOSE(CONTROL!$C$28, 0.0021, 0)</f>
        <v>485.67574442027097</v>
      </c>
    </row>
    <row r="977" spans="1:5" ht="15">
      <c r="A977" s="13">
        <v>70890</v>
      </c>
      <c r="B977" s="4">
        <f>64.4396 * CHOOSE(CONTROL!$C$9, $C$13, 100%, $E$13) + CHOOSE(CONTROL!$C$28, 0.0226, 0)</f>
        <v>64.462199999999996</v>
      </c>
      <c r="C977" s="4">
        <f>64.0763 * CHOOSE(CONTROL!$C$9, $C$13, 100%, $E$13) + CHOOSE(CONTROL!$C$28, 0.0226, 0)</f>
        <v>64.0989</v>
      </c>
      <c r="D977" s="4">
        <f>96.4295 * CHOOSE(CONTROL!$C$9, $C$13, 100%, $E$13) + CHOOSE(CONTROL!$C$28, 0.0021, 0)</f>
        <v>96.431600000000003</v>
      </c>
      <c r="E977" s="4">
        <f>465.443363638965 * CHOOSE(CONTROL!$C$9, $C$13, 100%, $E$13) + CHOOSE(CONTROL!$C$28, 0.0021, 0)</f>
        <v>465.44546363896501</v>
      </c>
    </row>
    <row r="978" spans="1:5" ht="15">
      <c r="A978" s="13">
        <v>70918</v>
      </c>
      <c r="B978" s="4">
        <f>65.9513 * CHOOSE(CONTROL!$C$9, $C$13, 100%, $E$13) + CHOOSE(CONTROL!$C$28, 0.0226, 0)</f>
        <v>65.9739</v>
      </c>
      <c r="C978" s="4">
        <f>65.588 * CHOOSE(CONTROL!$C$9, $C$13, 100%, $E$13) + CHOOSE(CONTROL!$C$28, 0.0226, 0)</f>
        <v>65.610599999999991</v>
      </c>
      <c r="D978" s="4">
        <f>99.7676 * CHOOSE(CONTROL!$C$9, $C$13, 100%, $E$13) + CHOOSE(CONTROL!$C$28, 0.0021, 0)</f>
        <v>99.7697</v>
      </c>
      <c r="E978" s="4">
        <f>476.4948233619 * CHOOSE(CONTROL!$C$9, $C$13, 100%, $E$13) + CHOOSE(CONTROL!$C$28, 0.0021, 0)</f>
        <v>476.49692336189997</v>
      </c>
    </row>
    <row r="979" spans="1:5" ht="15">
      <c r="A979" s="13">
        <v>70949</v>
      </c>
      <c r="B979" s="4">
        <f>69.9211 * CHOOSE(CONTROL!$C$9, $C$13, 100%, $E$13) + CHOOSE(CONTROL!$C$28, 0.0226, 0)</f>
        <v>69.943699999999993</v>
      </c>
      <c r="C979" s="4">
        <f>69.5578 * CHOOSE(CONTROL!$C$9, $C$13, 100%, $E$13) + CHOOSE(CONTROL!$C$28, 0.0226, 0)</f>
        <v>69.580399999999997</v>
      </c>
      <c r="D979" s="4">
        <f>104.993 * CHOOSE(CONTROL!$C$9, $C$13, 100%, $E$13) + CHOOSE(CONTROL!$C$28, 0.0021, 0)</f>
        <v>104.99509999999999</v>
      </c>
      <c r="E979" s="4">
        <f>505.516543904564 * CHOOSE(CONTROL!$C$9, $C$13, 100%, $E$13) + CHOOSE(CONTROL!$C$28, 0.0021, 0)</f>
        <v>505.51864390456399</v>
      </c>
    </row>
    <row r="980" spans="1:5" ht="15">
      <c r="A980" s="13">
        <v>70979</v>
      </c>
      <c r="B980" s="4">
        <f>72.7416 * CHOOSE(CONTROL!$C$9, $C$13, 100%, $E$13) + CHOOSE(CONTROL!$C$28, 0.0226, 0)</f>
        <v>72.764200000000002</v>
      </c>
      <c r="C980" s="4">
        <f>72.3784 * CHOOSE(CONTROL!$C$9, $C$13, 100%, $E$13) + CHOOSE(CONTROL!$C$28, 0.0226, 0)</f>
        <v>72.400999999999996</v>
      </c>
      <c r="D980" s="4">
        <f>108.003 * CHOOSE(CONTROL!$C$9, $C$13, 100%, $E$13) + CHOOSE(CONTROL!$C$28, 0.0021, 0)</f>
        <v>108.0051</v>
      </c>
      <c r="E980" s="4">
        <f>526.136863115407 * CHOOSE(CONTROL!$C$9, $C$13, 100%, $E$13) + CHOOSE(CONTROL!$C$28, 0.0021, 0)</f>
        <v>526.13896311540702</v>
      </c>
    </row>
    <row r="981" spans="1:5" ht="15">
      <c r="A981" s="13">
        <v>71010</v>
      </c>
      <c r="B981" s="4">
        <f>74.4649 * CHOOSE(CONTROL!$C$9, $C$13, 100%, $E$13) + CHOOSE(CONTROL!$C$28, 0.0226, 0)</f>
        <v>74.487499999999997</v>
      </c>
      <c r="C981" s="4">
        <f>74.1017 * CHOOSE(CONTROL!$C$9, $C$13, 100%, $E$13) + CHOOSE(CONTROL!$C$28, 0.0226, 0)</f>
        <v>74.124299999999991</v>
      </c>
      <c r="D981" s="4">
        <f>106.8136 * CHOOSE(CONTROL!$C$9, $C$13, 100%, $E$13) + CHOOSE(CONTROL!$C$28, 0.0021, 0)</f>
        <v>106.81569999999999</v>
      </c>
      <c r="E981" s="4">
        <f>538.735383953153 * CHOOSE(CONTROL!$C$9, $C$13, 100%, $E$13) + CHOOSE(CONTROL!$C$28, 0.0021, 0)</f>
        <v>538.73748395315306</v>
      </c>
    </row>
    <row r="982" spans="1:5" ht="15">
      <c r="A982" s="13">
        <v>71040</v>
      </c>
      <c r="B982" s="4">
        <f>74.6981 * CHOOSE(CONTROL!$C$9, $C$13, 100%, $E$13) + CHOOSE(CONTROL!$C$28, 0.0226, 0)</f>
        <v>74.720699999999994</v>
      </c>
      <c r="C982" s="4">
        <f>74.3348 * CHOOSE(CONTROL!$C$9, $C$13, 100%, $E$13) + CHOOSE(CONTROL!$C$28, 0.0226, 0)</f>
        <v>74.357399999999998</v>
      </c>
      <c r="D982" s="4">
        <f>107.7823 * CHOOSE(CONTROL!$C$9, $C$13, 100%, $E$13) + CHOOSE(CONTROL!$C$28, 0.0021, 0)</f>
        <v>107.78440000000001</v>
      </c>
      <c r="E982" s="4">
        <f>540.440016107436 * CHOOSE(CONTROL!$C$9, $C$13, 100%, $E$13) + CHOOSE(CONTROL!$C$28, 0.0021, 0)</f>
        <v>540.44211610743605</v>
      </c>
    </row>
    <row r="983" spans="1:5" ht="15">
      <c r="A983" s="13">
        <v>71071</v>
      </c>
      <c r="B983" s="4">
        <f>74.6746 * CHOOSE(CONTROL!$C$9, $C$13, 100%, $E$13) + CHOOSE(CONTROL!$C$28, 0.0226, 0)</f>
        <v>74.697199999999995</v>
      </c>
      <c r="C983" s="4">
        <f>74.3113 * CHOOSE(CONTROL!$C$9, $C$13, 100%, $E$13) + CHOOSE(CONTROL!$C$28, 0.0226, 0)</f>
        <v>74.3339</v>
      </c>
      <c r="D983" s="4">
        <f>109.5301 * CHOOSE(CONTROL!$C$9, $C$13, 100%, $E$13) + CHOOSE(CONTROL!$C$28, 0.0021, 0)</f>
        <v>109.5322</v>
      </c>
      <c r="E983" s="4">
        <f>540.268120428012 * CHOOSE(CONTROL!$C$9, $C$13, 100%, $E$13) + CHOOSE(CONTROL!$C$28, 0.0021, 0)</f>
        <v>540.27022042801207</v>
      </c>
    </row>
    <row r="984" spans="1:5" ht="15">
      <c r="A984" s="13">
        <v>71102</v>
      </c>
      <c r="B984" s="4">
        <f>76.4439 * CHOOSE(CONTROL!$C$9, $C$13, 100%, $E$13) + CHOOSE(CONTROL!$C$28, 0.0226, 0)</f>
        <v>76.466499999999996</v>
      </c>
      <c r="C984" s="4">
        <f>76.0807 * CHOOSE(CONTROL!$C$9, $C$13, 100%, $E$13) + CHOOSE(CONTROL!$C$28, 0.0226, 0)</f>
        <v>76.10329999999999</v>
      </c>
      <c r="D984" s="4">
        <f>108.3758 * CHOOSE(CONTROL!$C$9, $C$13, 100%, $E$13) + CHOOSE(CONTROL!$C$28, 0.0021, 0)</f>
        <v>108.3779</v>
      </c>
      <c r="E984" s="4">
        <f>553.20327030463 * CHOOSE(CONTROL!$C$9, $C$13, 100%, $E$13) + CHOOSE(CONTROL!$C$28, 0.0021, 0)</f>
        <v>553.20537030463004</v>
      </c>
    </row>
    <row r="985" spans="1:5" ht="15">
      <c r="A985" s="13">
        <v>71132</v>
      </c>
      <c r="B985" s="4">
        <f>73.4284 * CHOOSE(CONTROL!$C$9, $C$13, 100%, $E$13) + CHOOSE(CONTROL!$C$28, 0.0226, 0)</f>
        <v>73.450999999999993</v>
      </c>
      <c r="C985" s="4">
        <f>73.0651 * CHOOSE(CONTROL!$C$9, $C$13, 100%, $E$13) + CHOOSE(CONTROL!$C$28, 0.0226, 0)</f>
        <v>73.087699999999998</v>
      </c>
      <c r="D985" s="4">
        <f>107.8304 * CHOOSE(CONTROL!$C$9, $C$13, 100%, $E$13) + CHOOSE(CONTROL!$C$28, 0.0021, 0)</f>
        <v>107.8325</v>
      </c>
      <c r="E985" s="4">
        <f>531.157649418568 * CHOOSE(CONTROL!$C$9, $C$13, 100%, $E$13) + CHOOSE(CONTROL!$C$28, 0.0021, 0)</f>
        <v>531.15974941856803</v>
      </c>
    </row>
    <row r="986" spans="1:5" ht="15">
      <c r="A986" s="13">
        <v>71163</v>
      </c>
      <c r="B986" s="4">
        <f>71.0144 * CHOOSE(CONTROL!$C$9, $C$13, 100%, $E$13) + CHOOSE(CONTROL!$C$28, 0.0226, 0)</f>
        <v>71.036999999999992</v>
      </c>
      <c r="C986" s="4">
        <f>70.6511 * CHOOSE(CONTROL!$C$9, $C$13, 100%, $E$13) + CHOOSE(CONTROL!$C$28, 0.0226, 0)</f>
        <v>70.673699999999997</v>
      </c>
      <c r="D986" s="4">
        <f>106.3702 * CHOOSE(CONTROL!$C$9, $C$13, 100%, $E$13) + CHOOSE(CONTROL!$C$28, 0.0021, 0)</f>
        <v>106.3723</v>
      </c>
      <c r="E986" s="4">
        <f>513.509692997756 * CHOOSE(CONTROL!$C$9, $C$13, 100%, $E$13) + CHOOSE(CONTROL!$C$28, 0.0021, 0)</f>
        <v>513.51179299775606</v>
      </c>
    </row>
    <row r="987" spans="1:5" ht="15">
      <c r="A987" s="13">
        <v>71193</v>
      </c>
      <c r="B987" s="4">
        <f>69.4596 * CHOOSE(CONTROL!$C$9, $C$13, 100%, $E$13) + CHOOSE(CONTROL!$C$28, 0.0226, 0)</f>
        <v>69.482199999999992</v>
      </c>
      <c r="C987" s="4">
        <f>69.0963 * CHOOSE(CONTROL!$C$9, $C$13, 100%, $E$13) + CHOOSE(CONTROL!$C$28, 0.0226, 0)</f>
        <v>69.118899999999996</v>
      </c>
      <c r="D987" s="4">
        <f>105.8681 * CHOOSE(CONTROL!$C$9, $C$13, 100%, $E$13) + CHOOSE(CONTROL!$C$28, 0.0021, 0)</f>
        <v>105.8702</v>
      </c>
      <c r="E987" s="4">
        <f>502.143091195879 * CHOOSE(CONTROL!$C$9, $C$13, 100%, $E$13) + CHOOSE(CONTROL!$C$28, 0.0021, 0)</f>
        <v>502.14519119587897</v>
      </c>
    </row>
    <row r="988" spans="1:5" ht="15">
      <c r="A988" s="13">
        <v>71224</v>
      </c>
      <c r="B988" s="4">
        <f>68.3839 * CHOOSE(CONTROL!$C$9, $C$13, 100%, $E$13) + CHOOSE(CONTROL!$C$28, 0.0226, 0)</f>
        <v>68.406499999999994</v>
      </c>
      <c r="C988" s="4">
        <f>68.0206 * CHOOSE(CONTROL!$C$9, $C$13, 100%, $E$13) + CHOOSE(CONTROL!$C$28, 0.0226, 0)</f>
        <v>68.043199999999999</v>
      </c>
      <c r="D988" s="4">
        <f>102.1721 * CHOOSE(CONTROL!$C$9, $C$13, 100%, $E$13) + CHOOSE(CONTROL!$C$28, 0.0021, 0)</f>
        <v>102.1742</v>
      </c>
      <c r="E988" s="4">
        <f>494.278863862254 * CHOOSE(CONTROL!$C$9, $C$13, 100%, $E$13) + CHOOSE(CONTROL!$C$28, 0.0021, 0)</f>
        <v>494.280963862254</v>
      </c>
    </row>
    <row r="989" spans="1:5" ht="15">
      <c r="A989" s="13">
        <v>71255</v>
      </c>
      <c r="B989" s="4">
        <f>65.4408 * CHOOSE(CONTROL!$C$9, $C$13, 100%, $E$13) + CHOOSE(CONTROL!$C$28, 0.0226, 0)</f>
        <v>65.463399999999993</v>
      </c>
      <c r="C989" s="4">
        <f>65.0775 * CHOOSE(CONTROL!$C$9, $C$13, 100%, $E$13) + CHOOSE(CONTROL!$C$28, 0.0226, 0)</f>
        <v>65.100099999999998</v>
      </c>
      <c r="D989" s="4">
        <f>98.1006 * CHOOSE(CONTROL!$C$9, $C$13, 100%, $E$13) + CHOOSE(CONTROL!$C$28, 0.0021, 0)</f>
        <v>98.102699999999999</v>
      </c>
      <c r="E989" s="4">
        <f>473.690140724653 * CHOOSE(CONTROL!$C$9, $C$13, 100%, $E$13) + CHOOSE(CONTROL!$C$28, 0.0021, 0)</f>
        <v>473.692240724653</v>
      </c>
    </row>
    <row r="990" spans="1:5" ht="15">
      <c r="A990" s="13">
        <v>71283</v>
      </c>
      <c r="B990" s="4">
        <f>66.9762 * CHOOSE(CONTROL!$C$9, $C$13, 100%, $E$13) + CHOOSE(CONTROL!$C$28, 0.0226, 0)</f>
        <v>66.998800000000003</v>
      </c>
      <c r="C990" s="4">
        <f>66.6129 * CHOOSE(CONTROL!$C$9, $C$13, 100%, $E$13) + CHOOSE(CONTROL!$C$28, 0.0226, 0)</f>
        <v>66.635499999999993</v>
      </c>
      <c r="D990" s="4">
        <f>101.4976 * CHOOSE(CONTROL!$C$9, $C$13, 100%, $E$13) + CHOOSE(CONTROL!$C$28, 0.0021, 0)</f>
        <v>101.4997</v>
      </c>
      <c r="E990" s="4">
        <f>484.937411435404 * CHOOSE(CONTROL!$C$9, $C$13, 100%, $E$13) + CHOOSE(CONTROL!$C$28, 0.0021, 0)</f>
        <v>484.93951143540397</v>
      </c>
    </row>
    <row r="991" spans="1:5" ht="15">
      <c r="A991" s="13">
        <v>71314</v>
      </c>
      <c r="B991" s="4">
        <f>71.0084 * CHOOSE(CONTROL!$C$9, $C$13, 100%, $E$13) + CHOOSE(CONTROL!$C$28, 0.0226, 0)</f>
        <v>71.030999999999992</v>
      </c>
      <c r="C991" s="4">
        <f>70.6451 * CHOOSE(CONTROL!$C$9, $C$13, 100%, $E$13) + CHOOSE(CONTROL!$C$28, 0.0226, 0)</f>
        <v>70.667699999999996</v>
      </c>
      <c r="D991" s="4">
        <f>106.8153 * CHOOSE(CONTROL!$C$9, $C$13, 100%, $E$13) + CHOOSE(CONTROL!$C$28, 0.0021, 0)</f>
        <v>106.81739999999999</v>
      </c>
      <c r="E991" s="4">
        <f>514.473342038102 * CHOOSE(CONTROL!$C$9, $C$13, 100%, $E$13) + CHOOSE(CONTROL!$C$28, 0.0021, 0)</f>
        <v>514.47544203810207</v>
      </c>
    </row>
    <row r="992" spans="1:5" ht="15">
      <c r="A992" s="13">
        <v>71344</v>
      </c>
      <c r="B992" s="4">
        <f>73.8733 * CHOOSE(CONTROL!$C$9, $C$13, 100%, $E$13) + CHOOSE(CONTROL!$C$28, 0.0226, 0)</f>
        <v>73.895899999999997</v>
      </c>
      <c r="C992" s="4">
        <f>73.5101 * CHOOSE(CONTROL!$C$9, $C$13, 100%, $E$13) + CHOOSE(CONTROL!$C$28, 0.0226, 0)</f>
        <v>73.532699999999991</v>
      </c>
      <c r="D992" s="4">
        <f>109.8785 * CHOOSE(CONTROL!$C$9, $C$13, 100%, $E$13) + CHOOSE(CONTROL!$C$28, 0.0021, 0)</f>
        <v>109.8806</v>
      </c>
      <c r="E992" s="4">
        <f>535.459014349347 * CHOOSE(CONTROL!$C$9, $C$13, 100%, $E$13) + CHOOSE(CONTROL!$C$28, 0.0021, 0)</f>
        <v>535.46111434934699</v>
      </c>
    </row>
    <row r="993" spans="1:5" ht="15">
      <c r="A993" s="13">
        <v>71375</v>
      </c>
      <c r="B993" s="4">
        <f>75.6237 * CHOOSE(CONTROL!$C$9, $C$13, 100%, $E$13) + CHOOSE(CONTROL!$C$28, 0.0226, 0)</f>
        <v>75.646299999999997</v>
      </c>
      <c r="C993" s="4">
        <f>75.2605 * CHOOSE(CONTROL!$C$9, $C$13, 100%, $E$13) + CHOOSE(CONTROL!$C$28, 0.0226, 0)</f>
        <v>75.28309999999999</v>
      </c>
      <c r="D993" s="4">
        <f>108.6681 * CHOOSE(CONTROL!$C$9, $C$13, 100%, $E$13) + CHOOSE(CONTROL!$C$28, 0.0021, 0)</f>
        <v>108.67019999999999</v>
      </c>
      <c r="E993" s="4">
        <f>548.280757175148 * CHOOSE(CONTROL!$C$9, $C$13, 100%, $E$13) + CHOOSE(CONTROL!$C$28, 0.0021, 0)</f>
        <v>548.28285717514802</v>
      </c>
    </row>
    <row r="994" spans="1:5" ht="15">
      <c r="A994" s="13">
        <v>71405</v>
      </c>
      <c r="B994" s="4">
        <f>75.8606 * CHOOSE(CONTROL!$C$9, $C$13, 100%, $E$13) + CHOOSE(CONTROL!$C$28, 0.0226, 0)</f>
        <v>75.883200000000002</v>
      </c>
      <c r="C994" s="4">
        <f>75.4973 * CHOOSE(CONTROL!$C$9, $C$13, 100%, $E$13) + CHOOSE(CONTROL!$C$28, 0.0226, 0)</f>
        <v>75.519899999999993</v>
      </c>
      <c r="D994" s="4">
        <f>109.6539 * CHOOSE(CONTROL!$C$9, $C$13, 100%, $E$13) + CHOOSE(CONTROL!$C$28, 0.0021, 0)</f>
        <v>109.65599999999999</v>
      </c>
      <c r="E994" s="4">
        <f>550.015592190805 * CHOOSE(CONTROL!$C$9, $C$13, 100%, $E$13) + CHOOSE(CONTROL!$C$28, 0.0021, 0)</f>
        <v>550.01769219080506</v>
      </c>
    </row>
    <row r="995" spans="1:5" ht="15">
      <c r="A995" s="13">
        <v>71436</v>
      </c>
      <c r="B995" s="4">
        <f>75.8367 * CHOOSE(CONTROL!$C$9, $C$13, 100%, $E$13) + CHOOSE(CONTROL!$C$28, 0.0226, 0)</f>
        <v>75.85929999999999</v>
      </c>
      <c r="C995" s="4">
        <f>75.4734 * CHOOSE(CONTROL!$C$9, $C$13, 100%, $E$13) + CHOOSE(CONTROL!$C$28, 0.0226, 0)</f>
        <v>75.495999999999995</v>
      </c>
      <c r="D995" s="4">
        <f>111.4326 * CHOOSE(CONTROL!$C$9, $C$13, 100%, $E$13) + CHOOSE(CONTROL!$C$28, 0.0021, 0)</f>
        <v>111.43469999999999</v>
      </c>
      <c r="E995" s="4">
        <f>549.840650844688 * CHOOSE(CONTROL!$C$9, $C$13, 100%, $E$13) + CHOOSE(CONTROL!$C$28, 0.0021, 0)</f>
        <v>549.842750844688</v>
      </c>
    </row>
    <row r="996" spans="1:5" ht="15">
      <c r="A996" s="13">
        <v>71467</v>
      </c>
      <c r="B996" s="4">
        <f>77.6339 * CHOOSE(CONTROL!$C$9, $C$13, 100%, $E$13) + CHOOSE(CONTROL!$C$28, 0.0226, 0)</f>
        <v>77.656499999999994</v>
      </c>
      <c r="C996" s="4">
        <f>77.2706 * CHOOSE(CONTROL!$C$9, $C$13, 100%, $E$13) + CHOOSE(CONTROL!$C$28, 0.0226, 0)</f>
        <v>77.293199999999999</v>
      </c>
      <c r="D996" s="4">
        <f>110.2579 * CHOOSE(CONTROL!$C$9, $C$13, 100%, $E$13) + CHOOSE(CONTROL!$C$28, 0.0021, 0)</f>
        <v>110.26</v>
      </c>
      <c r="E996" s="4">
        <f>563.004987139968 * CHOOSE(CONTROL!$C$9, $C$13, 100%, $E$13) + CHOOSE(CONTROL!$C$28, 0.0021, 0)</f>
        <v>563.00708713996801</v>
      </c>
    </row>
    <row r="997" spans="1:5" ht="15">
      <c r="A997" s="13">
        <v>71497</v>
      </c>
      <c r="B997" s="4">
        <f>74.5709 * CHOOSE(CONTROL!$C$9, $C$13, 100%, $E$13) + CHOOSE(CONTROL!$C$28, 0.0226, 0)</f>
        <v>74.593499999999992</v>
      </c>
      <c r="C997" s="4">
        <f>74.2076 * CHOOSE(CONTROL!$C$9, $C$13, 100%, $E$13) + CHOOSE(CONTROL!$C$28, 0.0226, 0)</f>
        <v>74.230199999999996</v>
      </c>
      <c r="D997" s="4">
        <f>109.7029 * CHOOSE(CONTROL!$C$9, $C$13, 100%, $E$13) + CHOOSE(CONTROL!$C$28, 0.0021, 0)</f>
        <v>109.705</v>
      </c>
      <c r="E997" s="4">
        <f>540.568759500505 * CHOOSE(CONTROL!$C$9, $C$13, 100%, $E$13) + CHOOSE(CONTROL!$C$28, 0.0021, 0)</f>
        <v>540.57085950050509</v>
      </c>
    </row>
    <row r="998" spans="1:5" ht="15">
      <c r="A998" s="13">
        <v>71528</v>
      </c>
      <c r="B998" s="4">
        <f>72.119 * CHOOSE(CONTROL!$C$9, $C$13, 100%, $E$13) + CHOOSE(CONTROL!$C$28, 0.0226, 0)</f>
        <v>72.141599999999997</v>
      </c>
      <c r="C998" s="4">
        <f>71.7557 * CHOOSE(CONTROL!$C$9, $C$13, 100%, $E$13) + CHOOSE(CONTROL!$C$28, 0.0226, 0)</f>
        <v>71.778300000000002</v>
      </c>
      <c r="D998" s="4">
        <f>108.2168 * CHOOSE(CONTROL!$C$9, $C$13, 100%, $E$13) + CHOOSE(CONTROL!$C$28, 0.0021, 0)</f>
        <v>108.2189</v>
      </c>
      <c r="E998" s="4">
        <f>522.608114632527 * CHOOSE(CONTROL!$C$9, $C$13, 100%, $E$13) + CHOOSE(CONTROL!$C$28, 0.0021, 0)</f>
        <v>522.610214632527</v>
      </c>
    </row>
    <row r="999" spans="1:5" ht="15">
      <c r="A999" s="13">
        <v>71558</v>
      </c>
      <c r="B999" s="4">
        <f>70.5397 * CHOOSE(CONTROL!$C$9, $C$13, 100%, $E$13) + CHOOSE(CONTROL!$C$28, 0.0226, 0)</f>
        <v>70.562299999999993</v>
      </c>
      <c r="C999" s="4">
        <f>70.1764 * CHOOSE(CONTROL!$C$9, $C$13, 100%, $E$13) + CHOOSE(CONTROL!$C$28, 0.0226, 0)</f>
        <v>70.198999999999998</v>
      </c>
      <c r="D999" s="4">
        <f>107.7059 * CHOOSE(CONTROL!$C$9, $C$13, 100%, $E$13) + CHOOSE(CONTROL!$C$28, 0.0021, 0)</f>
        <v>107.708</v>
      </c>
      <c r="E999" s="4">
        <f>511.040118120562 * CHOOSE(CONTROL!$C$9, $C$13, 100%, $E$13) + CHOOSE(CONTROL!$C$28, 0.0021, 0)</f>
        <v>511.04221812056198</v>
      </c>
    </row>
    <row r="1000" spans="1:5" ht="15">
      <c r="A1000" s="13">
        <v>71589</v>
      </c>
      <c r="B1000" s="4">
        <f>69.4471 * CHOOSE(CONTROL!$C$9, $C$13, 100%, $E$13) + CHOOSE(CONTROL!$C$28, 0.0226, 0)</f>
        <v>69.469700000000003</v>
      </c>
      <c r="C1000" s="4">
        <f>69.0838 * CHOOSE(CONTROL!$C$9, $C$13, 100%, $E$13) + CHOOSE(CONTROL!$C$28, 0.0226, 0)</f>
        <v>69.106399999999994</v>
      </c>
      <c r="D1000" s="4">
        <f>103.9446 * CHOOSE(CONTROL!$C$9, $C$13, 100%, $E$13) + CHOOSE(CONTROL!$C$28, 0.0021, 0)</f>
        <v>103.94669999999999</v>
      </c>
      <c r="E1000" s="4">
        <f>503.036551535725 * CHOOSE(CONTROL!$C$9, $C$13, 100%, $E$13) + CHOOSE(CONTROL!$C$28, 0.0021, 0)</f>
        <v>503.03865153572497</v>
      </c>
    </row>
    <row r="1001" spans="1:5" ht="15">
      <c r="A1001" s="13">
        <v>71620</v>
      </c>
      <c r="B1001" s="4">
        <f>66.4576 * CHOOSE(CONTROL!$C$9, $C$13, 100%, $E$13) + CHOOSE(CONTROL!$C$28, 0.0226, 0)</f>
        <v>66.480199999999996</v>
      </c>
      <c r="C1001" s="4">
        <f>66.0944 * CHOOSE(CONTROL!$C$9, $C$13, 100%, $E$13) + CHOOSE(CONTROL!$C$28, 0.0226, 0)</f>
        <v>66.11699999999999</v>
      </c>
      <c r="D1001" s="4">
        <f>99.8011 * CHOOSE(CONTROL!$C$9, $C$13, 100%, $E$13) + CHOOSE(CONTROL!$C$28, 0.0021, 0)</f>
        <v>99.803200000000004</v>
      </c>
      <c r="E1001" s="4">
        <f>482.083035120447 * CHOOSE(CONTROL!$C$9, $C$13, 100%, $E$13) + CHOOSE(CONTROL!$C$28, 0.0021, 0)</f>
        <v>482.08513512044698</v>
      </c>
    </row>
    <row r="1002" spans="1:5" ht="15">
      <c r="A1002" s="13">
        <v>71649</v>
      </c>
      <c r="B1002" s="4">
        <f>68.0172 * CHOOSE(CONTROL!$C$9, $C$13, 100%, $E$13) + CHOOSE(CONTROL!$C$28, 0.0226, 0)</f>
        <v>68.0398</v>
      </c>
      <c r="C1002" s="4">
        <f>67.654 * CHOOSE(CONTROL!$C$9, $C$13, 100%, $E$13) + CHOOSE(CONTROL!$C$28, 0.0226, 0)</f>
        <v>67.676599999999993</v>
      </c>
      <c r="D1002" s="4">
        <f>103.2581 * CHOOSE(CONTROL!$C$9, $C$13, 100%, $E$13) + CHOOSE(CONTROL!$C$28, 0.0021, 0)</f>
        <v>103.2602</v>
      </c>
      <c r="E1002" s="4">
        <f>493.529586219791 * CHOOSE(CONTROL!$C$9, $C$13, 100%, $E$13) + CHOOSE(CONTROL!$C$28, 0.0021, 0)</f>
        <v>493.53168621979097</v>
      </c>
    </row>
    <row r="1003" spans="1:5" ht="15">
      <c r="A1003" s="13">
        <v>71680</v>
      </c>
      <c r="B1003" s="4">
        <f>72.1128 * CHOOSE(CONTROL!$C$9, $C$13, 100%, $E$13) + CHOOSE(CONTROL!$C$28, 0.0226, 0)</f>
        <v>72.13539999999999</v>
      </c>
      <c r="C1003" s="4">
        <f>71.7496 * CHOOSE(CONTROL!$C$9, $C$13, 100%, $E$13) + CHOOSE(CONTROL!$C$28, 0.0226, 0)</f>
        <v>71.772199999999998</v>
      </c>
      <c r="D1003" s="4">
        <f>108.6698 * CHOOSE(CONTROL!$C$9, $C$13, 100%, $E$13) + CHOOSE(CONTROL!$C$28, 0.0021, 0)</f>
        <v>108.67189999999999</v>
      </c>
      <c r="E1003" s="4">
        <f>523.588837713336 * CHOOSE(CONTROL!$C$9, $C$13, 100%, $E$13) + CHOOSE(CONTROL!$C$28, 0.0021, 0)</f>
        <v>523.59093771333607</v>
      </c>
    </row>
    <row r="1004" spans="1:5" ht="15">
      <c r="A1004" s="13">
        <v>71710</v>
      </c>
      <c r="B1004" s="4">
        <f>75.0228 * CHOOSE(CONTROL!$C$9, $C$13, 100%, $E$13) + CHOOSE(CONTROL!$C$28, 0.0226, 0)</f>
        <v>75.045400000000001</v>
      </c>
      <c r="C1004" s="4">
        <f>74.6595 * CHOOSE(CONTROL!$C$9, $C$13, 100%, $E$13) + CHOOSE(CONTROL!$C$28, 0.0226, 0)</f>
        <v>74.682099999999991</v>
      </c>
      <c r="D1004" s="4">
        <f>111.7871 * CHOOSE(CONTROL!$C$9, $C$13, 100%, $E$13) + CHOOSE(CONTROL!$C$28, 0.0021, 0)</f>
        <v>111.78919999999999</v>
      </c>
      <c r="E1004" s="4">
        <f>544.946336491697 * CHOOSE(CONTROL!$C$9, $C$13, 100%, $E$13) + CHOOSE(CONTROL!$C$28, 0.0021, 0)</f>
        <v>544.94843649169707</v>
      </c>
    </row>
    <row r="1005" spans="1:5" ht="15">
      <c r="A1005" s="13">
        <v>71741</v>
      </c>
      <c r="B1005" s="4">
        <f>76.8007 * CHOOSE(CONTROL!$C$9, $C$13, 100%, $E$13) + CHOOSE(CONTROL!$C$28, 0.0226, 0)</f>
        <v>76.823300000000003</v>
      </c>
      <c r="C1005" s="4">
        <f>76.4375 * CHOOSE(CONTROL!$C$9, $C$13, 100%, $E$13) + CHOOSE(CONTROL!$C$28, 0.0226, 0)</f>
        <v>76.460099999999997</v>
      </c>
      <c r="D1005" s="4">
        <f>110.5553 * CHOOSE(CONTROL!$C$9, $C$13, 100%, $E$13) + CHOOSE(CONTROL!$C$28, 0.0021, 0)</f>
        <v>110.5574</v>
      </c>
      <c r="E1005" s="4">
        <f>557.995256377469 * CHOOSE(CONTROL!$C$9, $C$13, 100%, $E$13) + CHOOSE(CONTROL!$C$28, 0.0021, 0)</f>
        <v>557.99735637746903</v>
      </c>
    </row>
    <row r="1006" spans="1:5" ht="15">
      <c r="A1006" s="13">
        <v>71771</v>
      </c>
      <c r="B1006" s="4">
        <f>77.0413 * CHOOSE(CONTROL!$C$9, $C$13, 100%, $E$13) + CHOOSE(CONTROL!$C$28, 0.0226, 0)</f>
        <v>77.063900000000004</v>
      </c>
      <c r="C1006" s="4">
        <f>76.678 * CHOOSE(CONTROL!$C$9, $C$13, 100%, $E$13) + CHOOSE(CONTROL!$C$28, 0.0226, 0)</f>
        <v>76.700599999999994</v>
      </c>
      <c r="D1006" s="4">
        <f>111.5585 * CHOOSE(CONTROL!$C$9, $C$13, 100%, $E$13) + CHOOSE(CONTROL!$C$28, 0.0021, 0)</f>
        <v>111.56059999999999</v>
      </c>
      <c r="E1006" s="4">
        <f>559.760829392144 * CHOOSE(CONTROL!$C$9, $C$13, 100%, $E$13) + CHOOSE(CONTROL!$C$28, 0.0021, 0)</f>
        <v>559.76292939214409</v>
      </c>
    </row>
    <row r="1007" spans="1:5" ht="15">
      <c r="A1007" s="13">
        <v>71802</v>
      </c>
      <c r="B1007" s="4">
        <f>77.0171 * CHOOSE(CONTROL!$C$9, $C$13, 100%, $E$13) + CHOOSE(CONTROL!$C$28, 0.0226, 0)</f>
        <v>77.039699999999996</v>
      </c>
      <c r="C1007" s="4">
        <f>76.6538 * CHOOSE(CONTROL!$C$9, $C$13, 100%, $E$13) + CHOOSE(CONTROL!$C$28, 0.0226, 0)</f>
        <v>76.676400000000001</v>
      </c>
      <c r="D1007" s="4">
        <f>113.3687 * CHOOSE(CONTROL!$C$9, $C$13, 100%, $E$13) + CHOOSE(CONTROL!$C$28, 0.0021, 0)</f>
        <v>113.3708</v>
      </c>
      <c r="E1007" s="4">
        <f>559.582788415874 * CHOOSE(CONTROL!$C$9, $C$13, 100%, $E$13) + CHOOSE(CONTROL!$C$28, 0.0021, 0)</f>
        <v>559.58488841587405</v>
      </c>
    </row>
    <row r="1008" spans="1:5" ht="15">
      <c r="A1008" s="13">
        <v>71833</v>
      </c>
      <c r="B1008" s="4">
        <f>78.8425 * CHOOSE(CONTROL!$C$9, $C$13, 100%, $E$13) + CHOOSE(CONTROL!$C$28, 0.0226, 0)</f>
        <v>78.865099999999998</v>
      </c>
      <c r="C1008" s="4">
        <f>78.4792 * CHOOSE(CONTROL!$C$9, $C$13, 100%, $E$13) + CHOOSE(CONTROL!$C$28, 0.0226, 0)</f>
        <v>78.501800000000003</v>
      </c>
      <c r="D1008" s="4">
        <f>112.1733 * CHOOSE(CONTROL!$C$9, $C$13, 100%, $E$13) + CHOOSE(CONTROL!$C$28, 0.0021, 0)</f>
        <v>112.1754</v>
      </c>
      <c r="E1008" s="4">
        <f>572.980371880174 * CHOOSE(CONTROL!$C$9, $C$13, 100%, $E$13) + CHOOSE(CONTROL!$C$28, 0.0021, 0)</f>
        <v>572.98247188017399</v>
      </c>
    </row>
    <row r="1009" spans="1:5" ht="15">
      <c r="A1009" s="13">
        <v>71863</v>
      </c>
      <c r="B1009" s="4">
        <f>75.7314 * CHOOSE(CONTROL!$C$9, $C$13, 100%, $E$13) + CHOOSE(CONTROL!$C$28, 0.0226, 0)</f>
        <v>75.753999999999991</v>
      </c>
      <c r="C1009" s="4">
        <f>75.3681 * CHOOSE(CONTROL!$C$9, $C$13, 100%, $E$13) + CHOOSE(CONTROL!$C$28, 0.0226, 0)</f>
        <v>75.390699999999995</v>
      </c>
      <c r="D1009" s="4">
        <f>111.6085 * CHOOSE(CONTROL!$C$9, $C$13, 100%, $E$13) + CHOOSE(CONTROL!$C$28, 0.0021, 0)</f>
        <v>111.61060000000001</v>
      </c>
      <c r="E1009" s="4">
        <f>550.146616673577 * CHOOSE(CONTROL!$C$9, $C$13, 100%, $E$13) + CHOOSE(CONTROL!$C$28, 0.0021, 0)</f>
        <v>550.14871667357704</v>
      </c>
    </row>
    <row r="1010" spans="1:5" ht="15">
      <c r="A1010" s="13">
        <v>71894</v>
      </c>
      <c r="B1010" s="4">
        <f>73.2409 * CHOOSE(CONTROL!$C$9, $C$13, 100%, $E$13) + CHOOSE(CONTROL!$C$28, 0.0226, 0)</f>
        <v>73.263499999999993</v>
      </c>
      <c r="C1010" s="4">
        <f>72.8776 * CHOOSE(CONTROL!$C$9, $C$13, 100%, $E$13) + CHOOSE(CONTROL!$C$28, 0.0226, 0)</f>
        <v>72.900199999999998</v>
      </c>
      <c r="D1010" s="4">
        <f>110.0961 * CHOOSE(CONTROL!$C$9, $C$13, 100%, $E$13) + CHOOSE(CONTROL!$C$28, 0.0021, 0)</f>
        <v>110.09820000000001</v>
      </c>
      <c r="E1010" s="4">
        <f>531.86774310988 * CHOOSE(CONTROL!$C$9, $C$13, 100%, $E$13) + CHOOSE(CONTROL!$C$28, 0.0021, 0)</f>
        <v>531.86984310988009</v>
      </c>
    </row>
    <row r="1011" spans="1:5" ht="15">
      <c r="A1011" s="13">
        <v>71924</v>
      </c>
      <c r="B1011" s="4">
        <f>71.6368 * CHOOSE(CONTROL!$C$9, $C$13, 100%, $E$13) + CHOOSE(CONTROL!$C$28, 0.0226, 0)</f>
        <v>71.659399999999991</v>
      </c>
      <c r="C1011" s="4">
        <f>71.2735 * CHOOSE(CONTROL!$C$9, $C$13, 100%, $E$13) + CHOOSE(CONTROL!$C$28, 0.0226, 0)</f>
        <v>71.296099999999996</v>
      </c>
      <c r="D1011" s="4">
        <f>109.5762 * CHOOSE(CONTROL!$C$9, $C$13, 100%, $E$13) + CHOOSE(CONTROL!$C$28, 0.0021, 0)</f>
        <v>109.5783</v>
      </c>
      <c r="E1011" s="4">
        <f>520.094783554042 * CHOOSE(CONTROL!$C$9, $C$13, 100%, $E$13) + CHOOSE(CONTROL!$C$28, 0.0021, 0)</f>
        <v>520.09688355404205</v>
      </c>
    </row>
    <row r="1012" spans="1:5" ht="15">
      <c r="A1012" s="13">
        <v>71955</v>
      </c>
      <c r="B1012" s="4">
        <f>70.527 * CHOOSE(CONTROL!$C$9, $C$13, 100%, $E$13) + CHOOSE(CONTROL!$C$28, 0.0226, 0)</f>
        <v>70.549599999999998</v>
      </c>
      <c r="C1012" s="4">
        <f>70.1637 * CHOOSE(CONTROL!$C$9, $C$13, 100%, $E$13) + CHOOSE(CONTROL!$C$28, 0.0226, 0)</f>
        <v>70.186300000000003</v>
      </c>
      <c r="D1012" s="4">
        <f>105.7484 * CHOOSE(CONTROL!$C$9, $C$13, 100%, $E$13) + CHOOSE(CONTROL!$C$28, 0.0021, 0)</f>
        <v>105.7505</v>
      </c>
      <c r="E1012" s="4">
        <f>511.9494088897 * CHOOSE(CONTROL!$C$9, $C$13, 100%, $E$13) + CHOOSE(CONTROL!$C$28, 0.0021, 0)</f>
        <v>511.95150888969999</v>
      </c>
    </row>
    <row r="1013" spans="1:5" ht="15">
      <c r="A1013" s="13">
        <v>71986</v>
      </c>
      <c r="B1013" s="4">
        <f>67.4905 * CHOOSE(CONTROL!$C$9, $C$13, 100%, $E$13) + CHOOSE(CONTROL!$C$28, 0.0226, 0)</f>
        <v>67.513099999999994</v>
      </c>
      <c r="C1013" s="4">
        <f>67.1272 * CHOOSE(CONTROL!$C$9, $C$13, 100%, $E$13) + CHOOSE(CONTROL!$C$28, 0.0226, 0)</f>
        <v>67.149799999999999</v>
      </c>
      <c r="D1013" s="4">
        <f>101.5317 * CHOOSE(CONTROL!$C$9, $C$13, 100%, $E$13) + CHOOSE(CONTROL!$C$28, 0.0021, 0)</f>
        <v>101.5338</v>
      </c>
      <c r="E1013" s="4">
        <f>490.624635749035 * CHOOSE(CONTROL!$C$9, $C$13, 100%, $E$13) + CHOOSE(CONTROL!$C$28, 0.0021, 0)</f>
        <v>490.62673574903499</v>
      </c>
    </row>
    <row r="1014" spans="1:5" ht="15">
      <c r="A1014" s="13">
        <v>72014</v>
      </c>
      <c r="B1014" s="4">
        <f>69.0747 * CHOOSE(CONTROL!$C$9, $C$13, 100%, $E$13) + CHOOSE(CONTROL!$C$28, 0.0226, 0)</f>
        <v>69.097300000000004</v>
      </c>
      <c r="C1014" s="4">
        <f>68.7114 * CHOOSE(CONTROL!$C$9, $C$13, 100%, $E$13) + CHOOSE(CONTROL!$C$28, 0.0226, 0)</f>
        <v>68.733999999999995</v>
      </c>
      <c r="D1014" s="4">
        <f>105.0498 * CHOOSE(CONTROL!$C$9, $C$13, 100%, $E$13) + CHOOSE(CONTROL!$C$28, 0.0021, 0)</f>
        <v>105.0519</v>
      </c>
      <c r="E1014" s="4">
        <f>502.273998108976 * CHOOSE(CONTROL!$C$9, $C$13, 100%, $E$13) + CHOOSE(CONTROL!$C$28, 0.0021, 0)</f>
        <v>502.27609810897599</v>
      </c>
    </row>
    <row r="1015" spans="1:5" ht="15">
      <c r="A1015" s="13">
        <v>72045</v>
      </c>
      <c r="B1015" s="4">
        <f>73.2347 * CHOOSE(CONTROL!$C$9, $C$13, 100%, $E$13) + CHOOSE(CONTROL!$C$28, 0.0226, 0)</f>
        <v>73.257300000000001</v>
      </c>
      <c r="C1015" s="4">
        <f>72.8714 * CHOOSE(CONTROL!$C$9, $C$13, 100%, $E$13) + CHOOSE(CONTROL!$C$28, 0.0226, 0)</f>
        <v>72.893999999999991</v>
      </c>
      <c r="D1015" s="4">
        <f>110.5571 * CHOOSE(CONTROL!$C$9, $C$13, 100%, $E$13) + CHOOSE(CONTROL!$C$28, 0.0021, 0)</f>
        <v>110.5592</v>
      </c>
      <c r="E1015" s="4">
        <f>532.865842750895 * CHOOSE(CONTROL!$C$9, $C$13, 100%, $E$13) + CHOOSE(CONTROL!$C$28, 0.0021, 0)</f>
        <v>532.86794275089505</v>
      </c>
    </row>
    <row r="1016" spans="1:5" ht="15">
      <c r="A1016" s="13">
        <v>72075</v>
      </c>
      <c r="B1016" s="4">
        <f>76.1904 * CHOOSE(CONTROL!$C$9, $C$13, 100%, $E$13) + CHOOSE(CONTROL!$C$28, 0.0226, 0)</f>
        <v>76.212999999999994</v>
      </c>
      <c r="C1016" s="4">
        <f>75.8271 * CHOOSE(CONTROL!$C$9, $C$13, 100%, $E$13) + CHOOSE(CONTROL!$C$28, 0.0226, 0)</f>
        <v>75.849699999999999</v>
      </c>
      <c r="D1016" s="4">
        <f>113.7295 * CHOOSE(CONTROL!$C$9, $C$13, 100%, $E$13) + CHOOSE(CONTROL!$C$28, 0.0021, 0)</f>
        <v>113.7316</v>
      </c>
      <c r="E1016" s="4">
        <f>554.601756058912 * CHOOSE(CONTROL!$C$9, $C$13, 100%, $E$13) + CHOOSE(CONTROL!$C$28, 0.0021, 0)</f>
        <v>554.60385605891202</v>
      </c>
    </row>
    <row r="1017" spans="1:5" ht="15">
      <c r="A1017" s="13">
        <v>72106</v>
      </c>
      <c r="B1017" s="4">
        <f>77.9963 * CHOOSE(CONTROL!$C$9, $C$13, 100%, $E$13) + CHOOSE(CONTROL!$C$28, 0.0226, 0)</f>
        <v>78.018900000000002</v>
      </c>
      <c r="C1017" s="4">
        <f>77.633 * CHOOSE(CONTROL!$C$9, $C$13, 100%, $E$13) + CHOOSE(CONTROL!$C$28, 0.0226, 0)</f>
        <v>77.655599999999993</v>
      </c>
      <c r="D1017" s="4">
        <f>112.4759 * CHOOSE(CONTROL!$C$9, $C$13, 100%, $E$13) + CHOOSE(CONTROL!$C$28, 0.0021, 0)</f>
        <v>112.47799999999999</v>
      </c>
      <c r="E1017" s="4">
        <f>567.881878152972 * CHOOSE(CONTROL!$C$9, $C$13, 100%, $E$13) + CHOOSE(CONTROL!$C$28, 0.0021, 0)</f>
        <v>567.88397815297208</v>
      </c>
    </row>
    <row r="1018" spans="1:5" ht="15">
      <c r="A1018" s="13">
        <v>72136</v>
      </c>
      <c r="B1018" s="4">
        <f>78.2406 * CHOOSE(CONTROL!$C$9, $C$13, 100%, $E$13) + CHOOSE(CONTROL!$C$28, 0.0226, 0)</f>
        <v>78.263199999999998</v>
      </c>
      <c r="C1018" s="4">
        <f>77.8773 * CHOOSE(CONTROL!$C$9, $C$13, 100%, $E$13) + CHOOSE(CONTROL!$C$28, 0.0226, 0)</f>
        <v>77.899900000000002</v>
      </c>
      <c r="D1018" s="4">
        <f>113.4969 * CHOOSE(CONTROL!$C$9, $C$13, 100%, $E$13) + CHOOSE(CONTROL!$C$28, 0.0021, 0)</f>
        <v>113.499</v>
      </c>
      <c r="E1018" s="4">
        <f>569.678733785938 * CHOOSE(CONTROL!$C$9, $C$13, 100%, $E$13) + CHOOSE(CONTROL!$C$28, 0.0021, 0)</f>
        <v>569.68083378593803</v>
      </c>
    </row>
    <row r="1019" spans="1:5" ht="15">
      <c r="A1019" s="13">
        <v>72167</v>
      </c>
      <c r="B1019" s="4">
        <f>78.216 * CHOOSE(CONTROL!$C$9, $C$13, 100%, $E$13) + CHOOSE(CONTROL!$C$28, 0.0226, 0)</f>
        <v>78.238599999999991</v>
      </c>
      <c r="C1019" s="4">
        <f>77.8527 * CHOOSE(CONTROL!$C$9, $C$13, 100%, $E$13) + CHOOSE(CONTROL!$C$28, 0.0226, 0)</f>
        <v>77.875299999999996</v>
      </c>
      <c r="D1019" s="4">
        <f>115.339 * CHOOSE(CONTROL!$C$9, $C$13, 100%, $E$13) + CHOOSE(CONTROL!$C$28, 0.0021, 0)</f>
        <v>115.3411</v>
      </c>
      <c r="E1019" s="4">
        <f>569.497538259925 * CHOOSE(CONTROL!$C$9, $C$13, 100%, $E$13) + CHOOSE(CONTROL!$C$28, 0.0021, 0)</f>
        <v>569.49963825992506</v>
      </c>
    </row>
    <row r="1020" spans="1:5" ht="15">
      <c r="A1020" s="13">
        <v>72198</v>
      </c>
      <c r="B1020" s="4">
        <f>80.0701 * CHOOSE(CONTROL!$C$9, $C$13, 100%, $E$13) + CHOOSE(CONTROL!$C$28, 0.0226, 0)</f>
        <v>80.092699999999994</v>
      </c>
      <c r="C1020" s="4">
        <f>79.7068 * CHOOSE(CONTROL!$C$9, $C$13, 100%, $E$13) + CHOOSE(CONTROL!$C$28, 0.0226, 0)</f>
        <v>79.729399999999998</v>
      </c>
      <c r="D1020" s="4">
        <f>114.1225 * CHOOSE(CONTROL!$C$9, $C$13, 100%, $E$13) + CHOOSE(CONTROL!$C$28, 0.0021, 0)</f>
        <v>114.1246</v>
      </c>
      <c r="E1020" s="4">
        <f>583.132501592429 * CHOOSE(CONTROL!$C$9, $C$13, 100%, $E$13) + CHOOSE(CONTROL!$C$28, 0.0021, 0)</f>
        <v>583.13460159242902</v>
      </c>
    </row>
    <row r="1021" spans="1:5" ht="15">
      <c r="A1021" s="13">
        <v>72228</v>
      </c>
      <c r="B1021" s="4">
        <f>76.9101 * CHOOSE(CONTROL!$C$9, $C$13, 100%, $E$13) + CHOOSE(CONTROL!$C$28, 0.0226, 0)</f>
        <v>76.932699999999997</v>
      </c>
      <c r="C1021" s="4">
        <f>76.5468 * CHOOSE(CONTROL!$C$9, $C$13, 100%, $E$13) + CHOOSE(CONTROL!$C$28, 0.0226, 0)</f>
        <v>76.569400000000002</v>
      </c>
      <c r="D1021" s="4">
        <f>113.5477 * CHOOSE(CONTROL!$C$9, $C$13, 100%, $E$13) + CHOOSE(CONTROL!$C$28, 0.0021, 0)</f>
        <v>113.5498</v>
      </c>
      <c r="E1021" s="4">
        <f>559.894175381218 * CHOOSE(CONTROL!$C$9, $C$13, 100%, $E$13) + CHOOSE(CONTROL!$C$28, 0.0021, 0)</f>
        <v>559.89627538121806</v>
      </c>
    </row>
    <row r="1022" spans="1:5" ht="15">
      <c r="A1022" s="13">
        <v>72259</v>
      </c>
      <c r="B1022" s="4">
        <f>74.3804 * CHOOSE(CONTROL!$C$9, $C$13, 100%, $E$13) + CHOOSE(CONTROL!$C$28, 0.0226, 0)</f>
        <v>74.402999999999992</v>
      </c>
      <c r="C1022" s="4">
        <f>74.0171 * CHOOSE(CONTROL!$C$9, $C$13, 100%, $E$13) + CHOOSE(CONTROL!$C$28, 0.0226, 0)</f>
        <v>74.039699999999996</v>
      </c>
      <c r="D1022" s="4">
        <f>112.0086 * CHOOSE(CONTROL!$C$9, $C$13, 100%, $E$13) + CHOOSE(CONTROL!$C$28, 0.0021, 0)</f>
        <v>112.0107</v>
      </c>
      <c r="E1022" s="4">
        <f>541.291434710515 * CHOOSE(CONTROL!$C$9, $C$13, 100%, $E$13) + CHOOSE(CONTROL!$C$28, 0.0021, 0)</f>
        <v>541.29353471051502</v>
      </c>
    </row>
    <row r="1023" spans="1:5" ht="15">
      <c r="A1023" s="13">
        <v>72289</v>
      </c>
      <c r="B1023" s="4">
        <f>72.7511 * CHOOSE(CONTROL!$C$9, $C$13, 100%, $E$13) + CHOOSE(CONTROL!$C$28, 0.0226, 0)</f>
        <v>72.773699999999991</v>
      </c>
      <c r="C1023" s="4">
        <f>72.3878 * CHOOSE(CONTROL!$C$9, $C$13, 100%, $E$13) + CHOOSE(CONTROL!$C$28, 0.0226, 0)</f>
        <v>72.410399999999996</v>
      </c>
      <c r="D1023" s="4">
        <f>111.4795 * CHOOSE(CONTROL!$C$9, $C$13, 100%, $E$13) + CHOOSE(CONTROL!$C$28, 0.0021, 0)</f>
        <v>111.4816</v>
      </c>
      <c r="E1023" s="4">
        <f>529.309880552883 * CHOOSE(CONTROL!$C$9, $C$13, 100%, $E$13) + CHOOSE(CONTROL!$C$28, 0.0021, 0)</f>
        <v>529.31198055288303</v>
      </c>
    </row>
    <row r="1024" spans="1:5" ht="15">
      <c r="A1024" s="13">
        <v>72320</v>
      </c>
      <c r="B1024" s="4">
        <f>71.6238 * CHOOSE(CONTROL!$C$9, $C$13, 100%, $E$13) + CHOOSE(CONTROL!$C$28, 0.0226, 0)</f>
        <v>71.6464</v>
      </c>
      <c r="C1024" s="4">
        <f>71.2606 * CHOOSE(CONTROL!$C$9, $C$13, 100%, $E$13) + CHOOSE(CONTROL!$C$28, 0.0226, 0)</f>
        <v>71.283199999999994</v>
      </c>
      <c r="D1024" s="4">
        <f>107.584 * CHOOSE(CONTROL!$C$9, $C$13, 100%, $E$13) + CHOOSE(CONTROL!$C$28, 0.0021, 0)</f>
        <v>107.5861</v>
      </c>
      <c r="E1024" s="4">
        <f>521.020185237773 * CHOOSE(CONTROL!$C$9, $C$13, 100%, $E$13) + CHOOSE(CONTROL!$C$28, 0.0021, 0)</f>
        <v>521.02228523777308</v>
      </c>
    </row>
    <row r="1025" spans="1:5" ht="15">
      <c r="A1025" s="13">
        <v>72351</v>
      </c>
      <c r="B1025" s="4">
        <f>68.5396 * CHOOSE(CONTROL!$C$9, $C$13, 100%, $E$13) + CHOOSE(CONTROL!$C$28, 0.0226, 0)</f>
        <v>68.56219999999999</v>
      </c>
      <c r="C1025" s="4">
        <f>68.1764 * CHOOSE(CONTROL!$C$9, $C$13, 100%, $E$13) + CHOOSE(CONTROL!$C$28, 0.0226, 0)</f>
        <v>68.198999999999998</v>
      </c>
      <c r="D1025" s="4">
        <f>103.2929 * CHOOSE(CONTROL!$C$9, $C$13, 100%, $E$13) + CHOOSE(CONTROL!$C$28, 0.0021, 0)</f>
        <v>103.295</v>
      </c>
      <c r="E1025" s="4">
        <f>499.317577403926 * CHOOSE(CONTROL!$C$9, $C$13, 100%, $E$13) + CHOOSE(CONTROL!$C$28, 0.0021, 0)</f>
        <v>499.31967740392599</v>
      </c>
    </row>
    <row r="1026" spans="1:5" ht="15">
      <c r="A1026" s="13">
        <v>72379</v>
      </c>
      <c r="B1026" s="4">
        <f>70.1487 * CHOOSE(CONTROL!$C$9, $C$13, 100%, $E$13) + CHOOSE(CONTROL!$C$28, 0.0226, 0)</f>
        <v>70.171300000000002</v>
      </c>
      <c r="C1026" s="4">
        <f>69.7854 * CHOOSE(CONTROL!$C$9, $C$13, 100%, $E$13) + CHOOSE(CONTROL!$C$28, 0.0226, 0)</f>
        <v>69.807999999999993</v>
      </c>
      <c r="D1026" s="4">
        <f>106.8731 * CHOOSE(CONTROL!$C$9, $C$13, 100%, $E$13) + CHOOSE(CONTROL!$C$28, 0.0021, 0)</f>
        <v>106.87519999999999</v>
      </c>
      <c r="E1026" s="4">
        <f>511.17334445685 * CHOOSE(CONTROL!$C$9, $C$13, 100%, $E$13) + CHOOSE(CONTROL!$C$28, 0.0021, 0)</f>
        <v>511.17544445684996</v>
      </c>
    </row>
    <row r="1027" spans="1:5" ht="15">
      <c r="A1027" s="13">
        <v>72410</v>
      </c>
      <c r="B1027" s="4">
        <f>74.3741 * CHOOSE(CONTROL!$C$9, $C$13, 100%, $E$13) + CHOOSE(CONTROL!$C$28, 0.0226, 0)</f>
        <v>74.396699999999996</v>
      </c>
      <c r="C1027" s="4">
        <f>74.0108 * CHOOSE(CONTROL!$C$9, $C$13, 100%, $E$13) + CHOOSE(CONTROL!$C$28, 0.0226, 0)</f>
        <v>74.0334</v>
      </c>
      <c r="D1027" s="4">
        <f>112.4778 * CHOOSE(CONTROL!$C$9, $C$13, 100%, $E$13) + CHOOSE(CONTROL!$C$28, 0.0021, 0)</f>
        <v>112.4799</v>
      </c>
      <c r="E1027" s="4">
        <f>542.307218791553 * CHOOSE(CONTROL!$C$9, $C$13, 100%, $E$13) + CHOOSE(CONTROL!$C$28, 0.0021, 0)</f>
        <v>542.3093187915531</v>
      </c>
    </row>
    <row r="1028" spans="1:5" ht="15">
      <c r="A1028" s="13">
        <v>72440</v>
      </c>
      <c r="B1028" s="4">
        <f>77.3763 * CHOOSE(CONTROL!$C$9, $C$13, 100%, $E$13) + CHOOSE(CONTROL!$C$28, 0.0226, 0)</f>
        <v>77.398899999999998</v>
      </c>
      <c r="C1028" s="4">
        <f>77.013 * CHOOSE(CONTROL!$C$9, $C$13, 100%, $E$13) + CHOOSE(CONTROL!$C$28, 0.0226, 0)</f>
        <v>77.035600000000002</v>
      </c>
      <c r="D1028" s="4">
        <f>115.7062 * CHOOSE(CONTROL!$C$9, $C$13, 100%, $E$13) + CHOOSE(CONTROL!$C$28, 0.0021, 0)</f>
        <v>115.70829999999999</v>
      </c>
      <c r="E1028" s="4">
        <f>564.428251419789 * CHOOSE(CONTROL!$C$9, $C$13, 100%, $E$13) + CHOOSE(CONTROL!$C$28, 0.0021, 0)</f>
        <v>564.43035141978908</v>
      </c>
    </row>
    <row r="1029" spans="1:5" ht="15">
      <c r="A1029" s="13">
        <v>72471</v>
      </c>
      <c r="B1029" s="4">
        <f>79.2106 * CHOOSE(CONTROL!$C$9, $C$13, 100%, $E$13) + CHOOSE(CONTROL!$C$28, 0.0226, 0)</f>
        <v>79.233199999999997</v>
      </c>
      <c r="C1029" s="4">
        <f>78.8473 * CHOOSE(CONTROL!$C$9, $C$13, 100%, $E$13) + CHOOSE(CONTROL!$C$28, 0.0226, 0)</f>
        <v>78.869900000000001</v>
      </c>
      <c r="D1029" s="4">
        <f>114.4305 * CHOOSE(CONTROL!$C$9, $C$13, 100%, $E$13) + CHOOSE(CONTROL!$C$28, 0.0021, 0)</f>
        <v>114.43259999999999</v>
      </c>
      <c r="E1029" s="4">
        <f>577.943672188482 * CHOOSE(CONTROL!$C$9, $C$13, 100%, $E$13) + CHOOSE(CONTROL!$C$28, 0.0021, 0)</f>
        <v>577.94577218848201</v>
      </c>
    </row>
    <row r="1030" spans="1:5" ht="15">
      <c r="A1030" s="13">
        <v>72501</v>
      </c>
      <c r="B1030" s="4">
        <f>79.4588 * CHOOSE(CONTROL!$C$9, $C$13, 100%, $E$13) + CHOOSE(CONTROL!$C$28, 0.0226, 0)</f>
        <v>79.481399999999994</v>
      </c>
      <c r="C1030" s="4">
        <f>79.0955 * CHOOSE(CONTROL!$C$9, $C$13, 100%, $E$13) + CHOOSE(CONTROL!$C$28, 0.0226, 0)</f>
        <v>79.118099999999998</v>
      </c>
      <c r="D1030" s="4">
        <f>115.4695 * CHOOSE(CONTROL!$C$9, $C$13, 100%, $E$13) + CHOOSE(CONTROL!$C$28, 0.0021, 0)</f>
        <v>115.4716</v>
      </c>
      <c r="E1030" s="4">
        <f>579.772364708634 * CHOOSE(CONTROL!$C$9, $C$13, 100%, $E$13) + CHOOSE(CONTROL!$C$28, 0.0021, 0)</f>
        <v>579.77446470863401</v>
      </c>
    </row>
    <row r="1031" spans="1:5" ht="15">
      <c r="A1031" s="13">
        <v>72532</v>
      </c>
      <c r="B1031" s="4">
        <f>79.4338 * CHOOSE(CONTROL!$C$9, $C$13, 100%, $E$13) + CHOOSE(CONTROL!$C$28, 0.0226, 0)</f>
        <v>79.456400000000002</v>
      </c>
      <c r="C1031" s="4">
        <f>79.0705 * CHOOSE(CONTROL!$C$9, $C$13, 100%, $E$13) + CHOOSE(CONTROL!$C$28, 0.0226, 0)</f>
        <v>79.093099999999993</v>
      </c>
      <c r="D1031" s="4">
        <f>117.3442 * CHOOSE(CONTROL!$C$9, $C$13, 100%, $E$13) + CHOOSE(CONTROL!$C$28, 0.0021, 0)</f>
        <v>117.3463</v>
      </c>
      <c r="E1031" s="4">
        <f>579.587958740216 * CHOOSE(CONTROL!$C$9, $C$13, 100%, $E$13) + CHOOSE(CONTROL!$C$28, 0.0021, 0)</f>
        <v>579.59005874021602</v>
      </c>
    </row>
    <row r="1032" spans="1:5" ht="15">
      <c r="A1032" s="13">
        <v>72563</v>
      </c>
      <c r="B1032" s="4">
        <f>81.317 * CHOOSE(CONTROL!$C$9, $C$13, 100%, $E$13) + CHOOSE(CONTROL!$C$28, 0.0226, 0)</f>
        <v>81.33959999999999</v>
      </c>
      <c r="C1032" s="4">
        <f>80.9538 * CHOOSE(CONTROL!$C$9, $C$13, 100%, $E$13) + CHOOSE(CONTROL!$C$28, 0.0226, 0)</f>
        <v>80.976399999999998</v>
      </c>
      <c r="D1032" s="4">
        <f>116.1061 * CHOOSE(CONTROL!$C$9, $C$13, 100%, $E$13) + CHOOSE(CONTROL!$C$28, 0.0021, 0)</f>
        <v>116.1082</v>
      </c>
      <c r="E1032" s="4">
        <f>593.464507863729 * CHOOSE(CONTROL!$C$9, $C$13, 100%, $E$13) + CHOOSE(CONTROL!$C$28, 0.0021, 0)</f>
        <v>593.466607863729</v>
      </c>
    </row>
    <row r="1033" spans="1:5" ht="15">
      <c r="A1033" s="13">
        <v>72593</v>
      </c>
      <c r="B1033" s="4">
        <f>78.1073 * CHOOSE(CONTROL!$C$9, $C$13, 100%, $E$13) + CHOOSE(CONTROL!$C$28, 0.0226, 0)</f>
        <v>78.129899999999992</v>
      </c>
      <c r="C1033" s="4">
        <f>77.744 * CHOOSE(CONTROL!$C$9, $C$13, 100%, $E$13) + CHOOSE(CONTROL!$C$28, 0.0226, 0)</f>
        <v>77.766599999999997</v>
      </c>
      <c r="D1033" s="4">
        <f>115.5211 * CHOOSE(CONTROL!$C$9, $C$13, 100%, $E$13) + CHOOSE(CONTROL!$C$28, 0.0021, 0)</f>
        <v>115.5232</v>
      </c>
      <c r="E1033" s="4">
        <f>569.814442414021 * CHOOSE(CONTROL!$C$9, $C$13, 100%, $E$13) + CHOOSE(CONTROL!$C$28, 0.0021, 0)</f>
        <v>569.816542414021</v>
      </c>
    </row>
    <row r="1034" spans="1:5" ht="15">
      <c r="A1034" s="13">
        <v>72624</v>
      </c>
      <c r="B1034" s="4">
        <f>75.5379 * CHOOSE(CONTROL!$C$9, $C$13, 100%, $E$13) + CHOOSE(CONTROL!$C$28, 0.0226, 0)</f>
        <v>75.56049999999999</v>
      </c>
      <c r="C1034" s="4">
        <f>75.1746 * CHOOSE(CONTROL!$C$9, $C$13, 100%, $E$13) + CHOOSE(CONTROL!$C$28, 0.0226, 0)</f>
        <v>75.197199999999995</v>
      </c>
      <c r="D1034" s="4">
        <f>113.9549 * CHOOSE(CONTROL!$C$9, $C$13, 100%, $E$13) + CHOOSE(CONTROL!$C$28, 0.0021, 0)</f>
        <v>113.95699999999999</v>
      </c>
      <c r="E1034" s="4">
        <f>550.882096323026 * CHOOSE(CONTROL!$C$9, $C$13, 100%, $E$13) + CHOOSE(CONTROL!$C$28, 0.0021, 0)</f>
        <v>550.884196323026</v>
      </c>
    </row>
    <row r="1035" spans="1:5" ht="15">
      <c r="A1035" s="13">
        <v>72654</v>
      </c>
      <c r="B1035" s="4">
        <f>73.8829 * CHOOSE(CONTROL!$C$9, $C$13, 100%, $E$13) + CHOOSE(CONTROL!$C$28, 0.0226, 0)</f>
        <v>73.905500000000004</v>
      </c>
      <c r="C1035" s="4">
        <f>73.5197 * CHOOSE(CONTROL!$C$9, $C$13, 100%, $E$13) + CHOOSE(CONTROL!$C$28, 0.0226, 0)</f>
        <v>73.542299999999997</v>
      </c>
      <c r="D1035" s="4">
        <f>113.4164 * CHOOSE(CONTROL!$C$9, $C$13, 100%, $E$13) + CHOOSE(CONTROL!$C$28, 0.0021, 0)</f>
        <v>113.41849999999999</v>
      </c>
      <c r="E1035" s="4">
        <f>538.688251661334 * CHOOSE(CONTROL!$C$9, $C$13, 100%, $E$13) + CHOOSE(CONTROL!$C$28, 0.0021, 0)</f>
        <v>538.69035166133403</v>
      </c>
    </row>
    <row r="1036" spans="1:5" ht="15">
      <c r="A1036" s="13">
        <v>72685</v>
      </c>
      <c r="B1036" s="4">
        <f>72.7379 * CHOOSE(CONTROL!$C$9, $C$13, 100%, $E$13) + CHOOSE(CONTROL!$C$28, 0.0226, 0)</f>
        <v>72.760499999999993</v>
      </c>
      <c r="C1036" s="4">
        <f>72.3747 * CHOOSE(CONTROL!$C$9, $C$13, 100%, $E$13) + CHOOSE(CONTROL!$C$28, 0.0226, 0)</f>
        <v>72.397300000000001</v>
      </c>
      <c r="D1036" s="4">
        <f>109.4522 * CHOOSE(CONTROL!$C$9, $C$13, 100%, $E$13) + CHOOSE(CONTROL!$C$28, 0.0021, 0)</f>
        <v>109.4543</v>
      </c>
      <c r="E1036" s="4">
        <f>530.251678606176 * CHOOSE(CONTROL!$C$9, $C$13, 100%, $E$13) + CHOOSE(CONTROL!$C$28, 0.0021, 0)</f>
        <v>530.25377860617607</v>
      </c>
    </row>
    <row r="1037" spans="1:5" ht="15">
      <c r="A1037" s="13">
        <v>72716</v>
      </c>
      <c r="B1037" s="4">
        <f>69.6053 * CHOOSE(CONTROL!$C$9, $C$13, 100%, $E$13) + CHOOSE(CONTROL!$C$28, 0.0226, 0)</f>
        <v>69.627899999999997</v>
      </c>
      <c r="C1037" s="4">
        <f>69.242 * CHOOSE(CONTROL!$C$9, $C$13, 100%, $E$13) + CHOOSE(CONTROL!$C$28, 0.0226, 0)</f>
        <v>69.264600000000002</v>
      </c>
      <c r="D1037" s="4">
        <f>105.0852 * CHOOSE(CONTROL!$C$9, $C$13, 100%, $E$13) + CHOOSE(CONTROL!$C$28, 0.0021, 0)</f>
        <v>105.0873</v>
      </c>
      <c r="E1037" s="4">
        <f>508.164541562191 * CHOOSE(CONTROL!$C$9, $C$13, 100%, $E$13) + CHOOSE(CONTROL!$C$28, 0.0021, 0)</f>
        <v>508.16664156219099</v>
      </c>
    </row>
    <row r="1038" spans="1:5" ht="15">
      <c r="A1038" s="13">
        <v>72744</v>
      </c>
      <c r="B1038" s="4">
        <f>71.2396 * CHOOSE(CONTROL!$C$9, $C$13, 100%, $E$13) + CHOOSE(CONTROL!$C$28, 0.0226, 0)</f>
        <v>71.262199999999993</v>
      </c>
      <c r="C1038" s="4">
        <f>70.8763 * CHOOSE(CONTROL!$C$9, $C$13, 100%, $E$13) + CHOOSE(CONTROL!$C$28, 0.0226, 0)</f>
        <v>70.898899999999998</v>
      </c>
      <c r="D1038" s="4">
        <f>108.7287 * CHOOSE(CONTROL!$C$9, $C$13, 100%, $E$13) + CHOOSE(CONTROL!$C$28, 0.0021, 0)</f>
        <v>108.7308</v>
      </c>
      <c r="E1038" s="4">
        <f>520.230370409317 * CHOOSE(CONTROL!$C$9, $C$13, 100%, $E$13) + CHOOSE(CONTROL!$C$28, 0.0021, 0)</f>
        <v>520.23247040931699</v>
      </c>
    </row>
    <row r="1039" spans="1:5" ht="15">
      <c r="A1039" s="13">
        <v>72775</v>
      </c>
      <c r="B1039" s="4">
        <f>75.5315 * CHOOSE(CONTROL!$C$9, $C$13, 100%, $E$13) + CHOOSE(CONTROL!$C$28, 0.0226, 0)</f>
        <v>75.554099999999991</v>
      </c>
      <c r="C1039" s="4">
        <f>75.1682 * CHOOSE(CONTROL!$C$9, $C$13, 100%, $E$13) + CHOOSE(CONTROL!$C$28, 0.0226, 0)</f>
        <v>75.190799999999996</v>
      </c>
      <c r="D1039" s="4">
        <f>114.4323 * CHOOSE(CONTROL!$C$9, $C$13, 100%, $E$13) + CHOOSE(CONTROL!$C$28, 0.0021, 0)</f>
        <v>114.4344</v>
      </c>
      <c r="E1039" s="4">
        <f>551.915878178956 * CHOOSE(CONTROL!$C$9, $C$13, 100%, $E$13) + CHOOSE(CONTROL!$C$28, 0.0021, 0)</f>
        <v>551.91797817895599</v>
      </c>
    </row>
    <row r="1040" spans="1:5" ht="15">
      <c r="A1040" s="13">
        <v>72805</v>
      </c>
      <c r="B1040" s="4">
        <f>78.5809 * CHOOSE(CONTROL!$C$9, $C$13, 100%, $E$13) + CHOOSE(CONTROL!$C$28, 0.0226, 0)</f>
        <v>78.603499999999997</v>
      </c>
      <c r="C1040" s="4">
        <f>78.2176 * CHOOSE(CONTROL!$C$9, $C$13, 100%, $E$13) + CHOOSE(CONTROL!$C$28, 0.0226, 0)</f>
        <v>78.240200000000002</v>
      </c>
      <c r="D1040" s="4">
        <f>117.7178 * CHOOSE(CONTROL!$C$9, $C$13, 100%, $E$13) + CHOOSE(CONTROL!$C$28, 0.0021, 0)</f>
        <v>117.7199</v>
      </c>
      <c r="E1040" s="4">
        <f>574.428853714196 * CHOOSE(CONTROL!$C$9, $C$13, 100%, $E$13) + CHOOSE(CONTROL!$C$28, 0.0021, 0)</f>
        <v>574.43095371419599</v>
      </c>
    </row>
    <row r="1041" spans="1:5" ht="15">
      <c r="A1041" s="13">
        <v>72836</v>
      </c>
      <c r="B1041" s="4">
        <f>80.444 * CHOOSE(CONTROL!$C$9, $C$13, 100%, $E$13) + CHOOSE(CONTROL!$C$28, 0.0226, 0)</f>
        <v>80.4666</v>
      </c>
      <c r="C1041" s="4">
        <f>80.0807 * CHOOSE(CONTROL!$C$9, $C$13, 100%, $E$13) + CHOOSE(CONTROL!$C$28, 0.0226, 0)</f>
        <v>80.10329999999999</v>
      </c>
      <c r="D1041" s="4">
        <f>116.4196 * CHOOSE(CONTROL!$C$9, $C$13, 100%, $E$13) + CHOOSE(CONTROL!$C$28, 0.0021, 0)</f>
        <v>116.4217</v>
      </c>
      <c r="E1041" s="4">
        <f>588.183742205507 * CHOOSE(CONTROL!$C$9, $C$13, 100%, $E$13) + CHOOSE(CONTROL!$C$28, 0.0021, 0)</f>
        <v>588.18584220550702</v>
      </c>
    </row>
    <row r="1042" spans="1:5" ht="15">
      <c r="A1042" s="13">
        <v>72866</v>
      </c>
      <c r="B1042" s="4">
        <f>80.6961 * CHOOSE(CONTROL!$C$9, $C$13, 100%, $E$13) + CHOOSE(CONTROL!$C$28, 0.0226, 0)</f>
        <v>80.718699999999998</v>
      </c>
      <c r="C1042" s="4">
        <f>80.3328 * CHOOSE(CONTROL!$C$9, $C$13, 100%, $E$13) + CHOOSE(CONTROL!$C$28, 0.0226, 0)</f>
        <v>80.355400000000003</v>
      </c>
      <c r="D1042" s="4">
        <f>117.4769 * CHOOSE(CONTROL!$C$9, $C$13, 100%, $E$13) + CHOOSE(CONTROL!$C$28, 0.0021, 0)</f>
        <v>117.479</v>
      </c>
      <c r="E1042" s="4">
        <f>590.044835702342 * CHOOSE(CONTROL!$C$9, $C$13, 100%, $E$13) + CHOOSE(CONTROL!$C$28, 0.0021, 0)</f>
        <v>590.04693570234201</v>
      </c>
    </row>
    <row r="1043" spans="1:5" ht="15">
      <c r="A1043" s="13">
        <v>72897</v>
      </c>
      <c r="B1043" s="4">
        <f>80.6707 * CHOOSE(CONTROL!$C$9, $C$13, 100%, $E$13) + CHOOSE(CONTROL!$C$28, 0.0226, 0)</f>
        <v>80.693299999999994</v>
      </c>
      <c r="C1043" s="4">
        <f>80.3074 * CHOOSE(CONTROL!$C$9, $C$13, 100%, $E$13) + CHOOSE(CONTROL!$C$28, 0.0226, 0)</f>
        <v>80.33</v>
      </c>
      <c r="D1043" s="4">
        <f>119.3847 * CHOOSE(CONTROL!$C$9, $C$13, 100%, $E$13) + CHOOSE(CONTROL!$C$28, 0.0021, 0)</f>
        <v>119.38679999999999</v>
      </c>
      <c r="E1043" s="4">
        <f>589.857162408543 * CHOOSE(CONTROL!$C$9, $C$13, 100%, $E$13) + CHOOSE(CONTROL!$C$28, 0.0021, 0)</f>
        <v>589.85926240854303</v>
      </c>
    </row>
    <row r="1044" spans="1:5" ht="15">
      <c r="A1044" s="13">
        <v>72928</v>
      </c>
      <c r="B1044" s="4">
        <f>82.5836 * CHOOSE(CONTROL!$C$9, $C$13, 100%, $E$13) + CHOOSE(CONTROL!$C$28, 0.0226, 0)</f>
        <v>82.606200000000001</v>
      </c>
      <c r="C1044" s="4">
        <f>82.2203 * CHOOSE(CONTROL!$C$9, $C$13, 100%, $E$13) + CHOOSE(CONTROL!$C$28, 0.0226, 0)</f>
        <v>82.242899999999992</v>
      </c>
      <c r="D1044" s="4">
        <f>118.1248 * CHOOSE(CONTROL!$C$9, $C$13, 100%, $E$13) + CHOOSE(CONTROL!$C$28, 0.0021, 0)</f>
        <v>118.12689999999999</v>
      </c>
      <c r="E1044" s="4">
        <f>603.979577766877 * CHOOSE(CONTROL!$C$9, $C$13, 100%, $E$13) + CHOOSE(CONTROL!$C$28, 0.0021, 0)</f>
        <v>603.98167776687706</v>
      </c>
    </row>
    <row r="1045" spans="1:5" ht="15">
      <c r="A1045" s="13">
        <v>72958</v>
      </c>
      <c r="B1045" s="4">
        <f>79.3234 * CHOOSE(CONTROL!$C$9, $C$13, 100%, $E$13) + CHOOSE(CONTROL!$C$28, 0.0226, 0)</f>
        <v>79.346000000000004</v>
      </c>
      <c r="C1045" s="4">
        <f>78.9601 * CHOOSE(CONTROL!$C$9, $C$13, 100%, $E$13) + CHOOSE(CONTROL!$C$28, 0.0226, 0)</f>
        <v>78.982699999999994</v>
      </c>
      <c r="D1045" s="4">
        <f>117.5295 * CHOOSE(CONTROL!$C$9, $C$13, 100%, $E$13) + CHOOSE(CONTROL!$C$28, 0.0021, 0)</f>
        <v>117.5316</v>
      </c>
      <c r="E1045" s="4">
        <f>579.910477837225 * CHOOSE(CONTROL!$C$9, $C$13, 100%, $E$13) + CHOOSE(CONTROL!$C$28, 0.0021, 0)</f>
        <v>579.91257783722506</v>
      </c>
    </row>
    <row r="1046" spans="1:5" ht="15">
      <c r="A1046" s="13">
        <v>72989</v>
      </c>
      <c r="B1046" s="4">
        <f>76.7135 * CHOOSE(CONTROL!$C$9, $C$13, 100%, $E$13) + CHOOSE(CONTROL!$C$28, 0.0226, 0)</f>
        <v>76.736099999999993</v>
      </c>
      <c r="C1046" s="4">
        <f>76.3502 * CHOOSE(CONTROL!$C$9, $C$13, 100%, $E$13) + CHOOSE(CONTROL!$C$28, 0.0226, 0)</f>
        <v>76.372799999999998</v>
      </c>
      <c r="D1046" s="4">
        <f>115.9356 * CHOOSE(CONTROL!$C$9, $C$13, 100%, $E$13) + CHOOSE(CONTROL!$C$28, 0.0021, 0)</f>
        <v>115.93769999999999</v>
      </c>
      <c r="E1046" s="4">
        <f>560.642686340584 * CHOOSE(CONTROL!$C$9, $C$13, 100%, $E$13) + CHOOSE(CONTROL!$C$28, 0.0021, 0)</f>
        <v>560.64478634058401</v>
      </c>
    </row>
    <row r="1047" spans="1:5" ht="15">
      <c r="A1047" s="13">
        <v>73019</v>
      </c>
      <c r="B1047" s="4">
        <f>75.0326 * CHOOSE(CONTROL!$C$9, $C$13, 100%, $E$13) + CHOOSE(CONTROL!$C$28, 0.0226, 0)</f>
        <v>75.055199999999999</v>
      </c>
      <c r="C1047" s="4">
        <f>74.6693 * CHOOSE(CONTROL!$C$9, $C$13, 100%, $E$13) + CHOOSE(CONTROL!$C$28, 0.0226, 0)</f>
        <v>74.691900000000004</v>
      </c>
      <c r="D1047" s="4">
        <f>115.3876 * CHOOSE(CONTROL!$C$9, $C$13, 100%, $E$13) + CHOOSE(CONTROL!$C$28, 0.0021, 0)</f>
        <v>115.3897</v>
      </c>
      <c r="E1047" s="4">
        <f>548.232789788161 * CHOOSE(CONTROL!$C$9, $C$13, 100%, $E$13) + CHOOSE(CONTROL!$C$28, 0.0021, 0)</f>
        <v>548.23488978816101</v>
      </c>
    </row>
    <row r="1048" spans="1:5" ht="15">
      <c r="A1048" s="13">
        <v>73050</v>
      </c>
      <c r="B1048" s="4">
        <f>73.8696 * CHOOSE(CONTROL!$C$9, $C$13, 100%, $E$13) + CHOOSE(CONTROL!$C$28, 0.0226, 0)</f>
        <v>73.892200000000003</v>
      </c>
      <c r="C1048" s="4">
        <f>73.5063 * CHOOSE(CONTROL!$C$9, $C$13, 100%, $E$13) + CHOOSE(CONTROL!$C$28, 0.0226, 0)</f>
        <v>73.528899999999993</v>
      </c>
      <c r="D1048" s="4">
        <f>111.3533 * CHOOSE(CONTROL!$C$9, $C$13, 100%, $E$13) + CHOOSE(CONTROL!$C$28, 0.0021, 0)</f>
        <v>111.3554</v>
      </c>
      <c r="E1048" s="4">
        <f>539.646736596882 * CHOOSE(CONTROL!$C$9, $C$13, 100%, $E$13) + CHOOSE(CONTROL!$C$28, 0.0021, 0)</f>
        <v>539.64883659688201</v>
      </c>
    </row>
    <row r="1049" spans="1:5" ht="15">
      <c r="A1049" s="13">
        <v>73081</v>
      </c>
      <c r="B1049" s="4">
        <f>70.6876 * CHOOSE(CONTROL!$C$9, $C$13, 100%, $E$13) + CHOOSE(CONTROL!$C$28, 0.0226, 0)</f>
        <v>70.7102</v>
      </c>
      <c r="C1049" s="4">
        <f>70.3244 * CHOOSE(CONTROL!$C$9, $C$13, 100%, $E$13) + CHOOSE(CONTROL!$C$28, 0.0226, 0)</f>
        <v>70.346999999999994</v>
      </c>
      <c r="D1049" s="4">
        <f>106.9091 * CHOOSE(CONTROL!$C$9, $C$13, 100%, $E$13) + CHOOSE(CONTROL!$C$28, 0.0021, 0)</f>
        <v>106.91119999999999</v>
      </c>
      <c r="E1049" s="4">
        <f>517.168257211611 * CHOOSE(CONTROL!$C$9, $C$13, 100%, $E$13) + CHOOSE(CONTROL!$C$28, 0.0021, 0)</f>
        <v>517.17035721161108</v>
      </c>
    </row>
    <row r="1050" spans="1:5" ht="15">
      <c r="A1050" s="13">
        <v>73109</v>
      </c>
      <c r="B1050" s="4">
        <f>72.3477 * CHOOSE(CONTROL!$C$9, $C$13, 100%, $E$13) + CHOOSE(CONTROL!$C$28, 0.0226, 0)</f>
        <v>72.3703</v>
      </c>
      <c r="C1050" s="4">
        <f>71.9844 * CHOOSE(CONTROL!$C$9, $C$13, 100%, $E$13) + CHOOSE(CONTROL!$C$28, 0.0226, 0)</f>
        <v>72.006999999999991</v>
      </c>
      <c r="D1050" s="4">
        <f>110.617 * CHOOSE(CONTROL!$C$9, $C$13, 100%, $E$13) + CHOOSE(CONTROL!$C$28, 0.0021, 0)</f>
        <v>110.6191</v>
      </c>
      <c r="E1050" s="4">
        <f>529.447869751082 * CHOOSE(CONTROL!$C$9, $C$13, 100%, $E$13) + CHOOSE(CONTROL!$C$28, 0.0021, 0)</f>
        <v>529.44996975108199</v>
      </c>
    </row>
    <row r="1051" spans="1:5" ht="15">
      <c r="A1051" s="13">
        <v>73140</v>
      </c>
      <c r="B1051" s="4">
        <f>76.707 * CHOOSE(CONTROL!$C$9, $C$13, 100%, $E$13) + CHOOSE(CONTROL!$C$28, 0.0226, 0)</f>
        <v>76.729599999999991</v>
      </c>
      <c r="C1051" s="4">
        <f>76.3437 * CHOOSE(CONTROL!$C$9, $C$13, 100%, $E$13) + CHOOSE(CONTROL!$C$28, 0.0226, 0)</f>
        <v>76.366299999999995</v>
      </c>
      <c r="D1051" s="4">
        <f>116.4214 * CHOOSE(CONTROL!$C$9, $C$13, 100%, $E$13) + CHOOSE(CONTROL!$C$28, 0.0021, 0)</f>
        <v>116.4235</v>
      </c>
      <c r="E1051" s="4">
        <f>561.694784857975 * CHOOSE(CONTROL!$C$9, $C$13, 100%, $E$13) + CHOOSE(CONTROL!$C$28, 0.0021, 0)</f>
        <v>561.69688485797508</v>
      </c>
    </row>
    <row r="1052" spans="1:5" ht="15">
      <c r="A1052" s="13">
        <v>73170</v>
      </c>
      <c r="B1052" s="4">
        <f>79.8044 * CHOOSE(CONTROL!$C$9, $C$13, 100%, $E$13) + CHOOSE(CONTROL!$C$28, 0.0226, 0)</f>
        <v>79.826999999999998</v>
      </c>
      <c r="C1052" s="4">
        <f>79.4411 * CHOOSE(CONTROL!$C$9, $C$13, 100%, $E$13) + CHOOSE(CONTROL!$C$28, 0.0226, 0)</f>
        <v>79.463700000000003</v>
      </c>
      <c r="D1052" s="4">
        <f>119.765 * CHOOSE(CONTROL!$C$9, $C$13, 100%, $E$13) + CHOOSE(CONTROL!$C$28, 0.0021, 0)</f>
        <v>119.7671</v>
      </c>
      <c r="E1052" s="4">
        <f>584.60664778807 * CHOOSE(CONTROL!$C$9, $C$13, 100%, $E$13) + CHOOSE(CONTROL!$C$28, 0.0021, 0)</f>
        <v>584.60874778806999</v>
      </c>
    </row>
    <row r="1053" spans="1:5" ht="15">
      <c r="A1053" s="13">
        <v>73201</v>
      </c>
      <c r="B1053" s="4">
        <f>81.6968 * CHOOSE(CONTROL!$C$9, $C$13, 100%, $E$13) + CHOOSE(CONTROL!$C$28, 0.0226, 0)</f>
        <v>81.719399999999993</v>
      </c>
      <c r="C1053" s="4">
        <f>81.3335 * CHOOSE(CONTROL!$C$9, $C$13, 100%, $E$13) + CHOOSE(CONTROL!$C$28, 0.0226, 0)</f>
        <v>81.356099999999998</v>
      </c>
      <c r="D1053" s="4">
        <f>118.4438 * CHOOSE(CONTROL!$C$9, $C$13, 100%, $E$13) + CHOOSE(CONTROL!$C$28, 0.0021, 0)</f>
        <v>118.44589999999999</v>
      </c>
      <c r="E1053" s="4">
        <f>598.605246917641 * CHOOSE(CONTROL!$C$9, $C$13, 100%, $E$13) + CHOOSE(CONTROL!$C$28, 0.0021, 0)</f>
        <v>598.60734691764105</v>
      </c>
    </row>
    <row r="1054" spans="1:5" ht="15">
      <c r="A1054" s="13">
        <v>73231</v>
      </c>
      <c r="B1054" s="4">
        <f>81.9529 * CHOOSE(CONTROL!$C$9, $C$13, 100%, $E$13) + CHOOSE(CONTROL!$C$28, 0.0226, 0)</f>
        <v>81.975499999999997</v>
      </c>
      <c r="C1054" s="4">
        <f>81.5896 * CHOOSE(CONTROL!$C$9, $C$13, 100%, $E$13) + CHOOSE(CONTROL!$C$28, 0.0226, 0)</f>
        <v>81.612200000000001</v>
      </c>
      <c r="D1054" s="4">
        <f>119.5198 * CHOOSE(CONTROL!$C$9, $C$13, 100%, $E$13) + CHOOSE(CONTROL!$C$28, 0.0021, 0)</f>
        <v>119.5219</v>
      </c>
      <c r="E1054" s="4">
        <f>600.499315475253 * CHOOSE(CONTROL!$C$9, $C$13, 100%, $E$13) + CHOOSE(CONTROL!$C$28, 0.0021, 0)</f>
        <v>600.501415475253</v>
      </c>
    </row>
    <row r="1055" spans="1:5" ht="15">
      <c r="A1055" s="13">
        <v>73262</v>
      </c>
      <c r="B1055" s="4">
        <f>81.9271 * CHOOSE(CONTROL!$C$9, $C$13, 100%, $E$13) + CHOOSE(CONTROL!$C$28, 0.0226, 0)</f>
        <v>81.949699999999993</v>
      </c>
      <c r="C1055" s="4">
        <f>81.5638 * CHOOSE(CONTROL!$C$9, $C$13, 100%, $E$13) + CHOOSE(CONTROL!$C$28, 0.0226, 0)</f>
        <v>81.586399999999998</v>
      </c>
      <c r="D1055" s="4">
        <f>121.4613 * CHOOSE(CONTROL!$C$9, $C$13, 100%, $E$13) + CHOOSE(CONTROL!$C$28, 0.0021, 0)</f>
        <v>121.46339999999999</v>
      </c>
      <c r="E1055" s="4">
        <f>600.308316965241 * CHOOSE(CONTROL!$C$9, $C$13, 100%, $E$13) + CHOOSE(CONTROL!$C$28, 0.0021, 0)</f>
        <v>600.31041696524107</v>
      </c>
    </row>
    <row r="1056" spans="1:5" ht="15">
      <c r="A1056" s="13">
        <v>73293</v>
      </c>
      <c r="B1056" s="4">
        <f>83.87 * CHOOSE(CONTROL!$C$9, $C$13, 100%, $E$13) + CHOOSE(CONTROL!$C$28, 0.0226, 0)</f>
        <v>83.892600000000002</v>
      </c>
      <c r="C1056" s="4">
        <f>83.5068 * CHOOSE(CONTROL!$C$9, $C$13, 100%, $E$13) + CHOOSE(CONTROL!$C$28, 0.0226, 0)</f>
        <v>83.529399999999995</v>
      </c>
      <c r="D1056" s="4">
        <f>120.1791 * CHOOSE(CONTROL!$C$9, $C$13, 100%, $E$13) + CHOOSE(CONTROL!$C$28, 0.0021, 0)</f>
        <v>120.1812</v>
      </c>
      <c r="E1056" s="4">
        <f>614.680954843585 * CHOOSE(CONTROL!$C$9, $C$13, 100%, $E$13) + CHOOSE(CONTROL!$C$28, 0.0021, 0)</f>
        <v>614.68305484358507</v>
      </c>
    </row>
    <row r="1057" spans="1:5" ht="15">
      <c r="A1057" s="13">
        <v>73323</v>
      </c>
      <c r="B1057" s="4">
        <f>80.5586 * CHOOSE(CONTROL!$C$9, $C$13, 100%, $E$13) + CHOOSE(CONTROL!$C$28, 0.0226, 0)</f>
        <v>80.581199999999995</v>
      </c>
      <c r="C1057" s="4">
        <f>80.1953 * CHOOSE(CONTROL!$C$9, $C$13, 100%, $E$13) + CHOOSE(CONTROL!$C$28, 0.0226, 0)</f>
        <v>80.2179</v>
      </c>
      <c r="D1057" s="4">
        <f>119.5733 * CHOOSE(CONTROL!$C$9, $C$13, 100%, $E$13) + CHOOSE(CONTROL!$C$28, 0.0021, 0)</f>
        <v>119.5754</v>
      </c>
      <c r="E1057" s="4">
        <f>590.185395934647 * CHOOSE(CONTROL!$C$9, $C$13, 100%, $E$13) + CHOOSE(CONTROL!$C$28, 0.0021, 0)</f>
        <v>590.18749593464702</v>
      </c>
    </row>
    <row r="1058" spans="1:5" ht="15">
      <c r="A1058" s="13">
        <v>73354</v>
      </c>
      <c r="B1058" s="4">
        <f>77.9077 * CHOOSE(CONTROL!$C$9, $C$13, 100%, $E$13) + CHOOSE(CONTROL!$C$28, 0.0226, 0)</f>
        <v>77.930300000000003</v>
      </c>
      <c r="C1058" s="4">
        <f>77.5444 * CHOOSE(CONTROL!$C$9, $C$13, 100%, $E$13) + CHOOSE(CONTROL!$C$28, 0.0226, 0)</f>
        <v>77.566999999999993</v>
      </c>
      <c r="D1058" s="4">
        <f>117.9512 * CHOOSE(CONTROL!$C$9, $C$13, 100%, $E$13) + CHOOSE(CONTROL!$C$28, 0.0021, 0)</f>
        <v>117.9533</v>
      </c>
      <c r="E1058" s="4">
        <f>570.576215573496 * CHOOSE(CONTROL!$C$9, $C$13, 100%, $E$13) + CHOOSE(CONTROL!$C$28, 0.0021, 0)</f>
        <v>570.57831557349607</v>
      </c>
    </row>
    <row r="1059" spans="1:5" ht="15">
      <c r="A1059" s="13">
        <v>73384</v>
      </c>
      <c r="B1059" s="4">
        <f>76.2003 * CHOOSE(CONTROL!$C$9, $C$13, 100%, $E$13) + CHOOSE(CONTROL!$C$28, 0.0226, 0)</f>
        <v>76.222899999999996</v>
      </c>
      <c r="C1059" s="4">
        <f>75.837 * CHOOSE(CONTROL!$C$9, $C$13, 100%, $E$13) + CHOOSE(CONTROL!$C$28, 0.0226, 0)</f>
        <v>75.8596</v>
      </c>
      <c r="D1059" s="4">
        <f>117.3936 * CHOOSE(CONTROL!$C$9, $C$13, 100%, $E$13) + CHOOSE(CONTROL!$C$28, 0.0021, 0)</f>
        <v>117.39570000000001</v>
      </c>
      <c r="E1059" s="4">
        <f>557.946439099005 * CHOOSE(CONTROL!$C$9, $C$13, 100%, $E$13) + CHOOSE(CONTROL!$C$28, 0.0021, 0)</f>
        <v>557.94853909900507</v>
      </c>
    </row>
    <row r="1060" spans="1:5" ht="15">
      <c r="A1060" s="13">
        <v>73415</v>
      </c>
      <c r="B1060" s="4">
        <f>75.019 * CHOOSE(CONTROL!$C$9, $C$13, 100%, $E$13) + CHOOSE(CONTROL!$C$28, 0.0226, 0)</f>
        <v>75.041600000000003</v>
      </c>
      <c r="C1060" s="4">
        <f>74.6557 * CHOOSE(CONTROL!$C$9, $C$13, 100%, $E$13) + CHOOSE(CONTROL!$C$28, 0.0226, 0)</f>
        <v>74.678299999999993</v>
      </c>
      <c r="D1060" s="4">
        <f>113.288 * CHOOSE(CONTROL!$C$9, $C$13, 100%, $E$13) + CHOOSE(CONTROL!$C$28, 0.0021, 0)</f>
        <v>113.2901</v>
      </c>
      <c r="E1060" s="4">
        <f>549.208257265992 * CHOOSE(CONTROL!$C$9, $C$13, 100%, $E$13) + CHOOSE(CONTROL!$C$28, 0.0021, 0)</f>
        <v>549.210357265992</v>
      </c>
    </row>
    <row r="1061" spans="1:5" ht="15">
      <c r="A1061" s="10"/>
      <c r="B1061" s="4"/>
      <c r="C1061" s="4"/>
      <c r="D1061" s="4"/>
      <c r="E1061" s="4"/>
    </row>
    <row r="1062" spans="1:5" ht="15">
      <c r="A1062" s="3">
        <v>2014</v>
      </c>
      <c r="B1062" s="4">
        <f>AVERAGE(B17:B28)</f>
        <v>15.164787101082004</v>
      </c>
      <c r="C1062" s="4">
        <f>AVERAGE(C17:C28)</f>
        <v>14.909532766446601</v>
      </c>
      <c r="D1062" s="4">
        <f>AVERAGE(D17:D28)</f>
        <v>22.440652086906805</v>
      </c>
      <c r="E1062" s="4">
        <f>AVERAGE(E17:E28)</f>
        <v>96.524383333333347</v>
      </c>
    </row>
    <row r="1063" spans="1:5" ht="15">
      <c r="A1063" s="3">
        <v>2015</v>
      </c>
      <c r="B1063" s="4">
        <f>AVERAGE(B29:B40)</f>
        <v>10.983541666666667</v>
      </c>
      <c r="C1063" s="4">
        <f>AVERAGE(C29:C40)</f>
        <v>10.62025</v>
      </c>
      <c r="D1063" s="4">
        <f>AVERAGE(D29:D40)</f>
        <v>17.768674999999998</v>
      </c>
      <c r="E1063" s="4">
        <f>AVERAGE(E29:E40)</f>
        <v>69.797933333333319</v>
      </c>
    </row>
    <row r="1064" spans="1:5" ht="15">
      <c r="A1064" s="3">
        <v>2016</v>
      </c>
      <c r="B1064" s="4">
        <f>AVERAGE(B41:B52)</f>
        <v>11.676241666666668</v>
      </c>
      <c r="C1064" s="4">
        <f>AVERAGE(C41:C52)</f>
        <v>11.312950000000003</v>
      </c>
      <c r="D1064" s="4">
        <f>AVERAGE(D41:D52)</f>
        <v>18.294516666666663</v>
      </c>
      <c r="E1064" s="4">
        <f>AVERAGE(E41:E52)</f>
        <v>72.078766666666681</v>
      </c>
    </row>
    <row r="1065" spans="1:5" ht="15">
      <c r="A1065" s="3">
        <v>2017</v>
      </c>
      <c r="B1065" s="4">
        <f>AVERAGE(B53:B64)</f>
        <v>12.204366666666667</v>
      </c>
      <c r="C1065" s="4">
        <f>AVERAGE(C53:C64)</f>
        <v>11.841091666666669</v>
      </c>
      <c r="D1065" s="4">
        <f>AVERAGE(D53:D64)</f>
        <v>18.784733333333332</v>
      </c>
      <c r="E1065" s="4">
        <f>AVERAGE(E53:E64)</f>
        <v>74.877100000000013</v>
      </c>
    </row>
    <row r="1066" spans="1:5" ht="15">
      <c r="A1066" s="3">
        <v>2018</v>
      </c>
      <c r="B1066" s="4">
        <f>AVERAGE(B65:B76)</f>
        <v>12.610050000000001</v>
      </c>
      <c r="C1066" s="4">
        <f>AVERAGE(C65:C76)</f>
        <v>12.246758333333334</v>
      </c>
      <c r="D1066" s="4">
        <f>AVERAGE(D65:D76)</f>
        <v>19.167541666666668</v>
      </c>
      <c r="E1066" s="4">
        <f>AVERAGE(E65:E76)</f>
        <v>78.988350000000011</v>
      </c>
    </row>
    <row r="1067" spans="1:5" ht="15">
      <c r="A1067" s="3">
        <v>2019</v>
      </c>
      <c r="B1067" s="4">
        <f>AVERAGE(B77:B88)</f>
        <v>13.517658333333332</v>
      </c>
      <c r="C1067" s="4">
        <f>AVERAGE(C77:C88)</f>
        <v>13.154375</v>
      </c>
      <c r="D1067" s="4">
        <f>AVERAGE(D77:D88)</f>
        <v>20.396758333333331</v>
      </c>
      <c r="E1067" s="4">
        <f>AVERAGE(E77:E88)</f>
        <v>86.912103662109359</v>
      </c>
    </row>
    <row r="1068" spans="1:5" ht="15">
      <c r="A1068" s="3">
        <v>2020</v>
      </c>
      <c r="B1068" s="4">
        <f>AVERAGE(B89:B100)</f>
        <v>14.592233333333333</v>
      </c>
      <c r="C1068" s="4">
        <f>AVERAGE(C89:C100)</f>
        <v>14.228941666666664</v>
      </c>
      <c r="D1068" s="4">
        <f>AVERAGE(D89:D100)</f>
        <v>21.821116666666668</v>
      </c>
      <c r="E1068" s="4">
        <f>AVERAGE(E89:E100)</f>
        <v>93.820581445312541</v>
      </c>
    </row>
    <row r="1069" spans="1:5" ht="15">
      <c r="A1069" s="3">
        <v>2021</v>
      </c>
      <c r="B1069" s="4">
        <f>AVERAGE(B101:B112)</f>
        <v>15.706925</v>
      </c>
      <c r="C1069" s="4">
        <f>AVERAGE(C101:C112)</f>
        <v>15.34364166666667</v>
      </c>
      <c r="D1069" s="4">
        <f>AVERAGE(D101:D112)</f>
        <v>23.270624999999995</v>
      </c>
      <c r="E1069" s="4">
        <f>AVERAGE(E101:E112)</f>
        <v>100.63031960449216</v>
      </c>
    </row>
    <row r="1070" spans="1:5" ht="15">
      <c r="A1070" s="3">
        <v>2022</v>
      </c>
      <c r="B1070" s="4">
        <f>AVERAGE(B113:B124)</f>
        <v>16.686174999999999</v>
      </c>
      <c r="C1070" s="4">
        <f>AVERAGE(C113:C124)</f>
        <v>16.322900000000001</v>
      </c>
      <c r="D1070" s="4">
        <f>AVERAGE(D113:D124)</f>
        <v>25.113499999999998</v>
      </c>
      <c r="E1070" s="4">
        <f>AVERAGE(E113:E124)</f>
        <v>108.53299141845712</v>
      </c>
    </row>
    <row r="1071" spans="1:5" ht="15">
      <c r="A1071" s="3">
        <v>2023</v>
      </c>
      <c r="B1071" s="4">
        <f>AVERAGE(B125:B136)</f>
        <v>17.930125</v>
      </c>
      <c r="C1071" s="4">
        <f>AVERAGE(C125:C136)</f>
        <v>17.566833333333335</v>
      </c>
      <c r="D1071" s="4">
        <f>AVERAGE(D125:D136)</f>
        <v>26.758074999999995</v>
      </c>
      <c r="E1071" s="4">
        <f>AVERAGE(E125:E136)</f>
        <v>116.4291095825195</v>
      </c>
    </row>
    <row r="1072" spans="1:5" ht="15">
      <c r="A1072" s="3">
        <v>2024</v>
      </c>
      <c r="B1072" s="4">
        <f>AVERAGE(B137:B148)</f>
        <v>18.973708333333331</v>
      </c>
      <c r="C1072" s="4">
        <f>AVERAGE(C137:C148)</f>
        <v>18.610424999999999</v>
      </c>
      <c r="D1072" s="4">
        <f>AVERAGE(D137:D148)</f>
        <v>27.959733333333332</v>
      </c>
      <c r="E1072" s="4">
        <f>AVERAGE(E137:E148)</f>
        <v>122.29261971435534</v>
      </c>
    </row>
    <row r="1073" spans="1:5" ht="15">
      <c r="A1073" s="3">
        <v>2025</v>
      </c>
      <c r="B1073" s="4">
        <f>AVERAGE(B149:B160)</f>
        <v>20.644308333333331</v>
      </c>
      <c r="C1073" s="4">
        <f>AVERAGE(C149:C160)</f>
        <v>20.28104166666667</v>
      </c>
      <c r="D1073" s="4">
        <f>AVERAGE(D149:D160)</f>
        <v>29.407750000000004</v>
      </c>
      <c r="E1073" s="4">
        <f>AVERAGE(E149:E160)</f>
        <v>129.79194069824214</v>
      </c>
    </row>
    <row r="1074" spans="1:5" ht="15">
      <c r="A1074" s="3">
        <v>2026</v>
      </c>
      <c r="B1074" s="4">
        <f>AVERAGE(B161:B172)</f>
        <v>21.451800000000002</v>
      </c>
      <c r="C1074" s="4">
        <f>AVERAGE(C161:C172)</f>
        <v>21.088533333333334</v>
      </c>
      <c r="D1074" s="4">
        <f>AVERAGE(D161:D172)</f>
        <v>30.409116666666673</v>
      </c>
      <c r="E1074" s="4">
        <f>AVERAGE(E161:E172)</f>
        <v>135.10691262207035</v>
      </c>
    </row>
    <row r="1075" spans="1:5" ht="15">
      <c r="A1075" s="3">
        <v>2027</v>
      </c>
      <c r="B1075" s="4">
        <f>AVERAGE(B173:B184)</f>
        <v>22.308658333333337</v>
      </c>
      <c r="C1075" s="4">
        <f>AVERAGE(C173:C184)</f>
        <v>21.945383333333336</v>
      </c>
      <c r="D1075" s="4">
        <f>AVERAGE(D173:D184)</f>
        <v>31.447508333333328</v>
      </c>
      <c r="E1075" s="4">
        <f>AVERAGE(E173:E184)</f>
        <v>140.64736367187493</v>
      </c>
    </row>
    <row r="1076" spans="1:5" ht="15">
      <c r="A1076" s="3">
        <v>2028</v>
      </c>
      <c r="B1076" s="4">
        <f>AVERAGE(B185:B196)</f>
        <v>23.160166666666665</v>
      </c>
      <c r="C1076" s="4">
        <f>AVERAGE(C185:C196)</f>
        <v>22.796891666666667</v>
      </c>
      <c r="D1076" s="4">
        <f>AVERAGE(D185:D196)</f>
        <v>32.464591666666664</v>
      </c>
      <c r="E1076" s="4">
        <f>AVERAGE(E185:E196)</f>
        <v>146.40314675292987</v>
      </c>
    </row>
    <row r="1077" spans="1:5" ht="15">
      <c r="A1077" s="3">
        <v>2029</v>
      </c>
      <c r="B1077" s="4">
        <f>AVERAGE(B197:B208)</f>
        <v>24.095358333333333</v>
      </c>
      <c r="C1077" s="4">
        <f>AVERAGE(C197:C208)</f>
        <v>23.732066666666665</v>
      </c>
      <c r="D1077" s="4">
        <f>AVERAGE(D197:D208)</f>
        <v>33.472349999999999</v>
      </c>
      <c r="E1077" s="4">
        <f>AVERAGE(E197:E208)</f>
        <v>152.39406777343746</v>
      </c>
    </row>
    <row r="1078" spans="1:5" ht="15">
      <c r="A1078" s="3">
        <v>2030</v>
      </c>
      <c r="B1078" s="4">
        <f>AVERAGE(B209:B220)</f>
        <v>25.070425</v>
      </c>
      <c r="C1078" s="4">
        <f>AVERAGE(C209:C220)</f>
        <v>24.707141666666669</v>
      </c>
      <c r="D1078" s="4">
        <f>AVERAGE(D209:D220)</f>
        <v>34.532441666666664</v>
      </c>
      <c r="E1078" s="4">
        <f>AVERAGE(E209:E220)</f>
        <v>158.63967324218751</v>
      </c>
    </row>
    <row r="1079" spans="1:5" ht="15">
      <c r="A1079" s="3">
        <v>2031</v>
      </c>
      <c r="B1079" s="4">
        <f>AVERAGE(B221:B232)</f>
        <v>25.820783333333335</v>
      </c>
      <c r="C1079" s="4">
        <f>AVERAGE(C221:C232)</f>
        <v>25.4575</v>
      </c>
      <c r="D1079" s="4">
        <f>AVERAGE(D221:D232)</f>
        <v>35.354449999999993</v>
      </c>
      <c r="E1079" s="4">
        <f>AVERAGE(E221:E232)</f>
        <v>163.49678994140626</v>
      </c>
    </row>
    <row r="1080" spans="1:5" ht="15">
      <c r="A1080" s="3">
        <v>2032</v>
      </c>
      <c r="B1080" s="4">
        <f>AVERAGE(B233:B244)</f>
        <v>26.587441666666663</v>
      </c>
      <c r="C1080" s="4">
        <f>AVERAGE(C233:C244)</f>
        <v>26.224158333333335</v>
      </c>
      <c r="D1080" s="4">
        <f>AVERAGE(D233:D244)</f>
        <v>36.177216666666673</v>
      </c>
      <c r="E1080" s="4">
        <f>AVERAGE(E233:E244)</f>
        <v>168.35781289062498</v>
      </c>
    </row>
    <row r="1081" spans="1:5" ht="15">
      <c r="A1081" s="3">
        <v>2033</v>
      </c>
      <c r="B1081" s="4">
        <f>AVERAGE(B245:B256)</f>
        <v>27.354108333333333</v>
      </c>
      <c r="C1081" s="4">
        <f>AVERAGE(C245:C256)</f>
        <v>26.99080833333333</v>
      </c>
      <c r="D1081" s="4">
        <f>AVERAGE(D245:D256)</f>
        <v>36.999958333333332</v>
      </c>
      <c r="E1081" s="4">
        <f>AVERAGE(E245:E256)</f>
        <v>173.21837807617194</v>
      </c>
    </row>
    <row r="1082" spans="1:5" ht="15">
      <c r="A1082" s="3">
        <v>2034</v>
      </c>
      <c r="B1082" s="4">
        <f>AVERAGE(B257:B268)</f>
        <v>28.120775000000005</v>
      </c>
      <c r="C1082" s="4">
        <f>AVERAGE(C257:C268)</f>
        <v>27.757499999999997</v>
      </c>
      <c r="D1082" s="4">
        <f>AVERAGE(D257:D268)</f>
        <v>37.822724999999998</v>
      </c>
      <c r="E1082" s="4">
        <f>AVERAGE(E257:E268)</f>
        <v>178.07847023925788</v>
      </c>
    </row>
    <row r="1083" spans="1:5" ht="15">
      <c r="A1083" s="3">
        <v>2035</v>
      </c>
      <c r="B1083" s="4">
        <f>AVERAGE(B269:B280)</f>
        <v>28.887425000000007</v>
      </c>
      <c r="C1083" s="4">
        <f>AVERAGE(C269:C280)</f>
        <v>28.524150000000002</v>
      </c>
      <c r="D1083" s="4">
        <f>AVERAGE(D269:D280)</f>
        <v>38.672908333333332</v>
      </c>
      <c r="E1083" s="4">
        <f>AVERAGE(E269:E280)</f>
        <v>182.93810463867183</v>
      </c>
    </row>
    <row r="1084" spans="1:5" ht="15">
      <c r="A1084" s="3">
        <v>2036</v>
      </c>
      <c r="B1084" s="4">
        <f>AVERAGE(B281:B292)</f>
        <v>29.329183333333336</v>
      </c>
      <c r="C1084" s="4">
        <f>AVERAGE(C281:C292)</f>
        <v>28.965883333333334</v>
      </c>
      <c r="D1084" s="4">
        <f>AVERAGE(D281:D292)</f>
        <v>39.323450000000001</v>
      </c>
      <c r="E1084" s="4">
        <f>AVERAGE(E281:E292)</f>
        <v>186.17938503722948</v>
      </c>
    </row>
    <row r="1085" spans="1:5" ht="15">
      <c r="A1085" s="3">
        <v>2037</v>
      </c>
      <c r="B1085" s="4">
        <f>AVERAGE(B293:B304)</f>
        <v>29.777858333333331</v>
      </c>
      <c r="C1085" s="4">
        <f>AVERAGE(C293:C304)</f>
        <v>29.414558333333336</v>
      </c>
      <c r="D1085" s="4">
        <f>AVERAGE(D293:D304)</f>
        <v>39.98545</v>
      </c>
      <c r="E1085" s="4">
        <f>AVERAGE(E293:E304)</f>
        <v>189.47809480100599</v>
      </c>
    </row>
    <row r="1086" spans="1:5" ht="15">
      <c r="A1086" s="3">
        <f t="shared" ref="A1086:A1117" si="0">A1085+1</f>
        <v>2038</v>
      </c>
      <c r="B1086" s="4">
        <f>AVERAGE(B305:B316)</f>
        <v>30.233583333333328</v>
      </c>
      <c r="C1086" s="4">
        <f>AVERAGE(C305:C316)</f>
        <v>29.870316666666668</v>
      </c>
      <c r="D1086" s="4">
        <f>AVERAGE(D305:D316)</f>
        <v>40.659200000000006</v>
      </c>
      <c r="E1086" s="4">
        <f>AVERAGE(E305:E316)</f>
        <v>192.8352514698569</v>
      </c>
    </row>
    <row r="1087" spans="1:5" ht="15">
      <c r="A1087" s="3">
        <f t="shared" si="0"/>
        <v>2039</v>
      </c>
      <c r="B1087" s="4">
        <f>AVERAGE(B317:B328)</f>
        <v>30.69650833333333</v>
      </c>
      <c r="C1087" s="4">
        <f>AVERAGE(C317:C328)</f>
        <v>30.333208333333342</v>
      </c>
      <c r="D1087" s="4">
        <f>AVERAGE(D317:D328)</f>
        <v>41.344824999999993</v>
      </c>
      <c r="E1087" s="4">
        <f>AVERAGE(E317:E328)</f>
        <v>196.25189061252252</v>
      </c>
    </row>
    <row r="1088" spans="1:5" ht="15">
      <c r="A1088" s="3">
        <f t="shared" si="0"/>
        <v>2040</v>
      </c>
      <c r="B1088" s="4">
        <f>AVERAGE(B329:B340)</f>
        <v>31.166683333333328</v>
      </c>
      <c r="C1088" s="4">
        <f>AVERAGE(C329:C340)</f>
        <v>30.803383333333333</v>
      </c>
      <c r="D1088" s="4">
        <f>AVERAGE(D329:D340)</f>
        <v>42.042541666666658</v>
      </c>
      <c r="E1088" s="4">
        <f>AVERAGE(E329:E340)</f>
        <v>199.72906614606379</v>
      </c>
    </row>
    <row r="1089" spans="1:5" ht="15">
      <c r="A1089" s="3">
        <f t="shared" si="0"/>
        <v>2041</v>
      </c>
      <c r="B1089" s="4">
        <f>AVERAGE(B341:B352)</f>
        <v>31.64425833333333</v>
      </c>
      <c r="C1089" s="4">
        <f>AVERAGE(C341:C352)</f>
        <v>31.280966666666668</v>
      </c>
      <c r="D1089" s="4">
        <f>AVERAGE(D341:D352)</f>
        <v>42.75260833333332</v>
      </c>
      <c r="E1089" s="4">
        <f>AVERAGE(E341:E352)</f>
        <v>203.26785066096159</v>
      </c>
    </row>
    <row r="1090" spans="1:5" ht="15">
      <c r="A1090" s="3">
        <f t="shared" si="0"/>
        <v>2042</v>
      </c>
      <c r="B1090" s="4">
        <f>AVERAGE(B353:B364)</f>
        <v>32.129333333333335</v>
      </c>
      <c r="C1090" s="4">
        <f>AVERAGE(C353:C364)</f>
        <v>31.766033333333329</v>
      </c>
      <c r="D1090" s="4">
        <f>AVERAGE(D353:D364)</f>
        <v>43.475233333333335</v>
      </c>
      <c r="E1090" s="4">
        <f>AVERAGE(E353:E364)</f>
        <v>206.86933575197338</v>
      </c>
    </row>
    <row r="1091" spans="1:5" ht="15">
      <c r="A1091" s="3">
        <f t="shared" si="0"/>
        <v>2043</v>
      </c>
      <c r="B1091" s="4">
        <f>AVERAGE(B365:B376)</f>
        <v>32.622049999999994</v>
      </c>
      <c r="C1091" s="4">
        <f>AVERAGE(C365:C376)</f>
        <v>32.258766666666666</v>
      </c>
      <c r="D1091" s="4">
        <f>AVERAGE(D365:D376)</f>
        <v>44.210599999999999</v>
      </c>
      <c r="E1091" s="4">
        <f>AVERAGE(E365:E376)</f>
        <v>210.53463235485401</v>
      </c>
    </row>
    <row r="1092" spans="1:5" ht="15">
      <c r="A1092" s="3">
        <f t="shared" si="0"/>
        <v>2044</v>
      </c>
      <c r="B1092" s="4">
        <f>AVERAGE(B377:B388)</f>
        <v>33.122508333333329</v>
      </c>
      <c r="C1092" s="4">
        <f>AVERAGE(C377:C388)</f>
        <v>32.759225000000001</v>
      </c>
      <c r="D1092" s="4">
        <f>AVERAGE(D377:D388)</f>
        <v>44.958958333333328</v>
      </c>
      <c r="E1092" s="4">
        <f>AVERAGE(E377:E388)</f>
        <v>214.26487108904053</v>
      </c>
    </row>
    <row r="1093" spans="1:5" ht="15">
      <c r="A1093" s="3">
        <f t="shared" si="0"/>
        <v>2045</v>
      </c>
      <c r="B1093" s="4">
        <f>AVERAGE(B389:B400)</f>
        <v>33.630849999999995</v>
      </c>
      <c r="C1093" s="4">
        <f>AVERAGE(C389:C400)</f>
        <v>33.267558333333334</v>
      </c>
      <c r="D1093" s="4">
        <f>AVERAGE(D389:D400)</f>
        <v>45.720558333333337</v>
      </c>
      <c r="E1093" s="4">
        <f>AVERAGE(E389:E400)</f>
        <v>218.06120260641046</v>
      </c>
    </row>
    <row r="1094" spans="1:5" ht="15">
      <c r="A1094" s="3">
        <f t="shared" si="0"/>
        <v>2046</v>
      </c>
      <c r="B1094" s="4">
        <f>AVERAGE(B401:B412)</f>
        <v>34.147166666666671</v>
      </c>
      <c r="C1094" s="4">
        <f>AVERAGE(C401:C412)</f>
        <v>33.783899999999996</v>
      </c>
      <c r="D1094" s="4">
        <f>AVERAGE(D401:D412)</f>
        <v>46.495591666666662</v>
      </c>
      <c r="E1094" s="4">
        <f>AVERAGE(E401:E412)</f>
        <v>221.92479794621909</v>
      </c>
    </row>
    <row r="1095" spans="1:5" ht="15">
      <c r="A1095" s="3">
        <f t="shared" si="0"/>
        <v>2047</v>
      </c>
      <c r="B1095" s="4">
        <f>AVERAGE(B413:B424)</f>
        <v>34.671599999999998</v>
      </c>
      <c r="C1095" s="4">
        <f>AVERAGE(C413:C424)</f>
        <v>34.308316666666663</v>
      </c>
      <c r="D1095" s="4">
        <f>AVERAGE(D413:D424)</f>
        <v>47.28435833333333</v>
      </c>
      <c r="E1095" s="4">
        <f>AVERAGE(E413:E424)</f>
        <v>225.85684889632503</v>
      </c>
    </row>
    <row r="1096" spans="1:5" ht="15">
      <c r="A1096" s="3">
        <f t="shared" si="0"/>
        <v>2048</v>
      </c>
      <c r="B1096" s="4">
        <f>AVERAGE(B425:B436)</f>
        <v>35.20430833333333</v>
      </c>
      <c r="C1096" s="4">
        <f>AVERAGE(C425:C436)</f>
        <v>34.841024999999995</v>
      </c>
      <c r="D1096" s="4">
        <f>AVERAGE(D425:D436)</f>
        <v>48.087025000000004</v>
      </c>
      <c r="E1096" s="4">
        <f>AVERAGE(E425:E436)</f>
        <v>229.85856836081612</v>
      </c>
    </row>
    <row r="1097" spans="1:5" ht="15">
      <c r="A1097" s="3">
        <f t="shared" si="0"/>
        <v>2049</v>
      </c>
      <c r="B1097" s="4">
        <f>AVERAGE(B437:B448)</f>
        <v>35.745374999999996</v>
      </c>
      <c r="C1097" s="4">
        <f>AVERAGE(C437:C448)</f>
        <v>35.382083333333334</v>
      </c>
      <c r="D1097" s="4">
        <f>AVERAGE(D437:D448)</f>
        <v>48.903891666666659</v>
      </c>
      <c r="E1097" s="4">
        <f>AVERAGE(E437:E448)</f>
        <v>233.93119073414911</v>
      </c>
    </row>
    <row r="1098" spans="1:5" ht="15">
      <c r="A1098" s="3">
        <f t="shared" si="0"/>
        <v>2050</v>
      </c>
      <c r="B1098" s="4">
        <f>AVERAGE(B449:B460)</f>
        <v>36.294941666666666</v>
      </c>
      <c r="C1098" s="4">
        <f>AVERAGE(C449:C460)</f>
        <v>35.931658333333331</v>
      </c>
      <c r="D1098" s="4">
        <f>AVERAGE(D449:D460)</f>
        <v>49.735166666666657</v>
      </c>
      <c r="E1098" s="4">
        <f>AVERAGE(E449:E460)</f>
        <v>238.07597228191824</v>
      </c>
    </row>
    <row r="1099" spans="1:5" ht="15">
      <c r="A1099" s="3">
        <f t="shared" si="0"/>
        <v>2051</v>
      </c>
      <c r="B1099" s="4">
        <f>AVERAGE(B461:B472)</f>
        <v>36.853166666666667</v>
      </c>
      <c r="C1099" s="4">
        <f>AVERAGE(C461:C472)</f>
        <v>36.489883333333331</v>
      </c>
      <c r="D1099" s="4">
        <f>AVERAGE(D461:D472)</f>
        <v>50.581150000000001</v>
      </c>
      <c r="E1099" s="4">
        <f>AVERAGE(E461:E472)</f>
        <v>242.29419152837139</v>
      </c>
    </row>
    <row r="1100" spans="1:5" ht="15">
      <c r="A1100" s="3">
        <f t="shared" si="0"/>
        <v>2052</v>
      </c>
      <c r="B1100" s="4">
        <f>AVERAGE(B473:B484)</f>
        <v>37.420141666666659</v>
      </c>
      <c r="C1100" s="4">
        <f>AVERAGE(C473:C484)</f>
        <v>37.056883333333332</v>
      </c>
      <c r="D1100" s="4">
        <f>AVERAGE(D473:D484)</f>
        <v>51.442091666666663</v>
      </c>
      <c r="E1100" s="4">
        <f>AVERAGE(E473:E484)</f>
        <v>246.58714965079025</v>
      </c>
    </row>
    <row r="1101" spans="1:5" ht="15">
      <c r="A1101" s="3">
        <f t="shared" si="0"/>
        <v>2053</v>
      </c>
      <c r="B1101" s="4">
        <f>AVERAGE(B485:B496)</f>
        <v>37.99605833333333</v>
      </c>
      <c r="C1101" s="4">
        <f>AVERAGE(C485:C496)</f>
        <v>37.632791666666662</v>
      </c>
      <c r="D1101" s="4">
        <f>AVERAGE(D485:D496)</f>
        <v>52.318241666666658</v>
      </c>
      <c r="E1101" s="4">
        <f>AVERAGE(E485:E496)</f>
        <v>250.95617088085973</v>
      </c>
    </row>
    <row r="1102" spans="1:5" ht="15">
      <c r="A1102" s="3">
        <f t="shared" si="0"/>
        <v>2054</v>
      </c>
      <c r="B1102" s="4">
        <f>AVERAGE(B497:B508)</f>
        <v>38.581041666666657</v>
      </c>
      <c r="C1102" s="4">
        <f>AVERAGE(C497:C508)</f>
        <v>38.217749999999995</v>
      </c>
      <c r="D1102" s="4">
        <f>AVERAGE(D497:D508)</f>
        <v>53.209849999999996</v>
      </c>
      <c r="E1102" s="4">
        <f>AVERAGE(E497:E508)</f>
        <v>255.4026029131484</v>
      </c>
    </row>
    <row r="1103" spans="1:5" ht="15">
      <c r="A1103" s="3">
        <f t="shared" si="0"/>
        <v>2055</v>
      </c>
      <c r="B1103" s="4">
        <f>AVERAGE(B509:B520)</f>
        <v>39.17520833333333</v>
      </c>
      <c r="C1103" s="4">
        <f>AVERAGE(C509:C520)</f>
        <v>38.811933333333336</v>
      </c>
      <c r="D1103" s="4">
        <f>AVERAGE(D509:D520)</f>
        <v>54.117216666666671</v>
      </c>
      <c r="E1103" s="4">
        <f>AVERAGE(E509:E520)</f>
        <v>259.92781732082744</v>
      </c>
    </row>
    <row r="1104" spans="1:5" ht="15">
      <c r="A1104" s="3">
        <f t="shared" si="0"/>
        <v>2056</v>
      </c>
      <c r="B1104" s="4">
        <f>AVERAGE(B521:B532)</f>
        <v>39.778699999999994</v>
      </c>
      <c r="C1104" s="4">
        <f>AVERAGE(C521:C532)</f>
        <v>39.415441666666659</v>
      </c>
      <c r="D1104" s="4">
        <f>AVERAGE(D521:D532)</f>
        <v>55.040616666666665</v>
      </c>
      <c r="E1104" s="4">
        <f>AVERAGE(E521:E532)</f>
        <v>264.53320997875215</v>
      </c>
    </row>
    <row r="1105" spans="1:5" ht="15">
      <c r="A1105" s="3">
        <f t="shared" si="0"/>
        <v>2057</v>
      </c>
      <c r="B1105" s="4">
        <f>AVERAGE(B533:B544)</f>
        <v>40.391724999999994</v>
      </c>
      <c r="C1105" s="4">
        <f>AVERAGE(C533:C544)</f>
        <v>40.028441666666659</v>
      </c>
      <c r="D1105" s="4">
        <f>AVERAGE(D533:D544)</f>
        <v>55.980324999999993</v>
      </c>
      <c r="E1105" s="4">
        <f>AVERAGE(E533:E544)</f>
        <v>269.22020149404375</v>
      </c>
    </row>
    <row r="1106" spans="1:5" ht="15">
      <c r="A1106" s="3">
        <f t="shared" si="0"/>
        <v>2058</v>
      </c>
      <c r="B1106" s="4">
        <f>AVERAGE(B545:B556)</f>
        <v>41.014349999999993</v>
      </c>
      <c r="C1106" s="4">
        <f>AVERAGE(C545:C556)</f>
        <v>40.651074999999992</v>
      </c>
      <c r="D1106" s="4">
        <f>AVERAGE(D545:D556)</f>
        <v>56.936658333333327</v>
      </c>
      <c r="E1106" s="4">
        <f>AVERAGE(E545:E556)</f>
        <v>273.99023764429774</v>
      </c>
    </row>
    <row r="1107" spans="1:5" ht="15">
      <c r="A1107" s="3">
        <f t="shared" si="0"/>
        <v>2059</v>
      </c>
      <c r="B1107" s="4">
        <f>AVERAGE(B557:B568)</f>
        <v>41.646774999999998</v>
      </c>
      <c r="C1107" s="4">
        <f>AVERAGE(C557:C568)</f>
        <v>41.28350833333333</v>
      </c>
      <c r="D1107" s="4">
        <f>AVERAGE(D557:D568)</f>
        <v>57.909866666666666</v>
      </c>
      <c r="E1107" s="4">
        <f>AVERAGE(E557:E568)</f>
        <v>278.84478982355773</v>
      </c>
    </row>
    <row r="1108" spans="1:5" ht="15">
      <c r="A1108" s="3">
        <f t="shared" si="0"/>
        <v>2060</v>
      </c>
      <c r="B1108" s="4">
        <f>AVERAGE(B569:B580)</f>
        <v>42.289158333333326</v>
      </c>
      <c r="C1108" s="4">
        <f>AVERAGE(C569:C580)</f>
        <v>41.925883333333338</v>
      </c>
      <c r="D1108" s="4">
        <f>AVERAGE(D569:D580)</f>
        <v>58.900283333333334</v>
      </c>
      <c r="E1108" s="4">
        <f>AVERAGE(E569:E580)</f>
        <v>283.78535549618914</v>
      </c>
    </row>
    <row r="1109" spans="1:5" ht="15">
      <c r="A1109" s="3">
        <f t="shared" si="0"/>
        <v>2061</v>
      </c>
      <c r="B1109" s="4">
        <f>AVERAGE(B581:B592)</f>
        <v>42.941616666666668</v>
      </c>
      <c r="C1109" s="4">
        <f>AVERAGE(C581:C592)</f>
        <v>42.578350000000007</v>
      </c>
      <c r="D1109" s="4">
        <f>AVERAGE(D581:D592)</f>
        <v>59.908216666666668</v>
      </c>
      <c r="E1109" s="4">
        <f>AVERAGE(E581:E592)</f>
        <v>288.81345865879746</v>
      </c>
    </row>
    <row r="1110" spans="1:5" ht="15">
      <c r="A1110" s="3">
        <f t="shared" si="0"/>
        <v>2062</v>
      </c>
      <c r="B1110" s="4">
        <f t="shared" ref="B1110:E1129" ca="1" si="1">AVERAGE(OFFSET(B$593,($A1110-$A$1110)*12,0,12,1))</f>
        <v>43.604366666666664</v>
      </c>
      <c r="C1110" s="4">
        <f t="shared" ca="1" si="1"/>
        <v>43.241083333333329</v>
      </c>
      <c r="D1110" s="4">
        <f t="shared" ca="1" si="1"/>
        <v>60.933924999999995</v>
      </c>
      <c r="E1110" s="4">
        <f t="shared" ca="1" si="1"/>
        <v>293.93065031032899</v>
      </c>
    </row>
    <row r="1111" spans="1:5" ht="15">
      <c r="A1111" s="3">
        <f t="shared" si="0"/>
        <v>2063</v>
      </c>
      <c r="B1111" s="4">
        <f t="shared" ca="1" si="1"/>
        <v>44.277524999999997</v>
      </c>
      <c r="C1111" s="4">
        <f t="shared" ca="1" si="1"/>
        <v>43.914233333333335</v>
      </c>
      <c r="D1111" s="4">
        <f t="shared" ca="1" si="1"/>
        <v>61.977766666666668</v>
      </c>
      <c r="E1111" s="4">
        <f t="shared" ca="1" si="1"/>
        <v>299.13850893050079</v>
      </c>
    </row>
    <row r="1112" spans="1:5" ht="15">
      <c r="A1112" s="3">
        <f t="shared" si="0"/>
        <v>2064</v>
      </c>
      <c r="B1112" s="4">
        <f t="shared" ca="1" si="1"/>
        <v>44.961266666666667</v>
      </c>
      <c r="C1112" s="4">
        <f t="shared" ca="1" si="1"/>
        <v>44.597999999999992</v>
      </c>
      <c r="D1112" s="4">
        <f t="shared" ca="1" si="1"/>
        <v>63.040066666666668</v>
      </c>
      <c r="E1112" s="4">
        <f t="shared" ca="1" si="1"/>
        <v>304.43864096670887</v>
      </c>
    </row>
    <row r="1113" spans="1:5" ht="15">
      <c r="A1113" s="3">
        <f t="shared" si="0"/>
        <v>2065</v>
      </c>
      <c r="B1113" s="4">
        <f t="shared" ca="1" si="1"/>
        <v>45.655758333333324</v>
      </c>
      <c r="C1113" s="4">
        <f t="shared" ca="1" si="1"/>
        <v>45.292499999999997</v>
      </c>
      <c r="D1113" s="4">
        <f t="shared" ca="1" si="1"/>
        <v>64.121116666666651</v>
      </c>
      <c r="E1113" s="4">
        <f t="shared" ca="1" si="1"/>
        <v>309.83268132956192</v>
      </c>
    </row>
    <row r="1114" spans="1:5" ht="15">
      <c r="A1114" s="3">
        <f t="shared" si="0"/>
        <v>2066</v>
      </c>
      <c r="B1114" s="4">
        <f t="shared" ca="1" si="1"/>
        <v>46.361183333333337</v>
      </c>
      <c r="C1114" s="4">
        <f t="shared" ca="1" si="1"/>
        <v>45.997908333333328</v>
      </c>
      <c r="D1114" s="4">
        <f t="shared" ca="1" si="1"/>
        <v>65.221249999999998</v>
      </c>
      <c r="E1114" s="4">
        <f t="shared" ca="1" si="1"/>
        <v>315.32229389719578</v>
      </c>
    </row>
    <row r="1115" spans="1:5" ht="15">
      <c r="A1115" s="3">
        <f t="shared" si="0"/>
        <v>2067</v>
      </c>
      <c r="B1115" s="4">
        <f t="shared" ca="1" si="1"/>
        <v>47.077674999999999</v>
      </c>
      <c r="C1115" s="4">
        <f t="shared" ca="1" si="1"/>
        <v>46.714391666666664</v>
      </c>
      <c r="D1115" s="4">
        <f t="shared" ca="1" si="1"/>
        <v>66.34086666666667</v>
      </c>
      <c r="E1115" s="4">
        <f t="shared" ca="1" si="1"/>
        <v>320.9091720285241</v>
      </c>
    </row>
    <row r="1116" spans="1:5" ht="15">
      <c r="A1116" s="3">
        <f t="shared" si="0"/>
        <v>2068</v>
      </c>
      <c r="B1116" s="4">
        <f t="shared" ca="1" si="1"/>
        <v>47.805466666666661</v>
      </c>
      <c r="C1116" s="4">
        <f t="shared" ca="1" si="1"/>
        <v>47.442174999999999</v>
      </c>
      <c r="D1116" s="4">
        <f t="shared" ca="1" si="1"/>
        <v>67.480225000000004</v>
      </c>
      <c r="E1116" s="4">
        <f t="shared" ca="1" si="1"/>
        <v>326.59503908558037</v>
      </c>
    </row>
    <row r="1117" spans="1:5" ht="15">
      <c r="A1117" s="3">
        <f t="shared" si="0"/>
        <v>2069</v>
      </c>
      <c r="B1117" s="4">
        <f t="shared" ca="1" si="1"/>
        <v>48.544675000000005</v>
      </c>
      <c r="C1117" s="4">
        <f t="shared" ca="1" si="1"/>
        <v>48.181391666666663</v>
      </c>
      <c r="D1117" s="4">
        <f t="shared" ca="1" si="1"/>
        <v>68.639733333333325</v>
      </c>
      <c r="E1117" s="4">
        <f t="shared" ca="1" si="1"/>
        <v>332.38164896511876</v>
      </c>
    </row>
    <row r="1118" spans="1:5" ht="15">
      <c r="A1118" s="3">
        <f t="shared" ref="A1118:A1148" si="2">A1117+1</f>
        <v>2070</v>
      </c>
      <c r="B1118" s="4">
        <f t="shared" ca="1" si="1"/>
        <v>49.295524999999991</v>
      </c>
      <c r="C1118" s="4">
        <f t="shared" ca="1" si="1"/>
        <v>48.932249999999989</v>
      </c>
      <c r="D1118" s="4">
        <f t="shared" ca="1" si="1"/>
        <v>69.819725000000005</v>
      </c>
      <c r="E1118" s="4">
        <f t="shared" ca="1" si="1"/>
        <v>338.27078663962919</v>
      </c>
    </row>
    <row r="1119" spans="1:5" ht="15">
      <c r="A1119" s="3">
        <f t="shared" si="2"/>
        <v>2071</v>
      </c>
      <c r="B1119" s="4">
        <f t="shared" ca="1" si="1"/>
        <v>50.058174999999984</v>
      </c>
      <c r="C1119" s="4">
        <f t="shared" ca="1" si="1"/>
        <v>49.694891666666656</v>
      </c>
      <c r="D1119" s="4">
        <f t="shared" ca="1" si="1"/>
        <v>71.020558333333341</v>
      </c>
      <c r="E1119" s="4">
        <f t="shared" ca="1" si="1"/>
        <v>344.26426870794285</v>
      </c>
    </row>
    <row r="1120" spans="1:5" ht="15">
      <c r="A1120" s="3">
        <f t="shared" si="2"/>
        <v>2072</v>
      </c>
      <c r="B1120" s="4">
        <f t="shared" ca="1" si="1"/>
        <v>50.832825000000007</v>
      </c>
      <c r="C1120" s="4">
        <f t="shared" ca="1" si="1"/>
        <v>50.469549999999991</v>
      </c>
      <c r="D1120" s="4">
        <f t="shared" ca="1" si="1"/>
        <v>72.24262499999999</v>
      </c>
      <c r="E1120" s="4">
        <f t="shared" ca="1" si="1"/>
        <v>350.36394395559006</v>
      </c>
    </row>
    <row r="1121" spans="1:5" ht="15">
      <c r="A1121" s="3">
        <f t="shared" si="2"/>
        <v>2073</v>
      </c>
      <c r="B1121" s="4">
        <f t="shared" ca="1" si="1"/>
        <v>51.61965</v>
      </c>
      <c r="C1121" s="4">
        <f t="shared" ca="1" si="1"/>
        <v>51.256366666666658</v>
      </c>
      <c r="D1121" s="4">
        <f t="shared" ca="1" si="1"/>
        <v>73.486266666666666</v>
      </c>
      <c r="E1121" s="4">
        <f t="shared" ca="1" si="1"/>
        <v>356.57169392508769</v>
      </c>
    </row>
    <row r="1122" spans="1:5" ht="15">
      <c r="A1122" s="3">
        <f t="shared" si="2"/>
        <v>2074</v>
      </c>
      <c r="B1122" s="4">
        <f t="shared" ca="1" si="1"/>
        <v>52.418841666666658</v>
      </c>
      <c r="C1122" s="4">
        <f t="shared" ca="1" si="1"/>
        <v>52.05554999999999</v>
      </c>
      <c r="D1122" s="4">
        <f t="shared" ca="1" si="1"/>
        <v>74.751891666666651</v>
      </c>
      <c r="E1122" s="4">
        <f t="shared" ca="1" si="1"/>
        <v>362.88943349633172</v>
      </c>
    </row>
    <row r="1123" spans="1:5" ht="15">
      <c r="A1123" s="3">
        <f t="shared" si="2"/>
        <v>2075</v>
      </c>
      <c r="B1123" s="4">
        <f t="shared" ca="1" si="1"/>
        <v>53.230616666666663</v>
      </c>
      <c r="C1123" s="4">
        <f t="shared" ca="1" si="1"/>
        <v>52.867333333333328</v>
      </c>
      <c r="D1123" s="4">
        <f t="shared" ca="1" si="1"/>
        <v>76.039875000000009</v>
      </c>
      <c r="E1123" s="4">
        <f t="shared" ca="1" si="1"/>
        <v>369.31911147727209</v>
      </c>
    </row>
    <row r="1124" spans="1:5" ht="15">
      <c r="A1124" s="3">
        <f t="shared" si="2"/>
        <v>2076</v>
      </c>
      <c r="B1124" s="4">
        <f t="shared" ca="1" si="1"/>
        <v>54.055124999999997</v>
      </c>
      <c r="C1124" s="4">
        <f t="shared" ca="1" si="1"/>
        <v>53.691849999999988</v>
      </c>
      <c r="D1124" s="4">
        <f t="shared" ca="1" si="1"/>
        <v>77.350608333333327</v>
      </c>
      <c r="E1124" s="4">
        <f t="shared" ca="1" si="1"/>
        <v>375.86271120505415</v>
      </c>
    </row>
    <row r="1125" spans="1:5" ht="15">
      <c r="A1125" s="3">
        <f t="shared" si="2"/>
        <v>2077</v>
      </c>
      <c r="B1125" s="4">
        <f t="shared" ca="1" si="1"/>
        <v>54.892633333333329</v>
      </c>
      <c r="C1125" s="4">
        <f t="shared" ca="1" si="1"/>
        <v>54.529349999999994</v>
      </c>
      <c r="D1125" s="4">
        <f t="shared" ca="1" si="1"/>
        <v>78.684516666666667</v>
      </c>
      <c r="E1125" s="4">
        <f t="shared" ca="1" si="1"/>
        <v>382.52225115780999</v>
      </c>
    </row>
    <row r="1126" spans="1:5" ht="15">
      <c r="A1126" s="3">
        <f t="shared" si="2"/>
        <v>2078</v>
      </c>
      <c r="B1126" s="4">
        <f t="shared" ca="1" si="1"/>
        <v>55.743283333333331</v>
      </c>
      <c r="C1126" s="4">
        <f t="shared" ca="1" si="1"/>
        <v>55.380008333333336</v>
      </c>
      <c r="D1126" s="4">
        <f t="shared" ca="1" si="1"/>
        <v>80.041991666666675</v>
      </c>
      <c r="E1126" s="4">
        <f t="shared" ca="1" si="1"/>
        <v>389.29978557729191</v>
      </c>
    </row>
    <row r="1127" spans="1:5" ht="15">
      <c r="A1127" s="3">
        <f t="shared" si="2"/>
        <v>2079</v>
      </c>
      <c r="B1127" s="4">
        <f t="shared" ca="1" si="1"/>
        <v>56.607324999999996</v>
      </c>
      <c r="C1127" s="4">
        <f t="shared" ca="1" si="1"/>
        <v>56.244049999999987</v>
      </c>
      <c r="D1127" s="4">
        <f t="shared" ca="1" si="1"/>
        <v>81.423416666666668</v>
      </c>
      <c r="E1127" s="4">
        <f t="shared" ca="1" si="1"/>
        <v>396.19740510253411</v>
      </c>
    </row>
    <row r="1128" spans="1:5" ht="15">
      <c r="A1128" s="3">
        <f t="shared" si="2"/>
        <v>2080</v>
      </c>
      <c r="B1128" s="4">
        <f t="shared" ca="1" si="1"/>
        <v>57.484966666666658</v>
      </c>
      <c r="C1128" s="4">
        <f t="shared" ca="1" si="1"/>
        <v>57.121691666666663</v>
      </c>
      <c r="D1128" s="4">
        <f t="shared" ca="1" si="1"/>
        <v>82.829283333333322</v>
      </c>
      <c r="E1128" s="4">
        <f t="shared" ca="1" si="1"/>
        <v>403.2172374147454</v>
      </c>
    </row>
    <row r="1129" spans="1:5" ht="15">
      <c r="A1129" s="3">
        <f t="shared" si="2"/>
        <v>2081</v>
      </c>
      <c r="B1129" s="4">
        <f t="shared" ca="1" si="1"/>
        <v>58.376391666666656</v>
      </c>
      <c r="C1129" s="4">
        <f t="shared" ca="1" si="1"/>
        <v>58.013100000000001</v>
      </c>
      <c r="D1129" s="4">
        <f t="shared" ca="1" si="1"/>
        <v>84.259991666666664</v>
      </c>
      <c r="E1129" s="4">
        <f t="shared" ca="1" si="1"/>
        <v>410.36144789362584</v>
      </c>
    </row>
    <row r="1130" spans="1:5" ht="15">
      <c r="A1130" s="3">
        <f t="shared" si="2"/>
        <v>2082</v>
      </c>
      <c r="B1130" s="4">
        <f t="shared" ref="B1130:E1148" ca="1" si="3">AVERAGE(OFFSET(B$593,($A1130-$A$1110)*12,0,12,1))</f>
        <v>59.281833333333331</v>
      </c>
      <c r="C1130" s="4">
        <f t="shared" ca="1" si="3"/>
        <v>58.918575000000004</v>
      </c>
      <c r="D1130" s="4">
        <f t="shared" ca="1" si="3"/>
        <v>85.715958333333333</v>
      </c>
      <c r="E1130" s="4">
        <f t="shared" ca="1" si="3"/>
        <v>417.63224028531278</v>
      </c>
    </row>
    <row r="1131" spans="1:5" ht="15">
      <c r="A1131" s="3">
        <f t="shared" si="2"/>
        <v>2083</v>
      </c>
      <c r="B1131" s="4">
        <f t="shared" ca="1" si="3"/>
        <v>60.201525000000004</v>
      </c>
      <c r="C1131" s="4">
        <f t="shared" ca="1" si="3"/>
        <v>59.838241666666654</v>
      </c>
      <c r="D1131" s="4">
        <f t="shared" ca="1" si="3"/>
        <v>87.19765000000001</v>
      </c>
      <c r="E1131" s="4">
        <f t="shared" ca="1" si="3"/>
        <v>425.03185738216206</v>
      </c>
    </row>
    <row r="1132" spans="1:5" ht="15">
      <c r="A1132" s="3">
        <f t="shared" si="2"/>
        <v>2084</v>
      </c>
      <c r="B1132" s="4">
        <f t="shared" ca="1" si="3"/>
        <v>61.13566666666668</v>
      </c>
      <c r="C1132" s="4">
        <f t="shared" ca="1" si="3"/>
        <v>60.77237499999999</v>
      </c>
      <c r="D1132" s="4">
        <f t="shared" ca="1" si="3"/>
        <v>88.705550000000002</v>
      </c>
      <c r="E1132" s="4">
        <f t="shared" ca="1" si="3"/>
        <v>432.56258171457301</v>
      </c>
    </row>
    <row r="1133" spans="1:5" ht="15">
      <c r="A1133" s="3">
        <f t="shared" si="2"/>
        <v>2085</v>
      </c>
      <c r="B1133" s="4">
        <f t="shared" ca="1" si="3"/>
        <v>62.084516666666666</v>
      </c>
      <c r="C1133" s="4">
        <f t="shared" ca="1" si="3"/>
        <v>61.721233333333338</v>
      </c>
      <c r="D1133" s="4">
        <f t="shared" ca="1" si="3"/>
        <v>90.240049999999997</v>
      </c>
      <c r="E1133" s="4">
        <f t="shared" ca="1" si="3"/>
        <v>440.22673625507105</v>
      </c>
    </row>
    <row r="1134" spans="1:5" ht="15">
      <c r="A1134" s="3">
        <f t="shared" si="2"/>
        <v>2086</v>
      </c>
      <c r="B1134" s="4">
        <f t="shared" ca="1" si="3"/>
        <v>63.04825833333333</v>
      </c>
      <c r="C1134" s="4">
        <f t="shared" ca="1" si="3"/>
        <v>62.684991666666662</v>
      </c>
      <c r="D1134" s="4">
        <f t="shared" ca="1" si="3"/>
        <v>91.801683333333315</v>
      </c>
      <c r="E1134" s="4">
        <f t="shared" ca="1" si="3"/>
        <v>448.02668513486674</v>
      </c>
    </row>
    <row r="1135" spans="1:5" ht="15">
      <c r="A1135" s="3">
        <f t="shared" si="2"/>
        <v>2087</v>
      </c>
      <c r="B1135" s="4">
        <f t="shared" ca="1" si="3"/>
        <v>64.027175</v>
      </c>
      <c r="C1135" s="4">
        <f t="shared" ca="1" si="3"/>
        <v>63.663900000000005</v>
      </c>
      <c r="D1135" s="4">
        <f t="shared" ca="1" si="3"/>
        <v>93.390908333333314</v>
      </c>
      <c r="E1135" s="4">
        <f t="shared" ca="1" si="3"/>
        <v>455.96483437310877</v>
      </c>
    </row>
    <row r="1136" spans="1:5" ht="15">
      <c r="A1136" s="3">
        <f t="shared" si="2"/>
        <v>2088</v>
      </c>
      <c r="B1136" s="4">
        <f t="shared" ca="1" si="3"/>
        <v>65.021474999999995</v>
      </c>
      <c r="C1136" s="4">
        <f t="shared" ca="1" si="3"/>
        <v>64.658224999999987</v>
      </c>
      <c r="D1136" s="4">
        <f t="shared" ca="1" si="3"/>
        <v>95.008208333333343</v>
      </c>
      <c r="E1136" s="4">
        <f t="shared" ca="1" si="3"/>
        <v>464.04363261906013</v>
      </c>
    </row>
    <row r="1137" spans="1:5" ht="15">
      <c r="A1137" s="3">
        <f t="shared" si="2"/>
        <v>2089</v>
      </c>
      <c r="B1137" s="4">
        <f t="shared" ca="1" si="3"/>
        <v>66.031424999999984</v>
      </c>
      <c r="C1137" s="4">
        <f t="shared" ca="1" si="3"/>
        <v>65.66813333333333</v>
      </c>
      <c r="D1137" s="4">
        <f t="shared" ca="1" si="3"/>
        <v>96.654083333333347</v>
      </c>
      <c r="E1137" s="4">
        <f t="shared" ca="1" si="3"/>
        <v>472.26557190742272</v>
      </c>
    </row>
    <row r="1138" spans="1:5" ht="15">
      <c r="A1138" s="3">
        <f t="shared" si="2"/>
        <v>2090</v>
      </c>
      <c r="B1138" s="4">
        <f t="shared" ca="1" si="3"/>
        <v>67.057258333333323</v>
      </c>
      <c r="C1138" s="4">
        <f t="shared" ca="1" si="3"/>
        <v>66.693966666666668</v>
      </c>
      <c r="D1138" s="4">
        <f t="shared" ca="1" si="3"/>
        <v>98.329049999999995</v>
      </c>
      <c r="E1138" s="4">
        <f t="shared" ca="1" si="3"/>
        <v>480.63318842704484</v>
      </c>
    </row>
    <row r="1139" spans="1:5" ht="15">
      <c r="A1139" s="3">
        <f t="shared" si="2"/>
        <v>2091</v>
      </c>
      <c r="B1139" s="4">
        <f t="shared" ca="1" si="3"/>
        <v>68.099208333333337</v>
      </c>
      <c r="C1139" s="4">
        <f t="shared" ca="1" si="3"/>
        <v>67.735916666666654</v>
      </c>
      <c r="D1139" s="4">
        <f t="shared" ca="1" si="3"/>
        <v>100.033575</v>
      </c>
      <c r="E1139" s="4">
        <f t="shared" ca="1" si="3"/>
        <v>489.1490633032509</v>
      </c>
    </row>
    <row r="1140" spans="1:5" ht="15">
      <c r="A1140" s="3">
        <f t="shared" si="2"/>
        <v>2092</v>
      </c>
      <c r="B1140" s="4">
        <f t="shared" ca="1" si="3"/>
        <v>69.157533333333319</v>
      </c>
      <c r="C1140" s="4">
        <f t="shared" ca="1" si="3"/>
        <v>68.794241666666665</v>
      </c>
      <c r="D1140" s="4">
        <f t="shared" ca="1" si="3"/>
        <v>101.76825833333332</v>
      </c>
      <c r="E1140" s="4">
        <f t="shared" ca="1" si="3"/>
        <v>497.81582339402871</v>
      </c>
    </row>
    <row r="1141" spans="1:5" ht="15">
      <c r="A1141" s="3">
        <f t="shared" si="2"/>
        <v>2093</v>
      </c>
      <c r="B1141" s="4">
        <f t="shared" ca="1" si="3"/>
        <v>70.232524999999995</v>
      </c>
      <c r="C1141" s="4">
        <f t="shared" ca="1" si="3"/>
        <v>69.869241666666667</v>
      </c>
      <c r="D1141" s="4">
        <f t="shared" ca="1" si="3"/>
        <v>103.533575</v>
      </c>
      <c r="E1141" s="4">
        <f t="shared" ca="1" si="3"/>
        <v>506.63614210032733</v>
      </c>
    </row>
    <row r="1142" spans="1:5" ht="15">
      <c r="A1142" s="3">
        <f t="shared" si="2"/>
        <v>2094</v>
      </c>
      <c r="B1142" s="4">
        <f t="shared" ca="1" si="3"/>
        <v>71.324383333333344</v>
      </c>
      <c r="C1142" s="4">
        <f t="shared" ca="1" si="3"/>
        <v>70.961108333333328</v>
      </c>
      <c r="D1142" s="4">
        <f t="shared" ca="1" si="3"/>
        <v>105.33007499999998</v>
      </c>
      <c r="E1142" s="4">
        <f t="shared" ca="1" si="3"/>
        <v>515.61274019071038</v>
      </c>
    </row>
    <row r="1143" spans="1:5" ht="15">
      <c r="A1143" s="3">
        <f t="shared" si="2"/>
        <v>2095</v>
      </c>
      <c r="B1143" s="4">
        <f t="shared" ca="1" si="3"/>
        <v>72.43345833333332</v>
      </c>
      <c r="C1143" s="4">
        <f t="shared" ca="1" si="3"/>
        <v>72.070174999999992</v>
      </c>
      <c r="D1143" s="4">
        <f t="shared" ca="1" si="3"/>
        <v>107.158325</v>
      </c>
      <c r="E1143" s="4">
        <f t="shared" ca="1" si="3"/>
        <v>524.74838664061951</v>
      </c>
    </row>
    <row r="1144" spans="1:5" ht="15">
      <c r="A1144" s="3">
        <f t="shared" si="2"/>
        <v>2096</v>
      </c>
      <c r="B1144" s="4">
        <f t="shared" ca="1" si="3"/>
        <v>73.55994166666666</v>
      </c>
      <c r="C1144" s="4">
        <f t="shared" ca="1" si="3"/>
        <v>73.196675000000013</v>
      </c>
      <c r="D1144" s="4">
        <f t="shared" ca="1" si="3"/>
        <v>109.01885833333334</v>
      </c>
      <c r="E1144" s="4">
        <f t="shared" ca="1" si="3"/>
        <v>534.04589948651096</v>
      </c>
    </row>
    <row r="1145" spans="1:5" ht="15">
      <c r="A1145" s="3">
        <f t="shared" si="2"/>
        <v>2097</v>
      </c>
      <c r="B1145" s="4">
        <f t="shared" ca="1" si="3"/>
        <v>74.704158333333325</v>
      </c>
      <c r="C1145" s="4">
        <f t="shared" ca="1" si="3"/>
        <v>74.34086666666667</v>
      </c>
      <c r="D1145" s="4">
        <f t="shared" ca="1" si="3"/>
        <v>110.91228333333333</v>
      </c>
      <c r="E1145" s="4">
        <f t="shared" ca="1" si="3"/>
        <v>543.50814669512272</v>
      </c>
    </row>
    <row r="1146" spans="1:5" ht="15">
      <c r="A1146" s="3">
        <f t="shared" si="2"/>
        <v>2098</v>
      </c>
      <c r="B1146" s="4">
        <f t="shared" ca="1" si="3"/>
        <v>75.866341666666656</v>
      </c>
      <c r="C1146" s="4">
        <f t="shared" ca="1" si="3"/>
        <v>75.50307500000001</v>
      </c>
      <c r="D1146" s="4">
        <f t="shared" ca="1" si="3"/>
        <v>112.83917500000001</v>
      </c>
      <c r="E1146" s="4">
        <f t="shared" ca="1" si="3"/>
        <v>553.13804704814459</v>
      </c>
    </row>
    <row r="1147" spans="1:5" ht="15">
      <c r="A1147" s="3">
        <f t="shared" si="2"/>
        <v>2099</v>
      </c>
      <c r="B1147" s="4">
        <f t="shared" ca="1" si="3"/>
        <v>77.046833333333339</v>
      </c>
      <c r="C1147" s="4">
        <f t="shared" ca="1" si="3"/>
        <v>76.68353333333333</v>
      </c>
      <c r="D1147" s="4">
        <f t="shared" ca="1" si="3"/>
        <v>114.80009999999999</v>
      </c>
      <c r="E1147" s="4">
        <f t="shared" ca="1" si="3"/>
        <v>562.93857104256506</v>
      </c>
    </row>
    <row r="1148" spans="1:5" ht="15">
      <c r="A1148" s="3">
        <f t="shared" si="2"/>
        <v>2100</v>
      </c>
      <c r="B1148" s="4">
        <f t="shared" ca="1" si="3"/>
        <v>78.245858333333331</v>
      </c>
      <c r="C1148" s="4">
        <f t="shared" ca="1" si="3"/>
        <v>77.882575000000003</v>
      </c>
      <c r="D1148" s="4">
        <f t="shared" ca="1" si="3"/>
        <v>116.79564999999998</v>
      </c>
      <c r="E1148" s="4">
        <f t="shared" ca="1" si="3"/>
        <v>572.91274180696644</v>
      </c>
    </row>
    <row r="1149" spans="1:5">
      <c r="A1149" s="36"/>
    </row>
    <row r="1150" spans="1:5">
      <c r="A1150" s="36"/>
    </row>
    <row r="1151" spans="1:5">
      <c r="A1151" s="36"/>
    </row>
    <row r="1152" spans="1:5">
      <c r="A1152" s="36"/>
    </row>
    <row r="1153" spans="1:1">
      <c r="A1153" s="36"/>
    </row>
    <row r="1154" spans="1:1">
      <c r="A1154" s="36"/>
    </row>
    <row r="1155" spans="1:1">
      <c r="A1155" s="36"/>
    </row>
    <row r="1156" spans="1:1">
      <c r="A1156" s="36"/>
    </row>
    <row r="1157" spans="1:1">
      <c r="A1157" s="36"/>
    </row>
    <row r="1158" spans="1:1">
      <c r="A1158" s="36"/>
    </row>
    <row r="1159" spans="1:1">
      <c r="A1159" s="36"/>
    </row>
    <row r="1160" spans="1:1">
      <c r="A1160" s="36"/>
    </row>
    <row r="1161" spans="1:1">
      <c r="A1161" s="36"/>
    </row>
    <row r="1162" spans="1:1">
      <c r="A1162" s="36"/>
    </row>
    <row r="1163" spans="1:1">
      <c r="A1163" s="36"/>
    </row>
    <row r="1164" spans="1:1">
      <c r="A1164" s="36"/>
    </row>
    <row r="1165" spans="1:1">
      <c r="A1165" s="36"/>
    </row>
    <row r="1166" spans="1:1">
      <c r="A1166" s="36"/>
    </row>
    <row r="1167" spans="1:1">
      <c r="A1167" s="36"/>
    </row>
    <row r="1168" spans="1:1">
      <c r="A1168" s="36"/>
    </row>
  </sheetData>
  <mergeCells count="1">
    <mergeCell ref="B14:C14"/>
  </mergeCells>
  <pageMargins left="0.25" right="0.25" top="0.5" bottom="0.5" header="0.25" footer="0.25"/>
  <pageSetup orientation="portrait" horizontalDpi="1200" verticalDpi="1200" r:id="rId1"/>
  <headerFooter alignWithMargins="0">
    <oddFooter>&amp;R&amp;A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locked="0" defaultSize="0" autoLine="0" autoPict="0">
                <anchor moveWithCells="1">
                  <from>
                    <xdr:col>1</xdr:col>
                    <xdr:colOff>133350</xdr:colOff>
                    <xdr:row>9</xdr:row>
                    <xdr:rowOff>171450</xdr:rowOff>
                  </from>
                  <to>
                    <xdr:col>2</xdr:col>
                    <xdr:colOff>666750</xdr:colOff>
                    <xdr:row>11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Drop Down 2">
              <controlPr locked="0" defaultSize="0" autoLine="0" autoPict="0">
                <anchor moveWithCells="1">
                  <from>
                    <xdr:col>3</xdr:col>
                    <xdr:colOff>19050</xdr:colOff>
                    <xdr:row>9</xdr:row>
                    <xdr:rowOff>171450</xdr:rowOff>
                  </from>
                  <to>
                    <xdr:col>4</xdr:col>
                    <xdr:colOff>371475</xdr:colOff>
                    <xdr:row>11</xdr:row>
                    <xdr:rowOff>95250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5"/>
  <dimension ref="A1:O1148"/>
  <sheetViews>
    <sheetView zoomScale="70" zoomScaleNormal="70" workbookViewId="0">
      <pane xSplit="1" ySplit="16" topLeftCell="B1147" activePane="bottomRight" state="frozen"/>
      <selection activeCell="A7" sqref="A7"/>
      <selection pane="topRight" activeCell="A7" sqref="A7"/>
      <selection pane="bottomLeft" activeCell="A7" sqref="A7"/>
      <selection pane="bottomRight" activeCell="C17" sqref="C17"/>
    </sheetView>
  </sheetViews>
  <sheetFormatPr defaultColWidth="7.109375" defaultRowHeight="12.75"/>
  <cols>
    <col min="1" max="1" width="14.5546875" style="36" customWidth="1"/>
    <col min="2" max="2" width="19" style="36" customWidth="1"/>
    <col min="3" max="3" width="16.109375" style="36" customWidth="1"/>
    <col min="4" max="4" width="20.21875" style="36" customWidth="1"/>
    <col min="5" max="5" width="20.6640625" style="36" customWidth="1"/>
    <col min="6" max="6" width="16.109375" style="36" customWidth="1"/>
    <col min="7" max="9" width="20" style="36" customWidth="1"/>
    <col min="10" max="11" width="19.109375" style="36" customWidth="1"/>
    <col min="12" max="12" width="16.109375" style="36" customWidth="1"/>
    <col min="13" max="15" width="17.6640625" style="36" customWidth="1"/>
    <col min="16" max="16384" width="7.109375" style="36"/>
  </cols>
  <sheetData>
    <row r="1" spans="1:15" ht="15.75">
      <c r="A1" s="88" t="s">
        <v>64</v>
      </c>
    </row>
    <row r="2" spans="1:15" ht="15.75">
      <c r="A2" s="88" t="s">
        <v>65</v>
      </c>
    </row>
    <row r="3" spans="1:15" ht="15.75">
      <c r="A3" s="88" t="s">
        <v>66</v>
      </c>
    </row>
    <row r="4" spans="1:15" ht="15.75">
      <c r="A4" s="88" t="s">
        <v>67</v>
      </c>
    </row>
    <row r="5" spans="1:15" ht="15.75">
      <c r="A5" s="88" t="s">
        <v>69</v>
      </c>
    </row>
    <row r="6" spans="1:15" ht="15.75">
      <c r="A6" s="88" t="s">
        <v>71</v>
      </c>
    </row>
    <row r="9" spans="1:15" ht="15" customHeight="1">
      <c r="A9" s="78" t="s">
        <v>25</v>
      </c>
    </row>
    <row r="10" spans="1:15" ht="15" customHeight="1">
      <c r="A10" s="79"/>
    </row>
    <row r="11" spans="1:15" ht="15" customHeight="1">
      <c r="A11" s="79"/>
    </row>
    <row r="12" spans="1:15" ht="15" customHeight="1">
      <c r="B12" s="78"/>
      <c r="H12" s="75" t="s">
        <v>51</v>
      </c>
    </row>
    <row r="13" spans="1:15" ht="15" customHeight="1">
      <c r="A13" s="78"/>
      <c r="B13" s="77" t="s">
        <v>24</v>
      </c>
      <c r="C13" s="76">
        <f>1-0.149</f>
        <v>0.85099999999999998</v>
      </c>
      <c r="D13" s="77" t="s">
        <v>23</v>
      </c>
      <c r="E13" s="76">
        <f>1+0.149</f>
        <v>1.149</v>
      </c>
      <c r="H13" s="75"/>
      <c r="L13" s="93"/>
      <c r="M13" s="93"/>
      <c r="N13" s="93"/>
      <c r="O13" s="93"/>
    </row>
    <row r="14" spans="1:15" ht="15" customHeight="1">
      <c r="B14" s="92" t="s">
        <v>50</v>
      </c>
      <c r="C14" s="92"/>
      <c r="D14" s="92"/>
      <c r="E14" s="94" t="s">
        <v>49</v>
      </c>
      <c r="F14" s="94"/>
      <c r="G14" s="95"/>
      <c r="H14" s="96" t="s">
        <v>48</v>
      </c>
      <c r="I14" s="96"/>
      <c r="J14" s="95" t="s">
        <v>47</v>
      </c>
      <c r="K14" s="95"/>
      <c r="L14" s="93"/>
      <c r="M14" s="93"/>
      <c r="N14" s="93"/>
      <c r="O14" s="93"/>
    </row>
    <row r="15" spans="1:15" ht="63">
      <c r="B15" s="74" t="s">
        <v>46</v>
      </c>
      <c r="C15" s="73" t="s">
        <v>45</v>
      </c>
      <c r="D15" s="72" t="s">
        <v>44</v>
      </c>
      <c r="E15" s="74" t="s">
        <v>46</v>
      </c>
      <c r="F15" s="73" t="s">
        <v>45</v>
      </c>
      <c r="G15" s="72" t="s">
        <v>44</v>
      </c>
      <c r="H15" s="73" t="s">
        <v>45</v>
      </c>
      <c r="I15" s="72" t="s">
        <v>44</v>
      </c>
      <c r="J15" s="73" t="s">
        <v>45</v>
      </c>
      <c r="K15" s="72" t="s">
        <v>44</v>
      </c>
      <c r="L15" s="64"/>
      <c r="M15" s="71"/>
      <c r="N15" s="71"/>
      <c r="O15" s="71"/>
    </row>
    <row r="16" spans="1:15" ht="20.25">
      <c r="A16" s="28" t="s">
        <v>2</v>
      </c>
      <c r="B16" s="70" t="s">
        <v>1</v>
      </c>
      <c r="C16" s="70" t="s">
        <v>1</v>
      </c>
      <c r="D16" s="70" t="s">
        <v>1</v>
      </c>
      <c r="E16" s="70" t="s">
        <v>1</v>
      </c>
      <c r="F16" s="70" t="s">
        <v>1</v>
      </c>
      <c r="G16" s="70" t="s">
        <v>1</v>
      </c>
      <c r="H16" s="70" t="s">
        <v>1</v>
      </c>
      <c r="I16" s="70" t="s">
        <v>1</v>
      </c>
      <c r="J16" s="70" t="s">
        <v>1</v>
      </c>
      <c r="K16" s="70" t="s">
        <v>1</v>
      </c>
      <c r="L16" s="69"/>
      <c r="M16" s="69"/>
      <c r="N16" s="69"/>
      <c r="O16" s="69"/>
    </row>
    <row r="17" spans="1:14" ht="15">
      <c r="A17" s="13">
        <v>41640</v>
      </c>
      <c r="B17" s="67">
        <f>2.3642 * CHOOSE(CONTROL!$C$22, $C$13, 100%, $E$13)</f>
        <v>2.3641999999999999</v>
      </c>
      <c r="C17" s="67">
        <f>2.3216 * CHOOSE(CONTROL!$C$22, $C$13, 100%, $E$13)</f>
        <v>2.3216000000000001</v>
      </c>
      <c r="D17" s="67">
        <f>2.3226 * CHOOSE(CONTROL!$C$22, $C$13, 100%, $E$13)</f>
        <v>2.3226</v>
      </c>
      <c r="E17" s="68">
        <f>3.382 * CHOOSE(CONTROL!$C$22, $C$13, 100%, $E$13)</f>
        <v>3.3820000000000001</v>
      </c>
      <c r="F17" s="68">
        <f>3.561 * CHOOSE(CONTROL!$C$22, $C$13, 100%, $E$13)</f>
        <v>3.5609999999999999</v>
      </c>
      <c r="G17" s="68">
        <f>3.5639 * CHOOSE(CONTROL!$C$22, $C$13, 100%, $E$13)</f>
        <v>3.5638999999999998</v>
      </c>
      <c r="H17" s="68">
        <f>5.9* CHOOSE(CONTROL!$C$22, $C$13, 100%, $E$13)</f>
        <v>5.9</v>
      </c>
      <c r="I17" s="68">
        <f>5.9029 * CHOOSE(CONTROL!$C$22, $C$13, 100%, $E$13)</f>
        <v>5.9028999999999998</v>
      </c>
      <c r="J17" s="68">
        <f>3.382 * CHOOSE(CONTROL!$C$22, $C$13, 100%, $E$13)</f>
        <v>3.3820000000000001</v>
      </c>
      <c r="K17" s="68">
        <f>3.3849 * CHOOSE(CONTROL!$C$22, $C$13, 100%, $E$13)</f>
        <v>3.3849</v>
      </c>
      <c r="L17" s="4"/>
      <c r="M17" s="68"/>
      <c r="N17" s="68"/>
    </row>
    <row r="18" spans="1:14" ht="15">
      <c r="A18" s="13">
        <v>41671</v>
      </c>
      <c r="B18" s="67">
        <f>2.3685 * CHOOSE(CONTROL!$C$22, $C$13, 100%, $E$13)</f>
        <v>2.3685</v>
      </c>
      <c r="C18" s="67">
        <f>2.329 * CHOOSE(CONTROL!$C$22, $C$13, 100%, $E$13)</f>
        <v>2.3290000000000002</v>
      </c>
      <c r="D18" s="67">
        <f>2.33 * CHOOSE(CONTROL!$C$22, $C$13, 100%, $E$13)</f>
        <v>2.33</v>
      </c>
      <c r="E18" s="68">
        <f>3.3397 * CHOOSE(CONTROL!$C$22, $C$13, 100%, $E$13)</f>
        <v>3.3397000000000001</v>
      </c>
      <c r="F18" s="68">
        <f>3.561 * CHOOSE(CONTROL!$C$22, $C$13, 100%, $E$13)</f>
        <v>3.5609999999999999</v>
      </c>
      <c r="G18" s="68">
        <f>3.5639 * CHOOSE(CONTROL!$C$22, $C$13, 100%, $E$13)</f>
        <v>3.5638999999999998</v>
      </c>
      <c r="H18" s="68">
        <f>5.9123* CHOOSE(CONTROL!$C$22, $C$13, 100%, $E$13)</f>
        <v>5.9123000000000001</v>
      </c>
      <c r="I18" s="68">
        <f>5.9151 * CHOOSE(CONTROL!$C$22, $C$13, 100%, $E$13)</f>
        <v>5.9150999999999998</v>
      </c>
      <c r="J18" s="68">
        <f>3.3397 * CHOOSE(CONTROL!$C$22, $C$13, 100%, $E$13)</f>
        <v>3.3397000000000001</v>
      </c>
      <c r="K18" s="68">
        <f>3.3425 * CHOOSE(CONTROL!$C$22, $C$13, 100%, $E$13)</f>
        <v>3.3424999999999998</v>
      </c>
      <c r="L18" s="4"/>
      <c r="M18" s="68"/>
      <c r="N18" s="68"/>
    </row>
    <row r="19" spans="1:14" ht="15">
      <c r="A19" s="13">
        <v>41699</v>
      </c>
      <c r="B19" s="67">
        <f>2.3683 * CHOOSE(CONTROL!$C$22, $C$13, 100%, $E$13)</f>
        <v>2.3683000000000001</v>
      </c>
      <c r="C19" s="67">
        <f>2.3227 * CHOOSE(CONTROL!$C$22, $C$13, 100%, $E$13)</f>
        <v>2.3227000000000002</v>
      </c>
      <c r="D19" s="67">
        <f>2.3237 * CHOOSE(CONTROL!$C$22, $C$13, 100%, $E$13)</f>
        <v>2.3237000000000001</v>
      </c>
      <c r="E19" s="68">
        <f>3.3703 * CHOOSE(CONTROL!$C$22, $C$13, 100%, $E$13)</f>
        <v>3.3702999999999999</v>
      </c>
      <c r="F19" s="68">
        <f>3.561 * CHOOSE(CONTROL!$C$22, $C$13, 100%, $E$13)</f>
        <v>3.5609999999999999</v>
      </c>
      <c r="G19" s="68">
        <f>3.5639 * CHOOSE(CONTROL!$C$22, $C$13, 100%, $E$13)</f>
        <v>3.5638999999999998</v>
      </c>
      <c r="H19" s="68">
        <f>5.9246* CHOOSE(CONTROL!$C$22, $C$13, 100%, $E$13)</f>
        <v>5.9245999999999999</v>
      </c>
      <c r="I19" s="68">
        <f>5.9275 * CHOOSE(CONTROL!$C$22, $C$13, 100%, $E$13)</f>
        <v>5.9275000000000002</v>
      </c>
      <c r="J19" s="68">
        <f>3.3703 * CHOOSE(CONTROL!$C$22, $C$13, 100%, $E$13)</f>
        <v>3.3702999999999999</v>
      </c>
      <c r="K19" s="68">
        <f>3.3732 * CHOOSE(CONTROL!$C$22, $C$13, 100%, $E$13)</f>
        <v>3.3732000000000002</v>
      </c>
      <c r="L19" s="4"/>
      <c r="M19" s="68"/>
      <c r="N19" s="68"/>
    </row>
    <row r="20" spans="1:14" ht="15">
      <c r="A20" s="13">
        <v>41730</v>
      </c>
      <c r="B20" s="67">
        <f>2.4658 * CHOOSE(CONTROL!$C$22, $C$13, 100%, $E$13)</f>
        <v>2.4658000000000002</v>
      </c>
      <c r="C20" s="67">
        <f>2.4194 * CHOOSE(CONTROL!$C$22, $C$13, 100%, $E$13)</f>
        <v>2.4194</v>
      </c>
      <c r="D20" s="67">
        <f>2.4204 * CHOOSE(CONTROL!$C$22, $C$13, 100%, $E$13)</f>
        <v>2.4203999999999999</v>
      </c>
      <c r="E20" s="68">
        <f>3.3266 * CHOOSE(CONTROL!$C$22, $C$13, 100%, $E$13)</f>
        <v>3.3266</v>
      </c>
      <c r="F20" s="68">
        <f>3.561 * CHOOSE(CONTROL!$C$22, $C$13, 100%, $E$13)</f>
        <v>3.5609999999999999</v>
      </c>
      <c r="G20" s="68">
        <f>3.5639 * CHOOSE(CONTROL!$C$22, $C$13, 100%, $E$13)</f>
        <v>3.5638999999999998</v>
      </c>
      <c r="H20" s="68">
        <f>5.937* CHOOSE(CONTROL!$C$22, $C$13, 100%, $E$13)</f>
        <v>5.9370000000000003</v>
      </c>
      <c r="I20" s="68">
        <f>5.9398 * CHOOSE(CONTROL!$C$22, $C$13, 100%, $E$13)</f>
        <v>5.9398</v>
      </c>
      <c r="J20" s="68">
        <f>3.3266 * CHOOSE(CONTROL!$C$22, $C$13, 100%, $E$13)</f>
        <v>3.3266</v>
      </c>
      <c r="K20" s="68">
        <f>3.3294 * CHOOSE(CONTROL!$C$22, $C$13, 100%, $E$13)</f>
        <v>3.3294000000000001</v>
      </c>
      <c r="L20" s="4"/>
      <c r="M20" s="68"/>
      <c r="N20" s="68"/>
    </row>
    <row r="21" spans="1:14" ht="15">
      <c r="A21" s="13">
        <v>41760</v>
      </c>
      <c r="B21" s="67">
        <f>2.4818 * CHOOSE(CONTROL!$C$22, $C$13, 100%, $E$13)</f>
        <v>2.4817999999999998</v>
      </c>
      <c r="C21" s="67">
        <f>2.4328 * CHOOSE(CONTROL!$C$22, $C$13, 100%, $E$13)</f>
        <v>2.4327999999999999</v>
      </c>
      <c r="D21" s="67">
        <f>2.4354 * CHOOSE(CONTROL!$C$22, $C$13, 100%, $E$13)</f>
        <v>2.4354</v>
      </c>
      <c r="E21" s="68">
        <f>3.2669 * CHOOSE(CONTROL!$C$22, $C$13, 100%, $E$13)</f>
        <v>3.2669000000000001</v>
      </c>
      <c r="F21" s="68">
        <f>3.282 * CHOOSE(CONTROL!$C$22, $C$13, 100%, $E$13)</f>
        <v>3.282</v>
      </c>
      <c r="G21" s="68">
        <f>3.2892 * CHOOSE(CONTROL!$C$22, $C$13, 100%, $E$13)</f>
        <v>3.2892000000000001</v>
      </c>
      <c r="H21" s="68">
        <f>5.9493* CHOOSE(CONTROL!$C$22, $C$13, 100%, $E$13)</f>
        <v>5.9493</v>
      </c>
      <c r="I21" s="68">
        <f>5.9565 * CHOOSE(CONTROL!$C$22, $C$13, 100%, $E$13)</f>
        <v>5.9565000000000001</v>
      </c>
      <c r="J21" s="68">
        <f>3.2669 * CHOOSE(CONTROL!$C$22, $C$13, 100%, $E$13)</f>
        <v>3.2669000000000001</v>
      </c>
      <c r="K21" s="68">
        <f>3.2741 * CHOOSE(CONTROL!$C$22, $C$13, 100%, $E$13)</f>
        <v>3.2740999999999998</v>
      </c>
      <c r="L21" s="4"/>
      <c r="M21" s="68"/>
      <c r="N21" s="68"/>
    </row>
    <row r="22" spans="1:14" ht="15">
      <c r="A22" s="13">
        <v>41791</v>
      </c>
      <c r="B22" s="67">
        <f>2.4881 * CHOOSE(CONTROL!$C$22, $C$13, 100%, $E$13)</f>
        <v>2.4881000000000002</v>
      </c>
      <c r="C22" s="67">
        <f>2.4485 * CHOOSE(CONTROL!$C$22, $C$13, 100%, $E$13)</f>
        <v>2.4485000000000001</v>
      </c>
      <c r="D22" s="67">
        <f>2.4511 * CHOOSE(CONTROL!$C$22, $C$13, 100%, $E$13)</f>
        <v>2.4510999999999998</v>
      </c>
      <c r="E22" s="68">
        <f>3.2472 * CHOOSE(CONTROL!$C$22, $C$13, 100%, $E$13)</f>
        <v>3.2471999999999999</v>
      </c>
      <c r="F22" s="68">
        <f>3.561 * CHOOSE(CONTROL!$C$22, $C$13, 100%, $E$13)</f>
        <v>3.5609999999999999</v>
      </c>
      <c r="G22" s="68">
        <f>3.5682 * CHOOSE(CONTROL!$C$22, $C$13, 100%, $E$13)</f>
        <v>3.5682</v>
      </c>
      <c r="H22" s="68">
        <f>5.9617* CHOOSE(CONTROL!$C$22, $C$13, 100%, $E$13)</f>
        <v>5.9617000000000004</v>
      </c>
      <c r="I22" s="68">
        <f>5.9689 * CHOOSE(CONTROL!$C$22, $C$13, 100%, $E$13)</f>
        <v>5.9688999999999997</v>
      </c>
      <c r="J22" s="68">
        <f>3.2472 * CHOOSE(CONTROL!$C$22, $C$13, 100%, $E$13)</f>
        <v>3.2471999999999999</v>
      </c>
      <c r="K22" s="68">
        <f>3.2544 * CHOOSE(CONTROL!$C$22, $C$13, 100%, $E$13)</f>
        <v>3.2544</v>
      </c>
      <c r="L22" s="4"/>
      <c r="M22" s="68"/>
      <c r="N22" s="68"/>
    </row>
    <row r="23" spans="1:14" ht="15">
      <c r="A23" s="13">
        <v>41821</v>
      </c>
      <c r="B23" s="67">
        <f>2.4092 * CHOOSE(CONTROL!$C$22, $C$13, 100%, $E$13)</f>
        <v>2.4091999999999998</v>
      </c>
      <c r="C23" s="67">
        <f>2.4023 * CHOOSE(CONTROL!$C$22, $C$13, 100%, $E$13)</f>
        <v>2.4022999999999999</v>
      </c>
      <c r="D23" s="67">
        <f>2.4049 * CHOOSE(CONTROL!$C$22, $C$13, 100%, $E$13)</f>
        <v>2.4049</v>
      </c>
      <c r="E23" s="68">
        <f>3.2484 * CHOOSE(CONTROL!$C$22, $C$13, 100%, $E$13)</f>
        <v>3.2484000000000002</v>
      </c>
      <c r="F23" s="68">
        <f>3.321 * CHOOSE(CONTROL!$C$22, $C$13, 100%, $E$13)</f>
        <v>3.3210000000000002</v>
      </c>
      <c r="G23" s="68">
        <f>3.3282 * CHOOSE(CONTROL!$C$22, $C$13, 100%, $E$13)</f>
        <v>3.3281999999999998</v>
      </c>
      <c r="H23" s="68">
        <f>5.018* CHOOSE(CONTROL!$C$22, $C$13, 100%, $E$13)</f>
        <v>5.0179999999999998</v>
      </c>
      <c r="I23" s="68">
        <f>5.0252 * CHOOSE(CONTROL!$C$22, $C$13, 100%, $E$13)</f>
        <v>5.0251999999999999</v>
      </c>
      <c r="J23" s="68">
        <f>3.2484 * CHOOSE(CONTROL!$C$22, $C$13, 100%, $E$13)</f>
        <v>3.2484000000000002</v>
      </c>
      <c r="K23" s="68">
        <f>3.2556 * CHOOSE(CONTROL!$C$22, $C$13, 100%, $E$13)</f>
        <v>3.2555999999999998</v>
      </c>
      <c r="L23" s="4"/>
      <c r="M23" s="68"/>
      <c r="N23" s="68"/>
    </row>
    <row r="24" spans="1:14" ht="15">
      <c r="A24" s="13">
        <v>41852</v>
      </c>
      <c r="B24" s="67">
        <f>2.4115 * CHOOSE(CONTROL!$C$22, $C$13, 100%, $E$13)</f>
        <v>2.4115000000000002</v>
      </c>
      <c r="C24" s="67">
        <f>2.438 * CHOOSE(CONTROL!$C$22, $C$13, 100%, $E$13)</f>
        <v>2.4380000000000002</v>
      </c>
      <c r="D24" s="67">
        <f>2.4406 * CHOOSE(CONTROL!$C$22, $C$13, 100%, $E$13)</f>
        <v>2.4405999999999999</v>
      </c>
      <c r="E24" s="68">
        <f>3.2025 * CHOOSE(CONTROL!$C$22, $C$13, 100%, $E$13)</f>
        <v>3.2025000000000001</v>
      </c>
      <c r="F24" s="68">
        <f>3.282 * CHOOSE(CONTROL!$C$22, $C$13, 100%, $E$13)</f>
        <v>3.282</v>
      </c>
      <c r="G24" s="68">
        <f>3.2892 * CHOOSE(CONTROL!$C$22, $C$13, 100%, $E$13)</f>
        <v>3.2892000000000001</v>
      </c>
      <c r="H24" s="68">
        <f>5.018* CHOOSE(CONTROL!$C$22, $C$13, 100%, $E$13)</f>
        <v>5.0179999999999998</v>
      </c>
      <c r="I24" s="68">
        <f>5.0252 * CHOOSE(CONTROL!$C$22, $C$13, 100%, $E$13)</f>
        <v>5.0251999999999999</v>
      </c>
      <c r="J24" s="68">
        <f>3.2025 * CHOOSE(CONTROL!$C$22, $C$13, 100%, $E$13)</f>
        <v>3.2025000000000001</v>
      </c>
      <c r="K24" s="68">
        <f>3.2097 * CHOOSE(CONTROL!$C$22, $C$13, 100%, $E$13)</f>
        <v>3.2097000000000002</v>
      </c>
      <c r="L24" s="4"/>
      <c r="M24" s="68"/>
      <c r="N24" s="68"/>
    </row>
    <row r="25" spans="1:14" ht="15">
      <c r="A25" s="13">
        <v>41883</v>
      </c>
      <c r="B25" s="67">
        <f>2.4098 * CHOOSE(CONTROL!$C$22, $C$13, 100%, $E$13)</f>
        <v>2.4098000000000002</v>
      </c>
      <c r="C25" s="67">
        <f>2.435 * CHOOSE(CONTROL!$C$22, $C$13, 100%, $E$13)</f>
        <v>2.4350000000000001</v>
      </c>
      <c r="D25" s="67">
        <f>2.4376 * CHOOSE(CONTROL!$C$22, $C$13, 100%, $E$13)</f>
        <v>2.4376000000000002</v>
      </c>
      <c r="E25" s="68">
        <f>3.2621 * CHOOSE(CONTROL!$C$22, $C$13, 100%, $E$13)</f>
        <v>3.2621000000000002</v>
      </c>
      <c r="F25" s="68">
        <f>3.4 * CHOOSE(CONTROL!$C$22, $C$13, 100%, $E$13)</f>
        <v>3.4</v>
      </c>
      <c r="G25" s="68">
        <f>3.4072 * CHOOSE(CONTROL!$C$22, $C$13, 100%, $E$13)</f>
        <v>3.4072</v>
      </c>
      <c r="H25" s="68">
        <f>5.018* CHOOSE(CONTROL!$C$22, $C$13, 100%, $E$13)</f>
        <v>5.0179999999999998</v>
      </c>
      <c r="I25" s="68">
        <f>5.0252 * CHOOSE(CONTROL!$C$22, $C$13, 100%, $E$13)</f>
        <v>5.0251999999999999</v>
      </c>
      <c r="J25" s="68">
        <f>3.2621 * CHOOSE(CONTROL!$C$22, $C$13, 100%, $E$13)</f>
        <v>3.2621000000000002</v>
      </c>
      <c r="K25" s="68">
        <f>3.2693 * CHOOSE(CONTROL!$C$22, $C$13, 100%, $E$13)</f>
        <v>3.2692999999999999</v>
      </c>
      <c r="L25" s="4"/>
      <c r="M25" s="68"/>
      <c r="N25" s="68"/>
    </row>
    <row r="26" spans="1:14" ht="15">
      <c r="A26" s="13">
        <v>41913</v>
      </c>
      <c r="B26" s="67">
        <f>2.4178 * CHOOSE(CONTROL!$C$22, $C$13, 100%, $E$13)</f>
        <v>2.4178000000000002</v>
      </c>
      <c r="C26" s="67">
        <f>2.4347 * CHOOSE(CONTROL!$C$22, $C$13, 100%, $E$13)</f>
        <v>2.4346999999999999</v>
      </c>
      <c r="D26" s="67">
        <f>2.4357 * CHOOSE(CONTROL!$C$22, $C$13, 100%, $E$13)</f>
        <v>2.4357000000000002</v>
      </c>
      <c r="E26" s="68">
        <f>3.2947 * CHOOSE(CONTROL!$C$22, $C$13, 100%, $E$13)</f>
        <v>3.2947000000000002</v>
      </c>
      <c r="F26" s="68">
        <f>3.561 * CHOOSE(CONTROL!$C$22, $C$13, 100%, $E$13)</f>
        <v>3.5609999999999999</v>
      </c>
      <c r="G26" s="68">
        <f>3.5639 * CHOOSE(CONTROL!$C$22, $C$13, 100%, $E$13)</f>
        <v>3.5638999999999998</v>
      </c>
      <c r="H26" s="68">
        <f>5.342* CHOOSE(CONTROL!$C$22, $C$13, 100%, $E$13)</f>
        <v>5.3419999999999996</v>
      </c>
      <c r="I26" s="68">
        <f>5.3449 * CHOOSE(CONTROL!$C$22, $C$13, 100%, $E$13)</f>
        <v>5.3449</v>
      </c>
      <c r="J26" s="68">
        <f>3.2947 * CHOOSE(CONTROL!$C$22, $C$13, 100%, $E$13)</f>
        <v>3.2947000000000002</v>
      </c>
      <c r="K26" s="68">
        <f>3.2975 * CHOOSE(CONTROL!$C$22, $C$13, 100%, $E$13)</f>
        <v>3.2974999999999999</v>
      </c>
      <c r="L26" s="4"/>
      <c r="M26" s="68"/>
      <c r="N26" s="68"/>
    </row>
    <row r="27" spans="1:14" ht="15">
      <c r="A27" s="13">
        <v>41944</v>
      </c>
      <c r="B27" s="67">
        <f>2.4171 * CHOOSE(CONTROL!$C$22, $C$13, 100%, $E$13)</f>
        <v>2.4171</v>
      </c>
      <c r="C27" s="67">
        <f>2.4431 * CHOOSE(CONTROL!$C$22, $C$13, 100%, $E$13)</f>
        <v>2.4430999999999998</v>
      </c>
      <c r="D27" s="67">
        <f>2.444 * CHOOSE(CONTROL!$C$22, $C$13, 100%, $E$13)</f>
        <v>2.444</v>
      </c>
      <c r="E27" s="68">
        <f>3.3121 * CHOOSE(CONTROL!$C$22, $C$13, 100%, $E$13)</f>
        <v>3.3121</v>
      </c>
      <c r="F27" s="68">
        <f>3.348 * CHOOSE(CONTROL!$C$22, $C$13, 100%, $E$13)</f>
        <v>3.3479999999999999</v>
      </c>
      <c r="G27" s="68">
        <f>3.3509 * CHOOSE(CONTROL!$C$22, $C$13, 100%, $E$13)</f>
        <v>3.3509000000000002</v>
      </c>
      <c r="H27" s="68">
        <f>5.342* CHOOSE(CONTROL!$C$22, $C$13, 100%, $E$13)</f>
        <v>5.3419999999999996</v>
      </c>
      <c r="I27" s="68">
        <f>5.3449 * CHOOSE(CONTROL!$C$22, $C$13, 100%, $E$13)</f>
        <v>5.3449</v>
      </c>
      <c r="J27" s="68">
        <f>3.3121 * CHOOSE(CONTROL!$C$22, $C$13, 100%, $E$13)</f>
        <v>3.3121</v>
      </c>
      <c r="K27" s="68">
        <f>3.3149 * CHOOSE(CONTROL!$C$22, $C$13, 100%, $E$13)</f>
        <v>3.3149000000000002</v>
      </c>
      <c r="L27" s="4"/>
      <c r="M27" s="68"/>
      <c r="N27" s="68"/>
    </row>
    <row r="28" spans="1:14" ht="15">
      <c r="A28" s="13">
        <v>41974</v>
      </c>
      <c r="B28" s="67">
        <f>2.4197 * CHOOSE(CONTROL!$C$22, $C$13, 100%, $E$13)</f>
        <v>2.4197000000000002</v>
      </c>
      <c r="C28" s="67">
        <f>2.4491 * CHOOSE(CONTROL!$C$22, $C$13, 100%, $E$13)</f>
        <v>2.4491000000000001</v>
      </c>
      <c r="D28" s="67">
        <f>2.4501 * CHOOSE(CONTROL!$C$22, $C$13, 100%, $E$13)</f>
        <v>2.4500999999999999</v>
      </c>
      <c r="E28" s="68">
        <f>3.3287 * CHOOSE(CONTROL!$C$22, $C$13, 100%, $E$13)</f>
        <v>3.3287</v>
      </c>
      <c r="F28" s="68">
        <f>3.385 * CHOOSE(CONTROL!$C$22, $C$13, 100%, $E$13)</f>
        <v>3.3849999999999998</v>
      </c>
      <c r="G28" s="68">
        <f>3.3879 * CHOOSE(CONTROL!$C$22, $C$13, 100%, $E$13)</f>
        <v>3.3879000000000001</v>
      </c>
      <c r="H28" s="68">
        <f>5.342* CHOOSE(CONTROL!$C$22, $C$13, 100%, $E$13)</f>
        <v>5.3419999999999996</v>
      </c>
      <c r="I28" s="68">
        <f>5.3449 * CHOOSE(CONTROL!$C$22, $C$13, 100%, $E$13)</f>
        <v>5.3449</v>
      </c>
      <c r="J28" s="68">
        <f>3.3287 * CHOOSE(CONTROL!$C$22, $C$13, 100%, $E$13)</f>
        <v>3.3287</v>
      </c>
      <c r="K28" s="68">
        <f>3.3316 * CHOOSE(CONTROL!$C$22, $C$13, 100%, $E$13)</f>
        <v>3.3315999999999999</v>
      </c>
      <c r="L28" s="4"/>
      <c r="M28" s="68"/>
      <c r="N28" s="68"/>
    </row>
    <row r="29" spans="1:14" ht="15">
      <c r="A29" s="13">
        <v>42005</v>
      </c>
      <c r="B29" s="67">
        <f>2.4907 * CHOOSE(CONTROL!$C$22, $C$13, 100%, $E$13)</f>
        <v>2.4906999999999999</v>
      </c>
      <c r="C29" s="67">
        <f>2.5129 * CHOOSE(CONTROL!$C$22, $C$13, 100%, $E$13)</f>
        <v>2.5129000000000001</v>
      </c>
      <c r="D29" s="67">
        <f>2.5139 * CHOOSE(CONTROL!$C$22, $C$13, 100%, $E$13)</f>
        <v>2.5139</v>
      </c>
      <c r="E29" s="68">
        <f>3.1876 * CHOOSE(CONTROL!$C$22, $C$13, 100%, $E$13)</f>
        <v>3.1876000000000002</v>
      </c>
      <c r="F29" s="68">
        <f>3.254 * CHOOSE(CONTROL!$C$22, $C$13, 100%, $E$13)</f>
        <v>3.254</v>
      </c>
      <c r="G29" s="68">
        <f>3.2553 * CHOOSE(CONTROL!$C$22, $C$13, 100%, $E$13)</f>
        <v>3.2553000000000001</v>
      </c>
      <c r="H29" s="68">
        <f>5.3531* CHOOSE(CONTROL!$C$22, $C$13, 100%, $E$13)</f>
        <v>5.3531000000000004</v>
      </c>
      <c r="I29" s="68">
        <f>5.3544 * CHOOSE(CONTROL!$C$22, $C$13, 100%, $E$13)</f>
        <v>5.3544</v>
      </c>
      <c r="J29" s="68">
        <f>3.1876 * CHOOSE(CONTROL!$C$22, $C$13, 100%, $E$13)</f>
        <v>3.1876000000000002</v>
      </c>
      <c r="K29" s="68">
        <f>3.1889 * CHOOSE(CONTROL!$C$22, $C$13, 100%, $E$13)</f>
        <v>3.1888999999999998</v>
      </c>
      <c r="L29" s="4"/>
      <c r="M29" s="68"/>
      <c r="N29" s="68"/>
    </row>
    <row r="30" spans="1:14" ht="15">
      <c r="A30" s="13">
        <v>42036</v>
      </c>
      <c r="B30" s="67">
        <f>2.4906 * CHOOSE(CONTROL!$C$22, $C$13, 100%, $E$13)</f>
        <v>2.4906000000000001</v>
      </c>
      <c r="C30" s="67">
        <f>2.5152 * CHOOSE(CONTROL!$C$22, $C$13, 100%, $E$13)</f>
        <v>2.5152000000000001</v>
      </c>
      <c r="D30" s="67">
        <f>2.5162 * CHOOSE(CONTROL!$C$22, $C$13, 100%, $E$13)</f>
        <v>2.5162</v>
      </c>
      <c r="E30" s="68">
        <f>3.1987 * CHOOSE(CONTROL!$C$22, $C$13, 100%, $E$13)</f>
        <v>3.1987000000000001</v>
      </c>
      <c r="F30" s="68">
        <f>3.254 * CHOOSE(CONTROL!$C$22, $C$13, 100%, $E$13)</f>
        <v>3.254</v>
      </c>
      <c r="G30" s="68">
        <f>3.2553 * CHOOSE(CONTROL!$C$22, $C$13, 100%, $E$13)</f>
        <v>3.2553000000000001</v>
      </c>
      <c r="H30" s="68">
        <f>5.3643* CHOOSE(CONTROL!$C$22, $C$13, 100%, $E$13)</f>
        <v>5.3643000000000001</v>
      </c>
      <c r="I30" s="68">
        <f>5.3656 * CHOOSE(CONTROL!$C$22, $C$13, 100%, $E$13)</f>
        <v>5.3655999999999997</v>
      </c>
      <c r="J30" s="68">
        <f>3.1987 * CHOOSE(CONTROL!$C$22, $C$13, 100%, $E$13)</f>
        <v>3.1987000000000001</v>
      </c>
      <c r="K30" s="68">
        <f>3.2 * CHOOSE(CONTROL!$C$22, $C$13, 100%, $E$13)</f>
        <v>3.2</v>
      </c>
      <c r="L30" s="4"/>
      <c r="M30" s="68"/>
      <c r="N30" s="68"/>
    </row>
    <row r="31" spans="1:14" ht="15">
      <c r="A31" s="13">
        <v>42064</v>
      </c>
      <c r="B31" s="67">
        <f>2.4913 * CHOOSE(CONTROL!$C$22, $C$13, 100%, $E$13)</f>
        <v>2.4912999999999998</v>
      </c>
      <c r="C31" s="67">
        <f>2.5122 * CHOOSE(CONTROL!$C$22, $C$13, 100%, $E$13)</f>
        <v>2.5122</v>
      </c>
      <c r="D31" s="67">
        <f>2.5132 * CHOOSE(CONTROL!$C$22, $C$13, 100%, $E$13)</f>
        <v>2.5131999999999999</v>
      </c>
      <c r="E31" s="68">
        <f>3.1433 * CHOOSE(CONTROL!$C$22, $C$13, 100%, $E$13)</f>
        <v>3.1433</v>
      </c>
      <c r="F31" s="68">
        <f>3.254 * CHOOSE(CONTROL!$C$22, $C$13, 100%, $E$13)</f>
        <v>3.254</v>
      </c>
      <c r="G31" s="68">
        <f>3.2553 * CHOOSE(CONTROL!$C$22, $C$13, 100%, $E$13)</f>
        <v>3.2553000000000001</v>
      </c>
      <c r="H31" s="68">
        <f>5.3755* CHOOSE(CONTROL!$C$22, $C$13, 100%, $E$13)</f>
        <v>5.3754999999999997</v>
      </c>
      <c r="I31" s="68">
        <f>5.3767 * CHOOSE(CONTROL!$C$22, $C$13, 100%, $E$13)</f>
        <v>5.3766999999999996</v>
      </c>
      <c r="J31" s="68">
        <f>3.1433 * CHOOSE(CONTROL!$C$22, $C$13, 100%, $E$13)</f>
        <v>3.1433</v>
      </c>
      <c r="K31" s="68">
        <f>3.1446 * CHOOSE(CONTROL!$C$22, $C$13, 100%, $E$13)</f>
        <v>3.1446000000000001</v>
      </c>
      <c r="L31" s="4"/>
      <c r="M31" s="68"/>
      <c r="N31" s="68"/>
    </row>
    <row r="32" spans="1:14" ht="15">
      <c r="A32" s="13">
        <v>42095</v>
      </c>
      <c r="B32" s="67">
        <f>2.489 * CHOOSE(CONTROL!$C$22, $C$13, 100%, $E$13)</f>
        <v>2.4889999999999999</v>
      </c>
      <c r="C32" s="67">
        <f>2.5091 * CHOOSE(CONTROL!$C$22, $C$13, 100%, $E$13)</f>
        <v>2.5091000000000001</v>
      </c>
      <c r="D32" s="67">
        <f>2.5101 * CHOOSE(CONTROL!$C$22, $C$13, 100%, $E$13)</f>
        <v>2.5101</v>
      </c>
      <c r="E32" s="68">
        <f>3.186 * CHOOSE(CONTROL!$C$22, $C$13, 100%, $E$13)</f>
        <v>3.1859999999999999</v>
      </c>
      <c r="F32" s="68">
        <f>3.254 * CHOOSE(CONTROL!$C$22, $C$13, 100%, $E$13)</f>
        <v>3.254</v>
      </c>
      <c r="G32" s="68">
        <f>3.2553 * CHOOSE(CONTROL!$C$22, $C$13, 100%, $E$13)</f>
        <v>3.2553000000000001</v>
      </c>
      <c r="H32" s="68">
        <f>5.3867* CHOOSE(CONTROL!$C$22, $C$13, 100%, $E$13)</f>
        <v>5.3867000000000003</v>
      </c>
      <c r="I32" s="68">
        <f>5.3879 * CHOOSE(CONTROL!$C$22, $C$13, 100%, $E$13)</f>
        <v>5.3879000000000001</v>
      </c>
      <c r="J32" s="68">
        <f>3.186 * CHOOSE(CONTROL!$C$22, $C$13, 100%, $E$13)</f>
        <v>3.1859999999999999</v>
      </c>
      <c r="K32" s="68">
        <f>3.1873 * CHOOSE(CONTROL!$C$22, $C$13, 100%, $E$13)</f>
        <v>3.1873</v>
      </c>
      <c r="L32" s="4"/>
      <c r="M32" s="68"/>
      <c r="N32" s="68"/>
    </row>
    <row r="33" spans="1:14" ht="15">
      <c r="A33" s="13">
        <v>42125</v>
      </c>
      <c r="B33" s="67">
        <f>2.4919 * CHOOSE(CONTROL!$C$22, $C$13, 100%, $E$13)</f>
        <v>2.4918999999999998</v>
      </c>
      <c r="C33" s="67">
        <f>2.5114 * CHOOSE(CONTROL!$C$22, $C$13, 100%, $E$13)</f>
        <v>2.5114000000000001</v>
      </c>
      <c r="D33" s="67">
        <f>2.514 * CHOOSE(CONTROL!$C$22, $C$13, 100%, $E$13)</f>
        <v>2.5139999999999998</v>
      </c>
      <c r="E33" s="68">
        <f>3.186 * CHOOSE(CONTROL!$C$22, $C$13, 100%, $E$13)</f>
        <v>3.1859999999999999</v>
      </c>
      <c r="F33" s="68">
        <f>3.254 * CHOOSE(CONTROL!$C$22, $C$13, 100%, $E$13)</f>
        <v>3.254</v>
      </c>
      <c r="G33" s="68">
        <f>3.2573 * CHOOSE(CONTROL!$C$22, $C$13, 100%, $E$13)</f>
        <v>3.2572999999999999</v>
      </c>
      <c r="H33" s="68">
        <f>5.3979* CHOOSE(CONTROL!$C$22, $C$13, 100%, $E$13)</f>
        <v>5.3978999999999999</v>
      </c>
      <c r="I33" s="68">
        <f>5.4011 * CHOOSE(CONTROL!$C$22, $C$13, 100%, $E$13)</f>
        <v>5.4010999999999996</v>
      </c>
      <c r="J33" s="68">
        <f>3.186 * CHOOSE(CONTROL!$C$22, $C$13, 100%, $E$13)</f>
        <v>3.1859999999999999</v>
      </c>
      <c r="K33" s="68">
        <f>3.1893 * CHOOSE(CONTROL!$C$22, $C$13, 100%, $E$13)</f>
        <v>3.1892999999999998</v>
      </c>
      <c r="L33" s="4"/>
      <c r="M33" s="68"/>
      <c r="N33" s="68"/>
    </row>
    <row r="34" spans="1:14" ht="15">
      <c r="A34" s="13">
        <v>42156</v>
      </c>
      <c r="B34" s="67">
        <f>2.4945 * CHOOSE(CONTROL!$C$22, $C$13, 100%, $E$13)</f>
        <v>2.4944999999999999</v>
      </c>
      <c r="C34" s="67">
        <f>2.5175 * CHOOSE(CONTROL!$C$22, $C$13, 100%, $E$13)</f>
        <v>2.5175000000000001</v>
      </c>
      <c r="D34" s="67">
        <f>2.5201 * CHOOSE(CONTROL!$C$22, $C$13, 100%, $E$13)</f>
        <v>2.5200999999999998</v>
      </c>
      <c r="E34" s="68">
        <f>3.2268 * CHOOSE(CONTROL!$C$22, $C$13, 100%, $E$13)</f>
        <v>3.2267999999999999</v>
      </c>
      <c r="F34" s="68">
        <f>3.254 * CHOOSE(CONTROL!$C$22, $C$13, 100%, $E$13)</f>
        <v>3.254</v>
      </c>
      <c r="G34" s="68">
        <f>3.2573 * CHOOSE(CONTROL!$C$22, $C$13, 100%, $E$13)</f>
        <v>3.2572999999999999</v>
      </c>
      <c r="H34" s="68">
        <f>5.4091* CHOOSE(CONTROL!$C$22, $C$13, 100%, $E$13)</f>
        <v>5.4090999999999996</v>
      </c>
      <c r="I34" s="68">
        <f>5.4124 * CHOOSE(CONTROL!$C$22, $C$13, 100%, $E$13)</f>
        <v>5.4123999999999999</v>
      </c>
      <c r="J34" s="68">
        <f>3.2268 * CHOOSE(CONTROL!$C$22, $C$13, 100%, $E$13)</f>
        <v>3.2267999999999999</v>
      </c>
      <c r="K34" s="68">
        <f>3.2301 * CHOOSE(CONTROL!$C$22, $C$13, 100%, $E$13)</f>
        <v>3.2301000000000002</v>
      </c>
      <c r="L34" s="4"/>
      <c r="M34" s="68"/>
      <c r="N34" s="68"/>
    </row>
    <row r="35" spans="1:14" ht="15">
      <c r="A35" s="13">
        <v>42186</v>
      </c>
      <c r="B35" s="67">
        <f>2.5054 * CHOOSE(CONTROL!$C$22, $C$13, 100%, $E$13)</f>
        <v>2.5053999999999998</v>
      </c>
      <c r="C35" s="67">
        <f>2.5357 * CHOOSE(CONTROL!$C$22, $C$13, 100%, $E$13)</f>
        <v>2.5356999999999998</v>
      </c>
      <c r="D35" s="67">
        <f>2.5383 * CHOOSE(CONTROL!$C$22, $C$13, 100%, $E$13)</f>
        <v>2.5383</v>
      </c>
      <c r="E35" s="68">
        <f>3.2136 * CHOOSE(CONTROL!$C$22, $C$13, 100%, $E$13)</f>
        <v>3.2136</v>
      </c>
      <c r="F35" s="68">
        <f>3.254 * CHOOSE(CONTROL!$C$22, $C$13, 100%, $E$13)</f>
        <v>3.254</v>
      </c>
      <c r="G35" s="68">
        <f>3.2573 * CHOOSE(CONTROL!$C$22, $C$13, 100%, $E$13)</f>
        <v>3.2572999999999999</v>
      </c>
      <c r="H35" s="68">
        <f>5.4204* CHOOSE(CONTROL!$C$22, $C$13, 100%, $E$13)</f>
        <v>5.4203999999999999</v>
      </c>
      <c r="I35" s="68">
        <f>5.4236 * CHOOSE(CONTROL!$C$22, $C$13, 100%, $E$13)</f>
        <v>5.4236000000000004</v>
      </c>
      <c r="J35" s="68">
        <f>3.2136 * CHOOSE(CONTROL!$C$22, $C$13, 100%, $E$13)</f>
        <v>3.2136</v>
      </c>
      <c r="K35" s="68">
        <f>3.2169 * CHOOSE(CONTROL!$C$22, $C$13, 100%, $E$13)</f>
        <v>3.2168999999999999</v>
      </c>
      <c r="L35" s="4"/>
      <c r="M35" s="68"/>
      <c r="N35" s="68"/>
    </row>
    <row r="36" spans="1:14" ht="15">
      <c r="A36" s="13">
        <v>42217</v>
      </c>
      <c r="B36" s="67">
        <f>2.5144 * CHOOSE(CONTROL!$C$22, $C$13, 100%, $E$13)</f>
        <v>2.5144000000000002</v>
      </c>
      <c r="C36" s="67">
        <f>2.5502 * CHOOSE(CONTROL!$C$22, $C$13, 100%, $E$13)</f>
        <v>2.5501999999999998</v>
      </c>
      <c r="D36" s="67">
        <f>2.5528 * CHOOSE(CONTROL!$C$22, $C$13, 100%, $E$13)</f>
        <v>2.5528</v>
      </c>
      <c r="E36" s="68">
        <f>3.2338 * CHOOSE(CONTROL!$C$22, $C$13, 100%, $E$13)</f>
        <v>3.2338</v>
      </c>
      <c r="F36" s="68">
        <f>3.254 * CHOOSE(CONTROL!$C$22, $C$13, 100%, $E$13)</f>
        <v>3.254</v>
      </c>
      <c r="G36" s="68">
        <f>3.2573 * CHOOSE(CONTROL!$C$22, $C$13, 100%, $E$13)</f>
        <v>3.2572999999999999</v>
      </c>
      <c r="H36" s="68">
        <f>5.4317* CHOOSE(CONTROL!$C$22, $C$13, 100%, $E$13)</f>
        <v>5.4317000000000002</v>
      </c>
      <c r="I36" s="68">
        <f>5.4349 * CHOOSE(CONTROL!$C$22, $C$13, 100%, $E$13)</f>
        <v>5.4348999999999998</v>
      </c>
      <c r="J36" s="68">
        <f>3.2338 * CHOOSE(CONTROL!$C$22, $C$13, 100%, $E$13)</f>
        <v>3.2338</v>
      </c>
      <c r="K36" s="68">
        <f>3.2371 * CHOOSE(CONTROL!$C$22, $C$13, 100%, $E$13)</f>
        <v>3.2370999999999999</v>
      </c>
      <c r="L36" s="4"/>
      <c r="M36" s="68"/>
      <c r="N36" s="68"/>
    </row>
    <row r="37" spans="1:14" ht="15">
      <c r="A37" s="13">
        <v>42248</v>
      </c>
      <c r="B37" s="67">
        <f>2.5116 * CHOOSE(CONTROL!$C$22, $C$13, 100%, $E$13)</f>
        <v>2.5116000000000001</v>
      </c>
      <c r="C37" s="67">
        <f>2.5471 * CHOOSE(CONTROL!$C$22, $C$13, 100%, $E$13)</f>
        <v>2.5470999999999999</v>
      </c>
      <c r="D37" s="67">
        <f>2.5497 * CHOOSE(CONTROL!$C$22, $C$13, 100%, $E$13)</f>
        <v>2.5497000000000001</v>
      </c>
      <c r="E37" s="68">
        <f>3.2287 * CHOOSE(CONTROL!$C$22, $C$13, 100%, $E$13)</f>
        <v>3.2286999999999999</v>
      </c>
      <c r="F37" s="68">
        <f>3.254 * CHOOSE(CONTROL!$C$22, $C$13, 100%, $E$13)</f>
        <v>3.254</v>
      </c>
      <c r="G37" s="68">
        <f>3.2573 * CHOOSE(CONTROL!$C$22, $C$13, 100%, $E$13)</f>
        <v>3.2572999999999999</v>
      </c>
      <c r="H37" s="68">
        <f>5.443* CHOOSE(CONTROL!$C$22, $C$13, 100%, $E$13)</f>
        <v>5.4429999999999996</v>
      </c>
      <c r="I37" s="68">
        <f>5.4463 * CHOOSE(CONTROL!$C$22, $C$13, 100%, $E$13)</f>
        <v>5.4462999999999999</v>
      </c>
      <c r="J37" s="68">
        <f>3.2287 * CHOOSE(CONTROL!$C$22, $C$13, 100%, $E$13)</f>
        <v>3.2286999999999999</v>
      </c>
      <c r="K37" s="68">
        <f>3.232 * CHOOSE(CONTROL!$C$22, $C$13, 100%, $E$13)</f>
        <v>3.2320000000000002</v>
      </c>
      <c r="L37" s="4"/>
      <c r="M37" s="68"/>
      <c r="N37" s="68"/>
    </row>
    <row r="38" spans="1:14" ht="15">
      <c r="A38" s="13">
        <v>42278</v>
      </c>
      <c r="B38" s="67">
        <f>2.5077 * CHOOSE(CONTROL!$C$22, $C$13, 100%, $E$13)</f>
        <v>2.5076999999999998</v>
      </c>
      <c r="C38" s="67">
        <f>2.538 * CHOOSE(CONTROL!$C$22, $C$13, 100%, $E$13)</f>
        <v>2.5379999999999998</v>
      </c>
      <c r="D38" s="67">
        <f>2.539 * CHOOSE(CONTROL!$C$22, $C$13, 100%, $E$13)</f>
        <v>2.5390000000000001</v>
      </c>
      <c r="E38" s="68">
        <f>3.2365 * CHOOSE(CONTROL!$C$22, $C$13, 100%, $E$13)</f>
        <v>3.2364999999999999</v>
      </c>
      <c r="F38" s="68">
        <f>3.254 * CHOOSE(CONTROL!$C$22, $C$13, 100%, $E$13)</f>
        <v>3.254</v>
      </c>
      <c r="G38" s="68">
        <f>3.2553 * CHOOSE(CONTROL!$C$22, $C$13, 100%, $E$13)</f>
        <v>3.2553000000000001</v>
      </c>
      <c r="H38" s="68">
        <f>5.4543* CHOOSE(CONTROL!$C$22, $C$13, 100%, $E$13)</f>
        <v>5.4542999999999999</v>
      </c>
      <c r="I38" s="68">
        <f>5.4556 * CHOOSE(CONTROL!$C$22, $C$13, 100%, $E$13)</f>
        <v>5.4555999999999996</v>
      </c>
      <c r="J38" s="68">
        <f>3.2365 * CHOOSE(CONTROL!$C$22, $C$13, 100%, $E$13)</f>
        <v>3.2364999999999999</v>
      </c>
      <c r="K38" s="68">
        <f>3.2378 * CHOOSE(CONTROL!$C$22, $C$13, 100%, $E$13)</f>
        <v>3.2378</v>
      </c>
      <c r="L38" s="4"/>
      <c r="M38" s="68"/>
      <c r="N38" s="68"/>
    </row>
    <row r="39" spans="1:14" ht="15">
      <c r="A39" s="13">
        <v>42309</v>
      </c>
      <c r="B39" s="67">
        <f>2.5106 * CHOOSE(CONTROL!$C$22, $C$13, 100%, $E$13)</f>
        <v>2.5106000000000002</v>
      </c>
      <c r="C39" s="67">
        <f>2.5433 * CHOOSE(CONTROL!$C$22, $C$13, 100%, $E$13)</f>
        <v>2.5432999999999999</v>
      </c>
      <c r="D39" s="67">
        <f>2.5443 * CHOOSE(CONTROL!$C$22, $C$13, 100%, $E$13)</f>
        <v>2.5442999999999998</v>
      </c>
      <c r="E39" s="68">
        <f>3.2365 * CHOOSE(CONTROL!$C$22, $C$13, 100%, $E$13)</f>
        <v>3.2364999999999999</v>
      </c>
      <c r="F39" s="68">
        <f>3.254 * CHOOSE(CONTROL!$C$22, $C$13, 100%, $E$13)</f>
        <v>3.254</v>
      </c>
      <c r="G39" s="68">
        <f>3.2553 * CHOOSE(CONTROL!$C$22, $C$13, 100%, $E$13)</f>
        <v>3.2553000000000001</v>
      </c>
      <c r="H39" s="68">
        <f>5.4657* CHOOSE(CONTROL!$C$22, $C$13, 100%, $E$13)</f>
        <v>5.4657</v>
      </c>
      <c r="I39" s="68">
        <f>5.467 * CHOOSE(CONTROL!$C$22, $C$13, 100%, $E$13)</f>
        <v>5.4669999999999996</v>
      </c>
      <c r="J39" s="68">
        <f>3.2365 * CHOOSE(CONTROL!$C$22, $C$13, 100%, $E$13)</f>
        <v>3.2364999999999999</v>
      </c>
      <c r="K39" s="68">
        <f>3.2378 * CHOOSE(CONTROL!$C$22, $C$13, 100%, $E$13)</f>
        <v>3.2378</v>
      </c>
      <c r="L39" s="4"/>
      <c r="M39" s="68"/>
      <c r="N39" s="68"/>
    </row>
    <row r="40" spans="1:14" ht="15">
      <c r="A40" s="13">
        <v>42339</v>
      </c>
      <c r="B40" s="67">
        <f>2.5133 * CHOOSE(CONTROL!$C$22, $C$13, 100%, $E$13)</f>
        <v>2.5133000000000001</v>
      </c>
      <c r="C40" s="67">
        <f>2.5463 * CHOOSE(CONTROL!$C$22, $C$13, 100%, $E$13)</f>
        <v>2.5463</v>
      </c>
      <c r="D40" s="67">
        <f>2.5473 * CHOOSE(CONTROL!$C$22, $C$13, 100%, $E$13)</f>
        <v>2.5472999999999999</v>
      </c>
      <c r="E40" s="68">
        <f>3.2307 * CHOOSE(CONTROL!$C$22, $C$13, 100%, $E$13)</f>
        <v>3.2307000000000001</v>
      </c>
      <c r="F40" s="68">
        <f>3.254 * CHOOSE(CONTROL!$C$22, $C$13, 100%, $E$13)</f>
        <v>3.254</v>
      </c>
      <c r="G40" s="68">
        <f>3.2553 * CHOOSE(CONTROL!$C$22, $C$13, 100%, $E$13)</f>
        <v>3.2553000000000001</v>
      </c>
      <c r="H40" s="68">
        <f>5.4771* CHOOSE(CONTROL!$C$22, $C$13, 100%, $E$13)</f>
        <v>5.4771000000000001</v>
      </c>
      <c r="I40" s="68">
        <f>5.4784 * CHOOSE(CONTROL!$C$22, $C$13, 100%, $E$13)</f>
        <v>5.4783999999999997</v>
      </c>
      <c r="J40" s="68">
        <f>3.2307 * CHOOSE(CONTROL!$C$22, $C$13, 100%, $E$13)</f>
        <v>3.2307000000000001</v>
      </c>
      <c r="K40" s="68">
        <f>3.232 * CHOOSE(CONTROL!$C$22, $C$13, 100%, $E$13)</f>
        <v>3.2320000000000002</v>
      </c>
      <c r="L40" s="4"/>
      <c r="M40" s="68"/>
      <c r="N40" s="68"/>
    </row>
    <row r="41" spans="1:14" ht="15">
      <c r="A41" s="13">
        <v>42370</v>
      </c>
      <c r="B41" s="67">
        <f>2.8414 * CHOOSE(CONTROL!$C$22, $C$13, 100%, $E$13)</f>
        <v>2.8414000000000001</v>
      </c>
      <c r="C41" s="67">
        <f>2.8414 * CHOOSE(CONTROL!$C$22, $C$13, 100%, $E$13)</f>
        <v>2.8414000000000001</v>
      </c>
      <c r="D41" s="67">
        <f>2.8424 * CHOOSE(CONTROL!$C$22, $C$13, 100%, $E$13)</f>
        <v>2.8424</v>
      </c>
      <c r="E41" s="68">
        <f>3.358 * CHOOSE(CONTROL!$C$22, $C$13, 100%, $E$13)</f>
        <v>3.3580000000000001</v>
      </c>
      <c r="F41" s="68">
        <f>3.446 * CHOOSE(CONTROL!$C$22, $C$13, 100%, $E$13)</f>
        <v>3.4460000000000002</v>
      </c>
      <c r="G41" s="68">
        <f>3.4473 * CHOOSE(CONTROL!$C$22, $C$13, 100%, $E$13)</f>
        <v>3.4472999999999998</v>
      </c>
      <c r="H41" s="68">
        <f>5.4885* CHOOSE(CONTROL!$C$22, $C$13, 100%, $E$13)</f>
        <v>5.4885000000000002</v>
      </c>
      <c r="I41" s="68">
        <f>5.4898 * CHOOSE(CONTROL!$C$22, $C$13, 100%, $E$13)</f>
        <v>5.4897999999999998</v>
      </c>
      <c r="J41" s="68">
        <f>3.358 * CHOOSE(CONTROL!$C$22, $C$13, 100%, $E$13)</f>
        <v>3.3580000000000001</v>
      </c>
      <c r="K41" s="68">
        <f>3.3593 * CHOOSE(CONTROL!$C$22, $C$13, 100%, $E$13)</f>
        <v>3.3593000000000002</v>
      </c>
      <c r="L41" s="4"/>
      <c r="M41" s="68"/>
      <c r="N41" s="68"/>
    </row>
    <row r="42" spans="1:14" ht="15">
      <c r="A42" s="13">
        <v>42401</v>
      </c>
      <c r="B42" s="67">
        <f>2.8414 * CHOOSE(CONTROL!$C$22, $C$13, 100%, $E$13)</f>
        <v>2.8414000000000001</v>
      </c>
      <c r="C42" s="67">
        <f>2.8414 * CHOOSE(CONTROL!$C$22, $C$13, 100%, $E$13)</f>
        <v>2.8414000000000001</v>
      </c>
      <c r="D42" s="67">
        <f>2.8424 * CHOOSE(CONTROL!$C$22, $C$13, 100%, $E$13)</f>
        <v>2.8424</v>
      </c>
      <c r="E42" s="68">
        <f>3.402 * CHOOSE(CONTROL!$C$22, $C$13, 100%, $E$13)</f>
        <v>3.4020000000000001</v>
      </c>
      <c r="F42" s="68">
        <f>3.446 * CHOOSE(CONTROL!$C$22, $C$13, 100%, $E$13)</f>
        <v>3.4460000000000002</v>
      </c>
      <c r="G42" s="68">
        <f>3.4473 * CHOOSE(CONTROL!$C$22, $C$13, 100%, $E$13)</f>
        <v>3.4472999999999998</v>
      </c>
      <c r="H42" s="68">
        <f>5.4999* CHOOSE(CONTROL!$C$22, $C$13, 100%, $E$13)</f>
        <v>5.4999000000000002</v>
      </c>
      <c r="I42" s="68">
        <f>5.5012 * CHOOSE(CONTROL!$C$22, $C$13, 100%, $E$13)</f>
        <v>5.5011999999999999</v>
      </c>
      <c r="J42" s="68">
        <f>3.402 * CHOOSE(CONTROL!$C$22, $C$13, 100%, $E$13)</f>
        <v>3.4020000000000001</v>
      </c>
      <c r="K42" s="68">
        <f>3.4033 * CHOOSE(CONTROL!$C$22, $C$13, 100%, $E$13)</f>
        <v>3.4033000000000002</v>
      </c>
      <c r="L42" s="4"/>
      <c r="M42" s="68"/>
      <c r="N42" s="68"/>
    </row>
    <row r="43" spans="1:14" ht="15">
      <c r="A43" s="13">
        <v>42430</v>
      </c>
      <c r="B43" s="67">
        <f>2.8384 * CHOOSE(CONTROL!$C$22, $C$13, 100%, $E$13)</f>
        <v>2.8384</v>
      </c>
      <c r="C43" s="67">
        <f>2.8384 * CHOOSE(CONTROL!$C$22, $C$13, 100%, $E$13)</f>
        <v>2.8384</v>
      </c>
      <c r="D43" s="67">
        <f>2.8393 * CHOOSE(CONTROL!$C$22, $C$13, 100%, $E$13)</f>
        <v>2.8393000000000002</v>
      </c>
      <c r="E43" s="68">
        <f>3.358 * CHOOSE(CONTROL!$C$22, $C$13, 100%, $E$13)</f>
        <v>3.3580000000000001</v>
      </c>
      <c r="F43" s="68">
        <f>3.446 * CHOOSE(CONTROL!$C$22, $C$13, 100%, $E$13)</f>
        <v>3.4460000000000002</v>
      </c>
      <c r="G43" s="68">
        <f>3.4473 * CHOOSE(CONTROL!$C$22, $C$13, 100%, $E$13)</f>
        <v>3.4472999999999998</v>
      </c>
      <c r="H43" s="68">
        <f>5.5114* CHOOSE(CONTROL!$C$22, $C$13, 100%, $E$13)</f>
        <v>5.5114000000000001</v>
      </c>
      <c r="I43" s="68">
        <f>5.5127 * CHOOSE(CONTROL!$C$22, $C$13, 100%, $E$13)</f>
        <v>5.5126999999999997</v>
      </c>
      <c r="J43" s="68">
        <f>3.358 * CHOOSE(CONTROL!$C$22, $C$13, 100%, $E$13)</f>
        <v>3.3580000000000001</v>
      </c>
      <c r="K43" s="68">
        <f>3.3593 * CHOOSE(CONTROL!$C$22, $C$13, 100%, $E$13)</f>
        <v>3.3593000000000002</v>
      </c>
      <c r="L43" s="4"/>
      <c r="M43" s="68"/>
      <c r="N43" s="68"/>
    </row>
    <row r="44" spans="1:14" ht="15">
      <c r="A44" s="13">
        <v>42461</v>
      </c>
      <c r="B44" s="67">
        <f>2.8276 * CHOOSE(CONTROL!$C$22, $C$13, 100%, $E$13)</f>
        <v>2.8275999999999999</v>
      </c>
      <c r="C44" s="67">
        <f>2.8276 * CHOOSE(CONTROL!$C$22, $C$13, 100%, $E$13)</f>
        <v>2.8275999999999999</v>
      </c>
      <c r="D44" s="67">
        <f>2.8286 * CHOOSE(CONTROL!$C$22, $C$13, 100%, $E$13)</f>
        <v>2.8285999999999998</v>
      </c>
      <c r="E44" s="68">
        <f>3.402 * CHOOSE(CONTROL!$C$22, $C$13, 100%, $E$13)</f>
        <v>3.4020000000000001</v>
      </c>
      <c r="F44" s="68">
        <f>3.446 * CHOOSE(CONTROL!$C$22, $C$13, 100%, $E$13)</f>
        <v>3.4460000000000002</v>
      </c>
      <c r="G44" s="68">
        <f>3.4473 * CHOOSE(CONTROL!$C$22, $C$13, 100%, $E$13)</f>
        <v>3.4472999999999998</v>
      </c>
      <c r="H44" s="68">
        <f>5.5229* CHOOSE(CONTROL!$C$22, $C$13, 100%, $E$13)</f>
        <v>5.5228999999999999</v>
      </c>
      <c r="I44" s="68">
        <f>5.5242 * CHOOSE(CONTROL!$C$22, $C$13, 100%, $E$13)</f>
        <v>5.5242000000000004</v>
      </c>
      <c r="J44" s="68">
        <f>3.402 * CHOOSE(CONTROL!$C$22, $C$13, 100%, $E$13)</f>
        <v>3.4020000000000001</v>
      </c>
      <c r="K44" s="68">
        <f>3.4033 * CHOOSE(CONTROL!$C$22, $C$13, 100%, $E$13)</f>
        <v>3.4033000000000002</v>
      </c>
      <c r="L44" s="4"/>
      <c r="M44" s="68"/>
      <c r="N44" s="68"/>
    </row>
    <row r="45" spans="1:14" ht="15">
      <c r="A45" s="13">
        <v>42491</v>
      </c>
      <c r="B45" s="67">
        <f>2.8307 * CHOOSE(CONTROL!$C$22, $C$13, 100%, $E$13)</f>
        <v>2.8307000000000002</v>
      </c>
      <c r="C45" s="67">
        <f>2.8307 * CHOOSE(CONTROL!$C$22, $C$13, 100%, $E$13)</f>
        <v>2.8307000000000002</v>
      </c>
      <c r="D45" s="67">
        <f>2.8333 * CHOOSE(CONTROL!$C$22, $C$13, 100%, $E$13)</f>
        <v>2.8332999999999999</v>
      </c>
      <c r="E45" s="68">
        <f>3.358 * CHOOSE(CONTROL!$C$22, $C$13, 100%, $E$13)</f>
        <v>3.3580000000000001</v>
      </c>
      <c r="F45" s="68">
        <f>3.446 * CHOOSE(CONTROL!$C$22, $C$13, 100%, $E$13)</f>
        <v>3.4460000000000002</v>
      </c>
      <c r="G45" s="68">
        <f>3.4493 * CHOOSE(CONTROL!$C$22, $C$13, 100%, $E$13)</f>
        <v>3.4493</v>
      </c>
      <c r="H45" s="68">
        <f>5.5344* CHOOSE(CONTROL!$C$22, $C$13, 100%, $E$13)</f>
        <v>5.5343999999999998</v>
      </c>
      <c r="I45" s="68">
        <f>5.5376 * CHOOSE(CONTROL!$C$22, $C$13, 100%, $E$13)</f>
        <v>5.5376000000000003</v>
      </c>
      <c r="J45" s="68">
        <f>3.358 * CHOOSE(CONTROL!$C$22, $C$13, 100%, $E$13)</f>
        <v>3.3580000000000001</v>
      </c>
      <c r="K45" s="68">
        <f>3.3613 * CHOOSE(CONTROL!$C$22, $C$13, 100%, $E$13)</f>
        <v>3.3613</v>
      </c>
      <c r="L45" s="4"/>
      <c r="M45" s="68"/>
      <c r="N45" s="68"/>
    </row>
    <row r="46" spans="1:14" ht="15">
      <c r="A46" s="13">
        <v>42522</v>
      </c>
      <c r="B46" s="67">
        <f>2.8398 * CHOOSE(CONTROL!$C$22, $C$13, 100%, $E$13)</f>
        <v>2.8397999999999999</v>
      </c>
      <c r="C46" s="67">
        <f>2.8398 * CHOOSE(CONTROL!$C$22, $C$13, 100%, $E$13)</f>
        <v>2.8397999999999999</v>
      </c>
      <c r="D46" s="67">
        <f>2.8424 * CHOOSE(CONTROL!$C$22, $C$13, 100%, $E$13)</f>
        <v>2.8424</v>
      </c>
      <c r="E46" s="68">
        <f>3.402 * CHOOSE(CONTROL!$C$22, $C$13, 100%, $E$13)</f>
        <v>3.4020000000000001</v>
      </c>
      <c r="F46" s="68">
        <f>3.446 * CHOOSE(CONTROL!$C$22, $C$13, 100%, $E$13)</f>
        <v>3.4460000000000002</v>
      </c>
      <c r="G46" s="68">
        <f>3.4493 * CHOOSE(CONTROL!$C$22, $C$13, 100%, $E$13)</f>
        <v>3.4493</v>
      </c>
      <c r="H46" s="68">
        <f>5.5459* CHOOSE(CONTROL!$C$22, $C$13, 100%, $E$13)</f>
        <v>5.5458999999999996</v>
      </c>
      <c r="I46" s="68">
        <f>5.5492 * CHOOSE(CONTROL!$C$22, $C$13, 100%, $E$13)</f>
        <v>5.5491999999999999</v>
      </c>
      <c r="J46" s="68">
        <f>3.402 * CHOOSE(CONTROL!$C$22, $C$13, 100%, $E$13)</f>
        <v>3.4020000000000001</v>
      </c>
      <c r="K46" s="68">
        <f>3.4053 * CHOOSE(CONTROL!$C$22, $C$13, 100%, $E$13)</f>
        <v>3.4053</v>
      </c>
      <c r="L46" s="4"/>
      <c r="M46" s="68"/>
      <c r="N46" s="68"/>
    </row>
    <row r="47" spans="1:14" ht="15">
      <c r="A47" s="13">
        <v>42552</v>
      </c>
      <c r="B47" s="67">
        <f>2.8772 * CHOOSE(CONTROL!$C$22, $C$13, 100%, $E$13)</f>
        <v>2.8772000000000002</v>
      </c>
      <c r="C47" s="67">
        <f>2.8772 * CHOOSE(CONTROL!$C$22, $C$13, 100%, $E$13)</f>
        <v>2.8772000000000002</v>
      </c>
      <c r="D47" s="67">
        <f>2.8798 * CHOOSE(CONTROL!$C$22, $C$13, 100%, $E$13)</f>
        <v>2.8797999999999999</v>
      </c>
      <c r="E47" s="68">
        <f>3.3756 * CHOOSE(CONTROL!$C$22, $C$13, 100%, $E$13)</f>
        <v>3.3755999999999999</v>
      </c>
      <c r="F47" s="68">
        <f>3.446 * CHOOSE(CONTROL!$C$22, $C$13, 100%, $E$13)</f>
        <v>3.4460000000000002</v>
      </c>
      <c r="G47" s="68">
        <f>3.4493 * CHOOSE(CONTROL!$C$22, $C$13, 100%, $E$13)</f>
        <v>3.4493</v>
      </c>
      <c r="H47" s="68">
        <f>5.5575* CHOOSE(CONTROL!$C$22, $C$13, 100%, $E$13)</f>
        <v>5.5575000000000001</v>
      </c>
      <c r="I47" s="68">
        <f>5.5607 * CHOOSE(CONTROL!$C$22, $C$13, 100%, $E$13)</f>
        <v>5.5606999999999998</v>
      </c>
      <c r="J47" s="68">
        <f>3.3756 * CHOOSE(CONTROL!$C$22, $C$13, 100%, $E$13)</f>
        <v>3.3755999999999999</v>
      </c>
      <c r="K47" s="68">
        <f>3.3789 * CHOOSE(CONTROL!$C$22, $C$13, 100%, $E$13)</f>
        <v>3.3788999999999998</v>
      </c>
      <c r="L47" s="4"/>
      <c r="M47" s="4"/>
      <c r="N47" s="4"/>
    </row>
    <row r="48" spans="1:14" ht="15">
      <c r="A48" s="13">
        <v>42583</v>
      </c>
      <c r="B48" s="67">
        <f>2.9046 * CHOOSE(CONTROL!$C$22, $C$13, 100%, $E$13)</f>
        <v>2.9045999999999998</v>
      </c>
      <c r="C48" s="67">
        <f>2.9046 * CHOOSE(CONTROL!$C$22, $C$13, 100%, $E$13)</f>
        <v>2.9045999999999998</v>
      </c>
      <c r="D48" s="67">
        <f>2.9072 * CHOOSE(CONTROL!$C$22, $C$13, 100%, $E$13)</f>
        <v>2.9072</v>
      </c>
      <c r="E48" s="68">
        <f>3.4108 * CHOOSE(CONTROL!$C$22, $C$13, 100%, $E$13)</f>
        <v>3.4108000000000001</v>
      </c>
      <c r="F48" s="68">
        <f>3.446 * CHOOSE(CONTROL!$C$22, $C$13, 100%, $E$13)</f>
        <v>3.4460000000000002</v>
      </c>
      <c r="G48" s="68">
        <f>3.4493 * CHOOSE(CONTROL!$C$22, $C$13, 100%, $E$13)</f>
        <v>3.4493</v>
      </c>
      <c r="H48" s="68">
        <f>5.569* CHOOSE(CONTROL!$C$22, $C$13, 100%, $E$13)</f>
        <v>5.569</v>
      </c>
      <c r="I48" s="68">
        <f>5.5723 * CHOOSE(CONTROL!$C$22, $C$13, 100%, $E$13)</f>
        <v>5.5723000000000003</v>
      </c>
      <c r="J48" s="68">
        <f>3.4108 * CHOOSE(CONTROL!$C$22, $C$13, 100%, $E$13)</f>
        <v>3.4108000000000001</v>
      </c>
      <c r="K48" s="68">
        <f>3.4141 * CHOOSE(CONTROL!$C$22, $C$13, 100%, $E$13)</f>
        <v>3.4140999999999999</v>
      </c>
      <c r="L48" s="4"/>
      <c r="M48" s="4"/>
      <c r="N48" s="4"/>
    </row>
    <row r="49" spans="1:14" ht="15">
      <c r="A49" s="13">
        <v>42614</v>
      </c>
      <c r="B49" s="67">
        <f>2.8985 * CHOOSE(CONTROL!$C$22, $C$13, 100%, $E$13)</f>
        <v>2.8984999999999999</v>
      </c>
      <c r="C49" s="67">
        <f>2.8985 * CHOOSE(CONTROL!$C$22, $C$13, 100%, $E$13)</f>
        <v>2.8984999999999999</v>
      </c>
      <c r="D49" s="67">
        <f>2.9011 * CHOOSE(CONTROL!$C$22, $C$13, 100%, $E$13)</f>
        <v>2.9011</v>
      </c>
      <c r="E49" s="68">
        <f>3.358 * CHOOSE(CONTROL!$C$22, $C$13, 100%, $E$13)</f>
        <v>3.3580000000000001</v>
      </c>
      <c r="F49" s="68">
        <f>3.446 * CHOOSE(CONTROL!$C$22, $C$13, 100%, $E$13)</f>
        <v>3.4460000000000002</v>
      </c>
      <c r="G49" s="68">
        <f>3.4493 * CHOOSE(CONTROL!$C$22, $C$13, 100%, $E$13)</f>
        <v>3.4493</v>
      </c>
      <c r="H49" s="68">
        <f>5.5806* CHOOSE(CONTROL!$C$22, $C$13, 100%, $E$13)</f>
        <v>5.5805999999999996</v>
      </c>
      <c r="I49" s="68">
        <f>5.5839 * CHOOSE(CONTROL!$C$22, $C$13, 100%, $E$13)</f>
        <v>5.5838999999999999</v>
      </c>
      <c r="J49" s="68">
        <f>3.358 * CHOOSE(CONTROL!$C$22, $C$13, 100%, $E$13)</f>
        <v>3.3580000000000001</v>
      </c>
      <c r="K49" s="68">
        <f>3.3613 * CHOOSE(CONTROL!$C$22, $C$13, 100%, $E$13)</f>
        <v>3.3613</v>
      </c>
      <c r="L49" s="4"/>
      <c r="M49" s="4"/>
      <c r="N49" s="4"/>
    </row>
    <row r="50" spans="1:14" ht="15">
      <c r="A50" s="13">
        <v>42644</v>
      </c>
      <c r="B50" s="67">
        <f>2.9149 * CHOOSE(CONTROL!$C$22, $C$13, 100%, $E$13)</f>
        <v>2.9148999999999998</v>
      </c>
      <c r="C50" s="67">
        <f>2.9149 * CHOOSE(CONTROL!$C$22, $C$13, 100%, $E$13)</f>
        <v>2.9148999999999998</v>
      </c>
      <c r="D50" s="67">
        <f>2.9159 * CHOOSE(CONTROL!$C$22, $C$13, 100%, $E$13)</f>
        <v>2.9159000000000002</v>
      </c>
      <c r="E50" s="68">
        <f>3.3756 * CHOOSE(CONTROL!$C$22, $C$13, 100%, $E$13)</f>
        <v>3.3755999999999999</v>
      </c>
      <c r="F50" s="68">
        <f>3.446 * CHOOSE(CONTROL!$C$22, $C$13, 100%, $E$13)</f>
        <v>3.4460000000000002</v>
      </c>
      <c r="G50" s="68">
        <f>3.4473 * CHOOSE(CONTROL!$C$22, $C$13, 100%, $E$13)</f>
        <v>3.4472999999999998</v>
      </c>
      <c r="H50" s="68">
        <f>5.5923* CHOOSE(CONTROL!$C$22, $C$13, 100%, $E$13)</f>
        <v>5.5922999999999998</v>
      </c>
      <c r="I50" s="68">
        <f>5.5936 * CHOOSE(CONTROL!$C$22, $C$13, 100%, $E$13)</f>
        <v>5.5936000000000003</v>
      </c>
      <c r="J50" s="68">
        <f>3.3756 * CHOOSE(CONTROL!$C$22, $C$13, 100%, $E$13)</f>
        <v>3.3755999999999999</v>
      </c>
      <c r="K50" s="68">
        <f>3.3769 * CHOOSE(CONTROL!$C$22, $C$13, 100%, $E$13)</f>
        <v>3.3769</v>
      </c>
      <c r="L50" s="4"/>
      <c r="M50" s="4"/>
      <c r="N50" s="4"/>
    </row>
    <row r="51" spans="1:14" ht="15">
      <c r="A51" s="13">
        <v>42675</v>
      </c>
      <c r="B51" s="67">
        <f>2.918 * CHOOSE(CONTROL!$C$22, $C$13, 100%, $E$13)</f>
        <v>2.9180000000000001</v>
      </c>
      <c r="C51" s="67">
        <f>2.918 * CHOOSE(CONTROL!$C$22, $C$13, 100%, $E$13)</f>
        <v>2.9180000000000001</v>
      </c>
      <c r="D51" s="67">
        <f>2.919 * CHOOSE(CONTROL!$C$22, $C$13, 100%, $E$13)</f>
        <v>2.919</v>
      </c>
      <c r="E51" s="68">
        <f>3.402 * CHOOSE(CONTROL!$C$22, $C$13, 100%, $E$13)</f>
        <v>3.4020000000000001</v>
      </c>
      <c r="F51" s="68">
        <f>3.446 * CHOOSE(CONTROL!$C$22, $C$13, 100%, $E$13)</f>
        <v>3.4460000000000002</v>
      </c>
      <c r="G51" s="68">
        <f>3.4473 * CHOOSE(CONTROL!$C$22, $C$13, 100%, $E$13)</f>
        <v>3.4472999999999998</v>
      </c>
      <c r="H51" s="68">
        <f>5.6039* CHOOSE(CONTROL!$C$22, $C$13, 100%, $E$13)</f>
        <v>5.6039000000000003</v>
      </c>
      <c r="I51" s="68">
        <f>5.6052 * CHOOSE(CONTROL!$C$22, $C$13, 100%, $E$13)</f>
        <v>5.6052</v>
      </c>
      <c r="J51" s="68">
        <f>3.402 * CHOOSE(CONTROL!$C$22, $C$13, 100%, $E$13)</f>
        <v>3.4020000000000001</v>
      </c>
      <c r="K51" s="68">
        <f>3.4033 * CHOOSE(CONTROL!$C$22, $C$13, 100%, $E$13)</f>
        <v>3.4033000000000002</v>
      </c>
      <c r="L51" s="4"/>
      <c r="M51" s="4"/>
      <c r="N51" s="4"/>
    </row>
    <row r="52" spans="1:14" ht="15">
      <c r="A52" s="13">
        <v>42705</v>
      </c>
      <c r="B52" s="67">
        <f>2.921 * CHOOSE(CONTROL!$C$22, $C$13, 100%, $E$13)</f>
        <v>2.9209999999999998</v>
      </c>
      <c r="C52" s="67">
        <f>2.921 * CHOOSE(CONTROL!$C$22, $C$13, 100%, $E$13)</f>
        <v>2.9209999999999998</v>
      </c>
      <c r="D52" s="67">
        <f>2.922 * CHOOSE(CONTROL!$C$22, $C$13, 100%, $E$13)</f>
        <v>2.9220000000000002</v>
      </c>
      <c r="E52" s="68">
        <f>3.446 * CHOOSE(CONTROL!$C$22, $C$13, 100%, $E$13)</f>
        <v>3.4460000000000002</v>
      </c>
      <c r="F52" s="68">
        <f>3.446 * CHOOSE(CONTROL!$C$22, $C$13, 100%, $E$13)</f>
        <v>3.4460000000000002</v>
      </c>
      <c r="G52" s="68">
        <f>3.4473 * CHOOSE(CONTROL!$C$22, $C$13, 100%, $E$13)</f>
        <v>3.4472999999999998</v>
      </c>
      <c r="H52" s="68">
        <f>5.6156* CHOOSE(CONTROL!$C$22, $C$13, 100%, $E$13)</f>
        <v>5.6155999999999997</v>
      </c>
      <c r="I52" s="68">
        <f>5.6169 * CHOOSE(CONTROL!$C$22, $C$13, 100%, $E$13)</f>
        <v>5.6169000000000002</v>
      </c>
      <c r="J52" s="68">
        <f>3.446 * CHOOSE(CONTROL!$C$22, $C$13, 100%, $E$13)</f>
        <v>3.4460000000000002</v>
      </c>
      <c r="K52" s="68">
        <f>3.4473 * CHOOSE(CONTROL!$C$22, $C$13, 100%, $E$13)</f>
        <v>3.4472999999999998</v>
      </c>
      <c r="L52" s="4"/>
      <c r="M52" s="4"/>
      <c r="N52" s="4"/>
    </row>
    <row r="53" spans="1:14" ht="15">
      <c r="A53" s="13">
        <v>42736</v>
      </c>
      <c r="B53" s="67">
        <f>2.9632 * CHOOSE(CONTROL!$C$22, $C$13, 100%, $E$13)</f>
        <v>2.9632000000000001</v>
      </c>
      <c r="C53" s="67">
        <f>2.9632 * CHOOSE(CONTROL!$C$22, $C$13, 100%, $E$13)</f>
        <v>2.9632000000000001</v>
      </c>
      <c r="D53" s="67">
        <f>2.9642 * CHOOSE(CONTROL!$C$22, $C$13, 100%, $E$13)</f>
        <v>2.9641999999999999</v>
      </c>
      <c r="E53" s="68">
        <f>3.5517 * CHOOSE(CONTROL!$C$22, $C$13, 100%, $E$13)</f>
        <v>3.5516999999999999</v>
      </c>
      <c r="F53" s="68">
        <f>3.5517 * CHOOSE(CONTROL!$C$22, $C$13, 100%, $E$13)</f>
        <v>3.5516999999999999</v>
      </c>
      <c r="G53" s="68">
        <f>3.5529 * CHOOSE(CONTROL!$C$22, $C$13, 100%, $E$13)</f>
        <v>3.5529000000000002</v>
      </c>
      <c r="H53" s="68">
        <f>5.6273* CHOOSE(CONTROL!$C$22, $C$13, 100%, $E$13)</f>
        <v>5.6273</v>
      </c>
      <c r="I53" s="68">
        <f>5.6286 * CHOOSE(CONTROL!$C$22, $C$13, 100%, $E$13)</f>
        <v>5.6285999999999996</v>
      </c>
      <c r="J53" s="68">
        <f>3.5517 * CHOOSE(CONTROL!$C$22, $C$13, 100%, $E$13)</f>
        <v>3.5516999999999999</v>
      </c>
      <c r="K53" s="68">
        <f>3.5529 * CHOOSE(CONTROL!$C$22, $C$13, 100%, $E$13)</f>
        <v>3.5529000000000002</v>
      </c>
      <c r="L53" s="4"/>
      <c r="M53" s="4"/>
      <c r="N53" s="4"/>
    </row>
    <row r="54" spans="1:14" ht="15">
      <c r="A54" s="13">
        <v>42767</v>
      </c>
      <c r="B54" s="67">
        <f>2.9601 * CHOOSE(CONTROL!$C$22, $C$13, 100%, $E$13)</f>
        <v>2.9601000000000002</v>
      </c>
      <c r="C54" s="67">
        <f>2.9601 * CHOOSE(CONTROL!$C$22, $C$13, 100%, $E$13)</f>
        <v>2.9601000000000002</v>
      </c>
      <c r="D54" s="67">
        <f>2.9611 * CHOOSE(CONTROL!$C$22, $C$13, 100%, $E$13)</f>
        <v>2.9611000000000001</v>
      </c>
      <c r="E54" s="68">
        <f>3.521 * CHOOSE(CONTROL!$C$22, $C$13, 100%, $E$13)</f>
        <v>3.5209999999999999</v>
      </c>
      <c r="F54" s="68">
        <f>3.521 * CHOOSE(CONTROL!$C$22, $C$13, 100%, $E$13)</f>
        <v>3.5209999999999999</v>
      </c>
      <c r="G54" s="68">
        <f>3.5223 * CHOOSE(CONTROL!$C$22, $C$13, 100%, $E$13)</f>
        <v>3.5223</v>
      </c>
      <c r="H54" s="68">
        <f>5.639* CHOOSE(CONTROL!$C$22, $C$13, 100%, $E$13)</f>
        <v>5.6390000000000002</v>
      </c>
      <c r="I54" s="68">
        <f>5.6403 * CHOOSE(CONTROL!$C$22, $C$13, 100%, $E$13)</f>
        <v>5.6402999999999999</v>
      </c>
      <c r="J54" s="68">
        <f>3.521 * CHOOSE(CONTROL!$C$22, $C$13, 100%, $E$13)</f>
        <v>3.5209999999999999</v>
      </c>
      <c r="K54" s="68">
        <f>3.5223 * CHOOSE(CONTROL!$C$22, $C$13, 100%, $E$13)</f>
        <v>3.5223</v>
      </c>
      <c r="L54" s="4"/>
      <c r="M54" s="4"/>
      <c r="N54" s="4"/>
    </row>
    <row r="55" spans="1:14" ht="15">
      <c r="A55" s="13">
        <v>42795</v>
      </c>
      <c r="B55" s="67">
        <f>2.9571 * CHOOSE(CONTROL!$C$22, $C$13, 100%, $E$13)</f>
        <v>2.9571000000000001</v>
      </c>
      <c r="C55" s="67">
        <f>2.9571 * CHOOSE(CONTROL!$C$22, $C$13, 100%, $E$13)</f>
        <v>2.9571000000000001</v>
      </c>
      <c r="D55" s="67">
        <f>2.9581 * CHOOSE(CONTROL!$C$22, $C$13, 100%, $E$13)</f>
        <v>2.9581</v>
      </c>
      <c r="E55" s="68">
        <f>3.5414 * CHOOSE(CONTROL!$C$22, $C$13, 100%, $E$13)</f>
        <v>3.5413999999999999</v>
      </c>
      <c r="F55" s="68">
        <f>3.5414 * CHOOSE(CONTROL!$C$22, $C$13, 100%, $E$13)</f>
        <v>3.5413999999999999</v>
      </c>
      <c r="G55" s="68">
        <f>3.5427 * CHOOSE(CONTROL!$C$22, $C$13, 100%, $E$13)</f>
        <v>3.5427</v>
      </c>
      <c r="H55" s="68">
        <f>5.6508* CHOOSE(CONTROL!$C$22, $C$13, 100%, $E$13)</f>
        <v>5.6508000000000003</v>
      </c>
      <c r="I55" s="68">
        <f>5.6521 * CHOOSE(CONTROL!$C$22, $C$13, 100%, $E$13)</f>
        <v>5.6520999999999999</v>
      </c>
      <c r="J55" s="68">
        <f>3.5414 * CHOOSE(CONTROL!$C$22, $C$13, 100%, $E$13)</f>
        <v>3.5413999999999999</v>
      </c>
      <c r="K55" s="68">
        <f>3.5427 * CHOOSE(CONTROL!$C$22, $C$13, 100%, $E$13)</f>
        <v>3.5427</v>
      </c>
      <c r="L55" s="4"/>
      <c r="M55" s="4"/>
      <c r="N55" s="4"/>
    </row>
    <row r="56" spans="1:14" ht="15">
      <c r="A56" s="13">
        <v>42826</v>
      </c>
      <c r="B56" s="67">
        <f>2.9537 * CHOOSE(CONTROL!$C$22, $C$13, 100%, $E$13)</f>
        <v>2.9537</v>
      </c>
      <c r="C56" s="67">
        <f>2.9537 * CHOOSE(CONTROL!$C$22, $C$13, 100%, $E$13)</f>
        <v>2.9537</v>
      </c>
      <c r="D56" s="67">
        <f>2.9547 * CHOOSE(CONTROL!$C$22, $C$13, 100%, $E$13)</f>
        <v>2.9546999999999999</v>
      </c>
      <c r="E56" s="68">
        <f>3.5613 * CHOOSE(CONTROL!$C$22, $C$13, 100%, $E$13)</f>
        <v>3.5613000000000001</v>
      </c>
      <c r="F56" s="68">
        <f>3.5613 * CHOOSE(CONTROL!$C$22, $C$13, 100%, $E$13)</f>
        <v>3.5613000000000001</v>
      </c>
      <c r="G56" s="68">
        <f>3.5626 * CHOOSE(CONTROL!$C$22, $C$13, 100%, $E$13)</f>
        <v>3.5626000000000002</v>
      </c>
      <c r="H56" s="68">
        <f>5.6625* CHOOSE(CONTROL!$C$22, $C$13, 100%, $E$13)</f>
        <v>5.6624999999999996</v>
      </c>
      <c r="I56" s="68">
        <f>5.6638 * CHOOSE(CONTROL!$C$22, $C$13, 100%, $E$13)</f>
        <v>5.6638000000000002</v>
      </c>
      <c r="J56" s="68">
        <f>3.5613 * CHOOSE(CONTROL!$C$22, $C$13, 100%, $E$13)</f>
        <v>3.5613000000000001</v>
      </c>
      <c r="K56" s="68">
        <f>3.5626 * CHOOSE(CONTROL!$C$22, $C$13, 100%, $E$13)</f>
        <v>3.5626000000000002</v>
      </c>
      <c r="L56" s="4"/>
      <c r="M56" s="4"/>
      <c r="N56" s="4"/>
    </row>
    <row r="57" spans="1:14" ht="15">
      <c r="A57" s="13">
        <v>42856</v>
      </c>
      <c r="B57" s="67">
        <f>2.9537 * CHOOSE(CONTROL!$C$22, $C$13, 100%, $E$13)</f>
        <v>2.9537</v>
      </c>
      <c r="C57" s="67">
        <f>2.9537 * CHOOSE(CONTROL!$C$22, $C$13, 100%, $E$13)</f>
        <v>2.9537</v>
      </c>
      <c r="D57" s="67">
        <f>2.9563 * CHOOSE(CONTROL!$C$22, $C$13, 100%, $E$13)</f>
        <v>2.9563000000000001</v>
      </c>
      <c r="E57" s="68">
        <f>3.5704 * CHOOSE(CONTROL!$C$22, $C$13, 100%, $E$13)</f>
        <v>3.5703999999999998</v>
      </c>
      <c r="F57" s="68">
        <f>3.5704 * CHOOSE(CONTROL!$C$22, $C$13, 100%, $E$13)</f>
        <v>3.5703999999999998</v>
      </c>
      <c r="G57" s="68">
        <f>3.5736 * CHOOSE(CONTROL!$C$22, $C$13, 100%, $E$13)</f>
        <v>3.5735999999999999</v>
      </c>
      <c r="H57" s="68">
        <f>5.6743* CHOOSE(CONTROL!$C$22, $C$13, 100%, $E$13)</f>
        <v>5.6742999999999997</v>
      </c>
      <c r="I57" s="68">
        <f>5.6776 * CHOOSE(CONTROL!$C$22, $C$13, 100%, $E$13)</f>
        <v>5.6776</v>
      </c>
      <c r="J57" s="68">
        <f>3.5704 * CHOOSE(CONTROL!$C$22, $C$13, 100%, $E$13)</f>
        <v>3.5703999999999998</v>
      </c>
      <c r="K57" s="68">
        <f>3.5736 * CHOOSE(CONTROL!$C$22, $C$13, 100%, $E$13)</f>
        <v>3.5735999999999999</v>
      </c>
      <c r="L57" s="4"/>
      <c r="M57" s="4"/>
      <c r="N57" s="4"/>
    </row>
    <row r="58" spans="1:14" ht="15">
      <c r="A58" s="13">
        <v>42887</v>
      </c>
      <c r="B58" s="67">
        <f>2.9598 * CHOOSE(CONTROL!$C$22, $C$13, 100%, $E$13)</f>
        <v>2.9598</v>
      </c>
      <c r="C58" s="67">
        <f>2.9598 * CHOOSE(CONTROL!$C$22, $C$13, 100%, $E$13)</f>
        <v>2.9598</v>
      </c>
      <c r="D58" s="67">
        <f>2.9624 * CHOOSE(CONTROL!$C$22, $C$13, 100%, $E$13)</f>
        <v>2.9624000000000001</v>
      </c>
      <c r="E58" s="68">
        <f>3.5655 * CHOOSE(CONTROL!$C$22, $C$13, 100%, $E$13)</f>
        <v>3.5655000000000001</v>
      </c>
      <c r="F58" s="68">
        <f>3.5655 * CHOOSE(CONTROL!$C$22, $C$13, 100%, $E$13)</f>
        <v>3.5655000000000001</v>
      </c>
      <c r="G58" s="68">
        <f>3.5688 * CHOOSE(CONTROL!$C$22, $C$13, 100%, $E$13)</f>
        <v>3.5688</v>
      </c>
      <c r="H58" s="68">
        <f>5.6862* CHOOSE(CONTROL!$C$22, $C$13, 100%, $E$13)</f>
        <v>5.6862000000000004</v>
      </c>
      <c r="I58" s="68">
        <f>5.6894 * CHOOSE(CONTROL!$C$22, $C$13, 100%, $E$13)</f>
        <v>5.6894</v>
      </c>
      <c r="J58" s="68">
        <f>3.5655 * CHOOSE(CONTROL!$C$22, $C$13, 100%, $E$13)</f>
        <v>3.5655000000000001</v>
      </c>
      <c r="K58" s="68">
        <f>3.5688 * CHOOSE(CONTROL!$C$22, $C$13, 100%, $E$13)</f>
        <v>3.5688</v>
      </c>
      <c r="L58" s="4"/>
      <c r="M58" s="4"/>
      <c r="N58" s="4"/>
    </row>
    <row r="59" spans="1:14" ht="15">
      <c r="A59" s="13">
        <v>42917</v>
      </c>
      <c r="B59" s="67">
        <f>3.0475 * CHOOSE(CONTROL!$C$22, $C$13, 100%, $E$13)</f>
        <v>3.0474999999999999</v>
      </c>
      <c r="C59" s="67">
        <f>3.0475 * CHOOSE(CONTROL!$C$22, $C$13, 100%, $E$13)</f>
        <v>3.0474999999999999</v>
      </c>
      <c r="D59" s="67">
        <f>3.0502 * CHOOSE(CONTROL!$C$22, $C$13, 100%, $E$13)</f>
        <v>3.0501999999999998</v>
      </c>
      <c r="E59" s="68">
        <f>3.6468 * CHOOSE(CONTROL!$C$22, $C$13, 100%, $E$13)</f>
        <v>3.6467999999999998</v>
      </c>
      <c r="F59" s="68">
        <f>3.6468 * CHOOSE(CONTROL!$C$22, $C$13, 100%, $E$13)</f>
        <v>3.6467999999999998</v>
      </c>
      <c r="G59" s="68">
        <f>3.65 * CHOOSE(CONTROL!$C$22, $C$13, 100%, $E$13)</f>
        <v>3.65</v>
      </c>
      <c r="H59" s="68">
        <f>5.698* CHOOSE(CONTROL!$C$22, $C$13, 100%, $E$13)</f>
        <v>5.6980000000000004</v>
      </c>
      <c r="I59" s="68">
        <f>5.7013 * CHOOSE(CONTROL!$C$22, $C$13, 100%, $E$13)</f>
        <v>5.7012999999999998</v>
      </c>
      <c r="J59" s="68">
        <f>3.6468 * CHOOSE(CONTROL!$C$22, $C$13, 100%, $E$13)</f>
        <v>3.6467999999999998</v>
      </c>
      <c r="K59" s="68">
        <f>3.65 * CHOOSE(CONTROL!$C$22, $C$13, 100%, $E$13)</f>
        <v>3.65</v>
      </c>
      <c r="L59" s="4"/>
      <c r="M59" s="4"/>
      <c r="N59" s="4"/>
    </row>
    <row r="60" spans="1:14" ht="15">
      <c r="A60" s="13">
        <v>42948</v>
      </c>
      <c r="B60" s="67">
        <f>3.0542 * CHOOSE(CONTROL!$C$22, $C$13, 100%, $E$13)</f>
        <v>3.0541999999999998</v>
      </c>
      <c r="C60" s="67">
        <f>3.0542 * CHOOSE(CONTROL!$C$22, $C$13, 100%, $E$13)</f>
        <v>3.0541999999999998</v>
      </c>
      <c r="D60" s="67">
        <f>3.0568 * CHOOSE(CONTROL!$C$22, $C$13, 100%, $E$13)</f>
        <v>3.0568</v>
      </c>
      <c r="E60" s="68">
        <f>3.6242 * CHOOSE(CONTROL!$C$22, $C$13, 100%, $E$13)</f>
        <v>3.6242000000000001</v>
      </c>
      <c r="F60" s="68">
        <f>3.6242 * CHOOSE(CONTROL!$C$22, $C$13, 100%, $E$13)</f>
        <v>3.6242000000000001</v>
      </c>
      <c r="G60" s="68">
        <f>3.6275 * CHOOSE(CONTROL!$C$22, $C$13, 100%, $E$13)</f>
        <v>3.6274999999999999</v>
      </c>
      <c r="H60" s="68">
        <f>5.7099* CHOOSE(CONTROL!$C$22, $C$13, 100%, $E$13)</f>
        <v>5.7099000000000002</v>
      </c>
      <c r="I60" s="68">
        <f>5.7131 * CHOOSE(CONTROL!$C$22, $C$13, 100%, $E$13)</f>
        <v>5.7130999999999998</v>
      </c>
      <c r="J60" s="68">
        <f>3.6242 * CHOOSE(CONTROL!$C$22, $C$13, 100%, $E$13)</f>
        <v>3.6242000000000001</v>
      </c>
      <c r="K60" s="68">
        <f>3.6275 * CHOOSE(CONTROL!$C$22, $C$13, 100%, $E$13)</f>
        <v>3.6274999999999999</v>
      </c>
      <c r="L60" s="4"/>
      <c r="M60" s="4"/>
      <c r="N60" s="4"/>
    </row>
    <row r="61" spans="1:14" ht="15">
      <c r="A61" s="13">
        <v>42979</v>
      </c>
      <c r="B61" s="67">
        <f>3.0512 * CHOOSE(CONTROL!$C$22, $C$13, 100%, $E$13)</f>
        <v>3.0512000000000001</v>
      </c>
      <c r="C61" s="67">
        <f>3.0512 * CHOOSE(CONTROL!$C$22, $C$13, 100%, $E$13)</f>
        <v>3.0512000000000001</v>
      </c>
      <c r="D61" s="67">
        <f>3.0538 * CHOOSE(CONTROL!$C$22, $C$13, 100%, $E$13)</f>
        <v>3.0537999999999998</v>
      </c>
      <c r="E61" s="68">
        <f>3.6191 * CHOOSE(CONTROL!$C$22, $C$13, 100%, $E$13)</f>
        <v>3.6191</v>
      </c>
      <c r="F61" s="68">
        <f>3.6191 * CHOOSE(CONTROL!$C$22, $C$13, 100%, $E$13)</f>
        <v>3.6191</v>
      </c>
      <c r="G61" s="68">
        <f>3.6224 * CHOOSE(CONTROL!$C$22, $C$13, 100%, $E$13)</f>
        <v>3.6223999999999998</v>
      </c>
      <c r="H61" s="68">
        <f>5.7218* CHOOSE(CONTROL!$C$22, $C$13, 100%, $E$13)</f>
        <v>5.7218</v>
      </c>
      <c r="I61" s="68">
        <f>5.725 * CHOOSE(CONTROL!$C$22, $C$13, 100%, $E$13)</f>
        <v>5.7249999999999996</v>
      </c>
      <c r="J61" s="68">
        <f>3.6191 * CHOOSE(CONTROL!$C$22, $C$13, 100%, $E$13)</f>
        <v>3.6191</v>
      </c>
      <c r="K61" s="68">
        <f>3.6224 * CHOOSE(CONTROL!$C$22, $C$13, 100%, $E$13)</f>
        <v>3.6223999999999998</v>
      </c>
      <c r="L61" s="4"/>
      <c r="M61" s="4"/>
      <c r="N61" s="4"/>
    </row>
    <row r="62" spans="1:14" ht="15">
      <c r="A62" s="13">
        <v>43009</v>
      </c>
      <c r="B62" s="67">
        <f>3.0423 * CHOOSE(CONTROL!$C$22, $C$13, 100%, $E$13)</f>
        <v>3.0423</v>
      </c>
      <c r="C62" s="67">
        <f>3.0423 * CHOOSE(CONTROL!$C$22, $C$13, 100%, $E$13)</f>
        <v>3.0423</v>
      </c>
      <c r="D62" s="67">
        <f>3.0433 * CHOOSE(CONTROL!$C$22, $C$13, 100%, $E$13)</f>
        <v>3.0432999999999999</v>
      </c>
      <c r="E62" s="68">
        <f>3.6178 * CHOOSE(CONTROL!$C$22, $C$13, 100%, $E$13)</f>
        <v>3.6177999999999999</v>
      </c>
      <c r="F62" s="68">
        <f>3.6178 * CHOOSE(CONTROL!$C$22, $C$13, 100%, $E$13)</f>
        <v>3.6177999999999999</v>
      </c>
      <c r="G62" s="68">
        <f>3.619 * CHOOSE(CONTROL!$C$22, $C$13, 100%, $E$13)</f>
        <v>3.6190000000000002</v>
      </c>
      <c r="H62" s="68">
        <f>5.7337* CHOOSE(CONTROL!$C$22, $C$13, 100%, $E$13)</f>
        <v>5.7336999999999998</v>
      </c>
      <c r="I62" s="68">
        <f>5.735 * CHOOSE(CONTROL!$C$22, $C$13, 100%, $E$13)</f>
        <v>5.7350000000000003</v>
      </c>
      <c r="J62" s="68">
        <f>3.6178 * CHOOSE(CONTROL!$C$22, $C$13, 100%, $E$13)</f>
        <v>3.6177999999999999</v>
      </c>
      <c r="K62" s="68">
        <f>3.619 * CHOOSE(CONTROL!$C$22, $C$13, 100%, $E$13)</f>
        <v>3.6190000000000002</v>
      </c>
      <c r="L62" s="4"/>
      <c r="M62" s="4"/>
      <c r="N62" s="4"/>
    </row>
    <row r="63" spans="1:14" ht="15">
      <c r="A63" s="13">
        <v>43040</v>
      </c>
      <c r="B63" s="67">
        <f>3.0454 * CHOOSE(CONTROL!$C$22, $C$13, 100%, $E$13)</f>
        <v>3.0453999999999999</v>
      </c>
      <c r="C63" s="67">
        <f>3.0454 * CHOOSE(CONTROL!$C$22, $C$13, 100%, $E$13)</f>
        <v>3.0453999999999999</v>
      </c>
      <c r="D63" s="67">
        <f>3.0464 * CHOOSE(CONTROL!$C$22, $C$13, 100%, $E$13)</f>
        <v>3.0464000000000002</v>
      </c>
      <c r="E63" s="68">
        <f>3.6259 * CHOOSE(CONTROL!$C$22, $C$13, 100%, $E$13)</f>
        <v>3.6259000000000001</v>
      </c>
      <c r="F63" s="68">
        <f>3.6259 * CHOOSE(CONTROL!$C$22, $C$13, 100%, $E$13)</f>
        <v>3.6259000000000001</v>
      </c>
      <c r="G63" s="68">
        <f>3.6272 * CHOOSE(CONTROL!$C$22, $C$13, 100%, $E$13)</f>
        <v>3.6272000000000002</v>
      </c>
      <c r="H63" s="68">
        <f>5.7456* CHOOSE(CONTROL!$C$22, $C$13, 100%, $E$13)</f>
        <v>5.7455999999999996</v>
      </c>
      <c r="I63" s="68">
        <f>5.7469 * CHOOSE(CONTROL!$C$22, $C$13, 100%, $E$13)</f>
        <v>5.7469000000000001</v>
      </c>
      <c r="J63" s="68">
        <f>3.6259 * CHOOSE(CONTROL!$C$22, $C$13, 100%, $E$13)</f>
        <v>3.6259000000000001</v>
      </c>
      <c r="K63" s="68">
        <f>3.6272 * CHOOSE(CONTROL!$C$22, $C$13, 100%, $E$13)</f>
        <v>3.6272000000000002</v>
      </c>
      <c r="L63" s="4"/>
      <c r="M63" s="4"/>
      <c r="N63" s="4"/>
    </row>
    <row r="64" spans="1:14" ht="15">
      <c r="A64" s="13">
        <v>43070</v>
      </c>
      <c r="B64" s="67">
        <f>3.0454 * CHOOSE(CONTROL!$C$22, $C$13, 100%, $E$13)</f>
        <v>3.0453999999999999</v>
      </c>
      <c r="C64" s="67">
        <f>3.0454 * CHOOSE(CONTROL!$C$22, $C$13, 100%, $E$13)</f>
        <v>3.0453999999999999</v>
      </c>
      <c r="D64" s="67">
        <f>3.0464 * CHOOSE(CONTROL!$C$22, $C$13, 100%, $E$13)</f>
        <v>3.0464000000000002</v>
      </c>
      <c r="E64" s="68">
        <f>3.6108 * CHOOSE(CONTROL!$C$22, $C$13, 100%, $E$13)</f>
        <v>3.6107999999999998</v>
      </c>
      <c r="F64" s="68">
        <f>3.6108 * CHOOSE(CONTROL!$C$22, $C$13, 100%, $E$13)</f>
        <v>3.6107999999999998</v>
      </c>
      <c r="G64" s="68">
        <f>3.6121 * CHOOSE(CONTROL!$C$22, $C$13, 100%, $E$13)</f>
        <v>3.6120999999999999</v>
      </c>
      <c r="H64" s="68">
        <f>5.7576* CHOOSE(CONTROL!$C$22, $C$13, 100%, $E$13)</f>
        <v>5.7576000000000001</v>
      </c>
      <c r="I64" s="68">
        <f>5.7589 * CHOOSE(CONTROL!$C$22, $C$13, 100%, $E$13)</f>
        <v>5.7588999999999997</v>
      </c>
      <c r="J64" s="68">
        <f>3.6108 * CHOOSE(CONTROL!$C$22, $C$13, 100%, $E$13)</f>
        <v>3.6107999999999998</v>
      </c>
      <c r="K64" s="68">
        <f>3.6121 * CHOOSE(CONTROL!$C$22, $C$13, 100%, $E$13)</f>
        <v>3.6120999999999999</v>
      </c>
      <c r="L64" s="4"/>
      <c r="M64" s="4"/>
      <c r="N64" s="4"/>
    </row>
    <row r="65" spans="1:14" ht="15">
      <c r="A65" s="13">
        <v>43101</v>
      </c>
      <c r="B65" s="67">
        <f>3.0799 * CHOOSE(CONTROL!$C$22, $C$13, 100%, $E$13)</f>
        <v>3.0798999999999999</v>
      </c>
      <c r="C65" s="67">
        <f>3.0799 * CHOOSE(CONTROL!$C$22, $C$13, 100%, $E$13)</f>
        <v>3.0798999999999999</v>
      </c>
      <c r="D65" s="67">
        <f>3.0809 * CHOOSE(CONTROL!$C$22, $C$13, 100%, $E$13)</f>
        <v>3.0809000000000002</v>
      </c>
      <c r="E65" s="68">
        <f>3.7211 * CHOOSE(CONTROL!$C$22, $C$13, 100%, $E$13)</f>
        <v>3.7210999999999999</v>
      </c>
      <c r="F65" s="68">
        <f>3.7211 * CHOOSE(CONTROL!$C$22, $C$13, 100%, $E$13)</f>
        <v>3.7210999999999999</v>
      </c>
      <c r="G65" s="68">
        <f>3.7224 * CHOOSE(CONTROL!$C$22, $C$13, 100%, $E$13)</f>
        <v>3.7223999999999999</v>
      </c>
      <c r="H65" s="68">
        <f>5.7696* CHOOSE(CONTROL!$C$22, $C$13, 100%, $E$13)</f>
        <v>5.7695999999999996</v>
      </c>
      <c r="I65" s="68">
        <f>5.7709 * CHOOSE(CONTROL!$C$22, $C$13, 100%, $E$13)</f>
        <v>5.7709000000000001</v>
      </c>
      <c r="J65" s="68">
        <f>3.7211 * CHOOSE(CONTROL!$C$22, $C$13, 100%, $E$13)</f>
        <v>3.7210999999999999</v>
      </c>
      <c r="K65" s="68">
        <f>3.7224 * CHOOSE(CONTROL!$C$22, $C$13, 100%, $E$13)</f>
        <v>3.7223999999999999</v>
      </c>
      <c r="L65" s="4"/>
      <c r="M65" s="4"/>
      <c r="N65" s="4"/>
    </row>
    <row r="66" spans="1:14" ht="15">
      <c r="A66" s="13">
        <v>43132</v>
      </c>
      <c r="B66" s="67">
        <f>3.0769 * CHOOSE(CONTROL!$C$22, $C$13, 100%, $E$13)</f>
        <v>3.0769000000000002</v>
      </c>
      <c r="C66" s="67">
        <f>3.0769 * CHOOSE(CONTROL!$C$22, $C$13, 100%, $E$13)</f>
        <v>3.0769000000000002</v>
      </c>
      <c r="D66" s="67">
        <f>3.0779 * CHOOSE(CONTROL!$C$22, $C$13, 100%, $E$13)</f>
        <v>3.0779000000000001</v>
      </c>
      <c r="E66" s="68">
        <f>3.6823 * CHOOSE(CONTROL!$C$22, $C$13, 100%, $E$13)</f>
        <v>3.6823000000000001</v>
      </c>
      <c r="F66" s="68">
        <f>3.6823 * CHOOSE(CONTROL!$C$22, $C$13, 100%, $E$13)</f>
        <v>3.6823000000000001</v>
      </c>
      <c r="G66" s="68">
        <f>3.6836 * CHOOSE(CONTROL!$C$22, $C$13, 100%, $E$13)</f>
        <v>3.6836000000000002</v>
      </c>
      <c r="H66" s="68">
        <f>5.7816* CHOOSE(CONTROL!$C$22, $C$13, 100%, $E$13)</f>
        <v>5.7816000000000001</v>
      </c>
      <c r="I66" s="68">
        <f>5.7829 * CHOOSE(CONTROL!$C$22, $C$13, 100%, $E$13)</f>
        <v>5.7828999999999997</v>
      </c>
      <c r="J66" s="68">
        <f>3.6823 * CHOOSE(CONTROL!$C$22, $C$13, 100%, $E$13)</f>
        <v>3.6823000000000001</v>
      </c>
      <c r="K66" s="68">
        <f>3.6836 * CHOOSE(CONTROL!$C$22, $C$13, 100%, $E$13)</f>
        <v>3.6836000000000002</v>
      </c>
      <c r="L66" s="4"/>
      <c r="M66" s="4"/>
      <c r="N66" s="4"/>
    </row>
    <row r="67" spans="1:14" ht="15">
      <c r="A67" s="13">
        <v>43160</v>
      </c>
      <c r="B67" s="67">
        <f>3.0739 * CHOOSE(CONTROL!$C$22, $C$13, 100%, $E$13)</f>
        <v>3.0739000000000001</v>
      </c>
      <c r="C67" s="67">
        <f>3.0739 * CHOOSE(CONTROL!$C$22, $C$13, 100%, $E$13)</f>
        <v>3.0739000000000001</v>
      </c>
      <c r="D67" s="67">
        <f>3.0748 * CHOOSE(CONTROL!$C$22, $C$13, 100%, $E$13)</f>
        <v>3.0748000000000002</v>
      </c>
      <c r="E67" s="68">
        <f>3.7091 * CHOOSE(CONTROL!$C$22, $C$13, 100%, $E$13)</f>
        <v>3.7090999999999998</v>
      </c>
      <c r="F67" s="68">
        <f>3.7091 * CHOOSE(CONTROL!$C$22, $C$13, 100%, $E$13)</f>
        <v>3.7090999999999998</v>
      </c>
      <c r="G67" s="68">
        <f>3.7104 * CHOOSE(CONTROL!$C$22, $C$13, 100%, $E$13)</f>
        <v>3.7103999999999999</v>
      </c>
      <c r="H67" s="68">
        <f>5.7937* CHOOSE(CONTROL!$C$22, $C$13, 100%, $E$13)</f>
        <v>5.7937000000000003</v>
      </c>
      <c r="I67" s="68">
        <f>5.795 * CHOOSE(CONTROL!$C$22, $C$13, 100%, $E$13)</f>
        <v>5.7949999999999999</v>
      </c>
      <c r="J67" s="68">
        <f>3.7091 * CHOOSE(CONTROL!$C$22, $C$13, 100%, $E$13)</f>
        <v>3.7090999999999998</v>
      </c>
      <c r="K67" s="68">
        <f>3.7104 * CHOOSE(CONTROL!$C$22, $C$13, 100%, $E$13)</f>
        <v>3.7103999999999999</v>
      </c>
      <c r="L67" s="4"/>
      <c r="M67" s="4"/>
      <c r="N67" s="4"/>
    </row>
    <row r="68" spans="1:14" ht="15">
      <c r="A68" s="13">
        <v>43191</v>
      </c>
      <c r="B68" s="67">
        <f>3.0705 * CHOOSE(CONTROL!$C$22, $C$13, 100%, $E$13)</f>
        <v>3.0705</v>
      </c>
      <c r="C68" s="67">
        <f>3.0705 * CHOOSE(CONTROL!$C$22, $C$13, 100%, $E$13)</f>
        <v>3.0705</v>
      </c>
      <c r="D68" s="67">
        <f>3.0715 * CHOOSE(CONTROL!$C$22, $C$13, 100%, $E$13)</f>
        <v>3.0714999999999999</v>
      </c>
      <c r="E68" s="68">
        <f>3.7359 * CHOOSE(CONTROL!$C$22, $C$13, 100%, $E$13)</f>
        <v>3.7359</v>
      </c>
      <c r="F68" s="68">
        <f>3.7359 * CHOOSE(CONTROL!$C$22, $C$13, 100%, $E$13)</f>
        <v>3.7359</v>
      </c>
      <c r="G68" s="68">
        <f>3.7372 * CHOOSE(CONTROL!$C$22, $C$13, 100%, $E$13)</f>
        <v>3.7372000000000001</v>
      </c>
      <c r="H68" s="68">
        <f>5.8057* CHOOSE(CONTROL!$C$22, $C$13, 100%, $E$13)</f>
        <v>5.8056999999999999</v>
      </c>
      <c r="I68" s="68">
        <f>5.807 * CHOOSE(CONTROL!$C$22, $C$13, 100%, $E$13)</f>
        <v>5.8070000000000004</v>
      </c>
      <c r="J68" s="68">
        <f>3.7359 * CHOOSE(CONTROL!$C$22, $C$13, 100%, $E$13)</f>
        <v>3.7359</v>
      </c>
      <c r="K68" s="68">
        <f>3.7372 * CHOOSE(CONTROL!$C$22, $C$13, 100%, $E$13)</f>
        <v>3.7372000000000001</v>
      </c>
      <c r="L68" s="4"/>
      <c r="M68" s="4"/>
      <c r="N68" s="4"/>
    </row>
    <row r="69" spans="1:14" ht="15">
      <c r="A69" s="13">
        <v>43221</v>
      </c>
      <c r="B69" s="67">
        <f>3.0705 * CHOOSE(CONTROL!$C$22, $C$13, 100%, $E$13)</f>
        <v>3.0705</v>
      </c>
      <c r="C69" s="67">
        <f>3.0705 * CHOOSE(CONTROL!$C$22, $C$13, 100%, $E$13)</f>
        <v>3.0705</v>
      </c>
      <c r="D69" s="67">
        <f>3.0731 * CHOOSE(CONTROL!$C$22, $C$13, 100%, $E$13)</f>
        <v>3.0731000000000002</v>
      </c>
      <c r="E69" s="68">
        <f>3.7476 * CHOOSE(CONTROL!$C$22, $C$13, 100%, $E$13)</f>
        <v>3.7475999999999998</v>
      </c>
      <c r="F69" s="68">
        <f>3.7476 * CHOOSE(CONTROL!$C$22, $C$13, 100%, $E$13)</f>
        <v>3.7475999999999998</v>
      </c>
      <c r="G69" s="68">
        <f>3.7508 * CHOOSE(CONTROL!$C$22, $C$13, 100%, $E$13)</f>
        <v>3.7507999999999999</v>
      </c>
      <c r="H69" s="68">
        <f>5.8178* CHOOSE(CONTROL!$C$22, $C$13, 100%, $E$13)</f>
        <v>5.8178000000000001</v>
      </c>
      <c r="I69" s="68">
        <f>5.8211 * CHOOSE(CONTROL!$C$22, $C$13, 100%, $E$13)</f>
        <v>5.8211000000000004</v>
      </c>
      <c r="J69" s="68">
        <f>3.7476 * CHOOSE(CONTROL!$C$22, $C$13, 100%, $E$13)</f>
        <v>3.7475999999999998</v>
      </c>
      <c r="K69" s="68">
        <f>3.7508 * CHOOSE(CONTROL!$C$22, $C$13, 100%, $E$13)</f>
        <v>3.7507999999999999</v>
      </c>
      <c r="L69" s="4"/>
      <c r="M69" s="4"/>
      <c r="N69" s="4"/>
    </row>
    <row r="70" spans="1:14" ht="15">
      <c r="A70" s="13">
        <v>43252</v>
      </c>
      <c r="B70" s="67">
        <f>3.0766 * CHOOSE(CONTROL!$C$22, $C$13, 100%, $E$13)</f>
        <v>3.0766</v>
      </c>
      <c r="C70" s="67">
        <f>3.0766 * CHOOSE(CONTROL!$C$22, $C$13, 100%, $E$13)</f>
        <v>3.0766</v>
      </c>
      <c r="D70" s="67">
        <f>3.0792 * CHOOSE(CONTROL!$C$22, $C$13, 100%, $E$13)</f>
        <v>3.0792000000000002</v>
      </c>
      <c r="E70" s="68">
        <f>3.7402 * CHOOSE(CONTROL!$C$22, $C$13, 100%, $E$13)</f>
        <v>3.7402000000000002</v>
      </c>
      <c r="F70" s="68">
        <f>3.7402 * CHOOSE(CONTROL!$C$22, $C$13, 100%, $E$13)</f>
        <v>3.7402000000000002</v>
      </c>
      <c r="G70" s="68">
        <f>3.7434 * CHOOSE(CONTROL!$C$22, $C$13, 100%, $E$13)</f>
        <v>3.7433999999999998</v>
      </c>
      <c r="H70" s="68">
        <f>5.83* CHOOSE(CONTROL!$C$22, $C$13, 100%, $E$13)</f>
        <v>5.83</v>
      </c>
      <c r="I70" s="68">
        <f>5.8332 * CHOOSE(CONTROL!$C$22, $C$13, 100%, $E$13)</f>
        <v>5.8331999999999997</v>
      </c>
      <c r="J70" s="68">
        <f>3.7402 * CHOOSE(CONTROL!$C$22, $C$13, 100%, $E$13)</f>
        <v>3.7402000000000002</v>
      </c>
      <c r="K70" s="68">
        <f>3.7434 * CHOOSE(CONTROL!$C$22, $C$13, 100%, $E$13)</f>
        <v>3.7433999999999998</v>
      </c>
      <c r="L70" s="4"/>
      <c r="M70" s="4"/>
      <c r="N70" s="4"/>
    </row>
    <row r="71" spans="1:14" ht="15">
      <c r="A71" s="13">
        <v>43282</v>
      </c>
      <c r="B71" s="67">
        <f>3.1468 * CHOOSE(CONTROL!$C$22, $C$13, 100%, $E$13)</f>
        <v>3.1467999999999998</v>
      </c>
      <c r="C71" s="67">
        <f>3.1468 * CHOOSE(CONTROL!$C$22, $C$13, 100%, $E$13)</f>
        <v>3.1467999999999998</v>
      </c>
      <c r="D71" s="67">
        <f>3.1494 * CHOOSE(CONTROL!$C$22, $C$13, 100%, $E$13)</f>
        <v>3.1494</v>
      </c>
      <c r="E71" s="68">
        <f>3.7912 * CHOOSE(CONTROL!$C$22, $C$13, 100%, $E$13)</f>
        <v>3.7911999999999999</v>
      </c>
      <c r="F71" s="68">
        <f>3.7912 * CHOOSE(CONTROL!$C$22, $C$13, 100%, $E$13)</f>
        <v>3.7911999999999999</v>
      </c>
      <c r="G71" s="68">
        <f>3.7945 * CHOOSE(CONTROL!$C$22, $C$13, 100%, $E$13)</f>
        <v>3.7945000000000002</v>
      </c>
      <c r="H71" s="68">
        <f>5.8421* CHOOSE(CONTROL!$C$22, $C$13, 100%, $E$13)</f>
        <v>5.8421000000000003</v>
      </c>
      <c r="I71" s="68">
        <f>5.8454 * CHOOSE(CONTROL!$C$22, $C$13, 100%, $E$13)</f>
        <v>5.8453999999999997</v>
      </c>
      <c r="J71" s="68">
        <f>3.7912 * CHOOSE(CONTROL!$C$22, $C$13, 100%, $E$13)</f>
        <v>3.7911999999999999</v>
      </c>
      <c r="K71" s="68">
        <f>3.7945 * CHOOSE(CONTROL!$C$22, $C$13, 100%, $E$13)</f>
        <v>3.7945000000000002</v>
      </c>
      <c r="L71" s="4"/>
      <c r="M71" s="4"/>
      <c r="N71" s="4"/>
    </row>
    <row r="72" spans="1:14" ht="15">
      <c r="A72" s="13">
        <v>43313</v>
      </c>
      <c r="B72" s="67">
        <f>3.1535 * CHOOSE(CONTROL!$C$22, $C$13, 100%, $E$13)</f>
        <v>3.1535000000000002</v>
      </c>
      <c r="C72" s="67">
        <f>3.1535 * CHOOSE(CONTROL!$C$22, $C$13, 100%, $E$13)</f>
        <v>3.1535000000000002</v>
      </c>
      <c r="D72" s="67">
        <f>3.1561 * CHOOSE(CONTROL!$C$22, $C$13, 100%, $E$13)</f>
        <v>3.1560999999999999</v>
      </c>
      <c r="E72" s="68">
        <f>3.7609 * CHOOSE(CONTROL!$C$22, $C$13, 100%, $E$13)</f>
        <v>3.7608999999999999</v>
      </c>
      <c r="F72" s="68">
        <f>3.7609 * CHOOSE(CONTROL!$C$22, $C$13, 100%, $E$13)</f>
        <v>3.7608999999999999</v>
      </c>
      <c r="G72" s="68">
        <f>3.7642 * CHOOSE(CONTROL!$C$22, $C$13, 100%, $E$13)</f>
        <v>3.7642000000000002</v>
      </c>
      <c r="H72" s="68">
        <f>5.8543* CHOOSE(CONTROL!$C$22, $C$13, 100%, $E$13)</f>
        <v>5.8543000000000003</v>
      </c>
      <c r="I72" s="68">
        <f>5.8575 * CHOOSE(CONTROL!$C$22, $C$13, 100%, $E$13)</f>
        <v>5.8574999999999999</v>
      </c>
      <c r="J72" s="68">
        <f>3.7609 * CHOOSE(CONTROL!$C$22, $C$13, 100%, $E$13)</f>
        <v>3.7608999999999999</v>
      </c>
      <c r="K72" s="68">
        <f>3.7642 * CHOOSE(CONTROL!$C$22, $C$13, 100%, $E$13)</f>
        <v>3.7642000000000002</v>
      </c>
      <c r="L72" s="4"/>
      <c r="M72" s="4"/>
      <c r="N72" s="4"/>
    </row>
    <row r="73" spans="1:14" ht="15">
      <c r="A73" s="13">
        <v>43344</v>
      </c>
      <c r="B73" s="67">
        <f>3.1505 * CHOOSE(CONTROL!$C$22, $C$13, 100%, $E$13)</f>
        <v>3.1505000000000001</v>
      </c>
      <c r="C73" s="67">
        <f>3.1505 * CHOOSE(CONTROL!$C$22, $C$13, 100%, $E$13)</f>
        <v>3.1505000000000001</v>
      </c>
      <c r="D73" s="67">
        <f>3.1531 * CHOOSE(CONTROL!$C$22, $C$13, 100%, $E$13)</f>
        <v>3.1530999999999998</v>
      </c>
      <c r="E73" s="68">
        <f>3.7549 * CHOOSE(CONTROL!$C$22, $C$13, 100%, $E$13)</f>
        <v>3.7549000000000001</v>
      </c>
      <c r="F73" s="68">
        <f>3.7549 * CHOOSE(CONTROL!$C$22, $C$13, 100%, $E$13)</f>
        <v>3.7549000000000001</v>
      </c>
      <c r="G73" s="68">
        <f>3.7582 * CHOOSE(CONTROL!$C$22, $C$13, 100%, $E$13)</f>
        <v>3.7582</v>
      </c>
      <c r="H73" s="68">
        <f>5.8665* CHOOSE(CONTROL!$C$22, $C$13, 100%, $E$13)</f>
        <v>5.8665000000000003</v>
      </c>
      <c r="I73" s="68">
        <f>5.8697 * CHOOSE(CONTROL!$C$22, $C$13, 100%, $E$13)</f>
        <v>5.8696999999999999</v>
      </c>
      <c r="J73" s="68">
        <f>3.7549 * CHOOSE(CONTROL!$C$22, $C$13, 100%, $E$13)</f>
        <v>3.7549000000000001</v>
      </c>
      <c r="K73" s="68">
        <f>3.7582 * CHOOSE(CONTROL!$C$22, $C$13, 100%, $E$13)</f>
        <v>3.7582</v>
      </c>
      <c r="L73" s="4"/>
      <c r="M73" s="4"/>
      <c r="N73" s="4"/>
    </row>
    <row r="74" spans="1:14" ht="15">
      <c r="A74" s="13">
        <v>43374</v>
      </c>
      <c r="B74" s="67">
        <f>3.1419 * CHOOSE(CONTROL!$C$22, $C$13, 100%, $E$13)</f>
        <v>3.1419000000000001</v>
      </c>
      <c r="C74" s="67">
        <f>3.1419 * CHOOSE(CONTROL!$C$22, $C$13, 100%, $E$13)</f>
        <v>3.1419000000000001</v>
      </c>
      <c r="D74" s="67">
        <f>3.1429 * CHOOSE(CONTROL!$C$22, $C$13, 100%, $E$13)</f>
        <v>3.1429</v>
      </c>
      <c r="E74" s="68">
        <f>3.7571 * CHOOSE(CONTROL!$C$22, $C$13, 100%, $E$13)</f>
        <v>3.7570999999999999</v>
      </c>
      <c r="F74" s="68">
        <f>3.7571 * CHOOSE(CONTROL!$C$22, $C$13, 100%, $E$13)</f>
        <v>3.7570999999999999</v>
      </c>
      <c r="G74" s="68">
        <f>3.7583 * CHOOSE(CONTROL!$C$22, $C$13, 100%, $E$13)</f>
        <v>3.7583000000000002</v>
      </c>
      <c r="H74" s="68">
        <f>5.8787* CHOOSE(CONTROL!$C$22, $C$13, 100%, $E$13)</f>
        <v>5.8787000000000003</v>
      </c>
      <c r="I74" s="68">
        <f>5.88 * CHOOSE(CONTROL!$C$22, $C$13, 100%, $E$13)</f>
        <v>5.88</v>
      </c>
      <c r="J74" s="68">
        <f>3.7571 * CHOOSE(CONTROL!$C$22, $C$13, 100%, $E$13)</f>
        <v>3.7570999999999999</v>
      </c>
      <c r="K74" s="68">
        <f>3.7583 * CHOOSE(CONTROL!$C$22, $C$13, 100%, $E$13)</f>
        <v>3.7583000000000002</v>
      </c>
      <c r="L74" s="4"/>
      <c r="M74" s="4"/>
      <c r="N74" s="4"/>
    </row>
    <row r="75" spans="1:14" ht="15">
      <c r="A75" s="13">
        <v>43405</v>
      </c>
      <c r="B75" s="67">
        <f>3.1449 * CHOOSE(CONTROL!$C$22, $C$13, 100%, $E$13)</f>
        <v>3.1448999999999998</v>
      </c>
      <c r="C75" s="67">
        <f>3.1449 * CHOOSE(CONTROL!$C$22, $C$13, 100%, $E$13)</f>
        <v>3.1448999999999998</v>
      </c>
      <c r="D75" s="67">
        <f>3.1459 * CHOOSE(CONTROL!$C$22, $C$13, 100%, $E$13)</f>
        <v>3.1459000000000001</v>
      </c>
      <c r="E75" s="68">
        <f>3.767 * CHOOSE(CONTROL!$C$22, $C$13, 100%, $E$13)</f>
        <v>3.7669999999999999</v>
      </c>
      <c r="F75" s="68">
        <f>3.767 * CHOOSE(CONTROL!$C$22, $C$13, 100%, $E$13)</f>
        <v>3.7669999999999999</v>
      </c>
      <c r="G75" s="68">
        <f>3.7682 * CHOOSE(CONTROL!$C$22, $C$13, 100%, $E$13)</f>
        <v>3.7682000000000002</v>
      </c>
      <c r="H75" s="68">
        <f>5.8909* CHOOSE(CONTROL!$C$22, $C$13, 100%, $E$13)</f>
        <v>5.8909000000000002</v>
      </c>
      <c r="I75" s="68">
        <f>5.8922 * CHOOSE(CONTROL!$C$22, $C$13, 100%, $E$13)</f>
        <v>5.8921999999999999</v>
      </c>
      <c r="J75" s="68">
        <f>3.767 * CHOOSE(CONTROL!$C$22, $C$13, 100%, $E$13)</f>
        <v>3.7669999999999999</v>
      </c>
      <c r="K75" s="68">
        <f>3.7682 * CHOOSE(CONTROL!$C$22, $C$13, 100%, $E$13)</f>
        <v>3.7682000000000002</v>
      </c>
      <c r="L75" s="4"/>
      <c r="M75" s="4"/>
      <c r="N75" s="4"/>
    </row>
    <row r="76" spans="1:14" ht="15">
      <c r="A76" s="13">
        <v>43435</v>
      </c>
      <c r="B76" s="67">
        <f>3.1449 * CHOOSE(CONTROL!$C$22, $C$13, 100%, $E$13)</f>
        <v>3.1448999999999998</v>
      </c>
      <c r="C76" s="67">
        <f>3.1449 * CHOOSE(CONTROL!$C$22, $C$13, 100%, $E$13)</f>
        <v>3.1448999999999998</v>
      </c>
      <c r="D76" s="67">
        <f>3.1459 * CHOOSE(CONTROL!$C$22, $C$13, 100%, $E$13)</f>
        <v>3.1459000000000001</v>
      </c>
      <c r="E76" s="68">
        <f>3.7475 * CHOOSE(CONTROL!$C$22, $C$13, 100%, $E$13)</f>
        <v>3.7475000000000001</v>
      </c>
      <c r="F76" s="68">
        <f>3.7475 * CHOOSE(CONTROL!$C$22, $C$13, 100%, $E$13)</f>
        <v>3.7475000000000001</v>
      </c>
      <c r="G76" s="68">
        <f>3.7488 * CHOOSE(CONTROL!$C$22, $C$13, 100%, $E$13)</f>
        <v>3.7488000000000001</v>
      </c>
      <c r="H76" s="68">
        <f>5.9032* CHOOSE(CONTROL!$C$22, $C$13, 100%, $E$13)</f>
        <v>5.9032</v>
      </c>
      <c r="I76" s="68">
        <f>5.9045 * CHOOSE(CONTROL!$C$22, $C$13, 100%, $E$13)</f>
        <v>5.9044999999999996</v>
      </c>
      <c r="J76" s="68">
        <f>3.7475 * CHOOSE(CONTROL!$C$22, $C$13, 100%, $E$13)</f>
        <v>3.7475000000000001</v>
      </c>
      <c r="K76" s="68">
        <f>3.7488 * CHOOSE(CONTROL!$C$22, $C$13, 100%, $E$13)</f>
        <v>3.7488000000000001</v>
      </c>
      <c r="L76" s="4"/>
      <c r="M76" s="4"/>
      <c r="N76" s="4"/>
    </row>
    <row r="77" spans="1:14" ht="15">
      <c r="A77" s="13">
        <v>43466</v>
      </c>
      <c r="B77" s="67">
        <f>3.1467 * CHOOSE(CONTROL!$C$22, $C$13, 100%, $E$13)</f>
        <v>3.1467000000000001</v>
      </c>
      <c r="C77" s="67">
        <f>3.1467 * CHOOSE(CONTROL!$C$22, $C$13, 100%, $E$13)</f>
        <v>3.1467000000000001</v>
      </c>
      <c r="D77" s="67">
        <f>3.1477 * CHOOSE(CONTROL!$C$22, $C$13, 100%, $E$13)</f>
        <v>3.1476999999999999</v>
      </c>
      <c r="E77" s="68">
        <f>3.844 * CHOOSE(CONTROL!$C$22, $C$13, 100%, $E$13)</f>
        <v>3.8439999999999999</v>
      </c>
      <c r="F77" s="68">
        <f>3.844 * CHOOSE(CONTROL!$C$22, $C$13, 100%, $E$13)</f>
        <v>3.8439999999999999</v>
      </c>
      <c r="G77" s="68">
        <f>3.8453 * CHOOSE(CONTROL!$C$22, $C$13, 100%, $E$13)</f>
        <v>3.8452999999999999</v>
      </c>
      <c r="H77" s="68">
        <f>5.9155* CHOOSE(CONTROL!$C$22, $C$13, 100%, $E$13)</f>
        <v>5.9154999999999998</v>
      </c>
      <c r="I77" s="68">
        <f>5.9168 * CHOOSE(CONTROL!$C$22, $C$13, 100%, $E$13)</f>
        <v>5.9168000000000003</v>
      </c>
      <c r="J77" s="68">
        <f>3.844 * CHOOSE(CONTROL!$C$22, $C$13, 100%, $E$13)</f>
        <v>3.8439999999999999</v>
      </c>
      <c r="K77" s="68">
        <f>3.8453 * CHOOSE(CONTROL!$C$22, $C$13, 100%, $E$13)</f>
        <v>3.8452999999999999</v>
      </c>
      <c r="L77" s="4"/>
      <c r="M77" s="4"/>
      <c r="N77" s="4"/>
    </row>
    <row r="78" spans="1:14" ht="15">
      <c r="A78" s="13">
        <v>43497</v>
      </c>
      <c r="B78" s="67">
        <f>3.1437 * CHOOSE(CONTROL!$C$22, $C$13, 100%, $E$13)</f>
        <v>3.1436999999999999</v>
      </c>
      <c r="C78" s="67">
        <f>3.1437 * CHOOSE(CONTROL!$C$22, $C$13, 100%, $E$13)</f>
        <v>3.1436999999999999</v>
      </c>
      <c r="D78" s="67">
        <f>3.1447 * CHOOSE(CONTROL!$C$22, $C$13, 100%, $E$13)</f>
        <v>3.1446999999999998</v>
      </c>
      <c r="E78" s="68">
        <f>3.7978 * CHOOSE(CONTROL!$C$22, $C$13, 100%, $E$13)</f>
        <v>3.7978000000000001</v>
      </c>
      <c r="F78" s="68">
        <f>3.7978 * CHOOSE(CONTROL!$C$22, $C$13, 100%, $E$13)</f>
        <v>3.7978000000000001</v>
      </c>
      <c r="G78" s="68">
        <f>3.7991 * CHOOSE(CONTROL!$C$22, $C$13, 100%, $E$13)</f>
        <v>3.7991000000000001</v>
      </c>
      <c r="H78" s="68">
        <f>5.9278* CHOOSE(CONTROL!$C$22, $C$13, 100%, $E$13)</f>
        <v>5.9278000000000004</v>
      </c>
      <c r="I78" s="68">
        <f>5.9291 * CHOOSE(CONTROL!$C$22, $C$13, 100%, $E$13)</f>
        <v>5.9291</v>
      </c>
      <c r="J78" s="68">
        <f>3.7978 * CHOOSE(CONTROL!$C$22, $C$13, 100%, $E$13)</f>
        <v>3.7978000000000001</v>
      </c>
      <c r="K78" s="68">
        <f>3.7991 * CHOOSE(CONTROL!$C$22, $C$13, 100%, $E$13)</f>
        <v>3.7991000000000001</v>
      </c>
      <c r="L78" s="4"/>
      <c r="M78" s="4"/>
      <c r="N78" s="4"/>
    </row>
    <row r="79" spans="1:14" ht="15">
      <c r="A79" s="13">
        <v>43525</v>
      </c>
      <c r="B79" s="67">
        <f>3.1407 * CHOOSE(CONTROL!$C$22, $C$13, 100%, $E$13)</f>
        <v>3.1406999999999998</v>
      </c>
      <c r="C79" s="67">
        <f>3.1407 * CHOOSE(CONTROL!$C$22, $C$13, 100%, $E$13)</f>
        <v>3.1406999999999998</v>
      </c>
      <c r="D79" s="67">
        <f>3.1416 * CHOOSE(CONTROL!$C$22, $C$13, 100%, $E$13)</f>
        <v>3.1415999999999999</v>
      </c>
      <c r="E79" s="68">
        <f>3.8304 * CHOOSE(CONTROL!$C$22, $C$13, 100%, $E$13)</f>
        <v>3.8304</v>
      </c>
      <c r="F79" s="68">
        <f>3.8304 * CHOOSE(CONTROL!$C$22, $C$13, 100%, $E$13)</f>
        <v>3.8304</v>
      </c>
      <c r="G79" s="68">
        <f>3.8317 * CHOOSE(CONTROL!$C$22, $C$13, 100%, $E$13)</f>
        <v>3.8317000000000001</v>
      </c>
      <c r="H79" s="68">
        <f>5.9402* CHOOSE(CONTROL!$C$22, $C$13, 100%, $E$13)</f>
        <v>5.9401999999999999</v>
      </c>
      <c r="I79" s="68">
        <f>5.9415 * CHOOSE(CONTROL!$C$22, $C$13, 100%, $E$13)</f>
        <v>5.9414999999999996</v>
      </c>
      <c r="J79" s="68">
        <f>3.8304 * CHOOSE(CONTROL!$C$22, $C$13, 100%, $E$13)</f>
        <v>3.8304</v>
      </c>
      <c r="K79" s="68">
        <f>3.8317 * CHOOSE(CONTROL!$C$22, $C$13, 100%, $E$13)</f>
        <v>3.8317000000000001</v>
      </c>
      <c r="L79" s="4"/>
      <c r="M79" s="4"/>
      <c r="N79" s="4"/>
    </row>
    <row r="80" spans="1:14" ht="15">
      <c r="A80" s="13">
        <v>43556</v>
      </c>
      <c r="B80" s="67">
        <f>3.1374 * CHOOSE(CONTROL!$C$22, $C$13, 100%, $E$13)</f>
        <v>3.1374</v>
      </c>
      <c r="C80" s="67">
        <f>3.1374 * CHOOSE(CONTROL!$C$22, $C$13, 100%, $E$13)</f>
        <v>3.1374</v>
      </c>
      <c r="D80" s="67">
        <f>3.1384 * CHOOSE(CONTROL!$C$22, $C$13, 100%, $E$13)</f>
        <v>3.1383999999999999</v>
      </c>
      <c r="E80" s="68">
        <f>3.8635 * CHOOSE(CONTROL!$C$22, $C$13, 100%, $E$13)</f>
        <v>3.8635000000000002</v>
      </c>
      <c r="F80" s="68">
        <f>3.8635 * CHOOSE(CONTROL!$C$22, $C$13, 100%, $E$13)</f>
        <v>3.8635000000000002</v>
      </c>
      <c r="G80" s="68">
        <f>3.8648 * CHOOSE(CONTROL!$C$22, $C$13, 100%, $E$13)</f>
        <v>3.8647999999999998</v>
      </c>
      <c r="H80" s="68">
        <f>5.9526* CHOOSE(CONTROL!$C$22, $C$13, 100%, $E$13)</f>
        <v>5.9526000000000003</v>
      </c>
      <c r="I80" s="68">
        <f>5.9538 * CHOOSE(CONTROL!$C$22, $C$13, 100%, $E$13)</f>
        <v>5.9538000000000002</v>
      </c>
      <c r="J80" s="68">
        <f>3.8635 * CHOOSE(CONTROL!$C$22, $C$13, 100%, $E$13)</f>
        <v>3.8635000000000002</v>
      </c>
      <c r="K80" s="68">
        <f>3.8648 * CHOOSE(CONTROL!$C$22, $C$13, 100%, $E$13)</f>
        <v>3.8647999999999998</v>
      </c>
      <c r="L80" s="4"/>
      <c r="M80" s="4"/>
      <c r="N80" s="4"/>
    </row>
    <row r="81" spans="1:14" ht="15">
      <c r="A81" s="13">
        <v>43586</v>
      </c>
      <c r="B81" s="67">
        <f>3.1374 * CHOOSE(CONTROL!$C$22, $C$13, 100%, $E$13)</f>
        <v>3.1374</v>
      </c>
      <c r="C81" s="67">
        <f>3.1374 * CHOOSE(CONTROL!$C$22, $C$13, 100%, $E$13)</f>
        <v>3.1374</v>
      </c>
      <c r="D81" s="67">
        <f>3.14 * CHOOSE(CONTROL!$C$22, $C$13, 100%, $E$13)</f>
        <v>3.14</v>
      </c>
      <c r="E81" s="68">
        <f>3.8775 * CHOOSE(CONTROL!$C$22, $C$13, 100%, $E$13)</f>
        <v>3.8774999999999999</v>
      </c>
      <c r="F81" s="68">
        <f>3.8775 * CHOOSE(CONTROL!$C$22, $C$13, 100%, $E$13)</f>
        <v>3.8774999999999999</v>
      </c>
      <c r="G81" s="68">
        <f>3.8808 * CHOOSE(CONTROL!$C$22, $C$13, 100%, $E$13)</f>
        <v>3.8807999999999998</v>
      </c>
      <c r="H81" s="68">
        <f>5.965* CHOOSE(CONTROL!$C$22, $C$13, 100%, $E$13)</f>
        <v>5.9649999999999999</v>
      </c>
      <c r="I81" s="68">
        <f>5.9682 * CHOOSE(CONTROL!$C$22, $C$13, 100%, $E$13)</f>
        <v>5.9682000000000004</v>
      </c>
      <c r="J81" s="68">
        <f>3.8775 * CHOOSE(CONTROL!$C$22, $C$13, 100%, $E$13)</f>
        <v>3.8774999999999999</v>
      </c>
      <c r="K81" s="68">
        <f>3.8808 * CHOOSE(CONTROL!$C$22, $C$13, 100%, $E$13)</f>
        <v>3.8807999999999998</v>
      </c>
      <c r="L81" s="4"/>
      <c r="M81" s="4"/>
      <c r="N81" s="4"/>
    </row>
    <row r="82" spans="1:14" ht="15">
      <c r="A82" s="13">
        <v>43617</v>
      </c>
      <c r="B82" s="67">
        <f>3.1435 * CHOOSE(CONTROL!$C$22, $C$13, 100%, $E$13)</f>
        <v>3.1435</v>
      </c>
      <c r="C82" s="67">
        <f>3.1435 * CHOOSE(CONTROL!$C$22, $C$13, 100%, $E$13)</f>
        <v>3.1435</v>
      </c>
      <c r="D82" s="67">
        <f>3.1461 * CHOOSE(CONTROL!$C$22, $C$13, 100%, $E$13)</f>
        <v>3.1461000000000001</v>
      </c>
      <c r="E82" s="68">
        <f>3.8678 * CHOOSE(CONTROL!$C$22, $C$13, 100%, $E$13)</f>
        <v>3.8677999999999999</v>
      </c>
      <c r="F82" s="68">
        <f>3.8678 * CHOOSE(CONTROL!$C$22, $C$13, 100%, $E$13)</f>
        <v>3.8677999999999999</v>
      </c>
      <c r="G82" s="68">
        <f>3.871 * CHOOSE(CONTROL!$C$22, $C$13, 100%, $E$13)</f>
        <v>3.871</v>
      </c>
      <c r="H82" s="68">
        <f>5.9774* CHOOSE(CONTROL!$C$22, $C$13, 100%, $E$13)</f>
        <v>5.9774000000000003</v>
      </c>
      <c r="I82" s="68">
        <f>5.9806 * CHOOSE(CONTROL!$C$22, $C$13, 100%, $E$13)</f>
        <v>5.9805999999999999</v>
      </c>
      <c r="J82" s="68">
        <f>3.8678 * CHOOSE(CONTROL!$C$22, $C$13, 100%, $E$13)</f>
        <v>3.8677999999999999</v>
      </c>
      <c r="K82" s="68">
        <f>3.871 * CHOOSE(CONTROL!$C$22, $C$13, 100%, $E$13)</f>
        <v>3.871</v>
      </c>
      <c r="L82" s="4"/>
      <c r="M82" s="4"/>
      <c r="N82" s="4"/>
    </row>
    <row r="83" spans="1:14" ht="15">
      <c r="A83" s="13">
        <v>43647</v>
      </c>
      <c r="B83" s="67">
        <f>3.1331 * CHOOSE(CONTROL!$C$22, $C$13, 100%, $E$13)</f>
        <v>3.1331000000000002</v>
      </c>
      <c r="C83" s="67">
        <f>3.1331 * CHOOSE(CONTROL!$C$22, $C$13, 100%, $E$13)</f>
        <v>3.1331000000000002</v>
      </c>
      <c r="D83" s="67">
        <f>3.1357 * CHOOSE(CONTROL!$C$22, $C$13, 100%, $E$13)</f>
        <v>3.1356999999999999</v>
      </c>
      <c r="E83" s="68">
        <f>3.901 * CHOOSE(CONTROL!$C$22, $C$13, 100%, $E$13)</f>
        <v>3.9009999999999998</v>
      </c>
      <c r="F83" s="68">
        <f>3.901 * CHOOSE(CONTROL!$C$22, $C$13, 100%, $E$13)</f>
        <v>3.9009999999999998</v>
      </c>
      <c r="G83" s="68">
        <f>3.9043 * CHOOSE(CONTROL!$C$22, $C$13, 100%, $E$13)</f>
        <v>3.9043000000000001</v>
      </c>
      <c r="H83" s="68">
        <f>5.9898* CHOOSE(CONTROL!$C$22, $C$13, 100%, $E$13)</f>
        <v>5.9897999999999998</v>
      </c>
      <c r="I83" s="68">
        <f>5.9931 * CHOOSE(CONTROL!$C$22, $C$13, 100%, $E$13)</f>
        <v>5.9931000000000001</v>
      </c>
      <c r="J83" s="68">
        <f>3.901 * CHOOSE(CONTROL!$C$22, $C$13, 100%, $E$13)</f>
        <v>3.9009999999999998</v>
      </c>
      <c r="K83" s="68">
        <f>3.9043 * CHOOSE(CONTROL!$C$22, $C$13, 100%, $E$13)</f>
        <v>3.9043000000000001</v>
      </c>
      <c r="L83" s="4"/>
      <c r="M83" s="4"/>
      <c r="N83" s="4"/>
    </row>
    <row r="84" spans="1:14" ht="15">
      <c r="A84" s="13">
        <v>43678</v>
      </c>
      <c r="B84" s="67">
        <f>3.1398 * CHOOSE(CONTROL!$C$22, $C$13, 100%, $E$13)</f>
        <v>3.1398000000000001</v>
      </c>
      <c r="C84" s="67">
        <f>3.1398 * CHOOSE(CONTROL!$C$22, $C$13, 100%, $E$13)</f>
        <v>3.1398000000000001</v>
      </c>
      <c r="D84" s="67">
        <f>3.1424 * CHOOSE(CONTROL!$C$22, $C$13, 100%, $E$13)</f>
        <v>3.1423999999999999</v>
      </c>
      <c r="E84" s="68">
        <f>3.8637 * CHOOSE(CONTROL!$C$22, $C$13, 100%, $E$13)</f>
        <v>3.8637000000000001</v>
      </c>
      <c r="F84" s="68">
        <f>3.8637 * CHOOSE(CONTROL!$C$22, $C$13, 100%, $E$13)</f>
        <v>3.8637000000000001</v>
      </c>
      <c r="G84" s="68">
        <f>3.8669 * CHOOSE(CONTROL!$C$22, $C$13, 100%, $E$13)</f>
        <v>3.8668999999999998</v>
      </c>
      <c r="H84" s="68">
        <f>6.0023* CHOOSE(CONTROL!$C$22, $C$13, 100%, $E$13)</f>
        <v>6.0023</v>
      </c>
      <c r="I84" s="68">
        <f>6.0056 * CHOOSE(CONTROL!$C$22, $C$13, 100%, $E$13)</f>
        <v>6.0056000000000003</v>
      </c>
      <c r="J84" s="68">
        <f>3.8637 * CHOOSE(CONTROL!$C$22, $C$13, 100%, $E$13)</f>
        <v>3.8637000000000001</v>
      </c>
      <c r="K84" s="68">
        <f>3.8669 * CHOOSE(CONTROL!$C$22, $C$13, 100%, $E$13)</f>
        <v>3.8668999999999998</v>
      </c>
      <c r="L84" s="4"/>
      <c r="M84" s="4"/>
      <c r="N84" s="4"/>
    </row>
    <row r="85" spans="1:14" ht="15">
      <c r="A85" s="13">
        <v>43709</v>
      </c>
      <c r="B85" s="67">
        <f>3.1367 * CHOOSE(CONTROL!$C$22, $C$13, 100%, $E$13)</f>
        <v>3.1366999999999998</v>
      </c>
      <c r="C85" s="67">
        <f>3.1367 * CHOOSE(CONTROL!$C$22, $C$13, 100%, $E$13)</f>
        <v>3.1366999999999998</v>
      </c>
      <c r="D85" s="67">
        <f>3.1393 * CHOOSE(CONTROL!$C$22, $C$13, 100%, $E$13)</f>
        <v>3.1393</v>
      </c>
      <c r="E85" s="68">
        <f>3.8569 * CHOOSE(CONTROL!$C$22, $C$13, 100%, $E$13)</f>
        <v>3.8569</v>
      </c>
      <c r="F85" s="68">
        <f>3.8569 * CHOOSE(CONTROL!$C$22, $C$13, 100%, $E$13)</f>
        <v>3.8569</v>
      </c>
      <c r="G85" s="68">
        <f>3.8601 * CHOOSE(CONTROL!$C$22, $C$13, 100%, $E$13)</f>
        <v>3.8601000000000001</v>
      </c>
      <c r="H85" s="68">
        <f>6.0148* CHOOSE(CONTROL!$C$22, $C$13, 100%, $E$13)</f>
        <v>6.0148000000000001</v>
      </c>
      <c r="I85" s="68">
        <f>6.0181 * CHOOSE(CONTROL!$C$22, $C$13, 100%, $E$13)</f>
        <v>6.0180999999999996</v>
      </c>
      <c r="J85" s="68">
        <f>3.8569 * CHOOSE(CONTROL!$C$22, $C$13, 100%, $E$13)</f>
        <v>3.8569</v>
      </c>
      <c r="K85" s="68">
        <f>3.8601 * CHOOSE(CONTROL!$C$22, $C$13, 100%, $E$13)</f>
        <v>3.8601000000000001</v>
      </c>
      <c r="L85" s="4"/>
      <c r="M85" s="4"/>
      <c r="N85" s="4"/>
    </row>
    <row r="86" spans="1:14" ht="15">
      <c r="A86" s="13">
        <v>43739</v>
      </c>
      <c r="B86" s="67">
        <f>3.1284 * CHOOSE(CONTROL!$C$22, $C$13, 100%, $E$13)</f>
        <v>3.1284000000000001</v>
      </c>
      <c r="C86" s="67">
        <f>3.1284 * CHOOSE(CONTROL!$C$22, $C$13, 100%, $E$13)</f>
        <v>3.1284000000000001</v>
      </c>
      <c r="D86" s="67">
        <f>3.1294 * CHOOSE(CONTROL!$C$22, $C$13, 100%, $E$13)</f>
        <v>3.1294</v>
      </c>
      <c r="E86" s="68">
        <f>3.8621 * CHOOSE(CONTROL!$C$22, $C$13, 100%, $E$13)</f>
        <v>3.8620999999999999</v>
      </c>
      <c r="F86" s="68">
        <f>3.8621 * CHOOSE(CONTROL!$C$22, $C$13, 100%, $E$13)</f>
        <v>3.8620999999999999</v>
      </c>
      <c r="G86" s="68">
        <f>3.8634 * CHOOSE(CONTROL!$C$22, $C$13, 100%, $E$13)</f>
        <v>3.8633999999999999</v>
      </c>
      <c r="H86" s="68">
        <f>6.0274* CHOOSE(CONTROL!$C$22, $C$13, 100%, $E$13)</f>
        <v>6.0274000000000001</v>
      </c>
      <c r="I86" s="68">
        <f>6.0286 * CHOOSE(CONTROL!$C$22, $C$13, 100%, $E$13)</f>
        <v>6.0286</v>
      </c>
      <c r="J86" s="68">
        <f>3.8621 * CHOOSE(CONTROL!$C$22, $C$13, 100%, $E$13)</f>
        <v>3.8620999999999999</v>
      </c>
      <c r="K86" s="68">
        <f>3.8634 * CHOOSE(CONTROL!$C$22, $C$13, 100%, $E$13)</f>
        <v>3.8633999999999999</v>
      </c>
      <c r="L86" s="4"/>
      <c r="M86" s="4"/>
      <c r="N86" s="4"/>
    </row>
    <row r="87" spans="1:14" ht="15">
      <c r="A87" s="13">
        <v>43770</v>
      </c>
      <c r="B87" s="67">
        <f>3.1314 * CHOOSE(CONTROL!$C$22, $C$13, 100%, $E$13)</f>
        <v>3.1314000000000002</v>
      </c>
      <c r="C87" s="67">
        <f>3.1314 * CHOOSE(CONTROL!$C$22, $C$13, 100%, $E$13)</f>
        <v>3.1314000000000002</v>
      </c>
      <c r="D87" s="67">
        <f>3.1324 * CHOOSE(CONTROL!$C$22, $C$13, 100%, $E$13)</f>
        <v>3.1324000000000001</v>
      </c>
      <c r="E87" s="68">
        <f>3.8736 * CHOOSE(CONTROL!$C$22, $C$13, 100%, $E$13)</f>
        <v>3.8736000000000002</v>
      </c>
      <c r="F87" s="68">
        <f>3.8736 * CHOOSE(CONTROL!$C$22, $C$13, 100%, $E$13)</f>
        <v>3.8736000000000002</v>
      </c>
      <c r="G87" s="68">
        <f>3.8749 * CHOOSE(CONTROL!$C$22, $C$13, 100%, $E$13)</f>
        <v>3.8748999999999998</v>
      </c>
      <c r="H87" s="68">
        <f>6.0399* CHOOSE(CONTROL!$C$22, $C$13, 100%, $E$13)</f>
        <v>6.0399000000000003</v>
      </c>
      <c r="I87" s="68">
        <f>6.0412 * CHOOSE(CONTROL!$C$22, $C$13, 100%, $E$13)</f>
        <v>6.0411999999999999</v>
      </c>
      <c r="J87" s="68">
        <f>3.8736 * CHOOSE(CONTROL!$C$22, $C$13, 100%, $E$13)</f>
        <v>3.8736000000000002</v>
      </c>
      <c r="K87" s="68">
        <f>3.8749 * CHOOSE(CONTROL!$C$22, $C$13, 100%, $E$13)</f>
        <v>3.8748999999999998</v>
      </c>
      <c r="L87" s="4"/>
      <c r="M87" s="4"/>
      <c r="N87" s="4"/>
    </row>
    <row r="88" spans="1:14" ht="15">
      <c r="A88" s="13">
        <v>43800</v>
      </c>
      <c r="B88" s="67">
        <f>3.1314 * CHOOSE(CONTROL!$C$22, $C$13, 100%, $E$13)</f>
        <v>3.1314000000000002</v>
      </c>
      <c r="C88" s="67">
        <f>3.1314 * CHOOSE(CONTROL!$C$22, $C$13, 100%, $E$13)</f>
        <v>3.1314000000000002</v>
      </c>
      <c r="D88" s="67">
        <f>3.1324 * CHOOSE(CONTROL!$C$22, $C$13, 100%, $E$13)</f>
        <v>3.1324000000000001</v>
      </c>
      <c r="E88" s="68">
        <f>3.8503 * CHOOSE(CONTROL!$C$22, $C$13, 100%, $E$13)</f>
        <v>3.8502999999999998</v>
      </c>
      <c r="F88" s="68">
        <f>3.8503 * CHOOSE(CONTROL!$C$22, $C$13, 100%, $E$13)</f>
        <v>3.8502999999999998</v>
      </c>
      <c r="G88" s="68">
        <f>3.8515 * CHOOSE(CONTROL!$C$22, $C$13, 100%, $E$13)</f>
        <v>3.8515000000000001</v>
      </c>
      <c r="H88" s="68">
        <f>6.0525* CHOOSE(CONTROL!$C$22, $C$13, 100%, $E$13)</f>
        <v>6.0525000000000002</v>
      </c>
      <c r="I88" s="68">
        <f>6.0538 * CHOOSE(CONTROL!$C$22, $C$13, 100%, $E$13)</f>
        <v>6.0537999999999998</v>
      </c>
      <c r="J88" s="68">
        <f>3.8503 * CHOOSE(CONTROL!$C$22, $C$13, 100%, $E$13)</f>
        <v>3.8502999999999998</v>
      </c>
      <c r="K88" s="68">
        <f>3.8515 * CHOOSE(CONTROL!$C$22, $C$13, 100%, $E$13)</f>
        <v>3.8515000000000001</v>
      </c>
      <c r="L88" s="4"/>
      <c r="M88" s="4"/>
      <c r="N88" s="4"/>
    </row>
    <row r="89" spans="1:14" ht="15">
      <c r="A89" s="13">
        <v>43831</v>
      </c>
      <c r="B89" s="67">
        <f>3.167 * CHOOSE(CONTROL!$C$22, $C$13, 100%, $E$13)</f>
        <v>3.1669999999999998</v>
      </c>
      <c r="C89" s="67">
        <f>3.167 * CHOOSE(CONTROL!$C$22, $C$13, 100%, $E$13)</f>
        <v>3.1669999999999998</v>
      </c>
      <c r="D89" s="67">
        <f>3.168 * CHOOSE(CONTROL!$C$22, $C$13, 100%, $E$13)</f>
        <v>3.1680000000000001</v>
      </c>
      <c r="E89" s="68">
        <f>3.8608 * CHOOSE(CONTROL!$C$22, $C$13, 100%, $E$13)</f>
        <v>3.8607999999999998</v>
      </c>
      <c r="F89" s="68">
        <f>3.8608 * CHOOSE(CONTROL!$C$22, $C$13, 100%, $E$13)</f>
        <v>3.8607999999999998</v>
      </c>
      <c r="G89" s="68">
        <f>3.8621 * CHOOSE(CONTROL!$C$22, $C$13, 100%, $E$13)</f>
        <v>3.8620999999999999</v>
      </c>
      <c r="H89" s="68">
        <f>6.0651* CHOOSE(CONTROL!$C$22, $C$13, 100%, $E$13)</f>
        <v>6.0651000000000002</v>
      </c>
      <c r="I89" s="68">
        <f>6.0664 * CHOOSE(CONTROL!$C$22, $C$13, 100%, $E$13)</f>
        <v>6.0663999999999998</v>
      </c>
      <c r="J89" s="68">
        <f>3.8608 * CHOOSE(CONTROL!$C$22, $C$13, 100%, $E$13)</f>
        <v>3.8607999999999998</v>
      </c>
      <c r="K89" s="68">
        <f>3.8621 * CHOOSE(CONTROL!$C$22, $C$13, 100%, $E$13)</f>
        <v>3.8620999999999999</v>
      </c>
      <c r="L89" s="4"/>
      <c r="M89" s="4"/>
      <c r="N89" s="4"/>
    </row>
    <row r="90" spans="1:14" ht="15">
      <c r="A90" s="13">
        <v>43862</v>
      </c>
      <c r="B90" s="67">
        <f>3.164 * CHOOSE(CONTROL!$C$22, $C$13, 100%, $E$13)</f>
        <v>3.1640000000000001</v>
      </c>
      <c r="C90" s="67">
        <f>3.164 * CHOOSE(CONTROL!$C$22, $C$13, 100%, $E$13)</f>
        <v>3.1640000000000001</v>
      </c>
      <c r="D90" s="67">
        <f>3.1649 * CHOOSE(CONTROL!$C$22, $C$13, 100%, $E$13)</f>
        <v>3.1648999999999998</v>
      </c>
      <c r="E90" s="68">
        <f>3.8041 * CHOOSE(CONTROL!$C$22, $C$13, 100%, $E$13)</f>
        <v>3.8041</v>
      </c>
      <c r="F90" s="68">
        <f>3.8041 * CHOOSE(CONTROL!$C$22, $C$13, 100%, $E$13)</f>
        <v>3.8041</v>
      </c>
      <c r="G90" s="68">
        <f>3.8053 * CHOOSE(CONTROL!$C$22, $C$13, 100%, $E$13)</f>
        <v>3.8052999999999999</v>
      </c>
      <c r="H90" s="68">
        <f>6.0777* CHOOSE(CONTROL!$C$22, $C$13, 100%, $E$13)</f>
        <v>6.0777000000000001</v>
      </c>
      <c r="I90" s="68">
        <f>6.079 * CHOOSE(CONTROL!$C$22, $C$13, 100%, $E$13)</f>
        <v>6.0789999999999997</v>
      </c>
      <c r="J90" s="68">
        <f>3.8041 * CHOOSE(CONTROL!$C$22, $C$13, 100%, $E$13)</f>
        <v>3.8041</v>
      </c>
      <c r="K90" s="68">
        <f>3.8053 * CHOOSE(CONTROL!$C$22, $C$13, 100%, $E$13)</f>
        <v>3.8052999999999999</v>
      </c>
      <c r="L90" s="4"/>
      <c r="M90" s="4"/>
      <c r="N90" s="4"/>
    </row>
    <row r="91" spans="1:14" ht="15">
      <c r="A91" s="13">
        <v>43891</v>
      </c>
      <c r="B91" s="67">
        <f>3.1609 * CHOOSE(CONTROL!$C$22, $C$13, 100%, $E$13)</f>
        <v>3.1608999999999998</v>
      </c>
      <c r="C91" s="67">
        <f>3.1609 * CHOOSE(CONTROL!$C$22, $C$13, 100%, $E$13)</f>
        <v>3.1608999999999998</v>
      </c>
      <c r="D91" s="67">
        <f>3.1619 * CHOOSE(CONTROL!$C$22, $C$13, 100%, $E$13)</f>
        <v>3.1619000000000002</v>
      </c>
      <c r="E91" s="68">
        <f>3.845 * CHOOSE(CONTROL!$C$22, $C$13, 100%, $E$13)</f>
        <v>3.8450000000000002</v>
      </c>
      <c r="F91" s="68">
        <f>3.845 * CHOOSE(CONTROL!$C$22, $C$13, 100%, $E$13)</f>
        <v>3.8450000000000002</v>
      </c>
      <c r="G91" s="68">
        <f>3.8463 * CHOOSE(CONTROL!$C$22, $C$13, 100%, $E$13)</f>
        <v>3.8462999999999998</v>
      </c>
      <c r="H91" s="68">
        <f>6.0904* CHOOSE(CONTROL!$C$22, $C$13, 100%, $E$13)</f>
        <v>6.0903999999999998</v>
      </c>
      <c r="I91" s="68">
        <f>6.0917 * CHOOSE(CONTROL!$C$22, $C$13, 100%, $E$13)</f>
        <v>6.0917000000000003</v>
      </c>
      <c r="J91" s="68">
        <f>3.845 * CHOOSE(CONTROL!$C$22, $C$13, 100%, $E$13)</f>
        <v>3.8450000000000002</v>
      </c>
      <c r="K91" s="68">
        <f>3.8463 * CHOOSE(CONTROL!$C$22, $C$13, 100%, $E$13)</f>
        <v>3.8462999999999998</v>
      </c>
      <c r="L91" s="4"/>
      <c r="M91" s="4"/>
      <c r="N91" s="4"/>
    </row>
    <row r="92" spans="1:14" ht="15">
      <c r="A92" s="13">
        <v>43922</v>
      </c>
      <c r="B92" s="67">
        <f>3.1577 * CHOOSE(CONTROL!$C$22, $C$13, 100%, $E$13)</f>
        <v>3.1577000000000002</v>
      </c>
      <c r="C92" s="67">
        <f>3.1577 * CHOOSE(CONTROL!$C$22, $C$13, 100%, $E$13)</f>
        <v>3.1577000000000002</v>
      </c>
      <c r="D92" s="67">
        <f>3.1587 * CHOOSE(CONTROL!$C$22, $C$13, 100%, $E$13)</f>
        <v>3.1587000000000001</v>
      </c>
      <c r="E92" s="68">
        <f>3.8871 * CHOOSE(CONTROL!$C$22, $C$13, 100%, $E$13)</f>
        <v>3.8871000000000002</v>
      </c>
      <c r="F92" s="68">
        <f>3.8871 * CHOOSE(CONTROL!$C$22, $C$13, 100%, $E$13)</f>
        <v>3.8871000000000002</v>
      </c>
      <c r="G92" s="68">
        <f>3.8884 * CHOOSE(CONTROL!$C$22, $C$13, 100%, $E$13)</f>
        <v>3.8883999999999999</v>
      </c>
      <c r="H92" s="68">
        <f>6.1031* CHOOSE(CONTROL!$C$22, $C$13, 100%, $E$13)</f>
        <v>6.1031000000000004</v>
      </c>
      <c r="I92" s="68">
        <f>6.1044 * CHOOSE(CONTROL!$C$22, $C$13, 100%, $E$13)</f>
        <v>6.1044</v>
      </c>
      <c r="J92" s="68">
        <f>3.8871 * CHOOSE(CONTROL!$C$22, $C$13, 100%, $E$13)</f>
        <v>3.8871000000000002</v>
      </c>
      <c r="K92" s="68">
        <f>3.8884 * CHOOSE(CONTROL!$C$22, $C$13, 100%, $E$13)</f>
        <v>3.8883999999999999</v>
      </c>
      <c r="L92" s="4"/>
      <c r="M92" s="4"/>
      <c r="N92" s="4"/>
    </row>
    <row r="93" spans="1:14" ht="15">
      <c r="A93" s="13">
        <v>43952</v>
      </c>
      <c r="B93" s="67">
        <f>3.1577 * CHOOSE(CONTROL!$C$22, $C$13, 100%, $E$13)</f>
        <v>3.1577000000000002</v>
      </c>
      <c r="C93" s="67">
        <f>3.1577 * CHOOSE(CONTROL!$C$22, $C$13, 100%, $E$13)</f>
        <v>3.1577000000000002</v>
      </c>
      <c r="D93" s="67">
        <f>3.1603 * CHOOSE(CONTROL!$C$22, $C$13, 100%, $E$13)</f>
        <v>3.1602999999999999</v>
      </c>
      <c r="E93" s="68">
        <f>3.9044 * CHOOSE(CONTROL!$C$22, $C$13, 100%, $E$13)</f>
        <v>3.9043999999999999</v>
      </c>
      <c r="F93" s="68">
        <f>3.9044 * CHOOSE(CONTROL!$C$22, $C$13, 100%, $E$13)</f>
        <v>3.9043999999999999</v>
      </c>
      <c r="G93" s="68">
        <f>3.9077 * CHOOSE(CONTROL!$C$22, $C$13, 100%, $E$13)</f>
        <v>3.9077000000000002</v>
      </c>
      <c r="H93" s="68">
        <f>6.1158* CHOOSE(CONTROL!$C$22, $C$13, 100%, $E$13)</f>
        <v>6.1158000000000001</v>
      </c>
      <c r="I93" s="68">
        <f>6.1191 * CHOOSE(CONTROL!$C$22, $C$13, 100%, $E$13)</f>
        <v>6.1191000000000004</v>
      </c>
      <c r="J93" s="68">
        <f>3.9044 * CHOOSE(CONTROL!$C$22, $C$13, 100%, $E$13)</f>
        <v>3.9043999999999999</v>
      </c>
      <c r="K93" s="68">
        <f>3.9077 * CHOOSE(CONTROL!$C$22, $C$13, 100%, $E$13)</f>
        <v>3.9077000000000002</v>
      </c>
      <c r="L93" s="4"/>
      <c r="M93" s="4"/>
      <c r="N93" s="4"/>
    </row>
    <row r="94" spans="1:14" ht="15">
      <c r="A94" s="13">
        <v>43983</v>
      </c>
      <c r="B94" s="67">
        <f>3.1638 * CHOOSE(CONTROL!$C$22, $C$13, 100%, $E$13)</f>
        <v>3.1638000000000002</v>
      </c>
      <c r="C94" s="67">
        <f>3.1638 * CHOOSE(CONTROL!$C$22, $C$13, 100%, $E$13)</f>
        <v>3.1638000000000002</v>
      </c>
      <c r="D94" s="67">
        <f>3.1664 * CHOOSE(CONTROL!$C$22, $C$13, 100%, $E$13)</f>
        <v>3.1663999999999999</v>
      </c>
      <c r="E94" s="68">
        <f>3.8913 * CHOOSE(CONTROL!$C$22, $C$13, 100%, $E$13)</f>
        <v>3.8913000000000002</v>
      </c>
      <c r="F94" s="68">
        <f>3.8913 * CHOOSE(CONTROL!$C$22, $C$13, 100%, $E$13)</f>
        <v>3.8913000000000002</v>
      </c>
      <c r="G94" s="68">
        <f>3.8946 * CHOOSE(CONTROL!$C$22, $C$13, 100%, $E$13)</f>
        <v>3.8946000000000001</v>
      </c>
      <c r="H94" s="68">
        <f>6.1285* CHOOSE(CONTROL!$C$22, $C$13, 100%, $E$13)</f>
        <v>6.1284999999999998</v>
      </c>
      <c r="I94" s="68">
        <f>6.1318 * CHOOSE(CONTROL!$C$22, $C$13, 100%, $E$13)</f>
        <v>6.1318000000000001</v>
      </c>
      <c r="J94" s="68">
        <f>3.8913 * CHOOSE(CONTROL!$C$22, $C$13, 100%, $E$13)</f>
        <v>3.8913000000000002</v>
      </c>
      <c r="K94" s="68">
        <f>3.8946 * CHOOSE(CONTROL!$C$22, $C$13, 100%, $E$13)</f>
        <v>3.8946000000000001</v>
      </c>
      <c r="L94" s="4"/>
      <c r="M94" s="4"/>
      <c r="N94" s="4"/>
    </row>
    <row r="95" spans="1:14" ht="15">
      <c r="A95" s="13">
        <v>44013</v>
      </c>
      <c r="B95" s="67">
        <f>3.2348 * CHOOSE(CONTROL!$C$22, $C$13, 100%, $E$13)</f>
        <v>3.2347999999999999</v>
      </c>
      <c r="C95" s="67">
        <f>3.2348 * CHOOSE(CONTROL!$C$22, $C$13, 100%, $E$13)</f>
        <v>3.2347999999999999</v>
      </c>
      <c r="D95" s="67">
        <f>3.2374 * CHOOSE(CONTROL!$C$22, $C$13, 100%, $E$13)</f>
        <v>3.2374000000000001</v>
      </c>
      <c r="E95" s="68">
        <f>3.6313 * CHOOSE(CONTROL!$C$22, $C$13, 100%, $E$13)</f>
        <v>3.6313</v>
      </c>
      <c r="F95" s="68">
        <f>3.6313 * CHOOSE(CONTROL!$C$22, $C$13, 100%, $E$13)</f>
        <v>3.6313</v>
      </c>
      <c r="G95" s="68">
        <f>3.6345 * CHOOSE(CONTROL!$C$22, $C$13, 100%, $E$13)</f>
        <v>3.6345000000000001</v>
      </c>
      <c r="H95" s="68">
        <f>6.1413* CHOOSE(CONTROL!$C$22, $C$13, 100%, $E$13)</f>
        <v>6.1413000000000002</v>
      </c>
      <c r="I95" s="68">
        <f>6.1446 * CHOOSE(CONTROL!$C$22, $C$13, 100%, $E$13)</f>
        <v>6.1445999999999996</v>
      </c>
      <c r="J95" s="68">
        <f>3.6313 * CHOOSE(CONTROL!$C$22, $C$13, 100%, $E$13)</f>
        <v>3.6313</v>
      </c>
      <c r="K95" s="68">
        <f>3.6345 * CHOOSE(CONTROL!$C$22, $C$13, 100%, $E$13)</f>
        <v>3.6345000000000001</v>
      </c>
      <c r="L95" s="4"/>
      <c r="M95" s="4"/>
      <c r="N95" s="4"/>
    </row>
    <row r="96" spans="1:14" ht="15">
      <c r="A96" s="13">
        <v>44044</v>
      </c>
      <c r="B96" s="67">
        <f>3.2415 * CHOOSE(CONTROL!$C$22, $C$13, 100%, $E$13)</f>
        <v>3.2414999999999998</v>
      </c>
      <c r="C96" s="67">
        <f>3.2415 * CHOOSE(CONTROL!$C$22, $C$13, 100%, $E$13)</f>
        <v>3.2414999999999998</v>
      </c>
      <c r="D96" s="67">
        <f>3.2441 * CHOOSE(CONTROL!$C$22, $C$13, 100%, $E$13)</f>
        <v>3.2441</v>
      </c>
      <c r="E96" s="68">
        <f>3.5839 * CHOOSE(CONTROL!$C$22, $C$13, 100%, $E$13)</f>
        <v>3.5838999999999999</v>
      </c>
      <c r="F96" s="68">
        <f>3.5839 * CHOOSE(CONTROL!$C$22, $C$13, 100%, $E$13)</f>
        <v>3.5838999999999999</v>
      </c>
      <c r="G96" s="68">
        <f>3.5871 * CHOOSE(CONTROL!$C$22, $C$13, 100%, $E$13)</f>
        <v>3.5871</v>
      </c>
      <c r="H96" s="68">
        <f>6.1541* CHOOSE(CONTROL!$C$22, $C$13, 100%, $E$13)</f>
        <v>6.1540999999999997</v>
      </c>
      <c r="I96" s="68">
        <f>6.1574 * CHOOSE(CONTROL!$C$22, $C$13, 100%, $E$13)</f>
        <v>6.1574</v>
      </c>
      <c r="J96" s="68">
        <f>3.5839 * CHOOSE(CONTROL!$C$22, $C$13, 100%, $E$13)</f>
        <v>3.5838999999999999</v>
      </c>
      <c r="K96" s="68">
        <f>3.5871 * CHOOSE(CONTROL!$C$22, $C$13, 100%, $E$13)</f>
        <v>3.5871</v>
      </c>
      <c r="L96" s="4"/>
      <c r="M96" s="4"/>
      <c r="N96" s="4"/>
    </row>
    <row r="97" spans="1:14" ht="15">
      <c r="A97" s="13">
        <v>44075</v>
      </c>
      <c r="B97" s="67">
        <f>3.2384 * CHOOSE(CONTROL!$C$22, $C$13, 100%, $E$13)</f>
        <v>3.2383999999999999</v>
      </c>
      <c r="C97" s="67">
        <f>3.2384 * CHOOSE(CONTROL!$C$22, $C$13, 100%, $E$13)</f>
        <v>3.2383999999999999</v>
      </c>
      <c r="D97" s="67">
        <f>3.2411 * CHOOSE(CONTROL!$C$22, $C$13, 100%, $E$13)</f>
        <v>3.2410999999999999</v>
      </c>
      <c r="E97" s="68">
        <f>3.576 * CHOOSE(CONTROL!$C$22, $C$13, 100%, $E$13)</f>
        <v>3.5760000000000001</v>
      </c>
      <c r="F97" s="68">
        <f>3.576 * CHOOSE(CONTROL!$C$22, $C$13, 100%, $E$13)</f>
        <v>3.5760000000000001</v>
      </c>
      <c r="G97" s="68">
        <f>3.5792 * CHOOSE(CONTROL!$C$22, $C$13, 100%, $E$13)</f>
        <v>3.5792000000000002</v>
      </c>
      <c r="H97" s="68">
        <f>6.1669* CHOOSE(CONTROL!$C$22, $C$13, 100%, $E$13)</f>
        <v>6.1669</v>
      </c>
      <c r="I97" s="68">
        <f>6.1702 * CHOOSE(CONTROL!$C$22, $C$13, 100%, $E$13)</f>
        <v>6.1702000000000004</v>
      </c>
      <c r="J97" s="68">
        <f>3.576 * CHOOSE(CONTROL!$C$22, $C$13, 100%, $E$13)</f>
        <v>3.5760000000000001</v>
      </c>
      <c r="K97" s="68">
        <f>3.5792 * CHOOSE(CONTROL!$C$22, $C$13, 100%, $E$13)</f>
        <v>3.5792000000000002</v>
      </c>
      <c r="L97" s="4"/>
      <c r="M97" s="4"/>
      <c r="N97" s="4"/>
    </row>
    <row r="98" spans="1:14" ht="15">
      <c r="A98" s="13">
        <v>44105</v>
      </c>
      <c r="B98" s="67">
        <f>3.2304 * CHOOSE(CONTROL!$C$22, $C$13, 100%, $E$13)</f>
        <v>3.2303999999999999</v>
      </c>
      <c r="C98" s="67">
        <f>3.2304 * CHOOSE(CONTROL!$C$22, $C$13, 100%, $E$13)</f>
        <v>3.2303999999999999</v>
      </c>
      <c r="D98" s="67">
        <f>3.2314 * CHOOSE(CONTROL!$C$22, $C$13, 100%, $E$13)</f>
        <v>3.2313999999999998</v>
      </c>
      <c r="E98" s="68">
        <f>3.5857 * CHOOSE(CONTROL!$C$22, $C$13, 100%, $E$13)</f>
        <v>3.5857000000000001</v>
      </c>
      <c r="F98" s="68">
        <f>3.5857 * CHOOSE(CONTROL!$C$22, $C$13, 100%, $E$13)</f>
        <v>3.5857000000000001</v>
      </c>
      <c r="G98" s="68">
        <f>3.587 * CHOOSE(CONTROL!$C$22, $C$13, 100%, $E$13)</f>
        <v>3.5870000000000002</v>
      </c>
      <c r="H98" s="68">
        <f>6.1798* CHOOSE(CONTROL!$C$22, $C$13, 100%, $E$13)</f>
        <v>6.1798000000000002</v>
      </c>
      <c r="I98" s="68">
        <f>6.1811 * CHOOSE(CONTROL!$C$22, $C$13, 100%, $E$13)</f>
        <v>6.1810999999999998</v>
      </c>
      <c r="J98" s="68">
        <f>3.5857 * CHOOSE(CONTROL!$C$22, $C$13, 100%, $E$13)</f>
        <v>3.5857000000000001</v>
      </c>
      <c r="K98" s="68">
        <f>3.587 * CHOOSE(CONTROL!$C$22, $C$13, 100%, $E$13)</f>
        <v>3.5870000000000002</v>
      </c>
      <c r="L98" s="4"/>
      <c r="M98" s="4"/>
      <c r="N98" s="4"/>
    </row>
    <row r="99" spans="1:14" ht="15">
      <c r="A99" s="13">
        <v>44136</v>
      </c>
      <c r="B99" s="67">
        <f>3.2335 * CHOOSE(CONTROL!$C$22, $C$13, 100%, $E$13)</f>
        <v>3.2334999999999998</v>
      </c>
      <c r="C99" s="67">
        <f>3.2335 * CHOOSE(CONTROL!$C$22, $C$13, 100%, $E$13)</f>
        <v>3.2334999999999998</v>
      </c>
      <c r="D99" s="67">
        <f>3.2344 * CHOOSE(CONTROL!$C$22, $C$13, 100%, $E$13)</f>
        <v>3.2343999999999999</v>
      </c>
      <c r="E99" s="68">
        <f>3.5994 * CHOOSE(CONTROL!$C$22, $C$13, 100%, $E$13)</f>
        <v>3.5994000000000002</v>
      </c>
      <c r="F99" s="68">
        <f>3.5994 * CHOOSE(CONTROL!$C$22, $C$13, 100%, $E$13)</f>
        <v>3.5994000000000002</v>
      </c>
      <c r="G99" s="68">
        <f>3.6007 * CHOOSE(CONTROL!$C$22, $C$13, 100%, $E$13)</f>
        <v>3.6006999999999998</v>
      </c>
      <c r="H99" s="68">
        <f>6.1926* CHOOSE(CONTROL!$C$22, $C$13, 100%, $E$13)</f>
        <v>6.1925999999999997</v>
      </c>
      <c r="I99" s="68">
        <f>6.1939 * CHOOSE(CONTROL!$C$22, $C$13, 100%, $E$13)</f>
        <v>6.1939000000000002</v>
      </c>
      <c r="J99" s="68">
        <f>3.5994 * CHOOSE(CONTROL!$C$22, $C$13, 100%, $E$13)</f>
        <v>3.5994000000000002</v>
      </c>
      <c r="K99" s="68">
        <f>3.6007 * CHOOSE(CONTROL!$C$22, $C$13, 100%, $E$13)</f>
        <v>3.6006999999999998</v>
      </c>
      <c r="L99" s="4"/>
      <c r="M99" s="4"/>
      <c r="N99" s="4"/>
    </row>
    <row r="100" spans="1:14" ht="15">
      <c r="A100" s="13">
        <v>44166</v>
      </c>
      <c r="B100" s="67">
        <f>3.2335 * CHOOSE(CONTROL!$C$22, $C$13, 100%, $E$13)</f>
        <v>3.2334999999999998</v>
      </c>
      <c r="C100" s="67">
        <f>3.2335 * CHOOSE(CONTROL!$C$22, $C$13, 100%, $E$13)</f>
        <v>3.2334999999999998</v>
      </c>
      <c r="D100" s="67">
        <f>3.2344 * CHOOSE(CONTROL!$C$22, $C$13, 100%, $E$13)</f>
        <v>3.2343999999999999</v>
      </c>
      <c r="E100" s="68">
        <f>3.5704 * CHOOSE(CONTROL!$C$22, $C$13, 100%, $E$13)</f>
        <v>3.5703999999999998</v>
      </c>
      <c r="F100" s="68">
        <f>3.5704 * CHOOSE(CONTROL!$C$22, $C$13, 100%, $E$13)</f>
        <v>3.5703999999999998</v>
      </c>
      <c r="G100" s="68">
        <f>3.5717 * CHOOSE(CONTROL!$C$22, $C$13, 100%, $E$13)</f>
        <v>3.5716999999999999</v>
      </c>
      <c r="H100" s="68">
        <f>6.2056* CHOOSE(CONTROL!$C$22, $C$13, 100%, $E$13)</f>
        <v>6.2055999999999996</v>
      </c>
      <c r="I100" s="68">
        <f>6.2068 * CHOOSE(CONTROL!$C$22, $C$13, 100%, $E$13)</f>
        <v>6.2068000000000003</v>
      </c>
      <c r="J100" s="68">
        <f>3.5704 * CHOOSE(CONTROL!$C$22, $C$13, 100%, $E$13)</f>
        <v>3.5703999999999998</v>
      </c>
      <c r="K100" s="68">
        <f>3.5717 * CHOOSE(CONTROL!$C$22, $C$13, 100%, $E$13)</f>
        <v>3.5716999999999999</v>
      </c>
      <c r="L100" s="4"/>
      <c r="M100" s="4"/>
      <c r="N100" s="4"/>
    </row>
    <row r="101" spans="1:14" ht="15">
      <c r="A101" s="13">
        <v>44197</v>
      </c>
      <c r="B101" s="67">
        <f>3.2543 * CHOOSE(CONTROL!$C$22, $C$13, 100%, $E$13)</f>
        <v>3.2543000000000002</v>
      </c>
      <c r="C101" s="67">
        <f>3.2543 * CHOOSE(CONTROL!$C$22, $C$13, 100%, $E$13)</f>
        <v>3.2543000000000002</v>
      </c>
      <c r="D101" s="67">
        <f>3.2553 * CHOOSE(CONTROL!$C$22, $C$13, 100%, $E$13)</f>
        <v>3.2553000000000001</v>
      </c>
      <c r="E101" s="68">
        <f>3.6909 * CHOOSE(CONTROL!$C$22, $C$13, 100%, $E$13)</f>
        <v>3.6909000000000001</v>
      </c>
      <c r="F101" s="68">
        <f>3.6909 * CHOOSE(CONTROL!$C$22, $C$13, 100%, $E$13)</f>
        <v>3.6909000000000001</v>
      </c>
      <c r="G101" s="68">
        <f>3.6921 * CHOOSE(CONTROL!$C$22, $C$13, 100%, $E$13)</f>
        <v>3.6920999999999999</v>
      </c>
      <c r="H101" s="68">
        <f>6.2185* CHOOSE(CONTROL!$C$22, $C$13, 100%, $E$13)</f>
        <v>6.2184999999999997</v>
      </c>
      <c r="I101" s="68">
        <f>6.2198 * CHOOSE(CONTROL!$C$22, $C$13, 100%, $E$13)</f>
        <v>6.2198000000000002</v>
      </c>
      <c r="J101" s="68">
        <f>3.6909 * CHOOSE(CONTROL!$C$22, $C$13, 100%, $E$13)</f>
        <v>3.6909000000000001</v>
      </c>
      <c r="K101" s="68">
        <f>3.6921 * CHOOSE(CONTROL!$C$22, $C$13, 100%, $E$13)</f>
        <v>3.6920999999999999</v>
      </c>
      <c r="L101" s="4"/>
      <c r="M101" s="4"/>
      <c r="N101" s="4"/>
    </row>
    <row r="102" spans="1:14" ht="15">
      <c r="A102" s="13">
        <v>44228</v>
      </c>
      <c r="B102" s="67">
        <f>3.2513 * CHOOSE(CONTROL!$C$22, $C$13, 100%, $E$13)</f>
        <v>3.2513000000000001</v>
      </c>
      <c r="C102" s="67">
        <f>3.2513 * CHOOSE(CONTROL!$C$22, $C$13, 100%, $E$13)</f>
        <v>3.2513000000000001</v>
      </c>
      <c r="D102" s="67">
        <f>3.2522 * CHOOSE(CONTROL!$C$22, $C$13, 100%, $E$13)</f>
        <v>3.2522000000000002</v>
      </c>
      <c r="E102" s="68">
        <f>3.6298 * CHOOSE(CONTROL!$C$22, $C$13, 100%, $E$13)</f>
        <v>3.6297999999999999</v>
      </c>
      <c r="F102" s="68">
        <f>3.6298 * CHOOSE(CONTROL!$C$22, $C$13, 100%, $E$13)</f>
        <v>3.6297999999999999</v>
      </c>
      <c r="G102" s="68">
        <f>3.6311 * CHOOSE(CONTROL!$C$22, $C$13, 100%, $E$13)</f>
        <v>3.6311</v>
      </c>
      <c r="H102" s="68">
        <f>6.2314* CHOOSE(CONTROL!$C$22, $C$13, 100%, $E$13)</f>
        <v>6.2313999999999998</v>
      </c>
      <c r="I102" s="68">
        <f>6.2327 * CHOOSE(CONTROL!$C$22, $C$13, 100%, $E$13)</f>
        <v>6.2327000000000004</v>
      </c>
      <c r="J102" s="68">
        <f>3.6298 * CHOOSE(CONTROL!$C$22, $C$13, 100%, $E$13)</f>
        <v>3.6297999999999999</v>
      </c>
      <c r="K102" s="68">
        <f>3.6311 * CHOOSE(CONTROL!$C$22, $C$13, 100%, $E$13)</f>
        <v>3.6311</v>
      </c>
      <c r="L102" s="4"/>
      <c r="M102" s="4"/>
      <c r="N102" s="4"/>
    </row>
    <row r="103" spans="1:14" ht="15">
      <c r="A103" s="13">
        <v>44256</v>
      </c>
      <c r="B103" s="67">
        <f>3.2482 * CHOOSE(CONTROL!$C$22, $C$13, 100%, $E$13)</f>
        <v>3.2482000000000002</v>
      </c>
      <c r="C103" s="67">
        <f>3.2482 * CHOOSE(CONTROL!$C$22, $C$13, 100%, $E$13)</f>
        <v>3.2482000000000002</v>
      </c>
      <c r="D103" s="67">
        <f>3.2492 * CHOOSE(CONTROL!$C$22, $C$13, 100%, $E$13)</f>
        <v>3.2492000000000001</v>
      </c>
      <c r="E103" s="68">
        <f>3.6741 * CHOOSE(CONTROL!$C$22, $C$13, 100%, $E$13)</f>
        <v>3.6741000000000001</v>
      </c>
      <c r="F103" s="68">
        <f>3.6741 * CHOOSE(CONTROL!$C$22, $C$13, 100%, $E$13)</f>
        <v>3.6741000000000001</v>
      </c>
      <c r="G103" s="68">
        <f>3.6754 * CHOOSE(CONTROL!$C$22, $C$13, 100%, $E$13)</f>
        <v>3.6753999999999998</v>
      </c>
      <c r="H103" s="68">
        <f>6.2444* CHOOSE(CONTROL!$C$22, $C$13, 100%, $E$13)</f>
        <v>6.2443999999999997</v>
      </c>
      <c r="I103" s="68">
        <f>6.2457 * CHOOSE(CONTROL!$C$22, $C$13, 100%, $E$13)</f>
        <v>6.2457000000000003</v>
      </c>
      <c r="J103" s="68">
        <f>3.6741 * CHOOSE(CONTROL!$C$22, $C$13, 100%, $E$13)</f>
        <v>3.6741000000000001</v>
      </c>
      <c r="K103" s="68">
        <f>3.6754 * CHOOSE(CONTROL!$C$22, $C$13, 100%, $E$13)</f>
        <v>3.6753999999999998</v>
      </c>
      <c r="L103" s="4"/>
      <c r="M103" s="4"/>
      <c r="N103" s="4"/>
    </row>
    <row r="104" spans="1:14" ht="15">
      <c r="A104" s="13">
        <v>44287</v>
      </c>
      <c r="B104" s="67">
        <f>3.2451 * CHOOSE(CONTROL!$C$22, $C$13, 100%, $E$13)</f>
        <v>3.2450999999999999</v>
      </c>
      <c r="C104" s="67">
        <f>3.2451 * CHOOSE(CONTROL!$C$22, $C$13, 100%, $E$13)</f>
        <v>3.2450999999999999</v>
      </c>
      <c r="D104" s="67">
        <f>3.2461 * CHOOSE(CONTROL!$C$22, $C$13, 100%, $E$13)</f>
        <v>3.2461000000000002</v>
      </c>
      <c r="E104" s="68">
        <f>3.7198 * CHOOSE(CONTROL!$C$22, $C$13, 100%, $E$13)</f>
        <v>3.7198000000000002</v>
      </c>
      <c r="F104" s="68">
        <f>3.7198 * CHOOSE(CONTROL!$C$22, $C$13, 100%, $E$13)</f>
        <v>3.7198000000000002</v>
      </c>
      <c r="G104" s="68">
        <f>3.7211 * CHOOSE(CONTROL!$C$22, $C$13, 100%, $E$13)</f>
        <v>3.7210999999999999</v>
      </c>
      <c r="H104" s="68">
        <f>6.2574* CHOOSE(CONTROL!$C$22, $C$13, 100%, $E$13)</f>
        <v>6.2573999999999996</v>
      </c>
      <c r="I104" s="68">
        <f>6.2587 * CHOOSE(CONTROL!$C$22, $C$13, 100%, $E$13)</f>
        <v>6.2587000000000002</v>
      </c>
      <c r="J104" s="68">
        <f>3.7198 * CHOOSE(CONTROL!$C$22, $C$13, 100%, $E$13)</f>
        <v>3.7198000000000002</v>
      </c>
      <c r="K104" s="68">
        <f>3.7211 * CHOOSE(CONTROL!$C$22, $C$13, 100%, $E$13)</f>
        <v>3.7210999999999999</v>
      </c>
      <c r="L104" s="4"/>
      <c r="M104" s="4"/>
      <c r="N104" s="4"/>
    </row>
    <row r="105" spans="1:14" ht="15">
      <c r="A105" s="13">
        <v>44317</v>
      </c>
      <c r="B105" s="67">
        <f>3.2451 * CHOOSE(CONTROL!$C$22, $C$13, 100%, $E$13)</f>
        <v>3.2450999999999999</v>
      </c>
      <c r="C105" s="67">
        <f>3.2451 * CHOOSE(CONTROL!$C$22, $C$13, 100%, $E$13)</f>
        <v>3.2450999999999999</v>
      </c>
      <c r="D105" s="67">
        <f>3.2477 * CHOOSE(CONTROL!$C$22, $C$13, 100%, $E$13)</f>
        <v>3.2477</v>
      </c>
      <c r="E105" s="68">
        <f>3.7385 * CHOOSE(CONTROL!$C$22, $C$13, 100%, $E$13)</f>
        <v>3.7385000000000002</v>
      </c>
      <c r="F105" s="68">
        <f>3.7385 * CHOOSE(CONTROL!$C$22, $C$13, 100%, $E$13)</f>
        <v>3.7385000000000002</v>
      </c>
      <c r="G105" s="68">
        <f>3.7418 * CHOOSE(CONTROL!$C$22, $C$13, 100%, $E$13)</f>
        <v>3.7418</v>
      </c>
      <c r="H105" s="68">
        <f>6.2705* CHOOSE(CONTROL!$C$22, $C$13, 100%, $E$13)</f>
        <v>6.2705000000000002</v>
      </c>
      <c r="I105" s="68">
        <f>6.2737 * CHOOSE(CONTROL!$C$22, $C$13, 100%, $E$13)</f>
        <v>6.2736999999999998</v>
      </c>
      <c r="J105" s="68">
        <f>3.7385 * CHOOSE(CONTROL!$C$22, $C$13, 100%, $E$13)</f>
        <v>3.7385000000000002</v>
      </c>
      <c r="K105" s="68">
        <f>3.7418 * CHOOSE(CONTROL!$C$22, $C$13, 100%, $E$13)</f>
        <v>3.7418</v>
      </c>
      <c r="L105" s="4"/>
      <c r="M105" s="4"/>
      <c r="N105" s="4"/>
    </row>
    <row r="106" spans="1:14" ht="15">
      <c r="A106" s="13">
        <v>44348</v>
      </c>
      <c r="B106" s="67">
        <f>3.2512 * CHOOSE(CONTROL!$C$22, $C$13, 100%, $E$13)</f>
        <v>3.2511999999999999</v>
      </c>
      <c r="C106" s="67">
        <f>3.2512 * CHOOSE(CONTROL!$C$22, $C$13, 100%, $E$13)</f>
        <v>3.2511999999999999</v>
      </c>
      <c r="D106" s="67">
        <f>3.2538 * CHOOSE(CONTROL!$C$22, $C$13, 100%, $E$13)</f>
        <v>3.2538</v>
      </c>
      <c r="E106" s="68">
        <f>3.724 * CHOOSE(CONTROL!$C$22, $C$13, 100%, $E$13)</f>
        <v>3.7240000000000002</v>
      </c>
      <c r="F106" s="68">
        <f>3.724 * CHOOSE(CONTROL!$C$22, $C$13, 100%, $E$13)</f>
        <v>3.7240000000000002</v>
      </c>
      <c r="G106" s="68">
        <f>3.7273 * CHOOSE(CONTROL!$C$22, $C$13, 100%, $E$13)</f>
        <v>3.7273000000000001</v>
      </c>
      <c r="H106" s="68">
        <f>6.2835* CHOOSE(CONTROL!$C$22, $C$13, 100%, $E$13)</f>
        <v>6.2835000000000001</v>
      </c>
      <c r="I106" s="68">
        <f>6.2868 * CHOOSE(CONTROL!$C$22, $C$13, 100%, $E$13)</f>
        <v>6.2868000000000004</v>
      </c>
      <c r="J106" s="68">
        <f>3.724 * CHOOSE(CONTROL!$C$22, $C$13, 100%, $E$13)</f>
        <v>3.7240000000000002</v>
      </c>
      <c r="K106" s="68">
        <f>3.7273 * CHOOSE(CONTROL!$C$22, $C$13, 100%, $E$13)</f>
        <v>3.7273000000000001</v>
      </c>
      <c r="L106" s="4"/>
      <c r="M106" s="4"/>
      <c r="N106" s="4"/>
    </row>
    <row r="107" spans="1:14" ht="15">
      <c r="A107" s="13">
        <v>44378</v>
      </c>
      <c r="B107" s="67">
        <f>3.2867 * CHOOSE(CONTROL!$C$22, $C$13, 100%, $E$13)</f>
        <v>3.2867000000000002</v>
      </c>
      <c r="C107" s="67">
        <f>3.2867 * CHOOSE(CONTROL!$C$22, $C$13, 100%, $E$13)</f>
        <v>3.2867000000000002</v>
      </c>
      <c r="D107" s="67">
        <f>3.2893 * CHOOSE(CONTROL!$C$22, $C$13, 100%, $E$13)</f>
        <v>3.2892999999999999</v>
      </c>
      <c r="E107" s="68">
        <f>3.8884 * CHOOSE(CONTROL!$C$22, $C$13, 100%, $E$13)</f>
        <v>3.8883999999999999</v>
      </c>
      <c r="F107" s="68">
        <f>3.8884 * CHOOSE(CONTROL!$C$22, $C$13, 100%, $E$13)</f>
        <v>3.8883999999999999</v>
      </c>
      <c r="G107" s="68">
        <f>3.8916 * CHOOSE(CONTROL!$C$22, $C$13, 100%, $E$13)</f>
        <v>3.8915999999999999</v>
      </c>
      <c r="H107" s="68">
        <f>6.2966* CHOOSE(CONTROL!$C$22, $C$13, 100%, $E$13)</f>
        <v>6.2965999999999998</v>
      </c>
      <c r="I107" s="68">
        <f>6.2999 * CHOOSE(CONTROL!$C$22, $C$13, 100%, $E$13)</f>
        <v>6.2999000000000001</v>
      </c>
      <c r="J107" s="68">
        <f>3.8884 * CHOOSE(CONTROL!$C$22, $C$13, 100%, $E$13)</f>
        <v>3.8883999999999999</v>
      </c>
      <c r="K107" s="68">
        <f>3.8916 * CHOOSE(CONTROL!$C$22, $C$13, 100%, $E$13)</f>
        <v>3.8915999999999999</v>
      </c>
      <c r="L107" s="4"/>
      <c r="M107" s="4"/>
      <c r="N107" s="4"/>
    </row>
    <row r="108" spans="1:14" ht="15">
      <c r="A108" s="13">
        <v>44409</v>
      </c>
      <c r="B108" s="67">
        <f>3.2934 * CHOOSE(CONTROL!$C$22, $C$13, 100%, $E$13)</f>
        <v>3.2934000000000001</v>
      </c>
      <c r="C108" s="67">
        <f>3.2934 * CHOOSE(CONTROL!$C$22, $C$13, 100%, $E$13)</f>
        <v>3.2934000000000001</v>
      </c>
      <c r="D108" s="67">
        <f>3.296 * CHOOSE(CONTROL!$C$22, $C$13, 100%, $E$13)</f>
        <v>3.2959999999999998</v>
      </c>
      <c r="E108" s="68">
        <f>3.8369 * CHOOSE(CONTROL!$C$22, $C$13, 100%, $E$13)</f>
        <v>3.8369</v>
      </c>
      <c r="F108" s="68">
        <f>3.8369 * CHOOSE(CONTROL!$C$22, $C$13, 100%, $E$13)</f>
        <v>3.8369</v>
      </c>
      <c r="G108" s="68">
        <f>3.8401 * CHOOSE(CONTROL!$C$22, $C$13, 100%, $E$13)</f>
        <v>3.8401000000000001</v>
      </c>
      <c r="H108" s="68">
        <f>6.3097* CHOOSE(CONTROL!$C$22, $C$13, 100%, $E$13)</f>
        <v>6.3097000000000003</v>
      </c>
      <c r="I108" s="68">
        <f>6.313 * CHOOSE(CONTROL!$C$22, $C$13, 100%, $E$13)</f>
        <v>6.3129999999999997</v>
      </c>
      <c r="J108" s="68">
        <f>3.8369 * CHOOSE(CONTROL!$C$22, $C$13, 100%, $E$13)</f>
        <v>3.8369</v>
      </c>
      <c r="K108" s="68">
        <f>3.8401 * CHOOSE(CONTROL!$C$22, $C$13, 100%, $E$13)</f>
        <v>3.8401000000000001</v>
      </c>
      <c r="L108" s="4"/>
      <c r="M108" s="4"/>
      <c r="N108" s="4"/>
    </row>
    <row r="109" spans="1:14" ht="15">
      <c r="A109" s="13">
        <v>44440</v>
      </c>
      <c r="B109" s="67">
        <f>3.2903 * CHOOSE(CONTROL!$C$22, $C$13, 100%, $E$13)</f>
        <v>3.2902999999999998</v>
      </c>
      <c r="C109" s="67">
        <f>3.2903 * CHOOSE(CONTROL!$C$22, $C$13, 100%, $E$13)</f>
        <v>3.2902999999999998</v>
      </c>
      <c r="D109" s="67">
        <f>3.2929 * CHOOSE(CONTROL!$C$22, $C$13, 100%, $E$13)</f>
        <v>3.2928999999999999</v>
      </c>
      <c r="E109" s="68">
        <f>3.8285 * CHOOSE(CONTROL!$C$22, $C$13, 100%, $E$13)</f>
        <v>3.8285</v>
      </c>
      <c r="F109" s="68">
        <f>3.8285 * CHOOSE(CONTROL!$C$22, $C$13, 100%, $E$13)</f>
        <v>3.8285</v>
      </c>
      <c r="G109" s="68">
        <f>3.8318 * CHOOSE(CONTROL!$C$22, $C$13, 100%, $E$13)</f>
        <v>3.8317999999999999</v>
      </c>
      <c r="H109" s="68">
        <f>6.3229* CHOOSE(CONTROL!$C$22, $C$13, 100%, $E$13)</f>
        <v>6.3228999999999997</v>
      </c>
      <c r="I109" s="68">
        <f>6.3261 * CHOOSE(CONTROL!$C$22, $C$13, 100%, $E$13)</f>
        <v>6.3261000000000003</v>
      </c>
      <c r="J109" s="68">
        <f>3.8285 * CHOOSE(CONTROL!$C$22, $C$13, 100%, $E$13)</f>
        <v>3.8285</v>
      </c>
      <c r="K109" s="68">
        <f>3.8318 * CHOOSE(CONTROL!$C$22, $C$13, 100%, $E$13)</f>
        <v>3.8317999999999999</v>
      </c>
      <c r="L109" s="4"/>
      <c r="M109" s="4"/>
      <c r="N109" s="4"/>
    </row>
    <row r="110" spans="1:14" ht="15">
      <c r="A110" s="13">
        <v>44470</v>
      </c>
      <c r="B110" s="67">
        <f>3.2826 * CHOOSE(CONTROL!$C$22, $C$13, 100%, $E$13)</f>
        <v>3.2826</v>
      </c>
      <c r="C110" s="67">
        <f>3.2826 * CHOOSE(CONTROL!$C$22, $C$13, 100%, $E$13)</f>
        <v>3.2826</v>
      </c>
      <c r="D110" s="67">
        <f>3.2836 * CHOOSE(CONTROL!$C$22, $C$13, 100%, $E$13)</f>
        <v>3.2835999999999999</v>
      </c>
      <c r="E110" s="68">
        <f>3.8401 * CHOOSE(CONTROL!$C$22, $C$13, 100%, $E$13)</f>
        <v>3.8401000000000001</v>
      </c>
      <c r="F110" s="68">
        <f>3.8401 * CHOOSE(CONTROL!$C$22, $C$13, 100%, $E$13)</f>
        <v>3.8401000000000001</v>
      </c>
      <c r="G110" s="68">
        <f>3.8414 * CHOOSE(CONTROL!$C$22, $C$13, 100%, $E$13)</f>
        <v>3.8414000000000001</v>
      </c>
      <c r="H110" s="68">
        <f>6.3361* CHOOSE(CONTROL!$C$22, $C$13, 100%, $E$13)</f>
        <v>6.3361000000000001</v>
      </c>
      <c r="I110" s="68">
        <f>6.3373 * CHOOSE(CONTROL!$C$22, $C$13, 100%, $E$13)</f>
        <v>6.3372999999999999</v>
      </c>
      <c r="J110" s="68">
        <f>3.8401 * CHOOSE(CONTROL!$C$22, $C$13, 100%, $E$13)</f>
        <v>3.8401000000000001</v>
      </c>
      <c r="K110" s="68">
        <f>3.8414 * CHOOSE(CONTROL!$C$22, $C$13, 100%, $E$13)</f>
        <v>3.8414000000000001</v>
      </c>
      <c r="L110" s="4"/>
      <c r="M110" s="4"/>
      <c r="N110" s="4"/>
    </row>
    <row r="111" spans="1:14" ht="15">
      <c r="A111" s="13">
        <v>44501</v>
      </c>
      <c r="B111" s="67">
        <f>3.2856 * CHOOSE(CONTROL!$C$22, $C$13, 100%, $E$13)</f>
        <v>3.2856000000000001</v>
      </c>
      <c r="C111" s="67">
        <f>3.2856 * CHOOSE(CONTROL!$C$22, $C$13, 100%, $E$13)</f>
        <v>3.2856000000000001</v>
      </c>
      <c r="D111" s="67">
        <f>3.2866 * CHOOSE(CONTROL!$C$22, $C$13, 100%, $E$13)</f>
        <v>3.2866</v>
      </c>
      <c r="E111" s="68">
        <f>3.8547 * CHOOSE(CONTROL!$C$22, $C$13, 100%, $E$13)</f>
        <v>3.8546999999999998</v>
      </c>
      <c r="F111" s="68">
        <f>3.8547 * CHOOSE(CONTROL!$C$22, $C$13, 100%, $E$13)</f>
        <v>3.8546999999999998</v>
      </c>
      <c r="G111" s="68">
        <f>3.856 * CHOOSE(CONTROL!$C$22, $C$13, 100%, $E$13)</f>
        <v>3.8559999999999999</v>
      </c>
      <c r="H111" s="68">
        <f>6.3493* CHOOSE(CONTROL!$C$22, $C$13, 100%, $E$13)</f>
        <v>6.3493000000000004</v>
      </c>
      <c r="I111" s="68">
        <f>6.3505 * CHOOSE(CONTROL!$C$22, $C$13, 100%, $E$13)</f>
        <v>6.3505000000000003</v>
      </c>
      <c r="J111" s="68">
        <f>3.8547 * CHOOSE(CONTROL!$C$22, $C$13, 100%, $E$13)</f>
        <v>3.8546999999999998</v>
      </c>
      <c r="K111" s="68">
        <f>3.856 * CHOOSE(CONTROL!$C$22, $C$13, 100%, $E$13)</f>
        <v>3.8559999999999999</v>
      </c>
      <c r="L111" s="4"/>
      <c r="M111" s="4"/>
      <c r="N111" s="4"/>
    </row>
    <row r="112" spans="1:14" ht="15">
      <c r="A112" s="13">
        <v>44531</v>
      </c>
      <c r="B112" s="67">
        <f>3.2856 * CHOOSE(CONTROL!$C$22, $C$13, 100%, $E$13)</f>
        <v>3.2856000000000001</v>
      </c>
      <c r="C112" s="67">
        <f>3.2856 * CHOOSE(CONTROL!$C$22, $C$13, 100%, $E$13)</f>
        <v>3.2856000000000001</v>
      </c>
      <c r="D112" s="67">
        <f>3.2866 * CHOOSE(CONTROL!$C$22, $C$13, 100%, $E$13)</f>
        <v>3.2866</v>
      </c>
      <c r="E112" s="68">
        <f>3.8235 * CHOOSE(CONTROL!$C$22, $C$13, 100%, $E$13)</f>
        <v>3.8235000000000001</v>
      </c>
      <c r="F112" s="68">
        <f>3.8235 * CHOOSE(CONTROL!$C$22, $C$13, 100%, $E$13)</f>
        <v>3.8235000000000001</v>
      </c>
      <c r="G112" s="68">
        <f>3.8248 * CHOOSE(CONTROL!$C$22, $C$13, 100%, $E$13)</f>
        <v>3.8248000000000002</v>
      </c>
      <c r="H112" s="68">
        <f>6.3625* CHOOSE(CONTROL!$C$22, $C$13, 100%, $E$13)</f>
        <v>6.3624999999999998</v>
      </c>
      <c r="I112" s="68">
        <f>6.3638 * CHOOSE(CONTROL!$C$22, $C$13, 100%, $E$13)</f>
        <v>6.3638000000000003</v>
      </c>
      <c r="J112" s="68">
        <f>3.8235 * CHOOSE(CONTROL!$C$22, $C$13, 100%, $E$13)</f>
        <v>3.8235000000000001</v>
      </c>
      <c r="K112" s="68">
        <f>3.8248 * CHOOSE(CONTROL!$C$22, $C$13, 100%, $E$13)</f>
        <v>3.8248000000000002</v>
      </c>
      <c r="L112" s="4"/>
      <c r="M112" s="4"/>
      <c r="N112" s="4"/>
    </row>
    <row r="113" spans="1:14" ht="15">
      <c r="A113" s="13">
        <v>44562</v>
      </c>
      <c r="B113" s="67">
        <f>3.315 * CHOOSE(CONTROL!$C$22, $C$13, 100%, $E$13)</f>
        <v>3.3149999999999999</v>
      </c>
      <c r="C113" s="67">
        <f>3.315 * CHOOSE(CONTROL!$C$22, $C$13, 100%, $E$13)</f>
        <v>3.3149999999999999</v>
      </c>
      <c r="D113" s="67">
        <f>3.316 * CHOOSE(CONTROL!$C$22, $C$13, 100%, $E$13)</f>
        <v>3.3159999999999998</v>
      </c>
      <c r="E113" s="68">
        <f>3.9024 * CHOOSE(CONTROL!$C$22, $C$13, 100%, $E$13)</f>
        <v>3.9024000000000001</v>
      </c>
      <c r="F113" s="68">
        <f>3.9024 * CHOOSE(CONTROL!$C$22, $C$13, 100%, $E$13)</f>
        <v>3.9024000000000001</v>
      </c>
      <c r="G113" s="68">
        <f>3.9037 * CHOOSE(CONTROL!$C$22, $C$13, 100%, $E$13)</f>
        <v>3.9037000000000002</v>
      </c>
      <c r="H113" s="68">
        <f>6.3757* CHOOSE(CONTROL!$C$22, $C$13, 100%, $E$13)</f>
        <v>6.3757000000000001</v>
      </c>
      <c r="I113" s="68">
        <f>6.377 * CHOOSE(CONTROL!$C$22, $C$13, 100%, $E$13)</f>
        <v>6.3769999999999998</v>
      </c>
      <c r="J113" s="68">
        <f>3.9024 * CHOOSE(CONTROL!$C$22, $C$13, 100%, $E$13)</f>
        <v>3.9024000000000001</v>
      </c>
      <c r="K113" s="68">
        <f>3.9037 * CHOOSE(CONTROL!$C$22, $C$13, 100%, $E$13)</f>
        <v>3.9037000000000002</v>
      </c>
      <c r="L113" s="4"/>
      <c r="M113" s="4"/>
      <c r="N113" s="4"/>
    </row>
    <row r="114" spans="1:14" ht="15">
      <c r="A114" s="13">
        <v>44593</v>
      </c>
      <c r="B114" s="67">
        <f>3.312 * CHOOSE(CONTROL!$C$22, $C$13, 100%, $E$13)</f>
        <v>3.3119999999999998</v>
      </c>
      <c r="C114" s="67">
        <f>3.312 * CHOOSE(CONTROL!$C$22, $C$13, 100%, $E$13)</f>
        <v>3.3119999999999998</v>
      </c>
      <c r="D114" s="67">
        <f>3.313 * CHOOSE(CONTROL!$C$22, $C$13, 100%, $E$13)</f>
        <v>3.3130000000000002</v>
      </c>
      <c r="E114" s="68">
        <f>3.8381 * CHOOSE(CONTROL!$C$22, $C$13, 100%, $E$13)</f>
        <v>3.8380999999999998</v>
      </c>
      <c r="F114" s="68">
        <f>3.8381 * CHOOSE(CONTROL!$C$22, $C$13, 100%, $E$13)</f>
        <v>3.8380999999999998</v>
      </c>
      <c r="G114" s="68">
        <f>3.8394 * CHOOSE(CONTROL!$C$22, $C$13, 100%, $E$13)</f>
        <v>3.8393999999999999</v>
      </c>
      <c r="H114" s="68">
        <f>6.389* CHOOSE(CONTROL!$C$22, $C$13, 100%, $E$13)</f>
        <v>6.3890000000000002</v>
      </c>
      <c r="I114" s="68">
        <f>6.3903 * CHOOSE(CONTROL!$C$22, $C$13, 100%, $E$13)</f>
        <v>6.3902999999999999</v>
      </c>
      <c r="J114" s="68">
        <f>3.8381 * CHOOSE(CONTROL!$C$22, $C$13, 100%, $E$13)</f>
        <v>3.8380999999999998</v>
      </c>
      <c r="K114" s="68">
        <f>3.8394 * CHOOSE(CONTROL!$C$22, $C$13, 100%, $E$13)</f>
        <v>3.8393999999999999</v>
      </c>
      <c r="L114" s="4"/>
      <c r="M114" s="4"/>
      <c r="N114" s="4"/>
    </row>
    <row r="115" spans="1:14" ht="15">
      <c r="A115" s="13">
        <v>44621</v>
      </c>
      <c r="B115" s="67">
        <f>3.309 * CHOOSE(CONTROL!$C$22, $C$13, 100%, $E$13)</f>
        <v>3.3090000000000002</v>
      </c>
      <c r="C115" s="67">
        <f>3.309 * CHOOSE(CONTROL!$C$22, $C$13, 100%, $E$13)</f>
        <v>3.3090000000000002</v>
      </c>
      <c r="D115" s="67">
        <f>3.3099 * CHOOSE(CONTROL!$C$22, $C$13, 100%, $E$13)</f>
        <v>3.3098999999999998</v>
      </c>
      <c r="E115" s="68">
        <f>3.885 * CHOOSE(CONTROL!$C$22, $C$13, 100%, $E$13)</f>
        <v>3.8849999999999998</v>
      </c>
      <c r="F115" s="68">
        <f>3.885 * CHOOSE(CONTROL!$C$22, $C$13, 100%, $E$13)</f>
        <v>3.8849999999999998</v>
      </c>
      <c r="G115" s="68">
        <f>3.8863 * CHOOSE(CONTROL!$C$22, $C$13, 100%, $E$13)</f>
        <v>3.8862999999999999</v>
      </c>
      <c r="H115" s="68">
        <f>6.4023* CHOOSE(CONTROL!$C$22, $C$13, 100%, $E$13)</f>
        <v>6.4023000000000003</v>
      </c>
      <c r="I115" s="68">
        <f>6.4036 * CHOOSE(CONTROL!$C$22, $C$13, 100%, $E$13)</f>
        <v>6.4036</v>
      </c>
      <c r="J115" s="68">
        <f>3.885 * CHOOSE(CONTROL!$C$22, $C$13, 100%, $E$13)</f>
        <v>3.8849999999999998</v>
      </c>
      <c r="K115" s="68">
        <f>3.8863 * CHOOSE(CONTROL!$C$22, $C$13, 100%, $E$13)</f>
        <v>3.8862999999999999</v>
      </c>
      <c r="L115" s="4"/>
      <c r="M115" s="4"/>
      <c r="N115" s="4"/>
    </row>
    <row r="116" spans="1:14" ht="15">
      <c r="A116" s="13">
        <v>44652</v>
      </c>
      <c r="B116" s="67">
        <f>3.3059 * CHOOSE(CONTROL!$C$22, $C$13, 100%, $E$13)</f>
        <v>3.3058999999999998</v>
      </c>
      <c r="C116" s="67">
        <f>3.3059 * CHOOSE(CONTROL!$C$22, $C$13, 100%, $E$13)</f>
        <v>3.3058999999999998</v>
      </c>
      <c r="D116" s="67">
        <f>3.3069 * CHOOSE(CONTROL!$C$22, $C$13, 100%, $E$13)</f>
        <v>3.3069000000000002</v>
      </c>
      <c r="E116" s="68">
        <f>3.9334 * CHOOSE(CONTROL!$C$22, $C$13, 100%, $E$13)</f>
        <v>3.9333999999999998</v>
      </c>
      <c r="F116" s="68">
        <f>3.9334 * CHOOSE(CONTROL!$C$22, $C$13, 100%, $E$13)</f>
        <v>3.9333999999999998</v>
      </c>
      <c r="G116" s="68">
        <f>3.9347 * CHOOSE(CONTROL!$C$22, $C$13, 100%, $E$13)</f>
        <v>3.9346999999999999</v>
      </c>
      <c r="H116" s="68">
        <f>6.4157* CHOOSE(CONTROL!$C$22, $C$13, 100%, $E$13)</f>
        <v>6.4157000000000002</v>
      </c>
      <c r="I116" s="68">
        <f>6.4169 * CHOOSE(CONTROL!$C$22, $C$13, 100%, $E$13)</f>
        <v>6.4169</v>
      </c>
      <c r="J116" s="68">
        <f>3.9334 * CHOOSE(CONTROL!$C$22, $C$13, 100%, $E$13)</f>
        <v>3.9333999999999998</v>
      </c>
      <c r="K116" s="68">
        <f>3.9347 * CHOOSE(CONTROL!$C$22, $C$13, 100%, $E$13)</f>
        <v>3.9346999999999999</v>
      </c>
      <c r="L116" s="4"/>
      <c r="M116" s="4"/>
      <c r="N116" s="4"/>
    </row>
    <row r="117" spans="1:14" ht="15">
      <c r="A117" s="13">
        <v>44682</v>
      </c>
      <c r="B117" s="67">
        <f>3.3059 * CHOOSE(CONTROL!$C$22, $C$13, 100%, $E$13)</f>
        <v>3.3058999999999998</v>
      </c>
      <c r="C117" s="67">
        <f>3.3059 * CHOOSE(CONTROL!$C$22, $C$13, 100%, $E$13)</f>
        <v>3.3058999999999998</v>
      </c>
      <c r="D117" s="67">
        <f>3.3085 * CHOOSE(CONTROL!$C$22, $C$13, 100%, $E$13)</f>
        <v>3.3085</v>
      </c>
      <c r="E117" s="68">
        <f>3.9531 * CHOOSE(CONTROL!$C$22, $C$13, 100%, $E$13)</f>
        <v>3.9531000000000001</v>
      </c>
      <c r="F117" s="68">
        <f>3.9531 * CHOOSE(CONTROL!$C$22, $C$13, 100%, $E$13)</f>
        <v>3.9531000000000001</v>
      </c>
      <c r="G117" s="68">
        <f>3.9564 * CHOOSE(CONTROL!$C$22, $C$13, 100%, $E$13)</f>
        <v>3.9563999999999999</v>
      </c>
      <c r="H117" s="68">
        <f>6.429* CHOOSE(CONTROL!$C$22, $C$13, 100%, $E$13)</f>
        <v>6.4290000000000003</v>
      </c>
      <c r="I117" s="68">
        <f>6.4323 * CHOOSE(CONTROL!$C$22, $C$13, 100%, $E$13)</f>
        <v>6.4322999999999997</v>
      </c>
      <c r="J117" s="68">
        <f>3.9531 * CHOOSE(CONTROL!$C$22, $C$13, 100%, $E$13)</f>
        <v>3.9531000000000001</v>
      </c>
      <c r="K117" s="68">
        <f>3.9564 * CHOOSE(CONTROL!$C$22, $C$13, 100%, $E$13)</f>
        <v>3.9563999999999999</v>
      </c>
      <c r="L117" s="4"/>
      <c r="M117" s="4"/>
      <c r="N117" s="4"/>
    </row>
    <row r="118" spans="1:14" ht="15">
      <c r="A118" s="13">
        <v>44713</v>
      </c>
      <c r="B118" s="67">
        <f>3.312 * CHOOSE(CONTROL!$C$22, $C$13, 100%, $E$13)</f>
        <v>3.3119999999999998</v>
      </c>
      <c r="C118" s="67">
        <f>3.312 * CHOOSE(CONTROL!$C$22, $C$13, 100%, $E$13)</f>
        <v>3.3119999999999998</v>
      </c>
      <c r="D118" s="67">
        <f>3.3146 * CHOOSE(CONTROL!$C$22, $C$13, 100%, $E$13)</f>
        <v>3.3146</v>
      </c>
      <c r="E118" s="68">
        <f>3.9376 * CHOOSE(CONTROL!$C$22, $C$13, 100%, $E$13)</f>
        <v>3.9376000000000002</v>
      </c>
      <c r="F118" s="68">
        <f>3.9376 * CHOOSE(CONTROL!$C$22, $C$13, 100%, $E$13)</f>
        <v>3.9376000000000002</v>
      </c>
      <c r="G118" s="68">
        <f>3.9409 * CHOOSE(CONTROL!$C$22, $C$13, 100%, $E$13)</f>
        <v>3.9409000000000001</v>
      </c>
      <c r="H118" s="68">
        <f>6.4424* CHOOSE(CONTROL!$C$22, $C$13, 100%, $E$13)</f>
        <v>6.4424000000000001</v>
      </c>
      <c r="I118" s="68">
        <f>6.4457 * CHOOSE(CONTROL!$C$22, $C$13, 100%, $E$13)</f>
        <v>6.4457000000000004</v>
      </c>
      <c r="J118" s="68">
        <f>3.9376 * CHOOSE(CONTROL!$C$22, $C$13, 100%, $E$13)</f>
        <v>3.9376000000000002</v>
      </c>
      <c r="K118" s="68">
        <f>3.9409 * CHOOSE(CONTROL!$C$22, $C$13, 100%, $E$13)</f>
        <v>3.9409000000000001</v>
      </c>
      <c r="L118" s="4"/>
      <c r="M118" s="4"/>
      <c r="N118" s="4"/>
    </row>
    <row r="119" spans="1:14" ht="15">
      <c r="A119" s="13">
        <v>44743</v>
      </c>
      <c r="B119" s="67">
        <f>3.3675 * CHOOSE(CONTROL!$C$22, $C$13, 100%, $E$13)</f>
        <v>3.3675000000000002</v>
      </c>
      <c r="C119" s="67">
        <f>3.3675 * CHOOSE(CONTROL!$C$22, $C$13, 100%, $E$13)</f>
        <v>3.3675000000000002</v>
      </c>
      <c r="D119" s="67">
        <f>3.3701 * CHOOSE(CONTROL!$C$22, $C$13, 100%, $E$13)</f>
        <v>3.3700999999999999</v>
      </c>
      <c r="E119" s="68">
        <f>4.0252 * CHOOSE(CONTROL!$C$22, $C$13, 100%, $E$13)</f>
        <v>4.0251999999999999</v>
      </c>
      <c r="F119" s="68">
        <f>4.0252 * CHOOSE(CONTROL!$C$22, $C$13, 100%, $E$13)</f>
        <v>4.0251999999999999</v>
      </c>
      <c r="G119" s="68">
        <f>4.0285 * CHOOSE(CONTROL!$C$22, $C$13, 100%, $E$13)</f>
        <v>4.0285000000000002</v>
      </c>
      <c r="H119" s="68">
        <f>6.4558* CHOOSE(CONTROL!$C$22, $C$13, 100%, $E$13)</f>
        <v>6.4558</v>
      </c>
      <c r="I119" s="68">
        <f>6.4591 * CHOOSE(CONTROL!$C$22, $C$13, 100%, $E$13)</f>
        <v>6.4591000000000003</v>
      </c>
      <c r="J119" s="68">
        <f>4.0252 * CHOOSE(CONTROL!$C$22, $C$13, 100%, $E$13)</f>
        <v>4.0251999999999999</v>
      </c>
      <c r="K119" s="68">
        <f>4.0285 * CHOOSE(CONTROL!$C$22, $C$13, 100%, $E$13)</f>
        <v>4.0285000000000002</v>
      </c>
      <c r="L119" s="4"/>
      <c r="M119" s="4"/>
      <c r="N119" s="4"/>
    </row>
    <row r="120" spans="1:14" ht="15">
      <c r="A120" s="13">
        <v>44774</v>
      </c>
      <c r="B120" s="67">
        <f>3.3742 * CHOOSE(CONTROL!$C$22, $C$13, 100%, $E$13)</f>
        <v>3.3742000000000001</v>
      </c>
      <c r="C120" s="67">
        <f>3.3742 * CHOOSE(CONTROL!$C$22, $C$13, 100%, $E$13)</f>
        <v>3.3742000000000001</v>
      </c>
      <c r="D120" s="67">
        <f>3.3768 * CHOOSE(CONTROL!$C$22, $C$13, 100%, $E$13)</f>
        <v>3.3767999999999998</v>
      </c>
      <c r="E120" s="68">
        <f>3.9706 * CHOOSE(CONTROL!$C$22, $C$13, 100%, $E$13)</f>
        <v>3.9706000000000001</v>
      </c>
      <c r="F120" s="68">
        <f>3.9706 * CHOOSE(CONTROL!$C$22, $C$13, 100%, $E$13)</f>
        <v>3.9706000000000001</v>
      </c>
      <c r="G120" s="68">
        <f>3.9739 * CHOOSE(CONTROL!$C$22, $C$13, 100%, $E$13)</f>
        <v>3.9739</v>
      </c>
      <c r="H120" s="68">
        <f>6.4693* CHOOSE(CONTROL!$C$22, $C$13, 100%, $E$13)</f>
        <v>6.4692999999999996</v>
      </c>
      <c r="I120" s="68">
        <f>6.4726 * CHOOSE(CONTROL!$C$22, $C$13, 100%, $E$13)</f>
        <v>6.4725999999999999</v>
      </c>
      <c r="J120" s="68">
        <f>3.9706 * CHOOSE(CONTROL!$C$22, $C$13, 100%, $E$13)</f>
        <v>3.9706000000000001</v>
      </c>
      <c r="K120" s="68">
        <f>3.9739 * CHOOSE(CONTROL!$C$22, $C$13, 100%, $E$13)</f>
        <v>3.9739</v>
      </c>
      <c r="L120" s="4"/>
      <c r="M120" s="4"/>
      <c r="N120" s="4"/>
    </row>
    <row r="121" spans="1:14" ht="15">
      <c r="A121" s="13">
        <v>44805</v>
      </c>
      <c r="B121" s="67">
        <f>3.3711 * CHOOSE(CONTROL!$C$22, $C$13, 100%, $E$13)</f>
        <v>3.3711000000000002</v>
      </c>
      <c r="C121" s="67">
        <f>3.3711 * CHOOSE(CONTROL!$C$22, $C$13, 100%, $E$13)</f>
        <v>3.3711000000000002</v>
      </c>
      <c r="D121" s="67">
        <f>3.3737 * CHOOSE(CONTROL!$C$22, $C$13, 100%, $E$13)</f>
        <v>3.3736999999999999</v>
      </c>
      <c r="E121" s="68">
        <f>3.9619 * CHOOSE(CONTROL!$C$22, $C$13, 100%, $E$13)</f>
        <v>3.9619</v>
      </c>
      <c r="F121" s="68">
        <f>3.9619 * CHOOSE(CONTROL!$C$22, $C$13, 100%, $E$13)</f>
        <v>3.9619</v>
      </c>
      <c r="G121" s="68">
        <f>3.9652 * CHOOSE(CONTROL!$C$22, $C$13, 100%, $E$13)</f>
        <v>3.9651999999999998</v>
      </c>
      <c r="H121" s="68">
        <f>6.4828* CHOOSE(CONTROL!$C$22, $C$13, 100%, $E$13)</f>
        <v>6.4828000000000001</v>
      </c>
      <c r="I121" s="68">
        <f>6.486 * CHOOSE(CONTROL!$C$22, $C$13, 100%, $E$13)</f>
        <v>6.4859999999999998</v>
      </c>
      <c r="J121" s="68">
        <f>3.9619 * CHOOSE(CONTROL!$C$22, $C$13, 100%, $E$13)</f>
        <v>3.9619</v>
      </c>
      <c r="K121" s="68">
        <f>3.9652 * CHOOSE(CONTROL!$C$22, $C$13, 100%, $E$13)</f>
        <v>3.9651999999999998</v>
      </c>
      <c r="L121" s="4"/>
      <c r="M121" s="4"/>
      <c r="N121" s="4"/>
    </row>
    <row r="122" spans="1:14" ht="15">
      <c r="A122" s="13">
        <v>44835</v>
      </c>
      <c r="B122" s="67">
        <f>3.3637 * CHOOSE(CONTROL!$C$22, $C$13, 100%, $E$13)</f>
        <v>3.3637000000000001</v>
      </c>
      <c r="C122" s="67">
        <f>3.3637 * CHOOSE(CONTROL!$C$22, $C$13, 100%, $E$13)</f>
        <v>3.3637000000000001</v>
      </c>
      <c r="D122" s="67">
        <f>3.3647 * CHOOSE(CONTROL!$C$22, $C$13, 100%, $E$13)</f>
        <v>3.3647</v>
      </c>
      <c r="E122" s="68">
        <f>3.9748 * CHOOSE(CONTROL!$C$22, $C$13, 100%, $E$13)</f>
        <v>3.9748000000000001</v>
      </c>
      <c r="F122" s="68">
        <f>3.9748 * CHOOSE(CONTROL!$C$22, $C$13, 100%, $E$13)</f>
        <v>3.9748000000000001</v>
      </c>
      <c r="G122" s="68">
        <f>3.9761 * CHOOSE(CONTROL!$C$22, $C$13, 100%, $E$13)</f>
        <v>3.9761000000000002</v>
      </c>
      <c r="H122" s="68">
        <f>6.4963* CHOOSE(CONTROL!$C$22, $C$13, 100%, $E$13)</f>
        <v>6.4962999999999997</v>
      </c>
      <c r="I122" s="68">
        <f>6.4976 * CHOOSE(CONTROL!$C$22, $C$13, 100%, $E$13)</f>
        <v>6.4976000000000003</v>
      </c>
      <c r="J122" s="68">
        <f>3.9748 * CHOOSE(CONTROL!$C$22, $C$13, 100%, $E$13)</f>
        <v>3.9748000000000001</v>
      </c>
      <c r="K122" s="68">
        <f>3.9761 * CHOOSE(CONTROL!$C$22, $C$13, 100%, $E$13)</f>
        <v>3.9761000000000002</v>
      </c>
      <c r="L122" s="4"/>
      <c r="M122" s="4"/>
      <c r="N122" s="4"/>
    </row>
    <row r="123" spans="1:14" ht="15">
      <c r="A123" s="13">
        <v>44866</v>
      </c>
      <c r="B123" s="67">
        <f>3.3667 * CHOOSE(CONTROL!$C$22, $C$13, 100%, $E$13)</f>
        <v>3.3666999999999998</v>
      </c>
      <c r="C123" s="67">
        <f>3.3667 * CHOOSE(CONTROL!$C$22, $C$13, 100%, $E$13)</f>
        <v>3.3666999999999998</v>
      </c>
      <c r="D123" s="67">
        <f>3.3677 * CHOOSE(CONTROL!$C$22, $C$13, 100%, $E$13)</f>
        <v>3.3677000000000001</v>
      </c>
      <c r="E123" s="68">
        <f>3.9901 * CHOOSE(CONTROL!$C$22, $C$13, 100%, $E$13)</f>
        <v>3.9901</v>
      </c>
      <c r="F123" s="68">
        <f>3.9901 * CHOOSE(CONTROL!$C$22, $C$13, 100%, $E$13)</f>
        <v>3.9901</v>
      </c>
      <c r="G123" s="68">
        <f>3.9914 * CHOOSE(CONTROL!$C$22, $C$13, 100%, $E$13)</f>
        <v>3.9914000000000001</v>
      </c>
      <c r="H123" s="68">
        <f>6.5098* CHOOSE(CONTROL!$C$22, $C$13, 100%, $E$13)</f>
        <v>6.5098000000000003</v>
      </c>
      <c r="I123" s="68">
        <f>6.5111 * CHOOSE(CONTROL!$C$22, $C$13, 100%, $E$13)</f>
        <v>6.5110999999999999</v>
      </c>
      <c r="J123" s="68">
        <f>3.9901 * CHOOSE(CONTROL!$C$22, $C$13, 100%, $E$13)</f>
        <v>3.9901</v>
      </c>
      <c r="K123" s="68">
        <f>3.9914 * CHOOSE(CONTROL!$C$22, $C$13, 100%, $E$13)</f>
        <v>3.9914000000000001</v>
      </c>
      <c r="L123" s="4"/>
      <c r="M123" s="4"/>
      <c r="N123" s="4"/>
    </row>
    <row r="124" spans="1:14" ht="15">
      <c r="A124" s="13">
        <v>44896</v>
      </c>
      <c r="B124" s="67">
        <f>3.3667 * CHOOSE(CONTROL!$C$22, $C$13, 100%, $E$13)</f>
        <v>3.3666999999999998</v>
      </c>
      <c r="C124" s="67">
        <f>3.3667 * CHOOSE(CONTROL!$C$22, $C$13, 100%, $E$13)</f>
        <v>3.3666999999999998</v>
      </c>
      <c r="D124" s="67">
        <f>3.3677 * CHOOSE(CONTROL!$C$22, $C$13, 100%, $E$13)</f>
        <v>3.3677000000000001</v>
      </c>
      <c r="E124" s="68">
        <f>3.9572 * CHOOSE(CONTROL!$C$22, $C$13, 100%, $E$13)</f>
        <v>3.9571999999999998</v>
      </c>
      <c r="F124" s="68">
        <f>3.9572 * CHOOSE(CONTROL!$C$22, $C$13, 100%, $E$13)</f>
        <v>3.9571999999999998</v>
      </c>
      <c r="G124" s="68">
        <f>3.9585 * CHOOSE(CONTROL!$C$22, $C$13, 100%, $E$13)</f>
        <v>3.9584999999999999</v>
      </c>
      <c r="H124" s="68">
        <f>6.5234* CHOOSE(CONTROL!$C$22, $C$13, 100%, $E$13)</f>
        <v>6.5233999999999996</v>
      </c>
      <c r="I124" s="68">
        <f>6.5247 * CHOOSE(CONTROL!$C$22, $C$13, 100%, $E$13)</f>
        <v>6.5247000000000002</v>
      </c>
      <c r="J124" s="68">
        <f>3.9572 * CHOOSE(CONTROL!$C$22, $C$13, 100%, $E$13)</f>
        <v>3.9571999999999998</v>
      </c>
      <c r="K124" s="68">
        <f>3.9585 * CHOOSE(CONTROL!$C$22, $C$13, 100%, $E$13)</f>
        <v>3.9584999999999999</v>
      </c>
      <c r="L124" s="4"/>
      <c r="M124" s="4"/>
      <c r="N124" s="4"/>
    </row>
    <row r="125" spans="1:14" ht="15">
      <c r="A125" s="13">
        <v>44927</v>
      </c>
      <c r="B125" s="67">
        <f>3.3924 * CHOOSE(CONTROL!$C$22, $C$13, 100%, $E$13)</f>
        <v>3.3923999999999999</v>
      </c>
      <c r="C125" s="67">
        <f>3.3924 * CHOOSE(CONTROL!$C$22, $C$13, 100%, $E$13)</f>
        <v>3.3923999999999999</v>
      </c>
      <c r="D125" s="67">
        <f>3.3934 * CHOOSE(CONTROL!$C$22, $C$13, 100%, $E$13)</f>
        <v>3.3934000000000002</v>
      </c>
      <c r="E125" s="68">
        <f>4.0337 * CHOOSE(CONTROL!$C$22, $C$13, 100%, $E$13)</f>
        <v>4.0336999999999996</v>
      </c>
      <c r="F125" s="68">
        <f>4.0337 * CHOOSE(CONTROL!$C$22, $C$13, 100%, $E$13)</f>
        <v>4.0336999999999996</v>
      </c>
      <c r="G125" s="68">
        <f>4.035 * CHOOSE(CONTROL!$C$22, $C$13, 100%, $E$13)</f>
        <v>4.0350000000000001</v>
      </c>
      <c r="H125" s="68">
        <f>6.537* CHOOSE(CONTROL!$C$22, $C$13, 100%, $E$13)</f>
        <v>6.5369999999999999</v>
      </c>
      <c r="I125" s="68">
        <f>6.5383 * CHOOSE(CONTROL!$C$22, $C$13, 100%, $E$13)</f>
        <v>6.5382999999999996</v>
      </c>
      <c r="J125" s="68">
        <f>4.0337 * CHOOSE(CONTROL!$C$22, $C$13, 100%, $E$13)</f>
        <v>4.0336999999999996</v>
      </c>
      <c r="K125" s="68">
        <f>4.035 * CHOOSE(CONTROL!$C$22, $C$13, 100%, $E$13)</f>
        <v>4.0350000000000001</v>
      </c>
      <c r="L125" s="4"/>
      <c r="M125" s="4"/>
      <c r="N125" s="4"/>
    </row>
    <row r="126" spans="1:14" ht="15">
      <c r="A126" s="13">
        <v>44958</v>
      </c>
      <c r="B126" s="67">
        <f>3.3894 * CHOOSE(CONTROL!$C$22, $C$13, 100%, $E$13)</f>
        <v>3.3894000000000002</v>
      </c>
      <c r="C126" s="67">
        <f>3.3894 * CHOOSE(CONTROL!$C$22, $C$13, 100%, $E$13)</f>
        <v>3.3894000000000002</v>
      </c>
      <c r="D126" s="67">
        <f>3.3903 * CHOOSE(CONTROL!$C$22, $C$13, 100%, $E$13)</f>
        <v>3.3902999999999999</v>
      </c>
      <c r="E126" s="68">
        <f>3.9661 * CHOOSE(CONTROL!$C$22, $C$13, 100%, $E$13)</f>
        <v>3.9661</v>
      </c>
      <c r="F126" s="68">
        <f>3.9661 * CHOOSE(CONTROL!$C$22, $C$13, 100%, $E$13)</f>
        <v>3.9661</v>
      </c>
      <c r="G126" s="68">
        <f>3.9674 * CHOOSE(CONTROL!$C$22, $C$13, 100%, $E$13)</f>
        <v>3.9674</v>
      </c>
      <c r="H126" s="68">
        <f>6.5506* CHOOSE(CONTROL!$C$22, $C$13, 100%, $E$13)</f>
        <v>6.5506000000000002</v>
      </c>
      <c r="I126" s="68">
        <f>6.5519 * CHOOSE(CONTROL!$C$22, $C$13, 100%, $E$13)</f>
        <v>6.5518999999999998</v>
      </c>
      <c r="J126" s="68">
        <f>3.9661 * CHOOSE(CONTROL!$C$22, $C$13, 100%, $E$13)</f>
        <v>3.9661</v>
      </c>
      <c r="K126" s="68">
        <f>3.9674 * CHOOSE(CONTROL!$C$22, $C$13, 100%, $E$13)</f>
        <v>3.9674</v>
      </c>
      <c r="L126" s="4"/>
      <c r="M126" s="4"/>
      <c r="N126" s="4"/>
    </row>
    <row r="127" spans="1:14" ht="15">
      <c r="A127" s="13">
        <v>44986</v>
      </c>
      <c r="B127" s="67">
        <f>3.3863 * CHOOSE(CONTROL!$C$22, $C$13, 100%, $E$13)</f>
        <v>3.3862999999999999</v>
      </c>
      <c r="C127" s="67">
        <f>3.3863 * CHOOSE(CONTROL!$C$22, $C$13, 100%, $E$13)</f>
        <v>3.3862999999999999</v>
      </c>
      <c r="D127" s="67">
        <f>3.3873 * CHOOSE(CONTROL!$C$22, $C$13, 100%, $E$13)</f>
        <v>3.3873000000000002</v>
      </c>
      <c r="E127" s="68">
        <f>4.0156 * CHOOSE(CONTROL!$C$22, $C$13, 100%, $E$13)</f>
        <v>4.0156000000000001</v>
      </c>
      <c r="F127" s="68">
        <f>4.0156 * CHOOSE(CONTROL!$C$22, $C$13, 100%, $E$13)</f>
        <v>4.0156000000000001</v>
      </c>
      <c r="G127" s="68">
        <f>4.0169 * CHOOSE(CONTROL!$C$22, $C$13, 100%, $E$13)</f>
        <v>4.0168999999999997</v>
      </c>
      <c r="H127" s="68">
        <f>6.5642* CHOOSE(CONTROL!$C$22, $C$13, 100%, $E$13)</f>
        <v>6.5641999999999996</v>
      </c>
      <c r="I127" s="68">
        <f>6.5655 * CHOOSE(CONTROL!$C$22, $C$13, 100%, $E$13)</f>
        <v>6.5655000000000001</v>
      </c>
      <c r="J127" s="68">
        <f>4.0156 * CHOOSE(CONTROL!$C$22, $C$13, 100%, $E$13)</f>
        <v>4.0156000000000001</v>
      </c>
      <c r="K127" s="68">
        <f>4.0169 * CHOOSE(CONTROL!$C$22, $C$13, 100%, $E$13)</f>
        <v>4.0168999999999997</v>
      </c>
      <c r="L127" s="4"/>
      <c r="M127" s="4"/>
      <c r="N127" s="4"/>
    </row>
    <row r="128" spans="1:14" ht="15">
      <c r="A128" s="13">
        <v>45017</v>
      </c>
      <c r="B128" s="67">
        <f>3.3833 * CHOOSE(CONTROL!$C$22, $C$13, 100%, $E$13)</f>
        <v>3.3833000000000002</v>
      </c>
      <c r="C128" s="67">
        <f>3.3833 * CHOOSE(CONTROL!$C$22, $C$13, 100%, $E$13)</f>
        <v>3.3833000000000002</v>
      </c>
      <c r="D128" s="67">
        <f>3.3843 * CHOOSE(CONTROL!$C$22, $C$13, 100%, $E$13)</f>
        <v>3.3843000000000001</v>
      </c>
      <c r="E128" s="68">
        <f>4.0669 * CHOOSE(CONTROL!$C$22, $C$13, 100%, $E$13)</f>
        <v>4.0669000000000004</v>
      </c>
      <c r="F128" s="68">
        <f>4.0669 * CHOOSE(CONTROL!$C$22, $C$13, 100%, $E$13)</f>
        <v>4.0669000000000004</v>
      </c>
      <c r="G128" s="68">
        <f>4.0682 * CHOOSE(CONTROL!$C$22, $C$13, 100%, $E$13)</f>
        <v>4.0682</v>
      </c>
      <c r="H128" s="68">
        <f>6.5779* CHOOSE(CONTROL!$C$22, $C$13, 100%, $E$13)</f>
        <v>6.5778999999999996</v>
      </c>
      <c r="I128" s="68">
        <f>6.5792 * CHOOSE(CONTROL!$C$22, $C$13, 100%, $E$13)</f>
        <v>6.5792000000000002</v>
      </c>
      <c r="J128" s="68">
        <f>4.0669 * CHOOSE(CONTROL!$C$22, $C$13, 100%, $E$13)</f>
        <v>4.0669000000000004</v>
      </c>
      <c r="K128" s="68">
        <f>4.0682 * CHOOSE(CONTROL!$C$22, $C$13, 100%, $E$13)</f>
        <v>4.0682</v>
      </c>
      <c r="L128" s="4"/>
      <c r="M128" s="4"/>
      <c r="N128" s="4"/>
    </row>
    <row r="129" spans="1:14" ht="15">
      <c r="A129" s="13">
        <v>45047</v>
      </c>
      <c r="B129" s="67">
        <f>3.3833 * CHOOSE(CONTROL!$C$22, $C$13, 100%, $E$13)</f>
        <v>3.3833000000000002</v>
      </c>
      <c r="C129" s="67">
        <f>3.3833 * CHOOSE(CONTROL!$C$22, $C$13, 100%, $E$13)</f>
        <v>3.3833000000000002</v>
      </c>
      <c r="D129" s="67">
        <f>3.3859 * CHOOSE(CONTROL!$C$22, $C$13, 100%, $E$13)</f>
        <v>3.3858999999999999</v>
      </c>
      <c r="E129" s="68">
        <f>4.0877 * CHOOSE(CONTROL!$C$22, $C$13, 100%, $E$13)</f>
        <v>4.0876999999999999</v>
      </c>
      <c r="F129" s="68">
        <f>4.0877 * CHOOSE(CONTROL!$C$22, $C$13, 100%, $E$13)</f>
        <v>4.0876999999999999</v>
      </c>
      <c r="G129" s="68">
        <f>4.0909 * CHOOSE(CONTROL!$C$22, $C$13, 100%, $E$13)</f>
        <v>4.0909000000000004</v>
      </c>
      <c r="H129" s="68">
        <f>6.5916* CHOOSE(CONTROL!$C$22, $C$13, 100%, $E$13)</f>
        <v>6.5915999999999997</v>
      </c>
      <c r="I129" s="68">
        <f>6.5949 * CHOOSE(CONTROL!$C$22, $C$13, 100%, $E$13)</f>
        <v>6.5949</v>
      </c>
      <c r="J129" s="68">
        <f>4.0877 * CHOOSE(CONTROL!$C$22, $C$13, 100%, $E$13)</f>
        <v>4.0876999999999999</v>
      </c>
      <c r="K129" s="68">
        <f>4.0909 * CHOOSE(CONTROL!$C$22, $C$13, 100%, $E$13)</f>
        <v>4.0909000000000004</v>
      </c>
      <c r="L129" s="4"/>
      <c r="M129" s="4"/>
      <c r="N129" s="4"/>
    </row>
    <row r="130" spans="1:14" ht="15">
      <c r="A130" s="13">
        <v>45078</v>
      </c>
      <c r="B130" s="67">
        <f>3.3894 * CHOOSE(CONTROL!$C$22, $C$13, 100%, $E$13)</f>
        <v>3.3894000000000002</v>
      </c>
      <c r="C130" s="67">
        <f>3.3894 * CHOOSE(CONTROL!$C$22, $C$13, 100%, $E$13)</f>
        <v>3.3894000000000002</v>
      </c>
      <c r="D130" s="67">
        <f>3.392 * CHOOSE(CONTROL!$C$22, $C$13, 100%, $E$13)</f>
        <v>3.3919999999999999</v>
      </c>
      <c r="E130" s="68">
        <f>4.0711 * CHOOSE(CONTROL!$C$22, $C$13, 100%, $E$13)</f>
        <v>4.0711000000000004</v>
      </c>
      <c r="F130" s="68">
        <f>4.0711 * CHOOSE(CONTROL!$C$22, $C$13, 100%, $E$13)</f>
        <v>4.0711000000000004</v>
      </c>
      <c r="G130" s="68">
        <f>4.0744 * CHOOSE(CONTROL!$C$22, $C$13, 100%, $E$13)</f>
        <v>4.0743999999999998</v>
      </c>
      <c r="H130" s="68">
        <f>6.6053* CHOOSE(CONTROL!$C$22, $C$13, 100%, $E$13)</f>
        <v>6.6052999999999997</v>
      </c>
      <c r="I130" s="68">
        <f>6.6086 * CHOOSE(CONTROL!$C$22, $C$13, 100%, $E$13)</f>
        <v>6.6086</v>
      </c>
      <c r="J130" s="68">
        <f>4.0711 * CHOOSE(CONTROL!$C$22, $C$13, 100%, $E$13)</f>
        <v>4.0711000000000004</v>
      </c>
      <c r="K130" s="68">
        <f>4.0744 * CHOOSE(CONTROL!$C$22, $C$13, 100%, $E$13)</f>
        <v>4.0743999999999998</v>
      </c>
      <c r="L130" s="4"/>
      <c r="M130" s="4"/>
      <c r="N130" s="4"/>
    </row>
    <row r="131" spans="1:14" ht="15">
      <c r="A131" s="13">
        <v>45108</v>
      </c>
      <c r="B131" s="67">
        <f>3.4356 * CHOOSE(CONTROL!$C$22, $C$13, 100%, $E$13)</f>
        <v>3.4356</v>
      </c>
      <c r="C131" s="67">
        <f>3.4356 * CHOOSE(CONTROL!$C$22, $C$13, 100%, $E$13)</f>
        <v>3.4356</v>
      </c>
      <c r="D131" s="67">
        <f>3.4383 * CHOOSE(CONTROL!$C$22, $C$13, 100%, $E$13)</f>
        <v>3.4382999999999999</v>
      </c>
      <c r="E131" s="68">
        <f>4.1492 * CHOOSE(CONTROL!$C$22, $C$13, 100%, $E$13)</f>
        <v>4.1492000000000004</v>
      </c>
      <c r="F131" s="68">
        <f>4.1492 * CHOOSE(CONTROL!$C$22, $C$13, 100%, $E$13)</f>
        <v>4.1492000000000004</v>
      </c>
      <c r="G131" s="68">
        <f>4.1525 * CHOOSE(CONTROL!$C$22, $C$13, 100%, $E$13)</f>
        <v>4.1524999999999999</v>
      </c>
      <c r="H131" s="68">
        <f>6.6191* CHOOSE(CONTROL!$C$22, $C$13, 100%, $E$13)</f>
        <v>6.6191000000000004</v>
      </c>
      <c r="I131" s="68">
        <f>6.6224 * CHOOSE(CONTROL!$C$22, $C$13, 100%, $E$13)</f>
        <v>6.6223999999999998</v>
      </c>
      <c r="J131" s="68">
        <f>4.1492 * CHOOSE(CONTROL!$C$22, $C$13, 100%, $E$13)</f>
        <v>4.1492000000000004</v>
      </c>
      <c r="K131" s="68">
        <f>4.1525 * CHOOSE(CONTROL!$C$22, $C$13, 100%, $E$13)</f>
        <v>4.1524999999999999</v>
      </c>
      <c r="L131" s="4"/>
      <c r="M131" s="4"/>
      <c r="N131" s="4"/>
    </row>
    <row r="132" spans="1:14" ht="15">
      <c r="A132" s="13">
        <v>45139</v>
      </c>
      <c r="B132" s="67">
        <f>3.4423 * CHOOSE(CONTROL!$C$22, $C$13, 100%, $E$13)</f>
        <v>3.4422999999999999</v>
      </c>
      <c r="C132" s="67">
        <f>3.4423 * CHOOSE(CONTROL!$C$22, $C$13, 100%, $E$13)</f>
        <v>3.4422999999999999</v>
      </c>
      <c r="D132" s="67">
        <f>3.445 * CHOOSE(CONTROL!$C$22, $C$13, 100%, $E$13)</f>
        <v>3.4449999999999998</v>
      </c>
      <c r="E132" s="68">
        <f>4.0915 * CHOOSE(CONTROL!$C$22, $C$13, 100%, $E$13)</f>
        <v>4.0914999999999999</v>
      </c>
      <c r="F132" s="68">
        <f>4.0915 * CHOOSE(CONTROL!$C$22, $C$13, 100%, $E$13)</f>
        <v>4.0914999999999999</v>
      </c>
      <c r="G132" s="68">
        <f>4.0947 * CHOOSE(CONTROL!$C$22, $C$13, 100%, $E$13)</f>
        <v>4.0946999999999996</v>
      </c>
      <c r="H132" s="68">
        <f>6.6329* CHOOSE(CONTROL!$C$22, $C$13, 100%, $E$13)</f>
        <v>6.6329000000000002</v>
      </c>
      <c r="I132" s="68">
        <f>6.6361 * CHOOSE(CONTROL!$C$22, $C$13, 100%, $E$13)</f>
        <v>6.6360999999999999</v>
      </c>
      <c r="J132" s="68">
        <f>4.0915 * CHOOSE(CONTROL!$C$22, $C$13, 100%, $E$13)</f>
        <v>4.0914999999999999</v>
      </c>
      <c r="K132" s="68">
        <f>4.0947 * CHOOSE(CONTROL!$C$22, $C$13, 100%, $E$13)</f>
        <v>4.0946999999999996</v>
      </c>
      <c r="L132" s="4"/>
      <c r="M132" s="4"/>
      <c r="N132" s="4"/>
    </row>
    <row r="133" spans="1:14" ht="15">
      <c r="A133" s="13">
        <v>45170</v>
      </c>
      <c r="B133" s="67">
        <f>3.4393 * CHOOSE(CONTROL!$C$22, $C$13, 100%, $E$13)</f>
        <v>3.4392999999999998</v>
      </c>
      <c r="C133" s="67">
        <f>3.4393 * CHOOSE(CONTROL!$C$22, $C$13, 100%, $E$13)</f>
        <v>3.4392999999999998</v>
      </c>
      <c r="D133" s="67">
        <f>3.4419 * CHOOSE(CONTROL!$C$22, $C$13, 100%, $E$13)</f>
        <v>3.4419</v>
      </c>
      <c r="E133" s="68">
        <f>4.0824 * CHOOSE(CONTROL!$C$22, $C$13, 100%, $E$13)</f>
        <v>4.0823999999999998</v>
      </c>
      <c r="F133" s="68">
        <f>4.0824 * CHOOSE(CONTROL!$C$22, $C$13, 100%, $E$13)</f>
        <v>4.0823999999999998</v>
      </c>
      <c r="G133" s="68">
        <f>4.0857 * CHOOSE(CONTROL!$C$22, $C$13, 100%, $E$13)</f>
        <v>4.0857000000000001</v>
      </c>
      <c r="H133" s="68">
        <f>6.6467* CHOOSE(CONTROL!$C$22, $C$13, 100%, $E$13)</f>
        <v>6.6467000000000001</v>
      </c>
      <c r="I133" s="68">
        <f>6.65 * CHOOSE(CONTROL!$C$22, $C$13, 100%, $E$13)</f>
        <v>6.65</v>
      </c>
      <c r="J133" s="68">
        <f>4.0824 * CHOOSE(CONTROL!$C$22, $C$13, 100%, $E$13)</f>
        <v>4.0823999999999998</v>
      </c>
      <c r="K133" s="68">
        <f>4.0857 * CHOOSE(CONTROL!$C$22, $C$13, 100%, $E$13)</f>
        <v>4.0857000000000001</v>
      </c>
      <c r="L133" s="4"/>
      <c r="M133" s="4"/>
      <c r="N133" s="4"/>
    </row>
    <row r="134" spans="1:14" ht="15">
      <c r="A134" s="13">
        <v>45200</v>
      </c>
      <c r="B134" s="67">
        <f>3.4321 * CHOOSE(CONTROL!$C$22, $C$13, 100%, $E$13)</f>
        <v>3.4321000000000002</v>
      </c>
      <c r="C134" s="67">
        <f>3.4321 * CHOOSE(CONTROL!$C$22, $C$13, 100%, $E$13)</f>
        <v>3.4321000000000002</v>
      </c>
      <c r="D134" s="67">
        <f>3.4331 * CHOOSE(CONTROL!$C$22, $C$13, 100%, $E$13)</f>
        <v>3.4331</v>
      </c>
      <c r="E134" s="68">
        <f>4.0968 * CHOOSE(CONTROL!$C$22, $C$13, 100%, $E$13)</f>
        <v>4.0968</v>
      </c>
      <c r="F134" s="68">
        <f>4.0968 * CHOOSE(CONTROL!$C$22, $C$13, 100%, $E$13)</f>
        <v>4.0968</v>
      </c>
      <c r="G134" s="68">
        <f>4.098 * CHOOSE(CONTROL!$C$22, $C$13, 100%, $E$13)</f>
        <v>4.0979999999999999</v>
      </c>
      <c r="H134" s="68">
        <f>6.6606* CHOOSE(CONTROL!$C$22, $C$13, 100%, $E$13)</f>
        <v>6.6605999999999996</v>
      </c>
      <c r="I134" s="68">
        <f>6.6618 * CHOOSE(CONTROL!$C$22, $C$13, 100%, $E$13)</f>
        <v>6.6618000000000004</v>
      </c>
      <c r="J134" s="68">
        <f>4.0968 * CHOOSE(CONTROL!$C$22, $C$13, 100%, $E$13)</f>
        <v>4.0968</v>
      </c>
      <c r="K134" s="68">
        <f>4.098 * CHOOSE(CONTROL!$C$22, $C$13, 100%, $E$13)</f>
        <v>4.0979999999999999</v>
      </c>
      <c r="L134" s="4"/>
      <c r="M134" s="4"/>
      <c r="N134" s="4"/>
    </row>
    <row r="135" spans="1:14" ht="15">
      <c r="A135" s="13">
        <v>45231</v>
      </c>
      <c r="B135" s="67">
        <f>3.4352 * CHOOSE(CONTROL!$C$22, $C$13, 100%, $E$13)</f>
        <v>3.4352</v>
      </c>
      <c r="C135" s="67">
        <f>3.4352 * CHOOSE(CONTROL!$C$22, $C$13, 100%, $E$13)</f>
        <v>3.4352</v>
      </c>
      <c r="D135" s="67">
        <f>3.4362 * CHOOSE(CONTROL!$C$22, $C$13, 100%, $E$13)</f>
        <v>3.4361999999999999</v>
      </c>
      <c r="E135" s="68">
        <f>4.1127 * CHOOSE(CONTROL!$C$22, $C$13, 100%, $E$13)</f>
        <v>4.1127000000000002</v>
      </c>
      <c r="F135" s="68">
        <f>4.1127 * CHOOSE(CONTROL!$C$22, $C$13, 100%, $E$13)</f>
        <v>4.1127000000000002</v>
      </c>
      <c r="G135" s="68">
        <f>4.114 * CHOOSE(CONTROL!$C$22, $C$13, 100%, $E$13)</f>
        <v>4.1139999999999999</v>
      </c>
      <c r="H135" s="68">
        <f>6.6744* CHOOSE(CONTROL!$C$22, $C$13, 100%, $E$13)</f>
        <v>6.6744000000000003</v>
      </c>
      <c r="I135" s="68">
        <f>6.6757 * CHOOSE(CONTROL!$C$22, $C$13, 100%, $E$13)</f>
        <v>6.6757</v>
      </c>
      <c r="J135" s="68">
        <f>4.1127 * CHOOSE(CONTROL!$C$22, $C$13, 100%, $E$13)</f>
        <v>4.1127000000000002</v>
      </c>
      <c r="K135" s="68">
        <f>4.114 * CHOOSE(CONTROL!$C$22, $C$13, 100%, $E$13)</f>
        <v>4.1139999999999999</v>
      </c>
      <c r="L135" s="4"/>
      <c r="M135" s="4"/>
      <c r="N135" s="4"/>
    </row>
    <row r="136" spans="1:14" ht="15">
      <c r="A136" s="13">
        <v>45261</v>
      </c>
      <c r="B136" s="67">
        <f>3.4352 * CHOOSE(CONTROL!$C$22, $C$13, 100%, $E$13)</f>
        <v>3.4352</v>
      </c>
      <c r="C136" s="67">
        <f>3.4352 * CHOOSE(CONTROL!$C$22, $C$13, 100%, $E$13)</f>
        <v>3.4352</v>
      </c>
      <c r="D136" s="67">
        <f>3.4362 * CHOOSE(CONTROL!$C$22, $C$13, 100%, $E$13)</f>
        <v>3.4361999999999999</v>
      </c>
      <c r="E136" s="68">
        <f>4.0781 * CHOOSE(CONTROL!$C$22, $C$13, 100%, $E$13)</f>
        <v>4.0781000000000001</v>
      </c>
      <c r="F136" s="68">
        <f>4.0781 * CHOOSE(CONTROL!$C$22, $C$13, 100%, $E$13)</f>
        <v>4.0781000000000001</v>
      </c>
      <c r="G136" s="68">
        <f>4.0794 * CHOOSE(CONTROL!$C$22, $C$13, 100%, $E$13)</f>
        <v>4.0793999999999997</v>
      </c>
      <c r="H136" s="68">
        <f>6.6883* CHOOSE(CONTROL!$C$22, $C$13, 100%, $E$13)</f>
        <v>6.6882999999999999</v>
      </c>
      <c r="I136" s="68">
        <f>6.6896 * CHOOSE(CONTROL!$C$22, $C$13, 100%, $E$13)</f>
        <v>6.6896000000000004</v>
      </c>
      <c r="J136" s="68">
        <f>4.0781 * CHOOSE(CONTROL!$C$22, $C$13, 100%, $E$13)</f>
        <v>4.0781000000000001</v>
      </c>
      <c r="K136" s="68">
        <f>4.0794 * CHOOSE(CONTROL!$C$22, $C$13, 100%, $E$13)</f>
        <v>4.0793999999999997</v>
      </c>
      <c r="L136" s="4"/>
      <c r="M136" s="4"/>
      <c r="N136" s="4"/>
    </row>
    <row r="137" spans="1:14" ht="15">
      <c r="A137" s="13">
        <v>45292</v>
      </c>
      <c r="B137" s="67">
        <f>3.4652 * CHOOSE(CONTROL!$C$22, $C$13, 100%, $E$13)</f>
        <v>3.4651999999999998</v>
      </c>
      <c r="C137" s="67">
        <f>3.4652 * CHOOSE(CONTROL!$C$22, $C$13, 100%, $E$13)</f>
        <v>3.4651999999999998</v>
      </c>
      <c r="D137" s="67">
        <f>3.4662 * CHOOSE(CONTROL!$C$22, $C$13, 100%, $E$13)</f>
        <v>3.4662000000000002</v>
      </c>
      <c r="E137" s="68">
        <f>4.1228 * CHOOSE(CONTROL!$C$22, $C$13, 100%, $E$13)</f>
        <v>4.1227999999999998</v>
      </c>
      <c r="F137" s="68">
        <f>4.1228 * CHOOSE(CONTROL!$C$22, $C$13, 100%, $E$13)</f>
        <v>4.1227999999999998</v>
      </c>
      <c r="G137" s="68">
        <f>4.1241 * CHOOSE(CONTROL!$C$22, $C$13, 100%, $E$13)</f>
        <v>4.1241000000000003</v>
      </c>
      <c r="H137" s="68">
        <f>6.7023* CHOOSE(CONTROL!$C$22, $C$13, 100%, $E$13)</f>
        <v>6.7023000000000001</v>
      </c>
      <c r="I137" s="68">
        <f>6.7036 * CHOOSE(CONTROL!$C$22, $C$13, 100%, $E$13)</f>
        <v>6.7035999999999998</v>
      </c>
      <c r="J137" s="68">
        <f>4.1228 * CHOOSE(CONTROL!$C$22, $C$13, 100%, $E$13)</f>
        <v>4.1227999999999998</v>
      </c>
      <c r="K137" s="68">
        <f>4.1241 * CHOOSE(CONTROL!$C$22, $C$13, 100%, $E$13)</f>
        <v>4.1241000000000003</v>
      </c>
      <c r="L137" s="4"/>
      <c r="M137" s="4"/>
      <c r="N137" s="4"/>
    </row>
    <row r="138" spans="1:14" ht="15">
      <c r="A138" s="13">
        <v>45323</v>
      </c>
      <c r="B138" s="67">
        <f>3.4621 * CHOOSE(CONTROL!$C$22, $C$13, 100%, $E$13)</f>
        <v>3.4621</v>
      </c>
      <c r="C138" s="67">
        <f>3.4621 * CHOOSE(CONTROL!$C$22, $C$13, 100%, $E$13)</f>
        <v>3.4621</v>
      </c>
      <c r="D138" s="67">
        <f>3.4631 * CHOOSE(CONTROL!$C$22, $C$13, 100%, $E$13)</f>
        <v>3.4630999999999998</v>
      </c>
      <c r="E138" s="68">
        <f>4.0546 * CHOOSE(CONTROL!$C$22, $C$13, 100%, $E$13)</f>
        <v>4.0545999999999998</v>
      </c>
      <c r="F138" s="68">
        <f>4.0546 * CHOOSE(CONTROL!$C$22, $C$13, 100%, $E$13)</f>
        <v>4.0545999999999998</v>
      </c>
      <c r="G138" s="68">
        <f>4.0559 * CHOOSE(CONTROL!$C$22, $C$13, 100%, $E$13)</f>
        <v>4.0559000000000003</v>
      </c>
      <c r="H138" s="68">
        <f>6.7162* CHOOSE(CONTROL!$C$22, $C$13, 100%, $E$13)</f>
        <v>6.7161999999999997</v>
      </c>
      <c r="I138" s="68">
        <f>6.7175 * CHOOSE(CONTROL!$C$22, $C$13, 100%, $E$13)</f>
        <v>6.7175000000000002</v>
      </c>
      <c r="J138" s="68">
        <f>4.0546 * CHOOSE(CONTROL!$C$22, $C$13, 100%, $E$13)</f>
        <v>4.0545999999999998</v>
      </c>
      <c r="K138" s="68">
        <f>4.0559 * CHOOSE(CONTROL!$C$22, $C$13, 100%, $E$13)</f>
        <v>4.0559000000000003</v>
      </c>
      <c r="L138" s="4"/>
      <c r="M138" s="4"/>
      <c r="N138" s="4"/>
    </row>
    <row r="139" spans="1:14" ht="15">
      <c r="A139" s="13">
        <v>45352</v>
      </c>
      <c r="B139" s="67">
        <f>3.4591 * CHOOSE(CONTROL!$C$22, $C$13, 100%, $E$13)</f>
        <v>3.4590999999999998</v>
      </c>
      <c r="C139" s="67">
        <f>3.4591 * CHOOSE(CONTROL!$C$22, $C$13, 100%, $E$13)</f>
        <v>3.4590999999999998</v>
      </c>
      <c r="D139" s="67">
        <f>3.4601 * CHOOSE(CONTROL!$C$22, $C$13, 100%, $E$13)</f>
        <v>3.4601000000000002</v>
      </c>
      <c r="E139" s="68">
        <f>4.1046 * CHOOSE(CONTROL!$C$22, $C$13, 100%, $E$13)</f>
        <v>4.1045999999999996</v>
      </c>
      <c r="F139" s="68">
        <f>4.1046 * CHOOSE(CONTROL!$C$22, $C$13, 100%, $E$13)</f>
        <v>4.1045999999999996</v>
      </c>
      <c r="G139" s="68">
        <f>4.1058 * CHOOSE(CONTROL!$C$22, $C$13, 100%, $E$13)</f>
        <v>4.1058000000000003</v>
      </c>
      <c r="H139" s="68">
        <f>6.7302* CHOOSE(CONTROL!$C$22, $C$13, 100%, $E$13)</f>
        <v>6.7302</v>
      </c>
      <c r="I139" s="68">
        <f>6.7315 * CHOOSE(CONTROL!$C$22, $C$13, 100%, $E$13)</f>
        <v>6.7314999999999996</v>
      </c>
      <c r="J139" s="68">
        <f>4.1046 * CHOOSE(CONTROL!$C$22, $C$13, 100%, $E$13)</f>
        <v>4.1045999999999996</v>
      </c>
      <c r="K139" s="68">
        <f>4.1058 * CHOOSE(CONTROL!$C$22, $C$13, 100%, $E$13)</f>
        <v>4.1058000000000003</v>
      </c>
      <c r="L139" s="4"/>
      <c r="M139" s="4"/>
      <c r="N139" s="4"/>
    </row>
    <row r="140" spans="1:14" ht="15">
      <c r="A140" s="13">
        <v>45383</v>
      </c>
      <c r="B140" s="67">
        <f>3.4562 * CHOOSE(CONTROL!$C$22, $C$13, 100%, $E$13)</f>
        <v>3.4561999999999999</v>
      </c>
      <c r="C140" s="67">
        <f>3.4562 * CHOOSE(CONTROL!$C$22, $C$13, 100%, $E$13)</f>
        <v>3.4561999999999999</v>
      </c>
      <c r="D140" s="67">
        <f>3.4572 * CHOOSE(CONTROL!$C$22, $C$13, 100%, $E$13)</f>
        <v>3.4571999999999998</v>
      </c>
      <c r="E140" s="68">
        <f>4.1563 * CHOOSE(CONTROL!$C$22, $C$13, 100%, $E$13)</f>
        <v>4.1562999999999999</v>
      </c>
      <c r="F140" s="68">
        <f>4.1563 * CHOOSE(CONTROL!$C$22, $C$13, 100%, $E$13)</f>
        <v>4.1562999999999999</v>
      </c>
      <c r="G140" s="68">
        <f>4.1575 * CHOOSE(CONTROL!$C$22, $C$13, 100%, $E$13)</f>
        <v>4.1574999999999998</v>
      </c>
      <c r="H140" s="68">
        <f>6.7443* CHOOSE(CONTROL!$C$22, $C$13, 100%, $E$13)</f>
        <v>6.7443</v>
      </c>
      <c r="I140" s="68">
        <f>6.7455 * CHOOSE(CONTROL!$C$22, $C$13, 100%, $E$13)</f>
        <v>6.7454999999999998</v>
      </c>
      <c r="J140" s="68">
        <f>4.1563 * CHOOSE(CONTROL!$C$22, $C$13, 100%, $E$13)</f>
        <v>4.1562999999999999</v>
      </c>
      <c r="K140" s="68">
        <f>4.1575 * CHOOSE(CONTROL!$C$22, $C$13, 100%, $E$13)</f>
        <v>4.1574999999999998</v>
      </c>
      <c r="L140" s="4"/>
      <c r="M140" s="4"/>
      <c r="N140" s="4"/>
    </row>
    <row r="141" spans="1:14" ht="15">
      <c r="A141" s="13">
        <v>45413</v>
      </c>
      <c r="B141" s="67">
        <f>3.4562 * CHOOSE(CONTROL!$C$22, $C$13, 100%, $E$13)</f>
        <v>3.4561999999999999</v>
      </c>
      <c r="C141" s="67">
        <f>3.4562 * CHOOSE(CONTROL!$C$22, $C$13, 100%, $E$13)</f>
        <v>3.4561999999999999</v>
      </c>
      <c r="D141" s="67">
        <f>3.4588 * CHOOSE(CONTROL!$C$22, $C$13, 100%, $E$13)</f>
        <v>3.4588000000000001</v>
      </c>
      <c r="E141" s="68">
        <f>4.1772 * CHOOSE(CONTROL!$C$22, $C$13, 100%, $E$13)</f>
        <v>4.1772</v>
      </c>
      <c r="F141" s="68">
        <f>4.1772 * CHOOSE(CONTROL!$C$22, $C$13, 100%, $E$13)</f>
        <v>4.1772</v>
      </c>
      <c r="G141" s="68">
        <f>4.1805 * CHOOSE(CONTROL!$C$22, $C$13, 100%, $E$13)</f>
        <v>4.1805000000000003</v>
      </c>
      <c r="H141" s="68">
        <f>6.7583* CHOOSE(CONTROL!$C$22, $C$13, 100%, $E$13)</f>
        <v>6.7583000000000002</v>
      </c>
      <c r="I141" s="68">
        <f>6.7616 * CHOOSE(CONTROL!$C$22, $C$13, 100%, $E$13)</f>
        <v>6.7615999999999996</v>
      </c>
      <c r="J141" s="68">
        <f>4.1772 * CHOOSE(CONTROL!$C$22, $C$13, 100%, $E$13)</f>
        <v>4.1772</v>
      </c>
      <c r="K141" s="68">
        <f>4.1805 * CHOOSE(CONTROL!$C$22, $C$13, 100%, $E$13)</f>
        <v>4.1805000000000003</v>
      </c>
      <c r="L141" s="4"/>
      <c r="M141" s="4"/>
      <c r="N141" s="4"/>
    </row>
    <row r="142" spans="1:14" ht="15">
      <c r="A142" s="13">
        <v>45444</v>
      </c>
      <c r="B142" s="67">
        <f>3.4623 * CHOOSE(CONTROL!$C$22, $C$13, 100%, $E$13)</f>
        <v>3.4622999999999999</v>
      </c>
      <c r="C142" s="67">
        <f>3.4623 * CHOOSE(CONTROL!$C$22, $C$13, 100%, $E$13)</f>
        <v>3.4622999999999999</v>
      </c>
      <c r="D142" s="67">
        <f>3.4649 * CHOOSE(CONTROL!$C$22, $C$13, 100%, $E$13)</f>
        <v>3.4649000000000001</v>
      </c>
      <c r="E142" s="68">
        <f>4.1605 * CHOOSE(CONTROL!$C$22, $C$13, 100%, $E$13)</f>
        <v>4.1604999999999999</v>
      </c>
      <c r="F142" s="68">
        <f>4.1605 * CHOOSE(CONTROL!$C$22, $C$13, 100%, $E$13)</f>
        <v>4.1604999999999999</v>
      </c>
      <c r="G142" s="68">
        <f>4.1637 * CHOOSE(CONTROL!$C$22, $C$13, 100%, $E$13)</f>
        <v>4.1637000000000004</v>
      </c>
      <c r="H142" s="68">
        <f>6.7724* CHOOSE(CONTROL!$C$22, $C$13, 100%, $E$13)</f>
        <v>6.7724000000000002</v>
      </c>
      <c r="I142" s="68">
        <f>6.7756 * CHOOSE(CONTROL!$C$22, $C$13, 100%, $E$13)</f>
        <v>6.7755999999999998</v>
      </c>
      <c r="J142" s="68">
        <f>4.1605 * CHOOSE(CONTROL!$C$22, $C$13, 100%, $E$13)</f>
        <v>4.1604999999999999</v>
      </c>
      <c r="K142" s="68">
        <f>4.1637 * CHOOSE(CONTROL!$C$22, $C$13, 100%, $E$13)</f>
        <v>4.1637000000000004</v>
      </c>
      <c r="L142" s="4"/>
      <c r="M142" s="4"/>
      <c r="N142" s="4"/>
    </row>
    <row r="143" spans="1:14" ht="15">
      <c r="A143" s="13">
        <v>45474</v>
      </c>
      <c r="B143" s="67">
        <f>3.5185 * CHOOSE(CONTROL!$C$22, $C$13, 100%, $E$13)</f>
        <v>3.5185</v>
      </c>
      <c r="C143" s="67">
        <f>3.5185 * CHOOSE(CONTROL!$C$22, $C$13, 100%, $E$13)</f>
        <v>3.5185</v>
      </c>
      <c r="D143" s="67">
        <f>3.5211 * CHOOSE(CONTROL!$C$22, $C$13, 100%, $E$13)</f>
        <v>3.5211000000000001</v>
      </c>
      <c r="E143" s="68">
        <f>4.2301 * CHOOSE(CONTROL!$C$22, $C$13, 100%, $E$13)</f>
        <v>4.2301000000000002</v>
      </c>
      <c r="F143" s="68">
        <f>4.2301 * CHOOSE(CONTROL!$C$22, $C$13, 100%, $E$13)</f>
        <v>4.2301000000000002</v>
      </c>
      <c r="G143" s="68">
        <f>4.2333 * CHOOSE(CONTROL!$C$22, $C$13, 100%, $E$13)</f>
        <v>4.2332999999999998</v>
      </c>
      <c r="H143" s="68">
        <f>6.7865* CHOOSE(CONTROL!$C$22, $C$13, 100%, $E$13)</f>
        <v>6.7865000000000002</v>
      </c>
      <c r="I143" s="68">
        <f>6.7897 * CHOOSE(CONTROL!$C$22, $C$13, 100%, $E$13)</f>
        <v>6.7896999999999998</v>
      </c>
      <c r="J143" s="68">
        <f>4.2301 * CHOOSE(CONTROL!$C$22, $C$13, 100%, $E$13)</f>
        <v>4.2301000000000002</v>
      </c>
      <c r="K143" s="68">
        <f>4.2333 * CHOOSE(CONTROL!$C$22, $C$13, 100%, $E$13)</f>
        <v>4.2332999999999998</v>
      </c>
      <c r="L143" s="4"/>
      <c r="M143" s="4"/>
      <c r="N143" s="4"/>
    </row>
    <row r="144" spans="1:14" ht="15">
      <c r="A144" s="13">
        <v>45505</v>
      </c>
      <c r="B144" s="67">
        <f>3.5251 * CHOOSE(CONTROL!$C$22, $C$13, 100%, $E$13)</f>
        <v>3.5251000000000001</v>
      </c>
      <c r="C144" s="67">
        <f>3.5251 * CHOOSE(CONTROL!$C$22, $C$13, 100%, $E$13)</f>
        <v>3.5251000000000001</v>
      </c>
      <c r="D144" s="67">
        <f>3.5278 * CHOOSE(CONTROL!$C$22, $C$13, 100%, $E$13)</f>
        <v>3.5278</v>
      </c>
      <c r="E144" s="68">
        <f>4.1718 * CHOOSE(CONTROL!$C$22, $C$13, 100%, $E$13)</f>
        <v>4.1718000000000002</v>
      </c>
      <c r="F144" s="68">
        <f>4.1718 * CHOOSE(CONTROL!$C$22, $C$13, 100%, $E$13)</f>
        <v>4.1718000000000002</v>
      </c>
      <c r="G144" s="68">
        <f>4.1751 * CHOOSE(CONTROL!$C$22, $C$13, 100%, $E$13)</f>
        <v>4.1750999999999996</v>
      </c>
      <c r="H144" s="68">
        <f>6.8006* CHOOSE(CONTROL!$C$22, $C$13, 100%, $E$13)</f>
        <v>6.8006000000000002</v>
      </c>
      <c r="I144" s="68">
        <f>6.8039 * CHOOSE(CONTROL!$C$22, $C$13, 100%, $E$13)</f>
        <v>6.8038999999999996</v>
      </c>
      <c r="J144" s="68">
        <f>4.1718 * CHOOSE(CONTROL!$C$22, $C$13, 100%, $E$13)</f>
        <v>4.1718000000000002</v>
      </c>
      <c r="K144" s="68">
        <f>4.1751 * CHOOSE(CONTROL!$C$22, $C$13, 100%, $E$13)</f>
        <v>4.1750999999999996</v>
      </c>
      <c r="L144" s="4"/>
      <c r="M144" s="4"/>
      <c r="N144" s="4"/>
    </row>
    <row r="145" spans="1:14" ht="15">
      <c r="A145" s="13">
        <v>45536</v>
      </c>
      <c r="B145" s="67">
        <f>3.5221 * CHOOSE(CONTROL!$C$22, $C$13, 100%, $E$13)</f>
        <v>3.5221</v>
      </c>
      <c r="C145" s="67">
        <f>3.5221 * CHOOSE(CONTROL!$C$22, $C$13, 100%, $E$13)</f>
        <v>3.5221</v>
      </c>
      <c r="D145" s="67">
        <f>3.5247 * CHOOSE(CONTROL!$C$22, $C$13, 100%, $E$13)</f>
        <v>3.5247000000000002</v>
      </c>
      <c r="E145" s="68">
        <f>4.1627 * CHOOSE(CONTROL!$C$22, $C$13, 100%, $E$13)</f>
        <v>4.1627000000000001</v>
      </c>
      <c r="F145" s="68">
        <f>4.1627 * CHOOSE(CONTROL!$C$22, $C$13, 100%, $E$13)</f>
        <v>4.1627000000000001</v>
      </c>
      <c r="G145" s="68">
        <f>4.166 * CHOOSE(CONTROL!$C$22, $C$13, 100%, $E$13)</f>
        <v>4.1660000000000004</v>
      </c>
      <c r="H145" s="68">
        <f>6.8148* CHOOSE(CONTROL!$C$22, $C$13, 100%, $E$13)</f>
        <v>6.8148</v>
      </c>
      <c r="I145" s="68">
        <f>6.8181 * CHOOSE(CONTROL!$C$22, $C$13, 100%, $E$13)</f>
        <v>6.8181000000000003</v>
      </c>
      <c r="J145" s="68">
        <f>4.1627 * CHOOSE(CONTROL!$C$22, $C$13, 100%, $E$13)</f>
        <v>4.1627000000000001</v>
      </c>
      <c r="K145" s="68">
        <f>4.166 * CHOOSE(CONTROL!$C$22, $C$13, 100%, $E$13)</f>
        <v>4.1660000000000004</v>
      </c>
      <c r="L145" s="4"/>
      <c r="M145" s="4"/>
      <c r="N145" s="4"/>
    </row>
    <row r="146" spans="1:14" ht="15">
      <c r="A146" s="13">
        <v>45566</v>
      </c>
      <c r="B146" s="67">
        <f>3.5152 * CHOOSE(CONTROL!$C$22, $C$13, 100%, $E$13)</f>
        <v>3.5152000000000001</v>
      </c>
      <c r="C146" s="67">
        <f>3.5152 * CHOOSE(CONTROL!$C$22, $C$13, 100%, $E$13)</f>
        <v>3.5152000000000001</v>
      </c>
      <c r="D146" s="67">
        <f>3.5162 * CHOOSE(CONTROL!$C$22, $C$13, 100%, $E$13)</f>
        <v>3.5162</v>
      </c>
      <c r="E146" s="68">
        <f>4.1773 * CHOOSE(CONTROL!$C$22, $C$13, 100%, $E$13)</f>
        <v>4.1772999999999998</v>
      </c>
      <c r="F146" s="68">
        <f>4.1773 * CHOOSE(CONTROL!$C$22, $C$13, 100%, $E$13)</f>
        <v>4.1772999999999998</v>
      </c>
      <c r="G146" s="68">
        <f>4.1785 * CHOOSE(CONTROL!$C$22, $C$13, 100%, $E$13)</f>
        <v>4.1784999999999997</v>
      </c>
      <c r="H146" s="68">
        <f>6.829* CHOOSE(CONTROL!$C$22, $C$13, 100%, $E$13)</f>
        <v>6.8289999999999997</v>
      </c>
      <c r="I146" s="68">
        <f>6.8303 * CHOOSE(CONTROL!$C$22, $C$13, 100%, $E$13)</f>
        <v>6.8303000000000003</v>
      </c>
      <c r="J146" s="68">
        <f>4.1773 * CHOOSE(CONTROL!$C$22, $C$13, 100%, $E$13)</f>
        <v>4.1772999999999998</v>
      </c>
      <c r="K146" s="68">
        <f>4.1785 * CHOOSE(CONTROL!$C$22, $C$13, 100%, $E$13)</f>
        <v>4.1784999999999997</v>
      </c>
      <c r="L146" s="4"/>
      <c r="M146" s="4"/>
      <c r="N146" s="4"/>
    </row>
    <row r="147" spans="1:14" ht="15">
      <c r="A147" s="13">
        <v>45597</v>
      </c>
      <c r="B147" s="67">
        <f>3.5183 * CHOOSE(CONTROL!$C$22, $C$13, 100%, $E$13)</f>
        <v>3.5183</v>
      </c>
      <c r="C147" s="67">
        <f>3.5183 * CHOOSE(CONTROL!$C$22, $C$13, 100%, $E$13)</f>
        <v>3.5183</v>
      </c>
      <c r="D147" s="67">
        <f>3.5193 * CHOOSE(CONTROL!$C$22, $C$13, 100%, $E$13)</f>
        <v>3.5192999999999999</v>
      </c>
      <c r="E147" s="68">
        <f>4.1934 * CHOOSE(CONTROL!$C$22, $C$13, 100%, $E$13)</f>
        <v>4.1933999999999996</v>
      </c>
      <c r="F147" s="68">
        <f>4.1934 * CHOOSE(CONTROL!$C$22, $C$13, 100%, $E$13)</f>
        <v>4.1933999999999996</v>
      </c>
      <c r="G147" s="68">
        <f>4.1946 * CHOOSE(CONTROL!$C$22, $C$13, 100%, $E$13)</f>
        <v>4.1946000000000003</v>
      </c>
      <c r="H147" s="68">
        <f>6.8432* CHOOSE(CONTROL!$C$22, $C$13, 100%, $E$13)</f>
        <v>6.8432000000000004</v>
      </c>
      <c r="I147" s="68">
        <f>6.8445 * CHOOSE(CONTROL!$C$22, $C$13, 100%, $E$13)</f>
        <v>6.8445</v>
      </c>
      <c r="J147" s="68">
        <f>4.1934 * CHOOSE(CONTROL!$C$22, $C$13, 100%, $E$13)</f>
        <v>4.1933999999999996</v>
      </c>
      <c r="K147" s="68">
        <f>4.1946 * CHOOSE(CONTROL!$C$22, $C$13, 100%, $E$13)</f>
        <v>4.1946000000000003</v>
      </c>
      <c r="L147" s="4"/>
      <c r="M147" s="4"/>
      <c r="N147" s="4"/>
    </row>
    <row r="148" spans="1:14" ht="15">
      <c r="A148" s="13">
        <v>45627</v>
      </c>
      <c r="B148" s="67">
        <f>3.5183 * CHOOSE(CONTROL!$C$22, $C$13, 100%, $E$13)</f>
        <v>3.5183</v>
      </c>
      <c r="C148" s="67">
        <f>3.5183 * CHOOSE(CONTROL!$C$22, $C$13, 100%, $E$13)</f>
        <v>3.5183</v>
      </c>
      <c r="D148" s="67">
        <f>3.5193 * CHOOSE(CONTROL!$C$22, $C$13, 100%, $E$13)</f>
        <v>3.5192999999999999</v>
      </c>
      <c r="E148" s="68">
        <f>4.1584 * CHOOSE(CONTROL!$C$22, $C$13, 100%, $E$13)</f>
        <v>4.1584000000000003</v>
      </c>
      <c r="F148" s="68">
        <f>4.1584 * CHOOSE(CONTROL!$C$22, $C$13, 100%, $E$13)</f>
        <v>4.1584000000000003</v>
      </c>
      <c r="G148" s="68">
        <f>4.1597 * CHOOSE(CONTROL!$C$22, $C$13, 100%, $E$13)</f>
        <v>4.1597</v>
      </c>
      <c r="H148" s="68">
        <f>6.8575* CHOOSE(CONTROL!$C$22, $C$13, 100%, $E$13)</f>
        <v>6.8574999999999999</v>
      </c>
      <c r="I148" s="68">
        <f>6.8588 * CHOOSE(CONTROL!$C$22, $C$13, 100%, $E$13)</f>
        <v>6.8587999999999996</v>
      </c>
      <c r="J148" s="68">
        <f>4.1584 * CHOOSE(CONTROL!$C$22, $C$13, 100%, $E$13)</f>
        <v>4.1584000000000003</v>
      </c>
      <c r="K148" s="68">
        <f>4.1597 * CHOOSE(CONTROL!$C$22, $C$13, 100%, $E$13)</f>
        <v>4.1597</v>
      </c>
      <c r="L148" s="4"/>
      <c r="M148" s="4"/>
      <c r="N148" s="4"/>
    </row>
    <row r="149" spans="1:14" ht="15">
      <c r="A149" s="13">
        <v>45658</v>
      </c>
      <c r="B149" s="67">
        <f>3.5476 * CHOOSE(CONTROL!$C$22, $C$13, 100%, $E$13)</f>
        <v>3.5476000000000001</v>
      </c>
      <c r="C149" s="67">
        <f>3.5476 * CHOOSE(CONTROL!$C$22, $C$13, 100%, $E$13)</f>
        <v>3.5476000000000001</v>
      </c>
      <c r="D149" s="67">
        <f>3.5485 * CHOOSE(CONTROL!$C$22, $C$13, 100%, $E$13)</f>
        <v>3.5485000000000002</v>
      </c>
      <c r="E149" s="68">
        <f>4.2052 * CHOOSE(CONTROL!$C$22, $C$13, 100%, $E$13)</f>
        <v>4.2051999999999996</v>
      </c>
      <c r="F149" s="68">
        <f>4.2052 * CHOOSE(CONTROL!$C$22, $C$13, 100%, $E$13)</f>
        <v>4.2051999999999996</v>
      </c>
      <c r="G149" s="68">
        <f>4.2065 * CHOOSE(CONTROL!$C$22, $C$13, 100%, $E$13)</f>
        <v>4.2065000000000001</v>
      </c>
      <c r="H149" s="68">
        <f>6.8718* CHOOSE(CONTROL!$C$22, $C$13, 100%, $E$13)</f>
        <v>6.8718000000000004</v>
      </c>
      <c r="I149" s="68">
        <f>6.8731 * CHOOSE(CONTROL!$C$22, $C$13, 100%, $E$13)</f>
        <v>6.8731</v>
      </c>
      <c r="J149" s="68">
        <f>4.2052 * CHOOSE(CONTROL!$C$22, $C$13, 100%, $E$13)</f>
        <v>4.2051999999999996</v>
      </c>
      <c r="K149" s="68">
        <f>4.2065 * CHOOSE(CONTROL!$C$22, $C$13, 100%, $E$13)</f>
        <v>4.2065000000000001</v>
      </c>
      <c r="L149" s="4"/>
      <c r="M149" s="4"/>
      <c r="N149" s="4"/>
    </row>
    <row r="150" spans="1:14" ht="15">
      <c r="A150" s="13">
        <v>45689</v>
      </c>
      <c r="B150" s="67">
        <f>3.5445 * CHOOSE(CONTROL!$C$22, $C$13, 100%, $E$13)</f>
        <v>3.5445000000000002</v>
      </c>
      <c r="C150" s="67">
        <f>3.5445 * CHOOSE(CONTROL!$C$22, $C$13, 100%, $E$13)</f>
        <v>3.5445000000000002</v>
      </c>
      <c r="D150" s="67">
        <f>3.5455 * CHOOSE(CONTROL!$C$22, $C$13, 100%, $E$13)</f>
        <v>3.5455000000000001</v>
      </c>
      <c r="E150" s="68">
        <f>4.1366 * CHOOSE(CONTROL!$C$22, $C$13, 100%, $E$13)</f>
        <v>4.1365999999999996</v>
      </c>
      <c r="F150" s="68">
        <f>4.1366 * CHOOSE(CONTROL!$C$22, $C$13, 100%, $E$13)</f>
        <v>4.1365999999999996</v>
      </c>
      <c r="G150" s="68">
        <f>4.1378 * CHOOSE(CONTROL!$C$22, $C$13, 100%, $E$13)</f>
        <v>4.1378000000000004</v>
      </c>
      <c r="H150" s="68">
        <f>6.8861* CHOOSE(CONTROL!$C$22, $C$13, 100%, $E$13)</f>
        <v>6.8860999999999999</v>
      </c>
      <c r="I150" s="68">
        <f>6.8874 * CHOOSE(CONTROL!$C$22, $C$13, 100%, $E$13)</f>
        <v>6.8874000000000004</v>
      </c>
      <c r="J150" s="68">
        <f>4.1366 * CHOOSE(CONTROL!$C$22, $C$13, 100%, $E$13)</f>
        <v>4.1365999999999996</v>
      </c>
      <c r="K150" s="68">
        <f>4.1378 * CHOOSE(CONTROL!$C$22, $C$13, 100%, $E$13)</f>
        <v>4.1378000000000004</v>
      </c>
      <c r="L150" s="4"/>
      <c r="M150" s="4"/>
      <c r="N150" s="4"/>
    </row>
    <row r="151" spans="1:14" ht="15">
      <c r="A151" s="13">
        <v>45717</v>
      </c>
      <c r="B151" s="67">
        <f>3.5415 * CHOOSE(CONTROL!$C$22, $C$13, 100%, $E$13)</f>
        <v>3.5415000000000001</v>
      </c>
      <c r="C151" s="67">
        <f>3.5415 * CHOOSE(CONTROL!$C$22, $C$13, 100%, $E$13)</f>
        <v>3.5415000000000001</v>
      </c>
      <c r="D151" s="67">
        <f>3.5425 * CHOOSE(CONTROL!$C$22, $C$13, 100%, $E$13)</f>
        <v>3.5425</v>
      </c>
      <c r="E151" s="68">
        <f>4.1869 * CHOOSE(CONTROL!$C$22, $C$13, 100%, $E$13)</f>
        <v>4.1868999999999996</v>
      </c>
      <c r="F151" s="68">
        <f>4.1869 * CHOOSE(CONTROL!$C$22, $C$13, 100%, $E$13)</f>
        <v>4.1868999999999996</v>
      </c>
      <c r="G151" s="68">
        <f>4.1882 * CHOOSE(CONTROL!$C$22, $C$13, 100%, $E$13)</f>
        <v>4.1882000000000001</v>
      </c>
      <c r="H151" s="68">
        <f>6.9004* CHOOSE(CONTROL!$C$22, $C$13, 100%, $E$13)</f>
        <v>6.9004000000000003</v>
      </c>
      <c r="I151" s="68">
        <f>6.9017 * CHOOSE(CONTROL!$C$22, $C$13, 100%, $E$13)</f>
        <v>6.9016999999999999</v>
      </c>
      <c r="J151" s="68">
        <f>4.1869 * CHOOSE(CONTROL!$C$22, $C$13, 100%, $E$13)</f>
        <v>4.1868999999999996</v>
      </c>
      <c r="K151" s="68">
        <f>4.1882 * CHOOSE(CONTROL!$C$22, $C$13, 100%, $E$13)</f>
        <v>4.1882000000000001</v>
      </c>
      <c r="L151" s="4"/>
      <c r="M151" s="4"/>
      <c r="N151" s="4"/>
    </row>
    <row r="152" spans="1:14" ht="15">
      <c r="A152" s="13">
        <v>45748</v>
      </c>
      <c r="B152" s="67">
        <f>3.5386 * CHOOSE(CONTROL!$C$22, $C$13, 100%, $E$13)</f>
        <v>3.5386000000000002</v>
      </c>
      <c r="C152" s="67">
        <f>3.5386 * CHOOSE(CONTROL!$C$22, $C$13, 100%, $E$13)</f>
        <v>3.5386000000000002</v>
      </c>
      <c r="D152" s="67">
        <f>3.5396 * CHOOSE(CONTROL!$C$22, $C$13, 100%, $E$13)</f>
        <v>3.5396000000000001</v>
      </c>
      <c r="E152" s="68">
        <f>4.239 * CHOOSE(CONTROL!$C$22, $C$13, 100%, $E$13)</f>
        <v>4.2389999999999999</v>
      </c>
      <c r="F152" s="68">
        <f>4.239 * CHOOSE(CONTROL!$C$22, $C$13, 100%, $E$13)</f>
        <v>4.2389999999999999</v>
      </c>
      <c r="G152" s="68">
        <f>4.2403 * CHOOSE(CONTROL!$C$22, $C$13, 100%, $E$13)</f>
        <v>4.2403000000000004</v>
      </c>
      <c r="H152" s="68">
        <f>6.9148* CHOOSE(CONTROL!$C$22, $C$13, 100%, $E$13)</f>
        <v>6.9147999999999996</v>
      </c>
      <c r="I152" s="68">
        <f>6.9161 * CHOOSE(CONTROL!$C$22, $C$13, 100%, $E$13)</f>
        <v>6.9161000000000001</v>
      </c>
      <c r="J152" s="68">
        <f>4.239 * CHOOSE(CONTROL!$C$22, $C$13, 100%, $E$13)</f>
        <v>4.2389999999999999</v>
      </c>
      <c r="K152" s="68">
        <f>4.2403 * CHOOSE(CONTROL!$C$22, $C$13, 100%, $E$13)</f>
        <v>4.2403000000000004</v>
      </c>
      <c r="L152" s="4"/>
      <c r="M152" s="4"/>
      <c r="N152" s="4"/>
    </row>
    <row r="153" spans="1:14" ht="15">
      <c r="A153" s="13">
        <v>45778</v>
      </c>
      <c r="B153" s="67">
        <f>3.5386 * CHOOSE(CONTROL!$C$22, $C$13, 100%, $E$13)</f>
        <v>3.5386000000000002</v>
      </c>
      <c r="C153" s="67">
        <f>3.5386 * CHOOSE(CONTROL!$C$22, $C$13, 100%, $E$13)</f>
        <v>3.5386000000000002</v>
      </c>
      <c r="D153" s="67">
        <f>3.5413 * CHOOSE(CONTROL!$C$22, $C$13, 100%, $E$13)</f>
        <v>3.5413000000000001</v>
      </c>
      <c r="E153" s="68">
        <f>4.2602 * CHOOSE(CONTROL!$C$22, $C$13, 100%, $E$13)</f>
        <v>4.2602000000000002</v>
      </c>
      <c r="F153" s="68">
        <f>4.2602 * CHOOSE(CONTROL!$C$22, $C$13, 100%, $E$13)</f>
        <v>4.2602000000000002</v>
      </c>
      <c r="G153" s="68">
        <f>4.2634 * CHOOSE(CONTROL!$C$22, $C$13, 100%, $E$13)</f>
        <v>4.2633999999999999</v>
      </c>
      <c r="H153" s="68">
        <f>6.9292* CHOOSE(CONTROL!$C$22, $C$13, 100%, $E$13)</f>
        <v>6.9291999999999998</v>
      </c>
      <c r="I153" s="68">
        <f>6.9325 * CHOOSE(CONTROL!$C$22, $C$13, 100%, $E$13)</f>
        <v>6.9325000000000001</v>
      </c>
      <c r="J153" s="68">
        <f>4.2602 * CHOOSE(CONTROL!$C$22, $C$13, 100%, $E$13)</f>
        <v>4.2602000000000002</v>
      </c>
      <c r="K153" s="68">
        <f>4.2634 * CHOOSE(CONTROL!$C$22, $C$13, 100%, $E$13)</f>
        <v>4.2633999999999999</v>
      </c>
      <c r="L153" s="4"/>
      <c r="M153" s="4"/>
      <c r="N153" s="4"/>
    </row>
    <row r="154" spans="1:14" ht="15">
      <c r="A154" s="13">
        <v>45809</v>
      </c>
      <c r="B154" s="67">
        <f>3.5447 * CHOOSE(CONTROL!$C$22, $C$13, 100%, $E$13)</f>
        <v>3.5447000000000002</v>
      </c>
      <c r="C154" s="67">
        <f>3.5447 * CHOOSE(CONTROL!$C$22, $C$13, 100%, $E$13)</f>
        <v>3.5447000000000002</v>
      </c>
      <c r="D154" s="67">
        <f>3.5473 * CHOOSE(CONTROL!$C$22, $C$13, 100%, $E$13)</f>
        <v>3.5472999999999999</v>
      </c>
      <c r="E154" s="68">
        <f>4.2433 * CHOOSE(CONTROL!$C$22, $C$13, 100%, $E$13)</f>
        <v>4.2432999999999996</v>
      </c>
      <c r="F154" s="68">
        <f>4.2433 * CHOOSE(CONTROL!$C$22, $C$13, 100%, $E$13)</f>
        <v>4.2432999999999996</v>
      </c>
      <c r="G154" s="68">
        <f>4.2465 * CHOOSE(CONTROL!$C$22, $C$13, 100%, $E$13)</f>
        <v>4.2465000000000002</v>
      </c>
      <c r="H154" s="68">
        <f>6.9436* CHOOSE(CONTROL!$C$22, $C$13, 100%, $E$13)</f>
        <v>6.9436</v>
      </c>
      <c r="I154" s="68">
        <f>6.9469 * CHOOSE(CONTROL!$C$22, $C$13, 100%, $E$13)</f>
        <v>6.9469000000000003</v>
      </c>
      <c r="J154" s="68">
        <f>4.2433 * CHOOSE(CONTROL!$C$22, $C$13, 100%, $E$13)</f>
        <v>4.2432999999999996</v>
      </c>
      <c r="K154" s="68">
        <f>4.2465 * CHOOSE(CONTROL!$C$22, $C$13, 100%, $E$13)</f>
        <v>4.2465000000000002</v>
      </c>
      <c r="L154" s="4"/>
      <c r="M154" s="4"/>
      <c r="N154" s="4"/>
    </row>
    <row r="155" spans="1:14" ht="15">
      <c r="A155" s="13">
        <v>45839</v>
      </c>
      <c r="B155" s="67">
        <f>3.5989 * CHOOSE(CONTROL!$C$22, $C$13, 100%, $E$13)</f>
        <v>3.5989</v>
      </c>
      <c r="C155" s="67">
        <f>3.5989 * CHOOSE(CONTROL!$C$22, $C$13, 100%, $E$13)</f>
        <v>3.5989</v>
      </c>
      <c r="D155" s="67">
        <f>3.6015 * CHOOSE(CONTROL!$C$22, $C$13, 100%, $E$13)</f>
        <v>3.6015000000000001</v>
      </c>
      <c r="E155" s="68">
        <f>4.3194 * CHOOSE(CONTROL!$C$22, $C$13, 100%, $E$13)</f>
        <v>4.3193999999999999</v>
      </c>
      <c r="F155" s="68">
        <f>4.3194 * CHOOSE(CONTROL!$C$22, $C$13, 100%, $E$13)</f>
        <v>4.3193999999999999</v>
      </c>
      <c r="G155" s="68">
        <f>4.3227 * CHOOSE(CONTROL!$C$22, $C$13, 100%, $E$13)</f>
        <v>4.3227000000000002</v>
      </c>
      <c r="H155" s="68">
        <f>6.9581* CHOOSE(CONTROL!$C$22, $C$13, 100%, $E$13)</f>
        <v>6.9581</v>
      </c>
      <c r="I155" s="68">
        <f>6.9614 * CHOOSE(CONTROL!$C$22, $C$13, 100%, $E$13)</f>
        <v>6.9614000000000003</v>
      </c>
      <c r="J155" s="68">
        <f>4.3194 * CHOOSE(CONTROL!$C$22, $C$13, 100%, $E$13)</f>
        <v>4.3193999999999999</v>
      </c>
      <c r="K155" s="68">
        <f>4.3227 * CHOOSE(CONTROL!$C$22, $C$13, 100%, $E$13)</f>
        <v>4.3227000000000002</v>
      </c>
      <c r="L155" s="4"/>
      <c r="M155" s="4"/>
      <c r="N155" s="4"/>
    </row>
    <row r="156" spans="1:14" ht="15">
      <c r="A156" s="13">
        <v>45870</v>
      </c>
      <c r="B156" s="67">
        <f>3.6055 * CHOOSE(CONTROL!$C$22, $C$13, 100%, $E$13)</f>
        <v>3.6055000000000001</v>
      </c>
      <c r="C156" s="67">
        <f>3.6055 * CHOOSE(CONTROL!$C$22, $C$13, 100%, $E$13)</f>
        <v>3.6055000000000001</v>
      </c>
      <c r="D156" s="67">
        <f>3.6082 * CHOOSE(CONTROL!$C$22, $C$13, 100%, $E$13)</f>
        <v>3.6082000000000001</v>
      </c>
      <c r="E156" s="68">
        <f>4.2607 * CHOOSE(CONTROL!$C$22, $C$13, 100%, $E$13)</f>
        <v>4.2606999999999999</v>
      </c>
      <c r="F156" s="68">
        <f>4.2607 * CHOOSE(CONTROL!$C$22, $C$13, 100%, $E$13)</f>
        <v>4.2606999999999999</v>
      </c>
      <c r="G156" s="68">
        <f>4.2639 * CHOOSE(CONTROL!$C$22, $C$13, 100%, $E$13)</f>
        <v>4.2638999999999996</v>
      </c>
      <c r="H156" s="68">
        <f>6.9726* CHOOSE(CONTROL!$C$22, $C$13, 100%, $E$13)</f>
        <v>6.9725999999999999</v>
      </c>
      <c r="I156" s="68">
        <f>6.9759 * CHOOSE(CONTROL!$C$22, $C$13, 100%, $E$13)</f>
        <v>6.9759000000000002</v>
      </c>
      <c r="J156" s="68">
        <f>4.2607 * CHOOSE(CONTROL!$C$22, $C$13, 100%, $E$13)</f>
        <v>4.2606999999999999</v>
      </c>
      <c r="K156" s="68">
        <f>4.2639 * CHOOSE(CONTROL!$C$22, $C$13, 100%, $E$13)</f>
        <v>4.2638999999999996</v>
      </c>
      <c r="L156" s="4"/>
      <c r="M156" s="4"/>
      <c r="N156" s="4"/>
    </row>
    <row r="157" spans="1:14" ht="15">
      <c r="A157" s="13">
        <v>45901</v>
      </c>
      <c r="B157" s="67">
        <f>3.6025 * CHOOSE(CONTROL!$C$22, $C$13, 100%, $E$13)</f>
        <v>3.6025</v>
      </c>
      <c r="C157" s="67">
        <f>3.6025 * CHOOSE(CONTROL!$C$22, $C$13, 100%, $E$13)</f>
        <v>3.6025</v>
      </c>
      <c r="D157" s="67">
        <f>3.6051 * CHOOSE(CONTROL!$C$22, $C$13, 100%, $E$13)</f>
        <v>3.6051000000000002</v>
      </c>
      <c r="E157" s="68">
        <f>4.2515 * CHOOSE(CONTROL!$C$22, $C$13, 100%, $E$13)</f>
        <v>4.2515000000000001</v>
      </c>
      <c r="F157" s="68">
        <f>4.2515 * CHOOSE(CONTROL!$C$22, $C$13, 100%, $E$13)</f>
        <v>4.2515000000000001</v>
      </c>
      <c r="G157" s="68">
        <f>4.2548 * CHOOSE(CONTROL!$C$22, $C$13, 100%, $E$13)</f>
        <v>4.2548000000000004</v>
      </c>
      <c r="H157" s="68">
        <f>6.9871* CHOOSE(CONTROL!$C$22, $C$13, 100%, $E$13)</f>
        <v>6.9870999999999999</v>
      </c>
      <c r="I157" s="68">
        <f>6.9904 * CHOOSE(CONTROL!$C$22, $C$13, 100%, $E$13)</f>
        <v>6.9904000000000002</v>
      </c>
      <c r="J157" s="68">
        <f>4.2515 * CHOOSE(CONTROL!$C$22, $C$13, 100%, $E$13)</f>
        <v>4.2515000000000001</v>
      </c>
      <c r="K157" s="68">
        <f>4.2548 * CHOOSE(CONTROL!$C$22, $C$13, 100%, $E$13)</f>
        <v>4.2548000000000004</v>
      </c>
      <c r="L157" s="4"/>
      <c r="M157" s="4"/>
      <c r="N157" s="4"/>
    </row>
    <row r="158" spans="1:14" ht="15">
      <c r="A158" s="13">
        <v>45931</v>
      </c>
      <c r="B158" s="67">
        <f>3.596 * CHOOSE(CONTROL!$C$22, $C$13, 100%, $E$13)</f>
        <v>3.5960000000000001</v>
      </c>
      <c r="C158" s="67">
        <f>3.596 * CHOOSE(CONTROL!$C$22, $C$13, 100%, $E$13)</f>
        <v>3.5960000000000001</v>
      </c>
      <c r="D158" s="67">
        <f>3.5969 * CHOOSE(CONTROL!$C$22, $C$13, 100%, $E$13)</f>
        <v>3.5969000000000002</v>
      </c>
      <c r="E158" s="68">
        <f>4.2663 * CHOOSE(CONTROL!$C$22, $C$13, 100%, $E$13)</f>
        <v>4.2663000000000002</v>
      </c>
      <c r="F158" s="68">
        <f>4.2663 * CHOOSE(CONTROL!$C$22, $C$13, 100%, $E$13)</f>
        <v>4.2663000000000002</v>
      </c>
      <c r="G158" s="68">
        <f>4.2676 * CHOOSE(CONTROL!$C$22, $C$13, 100%, $E$13)</f>
        <v>4.2675999999999998</v>
      </c>
      <c r="H158" s="68">
        <f>7.0017* CHOOSE(CONTROL!$C$22, $C$13, 100%, $E$13)</f>
        <v>7.0016999999999996</v>
      </c>
      <c r="I158" s="68">
        <f>7.003 * CHOOSE(CONTROL!$C$22, $C$13, 100%, $E$13)</f>
        <v>7.0030000000000001</v>
      </c>
      <c r="J158" s="68">
        <f>4.2663 * CHOOSE(CONTROL!$C$22, $C$13, 100%, $E$13)</f>
        <v>4.2663000000000002</v>
      </c>
      <c r="K158" s="68">
        <f>4.2676 * CHOOSE(CONTROL!$C$22, $C$13, 100%, $E$13)</f>
        <v>4.2675999999999998</v>
      </c>
      <c r="L158" s="4"/>
      <c r="M158" s="4"/>
      <c r="N158" s="4"/>
    </row>
    <row r="159" spans="1:14" ht="15">
      <c r="A159" s="13">
        <v>45962</v>
      </c>
      <c r="B159" s="67">
        <f>3.599 * CHOOSE(CONTROL!$C$22, $C$13, 100%, $E$13)</f>
        <v>3.5990000000000002</v>
      </c>
      <c r="C159" s="67">
        <f>3.599 * CHOOSE(CONTROL!$C$22, $C$13, 100%, $E$13)</f>
        <v>3.5990000000000002</v>
      </c>
      <c r="D159" s="67">
        <f>3.6 * CHOOSE(CONTROL!$C$22, $C$13, 100%, $E$13)</f>
        <v>3.6</v>
      </c>
      <c r="E159" s="68">
        <f>4.2825 * CHOOSE(CONTROL!$C$22, $C$13, 100%, $E$13)</f>
        <v>4.2824999999999998</v>
      </c>
      <c r="F159" s="68">
        <f>4.2825 * CHOOSE(CONTROL!$C$22, $C$13, 100%, $E$13)</f>
        <v>4.2824999999999998</v>
      </c>
      <c r="G159" s="68">
        <f>4.2838 * CHOOSE(CONTROL!$C$22, $C$13, 100%, $E$13)</f>
        <v>4.2838000000000003</v>
      </c>
      <c r="H159" s="68">
        <f>7.0163* CHOOSE(CONTROL!$C$22, $C$13, 100%, $E$13)</f>
        <v>7.0163000000000002</v>
      </c>
      <c r="I159" s="68">
        <f>7.0176 * CHOOSE(CONTROL!$C$22, $C$13, 100%, $E$13)</f>
        <v>7.0175999999999998</v>
      </c>
      <c r="J159" s="68">
        <f>4.2825 * CHOOSE(CONTROL!$C$22, $C$13, 100%, $E$13)</f>
        <v>4.2824999999999998</v>
      </c>
      <c r="K159" s="68">
        <f>4.2838 * CHOOSE(CONTROL!$C$22, $C$13, 100%, $E$13)</f>
        <v>4.2838000000000003</v>
      </c>
    </row>
    <row r="160" spans="1:14" ht="15">
      <c r="A160" s="13">
        <v>45992</v>
      </c>
      <c r="B160" s="67">
        <f>3.599 * CHOOSE(CONTROL!$C$22, $C$13, 100%, $E$13)</f>
        <v>3.5990000000000002</v>
      </c>
      <c r="C160" s="67">
        <f>3.599 * CHOOSE(CONTROL!$C$22, $C$13, 100%, $E$13)</f>
        <v>3.5990000000000002</v>
      </c>
      <c r="D160" s="67">
        <f>3.6 * CHOOSE(CONTROL!$C$22, $C$13, 100%, $E$13)</f>
        <v>3.6</v>
      </c>
      <c r="E160" s="68">
        <f>4.2473 * CHOOSE(CONTROL!$C$22, $C$13, 100%, $E$13)</f>
        <v>4.2473000000000001</v>
      </c>
      <c r="F160" s="68">
        <f>4.2473 * CHOOSE(CONTROL!$C$22, $C$13, 100%, $E$13)</f>
        <v>4.2473000000000001</v>
      </c>
      <c r="G160" s="68">
        <f>4.2486 * CHOOSE(CONTROL!$C$22, $C$13, 100%, $E$13)</f>
        <v>4.2485999999999997</v>
      </c>
      <c r="H160" s="68">
        <f>7.0309* CHOOSE(CONTROL!$C$22, $C$13, 100%, $E$13)</f>
        <v>7.0308999999999999</v>
      </c>
      <c r="I160" s="68">
        <f>7.0322 * CHOOSE(CONTROL!$C$22, $C$13, 100%, $E$13)</f>
        <v>7.0321999999999996</v>
      </c>
      <c r="J160" s="68">
        <f>4.2473 * CHOOSE(CONTROL!$C$22, $C$13, 100%, $E$13)</f>
        <v>4.2473000000000001</v>
      </c>
      <c r="K160" s="68">
        <f>4.2486 * CHOOSE(CONTROL!$C$22, $C$13, 100%, $E$13)</f>
        <v>4.2485999999999997</v>
      </c>
    </row>
    <row r="161" spans="1:11" ht="15">
      <c r="A161" s="13">
        <v>46023</v>
      </c>
      <c r="B161" s="67">
        <f>3.6288 * CHOOSE(CONTROL!$C$22, $C$13, 100%, $E$13)</f>
        <v>3.6288</v>
      </c>
      <c r="C161" s="67">
        <f>3.6288 * CHOOSE(CONTROL!$C$22, $C$13, 100%, $E$13)</f>
        <v>3.6288</v>
      </c>
      <c r="D161" s="67">
        <f>3.6298 * CHOOSE(CONTROL!$C$22, $C$13, 100%, $E$13)</f>
        <v>3.6297999999999999</v>
      </c>
      <c r="E161" s="68">
        <f>4.3063 * CHOOSE(CONTROL!$C$22, $C$13, 100%, $E$13)</f>
        <v>4.3063000000000002</v>
      </c>
      <c r="F161" s="68">
        <f>4.3063 * CHOOSE(CONTROL!$C$22, $C$13, 100%, $E$13)</f>
        <v>4.3063000000000002</v>
      </c>
      <c r="G161" s="68">
        <f>4.3076 * CHOOSE(CONTROL!$C$22, $C$13, 100%, $E$13)</f>
        <v>4.3075999999999999</v>
      </c>
      <c r="H161" s="68">
        <f>7.0455* CHOOSE(CONTROL!$C$22, $C$13, 100%, $E$13)</f>
        <v>7.0454999999999997</v>
      </c>
      <c r="I161" s="68">
        <f>7.0468 * CHOOSE(CONTROL!$C$22, $C$13, 100%, $E$13)</f>
        <v>7.0468000000000002</v>
      </c>
      <c r="J161" s="68">
        <f>4.3063 * CHOOSE(CONTROL!$C$22, $C$13, 100%, $E$13)</f>
        <v>4.3063000000000002</v>
      </c>
      <c r="K161" s="68">
        <f>4.3076 * CHOOSE(CONTROL!$C$22, $C$13, 100%, $E$13)</f>
        <v>4.3075999999999999</v>
      </c>
    </row>
    <row r="162" spans="1:11" ht="15">
      <c r="A162" s="13">
        <v>46054</v>
      </c>
      <c r="B162" s="67">
        <f>3.6257 * CHOOSE(CONTROL!$C$22, $C$13, 100%, $E$13)</f>
        <v>3.6257000000000001</v>
      </c>
      <c r="C162" s="67">
        <f>3.6257 * CHOOSE(CONTROL!$C$22, $C$13, 100%, $E$13)</f>
        <v>3.6257000000000001</v>
      </c>
      <c r="D162" s="67">
        <f>3.6267 * CHOOSE(CONTROL!$C$22, $C$13, 100%, $E$13)</f>
        <v>3.6267</v>
      </c>
      <c r="E162" s="68">
        <f>4.236 * CHOOSE(CONTROL!$C$22, $C$13, 100%, $E$13)</f>
        <v>4.2359999999999998</v>
      </c>
      <c r="F162" s="68">
        <f>4.236 * CHOOSE(CONTROL!$C$22, $C$13, 100%, $E$13)</f>
        <v>4.2359999999999998</v>
      </c>
      <c r="G162" s="68">
        <f>4.2372 * CHOOSE(CONTROL!$C$22, $C$13, 100%, $E$13)</f>
        <v>4.2371999999999996</v>
      </c>
      <c r="H162" s="68">
        <f>7.0602* CHOOSE(CONTROL!$C$22, $C$13, 100%, $E$13)</f>
        <v>7.0602</v>
      </c>
      <c r="I162" s="68">
        <f>7.0615 * CHOOSE(CONTROL!$C$22, $C$13, 100%, $E$13)</f>
        <v>7.0614999999999997</v>
      </c>
      <c r="J162" s="68">
        <f>4.236 * CHOOSE(CONTROL!$C$22, $C$13, 100%, $E$13)</f>
        <v>4.2359999999999998</v>
      </c>
      <c r="K162" s="68">
        <f>4.2372 * CHOOSE(CONTROL!$C$22, $C$13, 100%, $E$13)</f>
        <v>4.2371999999999996</v>
      </c>
    </row>
    <row r="163" spans="1:11" ht="15">
      <c r="A163" s="13">
        <v>46082</v>
      </c>
      <c r="B163" s="67">
        <f>3.6227 * CHOOSE(CONTROL!$C$22, $C$13, 100%, $E$13)</f>
        <v>3.6227</v>
      </c>
      <c r="C163" s="67">
        <f>3.6227 * CHOOSE(CONTROL!$C$22, $C$13, 100%, $E$13)</f>
        <v>3.6227</v>
      </c>
      <c r="D163" s="67">
        <f>3.6237 * CHOOSE(CONTROL!$C$22, $C$13, 100%, $E$13)</f>
        <v>3.6236999999999999</v>
      </c>
      <c r="E163" s="68">
        <f>4.2876 * CHOOSE(CONTROL!$C$22, $C$13, 100%, $E$13)</f>
        <v>4.2876000000000003</v>
      </c>
      <c r="F163" s="68">
        <f>4.2876 * CHOOSE(CONTROL!$C$22, $C$13, 100%, $E$13)</f>
        <v>4.2876000000000003</v>
      </c>
      <c r="G163" s="68">
        <f>4.2889 * CHOOSE(CONTROL!$C$22, $C$13, 100%, $E$13)</f>
        <v>4.2888999999999999</v>
      </c>
      <c r="H163" s="68">
        <f>7.0749* CHOOSE(CONTROL!$C$22, $C$13, 100%, $E$13)</f>
        <v>7.0749000000000004</v>
      </c>
      <c r="I163" s="68">
        <f>7.0762 * CHOOSE(CONTROL!$C$22, $C$13, 100%, $E$13)</f>
        <v>7.0762</v>
      </c>
      <c r="J163" s="68">
        <f>4.2876 * CHOOSE(CONTROL!$C$22, $C$13, 100%, $E$13)</f>
        <v>4.2876000000000003</v>
      </c>
      <c r="K163" s="68">
        <f>4.2889 * CHOOSE(CONTROL!$C$22, $C$13, 100%, $E$13)</f>
        <v>4.2888999999999999</v>
      </c>
    </row>
    <row r="164" spans="1:11" ht="15">
      <c r="A164" s="13">
        <v>46113</v>
      </c>
      <c r="B164" s="67">
        <f>3.62 * CHOOSE(CONTROL!$C$22, $C$13, 100%, $E$13)</f>
        <v>3.62</v>
      </c>
      <c r="C164" s="67">
        <f>3.62 * CHOOSE(CONTROL!$C$22, $C$13, 100%, $E$13)</f>
        <v>3.62</v>
      </c>
      <c r="D164" s="67">
        <f>3.6209 * CHOOSE(CONTROL!$C$22, $C$13, 100%, $E$13)</f>
        <v>3.6208999999999998</v>
      </c>
      <c r="E164" s="68">
        <f>4.3412 * CHOOSE(CONTROL!$C$22, $C$13, 100%, $E$13)</f>
        <v>4.3411999999999997</v>
      </c>
      <c r="F164" s="68">
        <f>4.3412 * CHOOSE(CONTROL!$C$22, $C$13, 100%, $E$13)</f>
        <v>4.3411999999999997</v>
      </c>
      <c r="G164" s="68">
        <f>4.3425 * CHOOSE(CONTROL!$C$22, $C$13, 100%, $E$13)</f>
        <v>4.3425000000000002</v>
      </c>
      <c r="H164" s="68">
        <f>7.0897* CHOOSE(CONTROL!$C$22, $C$13, 100%, $E$13)</f>
        <v>7.0896999999999997</v>
      </c>
      <c r="I164" s="68">
        <f>7.091 * CHOOSE(CONTROL!$C$22, $C$13, 100%, $E$13)</f>
        <v>7.0910000000000002</v>
      </c>
      <c r="J164" s="68">
        <f>4.3412 * CHOOSE(CONTROL!$C$22, $C$13, 100%, $E$13)</f>
        <v>4.3411999999999997</v>
      </c>
      <c r="K164" s="68">
        <f>4.3425 * CHOOSE(CONTROL!$C$22, $C$13, 100%, $E$13)</f>
        <v>4.3425000000000002</v>
      </c>
    </row>
    <row r="165" spans="1:11" ht="15">
      <c r="A165" s="13">
        <v>46143</v>
      </c>
      <c r="B165" s="67">
        <f>3.62 * CHOOSE(CONTROL!$C$22, $C$13, 100%, $E$13)</f>
        <v>3.62</v>
      </c>
      <c r="C165" s="67">
        <f>3.62 * CHOOSE(CONTROL!$C$22, $C$13, 100%, $E$13)</f>
        <v>3.62</v>
      </c>
      <c r="D165" s="67">
        <f>3.6226 * CHOOSE(CONTROL!$C$22, $C$13, 100%, $E$13)</f>
        <v>3.6225999999999998</v>
      </c>
      <c r="E165" s="68">
        <f>4.3628 * CHOOSE(CONTROL!$C$22, $C$13, 100%, $E$13)</f>
        <v>4.3628</v>
      </c>
      <c r="F165" s="68">
        <f>4.3628 * CHOOSE(CONTROL!$C$22, $C$13, 100%, $E$13)</f>
        <v>4.3628</v>
      </c>
      <c r="G165" s="68">
        <f>4.3661 * CHOOSE(CONTROL!$C$22, $C$13, 100%, $E$13)</f>
        <v>4.3661000000000003</v>
      </c>
      <c r="H165" s="68">
        <f>7.1044* CHOOSE(CONTROL!$C$22, $C$13, 100%, $E$13)</f>
        <v>7.1044</v>
      </c>
      <c r="I165" s="68">
        <f>7.1077 * CHOOSE(CONTROL!$C$22, $C$13, 100%, $E$13)</f>
        <v>7.1077000000000004</v>
      </c>
      <c r="J165" s="68">
        <f>4.3628 * CHOOSE(CONTROL!$C$22, $C$13, 100%, $E$13)</f>
        <v>4.3628</v>
      </c>
      <c r="K165" s="68">
        <f>4.3661 * CHOOSE(CONTROL!$C$22, $C$13, 100%, $E$13)</f>
        <v>4.3661000000000003</v>
      </c>
    </row>
    <row r="166" spans="1:11" ht="15">
      <c r="A166" s="13">
        <v>46174</v>
      </c>
      <c r="B166" s="67">
        <f>3.626 * CHOOSE(CONTROL!$C$22, $C$13, 100%, $E$13)</f>
        <v>3.6259999999999999</v>
      </c>
      <c r="C166" s="67">
        <f>3.626 * CHOOSE(CONTROL!$C$22, $C$13, 100%, $E$13)</f>
        <v>3.6259999999999999</v>
      </c>
      <c r="D166" s="67">
        <f>3.6287 * CHOOSE(CONTROL!$C$22, $C$13, 100%, $E$13)</f>
        <v>3.6286999999999998</v>
      </c>
      <c r="E166" s="68">
        <f>4.3454 * CHOOSE(CONTROL!$C$22, $C$13, 100%, $E$13)</f>
        <v>4.3453999999999997</v>
      </c>
      <c r="F166" s="68">
        <f>4.3454 * CHOOSE(CONTROL!$C$22, $C$13, 100%, $E$13)</f>
        <v>4.3453999999999997</v>
      </c>
      <c r="G166" s="68">
        <f>4.3487 * CHOOSE(CONTROL!$C$22, $C$13, 100%, $E$13)</f>
        <v>4.3487</v>
      </c>
      <c r="H166" s="68">
        <f>7.1192* CHOOSE(CONTROL!$C$22, $C$13, 100%, $E$13)</f>
        <v>7.1192000000000002</v>
      </c>
      <c r="I166" s="68">
        <f>7.1225 * CHOOSE(CONTROL!$C$22, $C$13, 100%, $E$13)</f>
        <v>7.1224999999999996</v>
      </c>
      <c r="J166" s="68">
        <f>4.3454 * CHOOSE(CONTROL!$C$22, $C$13, 100%, $E$13)</f>
        <v>4.3453999999999997</v>
      </c>
      <c r="K166" s="68">
        <f>4.3487 * CHOOSE(CONTROL!$C$22, $C$13, 100%, $E$13)</f>
        <v>4.3487</v>
      </c>
    </row>
    <row r="167" spans="1:11" ht="15">
      <c r="A167" s="13">
        <v>46204</v>
      </c>
      <c r="B167" s="67">
        <f>3.6807 * CHOOSE(CONTROL!$C$22, $C$13, 100%, $E$13)</f>
        <v>3.6806999999999999</v>
      </c>
      <c r="C167" s="67">
        <f>3.6807 * CHOOSE(CONTROL!$C$22, $C$13, 100%, $E$13)</f>
        <v>3.6806999999999999</v>
      </c>
      <c r="D167" s="67">
        <f>3.6833 * CHOOSE(CONTROL!$C$22, $C$13, 100%, $E$13)</f>
        <v>3.6833</v>
      </c>
      <c r="E167" s="68">
        <f>4.4213 * CHOOSE(CONTROL!$C$22, $C$13, 100%, $E$13)</f>
        <v>4.4212999999999996</v>
      </c>
      <c r="F167" s="68">
        <f>4.4213 * CHOOSE(CONTROL!$C$22, $C$13, 100%, $E$13)</f>
        <v>4.4212999999999996</v>
      </c>
      <c r="G167" s="68">
        <f>4.4245 * CHOOSE(CONTROL!$C$22, $C$13, 100%, $E$13)</f>
        <v>4.4245000000000001</v>
      </c>
      <c r="H167" s="68">
        <f>7.1341* CHOOSE(CONTROL!$C$22, $C$13, 100%, $E$13)</f>
        <v>7.1341000000000001</v>
      </c>
      <c r="I167" s="68">
        <f>7.1373 * CHOOSE(CONTROL!$C$22, $C$13, 100%, $E$13)</f>
        <v>7.1372999999999998</v>
      </c>
      <c r="J167" s="68">
        <f>4.4213 * CHOOSE(CONTROL!$C$22, $C$13, 100%, $E$13)</f>
        <v>4.4212999999999996</v>
      </c>
      <c r="K167" s="68">
        <f>4.4245 * CHOOSE(CONTROL!$C$22, $C$13, 100%, $E$13)</f>
        <v>4.4245000000000001</v>
      </c>
    </row>
    <row r="168" spans="1:11" ht="15">
      <c r="A168" s="13">
        <v>46235</v>
      </c>
      <c r="B168" s="67">
        <f>3.6874 * CHOOSE(CONTROL!$C$22, $C$13, 100%, $E$13)</f>
        <v>3.6873999999999998</v>
      </c>
      <c r="C168" s="67">
        <f>3.6874 * CHOOSE(CONTROL!$C$22, $C$13, 100%, $E$13)</f>
        <v>3.6873999999999998</v>
      </c>
      <c r="D168" s="67">
        <f>3.69 * CHOOSE(CONTROL!$C$22, $C$13, 100%, $E$13)</f>
        <v>3.69</v>
      </c>
      <c r="E168" s="68">
        <f>4.3609 * CHOOSE(CONTROL!$C$22, $C$13, 100%, $E$13)</f>
        <v>4.3609</v>
      </c>
      <c r="F168" s="68">
        <f>4.3609 * CHOOSE(CONTROL!$C$22, $C$13, 100%, $E$13)</f>
        <v>4.3609</v>
      </c>
      <c r="G168" s="68">
        <f>4.3642 * CHOOSE(CONTROL!$C$22, $C$13, 100%, $E$13)</f>
        <v>4.3642000000000003</v>
      </c>
      <c r="H168" s="68">
        <f>7.1489* CHOOSE(CONTROL!$C$22, $C$13, 100%, $E$13)</f>
        <v>7.1489000000000003</v>
      </c>
      <c r="I168" s="68">
        <f>7.1522 * CHOOSE(CONTROL!$C$22, $C$13, 100%, $E$13)</f>
        <v>7.1521999999999997</v>
      </c>
      <c r="J168" s="68">
        <f>4.3609 * CHOOSE(CONTROL!$C$22, $C$13, 100%, $E$13)</f>
        <v>4.3609</v>
      </c>
      <c r="K168" s="68">
        <f>4.3642 * CHOOSE(CONTROL!$C$22, $C$13, 100%, $E$13)</f>
        <v>4.3642000000000003</v>
      </c>
    </row>
    <row r="169" spans="1:11" ht="15">
      <c r="A169" s="13">
        <v>46266</v>
      </c>
      <c r="B169" s="67">
        <f>3.6843 * CHOOSE(CONTROL!$C$22, $C$13, 100%, $E$13)</f>
        <v>3.6842999999999999</v>
      </c>
      <c r="C169" s="67">
        <f>3.6843 * CHOOSE(CONTROL!$C$22, $C$13, 100%, $E$13)</f>
        <v>3.6842999999999999</v>
      </c>
      <c r="D169" s="67">
        <f>3.6869 * CHOOSE(CONTROL!$C$22, $C$13, 100%, $E$13)</f>
        <v>3.6869000000000001</v>
      </c>
      <c r="E169" s="68">
        <f>4.3516 * CHOOSE(CONTROL!$C$22, $C$13, 100%, $E$13)</f>
        <v>4.3516000000000004</v>
      </c>
      <c r="F169" s="68">
        <f>4.3516 * CHOOSE(CONTROL!$C$22, $C$13, 100%, $E$13)</f>
        <v>4.3516000000000004</v>
      </c>
      <c r="G169" s="68">
        <f>4.3549 * CHOOSE(CONTROL!$C$22, $C$13, 100%, $E$13)</f>
        <v>4.3548999999999998</v>
      </c>
      <c r="H169" s="68">
        <f>7.1638* CHOOSE(CONTROL!$C$22, $C$13, 100%, $E$13)</f>
        <v>7.1638000000000002</v>
      </c>
      <c r="I169" s="68">
        <f>7.1671 * CHOOSE(CONTROL!$C$22, $C$13, 100%, $E$13)</f>
        <v>7.1670999999999996</v>
      </c>
      <c r="J169" s="68">
        <f>4.3516 * CHOOSE(CONTROL!$C$22, $C$13, 100%, $E$13)</f>
        <v>4.3516000000000004</v>
      </c>
      <c r="K169" s="68">
        <f>4.3549 * CHOOSE(CONTROL!$C$22, $C$13, 100%, $E$13)</f>
        <v>4.3548999999999998</v>
      </c>
    </row>
    <row r="170" spans="1:11" ht="15">
      <c r="A170" s="13">
        <v>46296</v>
      </c>
      <c r="B170" s="67">
        <f>3.6781 * CHOOSE(CONTROL!$C$22, $C$13, 100%, $E$13)</f>
        <v>3.6781000000000001</v>
      </c>
      <c r="C170" s="67">
        <f>3.6781 * CHOOSE(CONTROL!$C$22, $C$13, 100%, $E$13)</f>
        <v>3.6781000000000001</v>
      </c>
      <c r="D170" s="67">
        <f>3.6791 * CHOOSE(CONTROL!$C$22, $C$13, 100%, $E$13)</f>
        <v>3.6791</v>
      </c>
      <c r="E170" s="68">
        <f>4.3671 * CHOOSE(CONTROL!$C$22, $C$13, 100%, $E$13)</f>
        <v>4.3670999999999998</v>
      </c>
      <c r="F170" s="68">
        <f>4.3671 * CHOOSE(CONTROL!$C$22, $C$13, 100%, $E$13)</f>
        <v>4.3670999999999998</v>
      </c>
      <c r="G170" s="68">
        <f>4.3684 * CHOOSE(CONTROL!$C$22, $C$13, 100%, $E$13)</f>
        <v>4.3684000000000003</v>
      </c>
      <c r="H170" s="68">
        <f>7.1788* CHOOSE(CONTROL!$C$22, $C$13, 100%, $E$13)</f>
        <v>7.1787999999999998</v>
      </c>
      <c r="I170" s="68">
        <f>7.18 * CHOOSE(CONTROL!$C$22, $C$13, 100%, $E$13)</f>
        <v>7.18</v>
      </c>
      <c r="J170" s="68">
        <f>4.3671 * CHOOSE(CONTROL!$C$22, $C$13, 100%, $E$13)</f>
        <v>4.3670999999999998</v>
      </c>
      <c r="K170" s="68">
        <f>4.3684 * CHOOSE(CONTROL!$C$22, $C$13, 100%, $E$13)</f>
        <v>4.3684000000000003</v>
      </c>
    </row>
    <row r="171" spans="1:11" ht="15">
      <c r="A171" s="13">
        <v>46327</v>
      </c>
      <c r="B171" s="67">
        <f>3.6811 * CHOOSE(CONTROL!$C$22, $C$13, 100%, $E$13)</f>
        <v>3.6810999999999998</v>
      </c>
      <c r="C171" s="67">
        <f>3.6811 * CHOOSE(CONTROL!$C$22, $C$13, 100%, $E$13)</f>
        <v>3.6810999999999998</v>
      </c>
      <c r="D171" s="67">
        <f>3.6821 * CHOOSE(CONTROL!$C$22, $C$13, 100%, $E$13)</f>
        <v>3.6821000000000002</v>
      </c>
      <c r="E171" s="68">
        <f>4.3836 * CHOOSE(CONTROL!$C$22, $C$13, 100%, $E$13)</f>
        <v>4.3836000000000004</v>
      </c>
      <c r="F171" s="68">
        <f>4.3836 * CHOOSE(CONTROL!$C$22, $C$13, 100%, $E$13)</f>
        <v>4.3836000000000004</v>
      </c>
      <c r="G171" s="68">
        <f>4.3849 * CHOOSE(CONTROL!$C$22, $C$13, 100%, $E$13)</f>
        <v>4.3849</v>
      </c>
      <c r="H171" s="68">
        <f>7.1937* CHOOSE(CONTROL!$C$22, $C$13, 100%, $E$13)</f>
        <v>7.1936999999999998</v>
      </c>
      <c r="I171" s="68">
        <f>7.195 * CHOOSE(CONTROL!$C$22, $C$13, 100%, $E$13)</f>
        <v>7.1950000000000003</v>
      </c>
      <c r="J171" s="68">
        <f>4.3836 * CHOOSE(CONTROL!$C$22, $C$13, 100%, $E$13)</f>
        <v>4.3836000000000004</v>
      </c>
      <c r="K171" s="68">
        <f>4.3849 * CHOOSE(CONTROL!$C$22, $C$13, 100%, $E$13)</f>
        <v>4.3849</v>
      </c>
    </row>
    <row r="172" spans="1:11" ht="15">
      <c r="A172" s="13">
        <v>46357</v>
      </c>
      <c r="B172" s="67">
        <f>3.6811 * CHOOSE(CONTROL!$C$22, $C$13, 100%, $E$13)</f>
        <v>3.6810999999999998</v>
      </c>
      <c r="C172" s="67">
        <f>3.6811 * CHOOSE(CONTROL!$C$22, $C$13, 100%, $E$13)</f>
        <v>3.6810999999999998</v>
      </c>
      <c r="D172" s="67">
        <f>3.6821 * CHOOSE(CONTROL!$C$22, $C$13, 100%, $E$13)</f>
        <v>3.6821000000000002</v>
      </c>
      <c r="E172" s="68">
        <f>4.3475 * CHOOSE(CONTROL!$C$22, $C$13, 100%, $E$13)</f>
        <v>4.3475000000000001</v>
      </c>
      <c r="F172" s="68">
        <f>4.3475 * CHOOSE(CONTROL!$C$22, $C$13, 100%, $E$13)</f>
        <v>4.3475000000000001</v>
      </c>
      <c r="G172" s="68">
        <f>4.3488 * CHOOSE(CONTROL!$C$22, $C$13, 100%, $E$13)</f>
        <v>4.3487999999999998</v>
      </c>
      <c r="H172" s="68">
        <f>7.2087* CHOOSE(CONTROL!$C$22, $C$13, 100%, $E$13)</f>
        <v>7.2087000000000003</v>
      </c>
      <c r="I172" s="68">
        <f>7.21 * CHOOSE(CONTROL!$C$22, $C$13, 100%, $E$13)</f>
        <v>7.21</v>
      </c>
      <c r="J172" s="68">
        <f>4.3475 * CHOOSE(CONTROL!$C$22, $C$13, 100%, $E$13)</f>
        <v>4.3475000000000001</v>
      </c>
      <c r="K172" s="68">
        <f>4.3488 * CHOOSE(CONTROL!$C$22, $C$13, 100%, $E$13)</f>
        <v>4.3487999999999998</v>
      </c>
    </row>
    <row r="173" spans="1:11" ht="15">
      <c r="A173" s="13">
        <v>46388</v>
      </c>
      <c r="B173" s="67">
        <f>3.7098 * CHOOSE(CONTROL!$C$22, $C$13, 100%, $E$13)</f>
        <v>3.7098</v>
      </c>
      <c r="C173" s="67">
        <f>3.7098 * CHOOSE(CONTROL!$C$22, $C$13, 100%, $E$13)</f>
        <v>3.7098</v>
      </c>
      <c r="D173" s="67">
        <f>3.7108 * CHOOSE(CONTROL!$C$22, $C$13, 100%, $E$13)</f>
        <v>3.7107999999999999</v>
      </c>
      <c r="E173" s="68">
        <f>4.4079 * CHOOSE(CONTROL!$C$22, $C$13, 100%, $E$13)</f>
        <v>4.4078999999999997</v>
      </c>
      <c r="F173" s="68">
        <f>4.4079 * CHOOSE(CONTROL!$C$22, $C$13, 100%, $E$13)</f>
        <v>4.4078999999999997</v>
      </c>
      <c r="G173" s="68">
        <f>4.4092 * CHOOSE(CONTROL!$C$22, $C$13, 100%, $E$13)</f>
        <v>4.4092000000000002</v>
      </c>
      <c r="H173" s="68">
        <f>7.2237* CHOOSE(CONTROL!$C$22, $C$13, 100%, $E$13)</f>
        <v>7.2237</v>
      </c>
      <c r="I173" s="68">
        <f>7.225 * CHOOSE(CONTROL!$C$22, $C$13, 100%, $E$13)</f>
        <v>7.2249999999999996</v>
      </c>
      <c r="J173" s="68">
        <f>4.4079 * CHOOSE(CONTROL!$C$22, $C$13, 100%, $E$13)</f>
        <v>4.4078999999999997</v>
      </c>
      <c r="K173" s="68">
        <f>4.4092 * CHOOSE(CONTROL!$C$22, $C$13, 100%, $E$13)</f>
        <v>4.4092000000000002</v>
      </c>
    </row>
    <row r="174" spans="1:11" ht="15">
      <c r="A174" s="13">
        <v>46419</v>
      </c>
      <c r="B174" s="67">
        <f>3.7067 * CHOOSE(CONTROL!$C$22, $C$13, 100%, $E$13)</f>
        <v>3.7067000000000001</v>
      </c>
      <c r="C174" s="67">
        <f>3.7067 * CHOOSE(CONTROL!$C$22, $C$13, 100%, $E$13)</f>
        <v>3.7067000000000001</v>
      </c>
      <c r="D174" s="67">
        <f>3.7077 * CHOOSE(CONTROL!$C$22, $C$13, 100%, $E$13)</f>
        <v>3.7077</v>
      </c>
      <c r="E174" s="68">
        <f>4.3359 * CHOOSE(CONTROL!$C$22, $C$13, 100%, $E$13)</f>
        <v>4.3358999999999996</v>
      </c>
      <c r="F174" s="68">
        <f>4.3359 * CHOOSE(CONTROL!$C$22, $C$13, 100%, $E$13)</f>
        <v>4.3358999999999996</v>
      </c>
      <c r="G174" s="68">
        <f>4.3371 * CHOOSE(CONTROL!$C$22, $C$13, 100%, $E$13)</f>
        <v>4.3371000000000004</v>
      </c>
      <c r="H174" s="68">
        <f>7.2388* CHOOSE(CONTROL!$C$22, $C$13, 100%, $E$13)</f>
        <v>7.2388000000000003</v>
      </c>
      <c r="I174" s="68">
        <f>7.24 * CHOOSE(CONTROL!$C$22, $C$13, 100%, $E$13)</f>
        <v>7.24</v>
      </c>
      <c r="J174" s="68">
        <f>4.3359 * CHOOSE(CONTROL!$C$22, $C$13, 100%, $E$13)</f>
        <v>4.3358999999999996</v>
      </c>
      <c r="K174" s="68">
        <f>4.3371 * CHOOSE(CONTROL!$C$22, $C$13, 100%, $E$13)</f>
        <v>4.3371000000000004</v>
      </c>
    </row>
    <row r="175" spans="1:11" ht="15">
      <c r="A175" s="13">
        <v>46447</v>
      </c>
      <c r="B175" s="67">
        <f>3.7037 * CHOOSE(CONTROL!$C$22, $C$13, 100%, $E$13)</f>
        <v>3.7037</v>
      </c>
      <c r="C175" s="67">
        <f>3.7037 * CHOOSE(CONTROL!$C$22, $C$13, 100%, $E$13)</f>
        <v>3.7037</v>
      </c>
      <c r="D175" s="67">
        <f>3.7047 * CHOOSE(CONTROL!$C$22, $C$13, 100%, $E$13)</f>
        <v>3.7046999999999999</v>
      </c>
      <c r="E175" s="68">
        <f>4.3889 * CHOOSE(CONTROL!$C$22, $C$13, 100%, $E$13)</f>
        <v>4.3888999999999996</v>
      </c>
      <c r="F175" s="68">
        <f>4.3889 * CHOOSE(CONTROL!$C$22, $C$13, 100%, $E$13)</f>
        <v>4.3888999999999996</v>
      </c>
      <c r="G175" s="68">
        <f>4.3902 * CHOOSE(CONTROL!$C$22, $C$13, 100%, $E$13)</f>
        <v>4.3902000000000001</v>
      </c>
      <c r="H175" s="68">
        <f>7.2538* CHOOSE(CONTROL!$C$22, $C$13, 100%, $E$13)</f>
        <v>7.2538</v>
      </c>
      <c r="I175" s="68">
        <f>7.2551 * CHOOSE(CONTROL!$C$22, $C$13, 100%, $E$13)</f>
        <v>7.2550999999999997</v>
      </c>
      <c r="J175" s="68">
        <f>4.3889 * CHOOSE(CONTROL!$C$22, $C$13, 100%, $E$13)</f>
        <v>4.3888999999999996</v>
      </c>
      <c r="K175" s="68">
        <f>4.3902 * CHOOSE(CONTROL!$C$22, $C$13, 100%, $E$13)</f>
        <v>4.3902000000000001</v>
      </c>
    </row>
    <row r="176" spans="1:11" ht="15">
      <c r="A176" s="13">
        <v>46478</v>
      </c>
      <c r="B176" s="67">
        <f>3.701 * CHOOSE(CONTROL!$C$22, $C$13, 100%, $E$13)</f>
        <v>3.7010000000000001</v>
      </c>
      <c r="C176" s="67">
        <f>3.701 * CHOOSE(CONTROL!$C$22, $C$13, 100%, $E$13)</f>
        <v>3.7010000000000001</v>
      </c>
      <c r="D176" s="67">
        <f>3.702 * CHOOSE(CONTROL!$C$22, $C$13, 100%, $E$13)</f>
        <v>3.702</v>
      </c>
      <c r="E176" s="68">
        <f>4.4439 * CHOOSE(CONTROL!$C$22, $C$13, 100%, $E$13)</f>
        <v>4.4439000000000002</v>
      </c>
      <c r="F176" s="68">
        <f>4.4439 * CHOOSE(CONTROL!$C$22, $C$13, 100%, $E$13)</f>
        <v>4.4439000000000002</v>
      </c>
      <c r="G176" s="68">
        <f>4.4452 * CHOOSE(CONTROL!$C$22, $C$13, 100%, $E$13)</f>
        <v>4.4451999999999998</v>
      </c>
      <c r="H176" s="68">
        <f>7.269* CHOOSE(CONTROL!$C$22, $C$13, 100%, $E$13)</f>
        <v>7.2690000000000001</v>
      </c>
      <c r="I176" s="68">
        <f>7.2702 * CHOOSE(CONTROL!$C$22, $C$13, 100%, $E$13)</f>
        <v>7.2702</v>
      </c>
      <c r="J176" s="68">
        <f>4.4439 * CHOOSE(CONTROL!$C$22, $C$13, 100%, $E$13)</f>
        <v>4.4439000000000002</v>
      </c>
      <c r="K176" s="68">
        <f>4.4452 * CHOOSE(CONTROL!$C$22, $C$13, 100%, $E$13)</f>
        <v>4.4451999999999998</v>
      </c>
    </row>
    <row r="177" spans="1:11" ht="15">
      <c r="A177" s="13">
        <v>46508</v>
      </c>
      <c r="B177" s="67">
        <f>3.701 * CHOOSE(CONTROL!$C$22, $C$13, 100%, $E$13)</f>
        <v>3.7010000000000001</v>
      </c>
      <c r="C177" s="67">
        <f>3.701 * CHOOSE(CONTROL!$C$22, $C$13, 100%, $E$13)</f>
        <v>3.7010000000000001</v>
      </c>
      <c r="D177" s="67">
        <f>3.7037 * CHOOSE(CONTROL!$C$22, $C$13, 100%, $E$13)</f>
        <v>3.7037</v>
      </c>
      <c r="E177" s="68">
        <f>4.4661 * CHOOSE(CONTROL!$C$22, $C$13, 100%, $E$13)</f>
        <v>4.4661</v>
      </c>
      <c r="F177" s="68">
        <f>4.4661 * CHOOSE(CONTROL!$C$22, $C$13, 100%, $E$13)</f>
        <v>4.4661</v>
      </c>
      <c r="G177" s="68">
        <f>4.4694 * CHOOSE(CONTROL!$C$22, $C$13, 100%, $E$13)</f>
        <v>4.4694000000000003</v>
      </c>
      <c r="H177" s="68">
        <f>7.2841* CHOOSE(CONTROL!$C$22, $C$13, 100%, $E$13)</f>
        <v>7.2840999999999996</v>
      </c>
      <c r="I177" s="68">
        <f>7.2874 * CHOOSE(CONTROL!$C$22, $C$13, 100%, $E$13)</f>
        <v>7.2873999999999999</v>
      </c>
      <c r="J177" s="68">
        <f>4.4661 * CHOOSE(CONTROL!$C$22, $C$13, 100%, $E$13)</f>
        <v>4.4661</v>
      </c>
      <c r="K177" s="68">
        <f>4.4694 * CHOOSE(CONTROL!$C$22, $C$13, 100%, $E$13)</f>
        <v>4.4694000000000003</v>
      </c>
    </row>
    <row r="178" spans="1:11" ht="15">
      <c r="A178" s="13">
        <v>46539</v>
      </c>
      <c r="B178" s="67">
        <f>3.7071 * CHOOSE(CONTROL!$C$22, $C$13, 100%, $E$13)</f>
        <v>3.7071000000000001</v>
      </c>
      <c r="C178" s="67">
        <f>3.7071 * CHOOSE(CONTROL!$C$22, $C$13, 100%, $E$13)</f>
        <v>3.7071000000000001</v>
      </c>
      <c r="D178" s="67">
        <f>3.7097 * CHOOSE(CONTROL!$C$22, $C$13, 100%, $E$13)</f>
        <v>3.7097000000000002</v>
      </c>
      <c r="E178" s="68">
        <f>4.4481 * CHOOSE(CONTROL!$C$22, $C$13, 100%, $E$13)</f>
        <v>4.4481000000000002</v>
      </c>
      <c r="F178" s="68">
        <f>4.4481 * CHOOSE(CONTROL!$C$22, $C$13, 100%, $E$13)</f>
        <v>4.4481000000000002</v>
      </c>
      <c r="G178" s="68">
        <f>4.4514 * CHOOSE(CONTROL!$C$22, $C$13, 100%, $E$13)</f>
        <v>4.4513999999999996</v>
      </c>
      <c r="H178" s="68">
        <f>7.2993* CHOOSE(CONTROL!$C$22, $C$13, 100%, $E$13)</f>
        <v>7.2992999999999997</v>
      </c>
      <c r="I178" s="68">
        <f>7.3025 * CHOOSE(CONTROL!$C$22, $C$13, 100%, $E$13)</f>
        <v>7.3025000000000002</v>
      </c>
      <c r="J178" s="68">
        <f>4.4481 * CHOOSE(CONTROL!$C$22, $C$13, 100%, $E$13)</f>
        <v>4.4481000000000002</v>
      </c>
      <c r="K178" s="68">
        <f>4.4514 * CHOOSE(CONTROL!$C$22, $C$13, 100%, $E$13)</f>
        <v>4.4513999999999996</v>
      </c>
    </row>
    <row r="179" spans="1:11" ht="15">
      <c r="A179" s="13">
        <v>46569</v>
      </c>
      <c r="B179" s="67">
        <f>3.7587 * CHOOSE(CONTROL!$C$22, $C$13, 100%, $E$13)</f>
        <v>3.7587000000000002</v>
      </c>
      <c r="C179" s="67">
        <f>3.7587 * CHOOSE(CONTROL!$C$22, $C$13, 100%, $E$13)</f>
        <v>3.7587000000000002</v>
      </c>
      <c r="D179" s="67">
        <f>3.7613 * CHOOSE(CONTROL!$C$22, $C$13, 100%, $E$13)</f>
        <v>3.7612999999999999</v>
      </c>
      <c r="E179" s="68">
        <f>4.5253 * CHOOSE(CONTROL!$C$22, $C$13, 100%, $E$13)</f>
        <v>4.5252999999999997</v>
      </c>
      <c r="F179" s="68">
        <f>4.5253 * CHOOSE(CONTROL!$C$22, $C$13, 100%, $E$13)</f>
        <v>4.5252999999999997</v>
      </c>
      <c r="G179" s="68">
        <f>4.5285 * CHOOSE(CONTROL!$C$22, $C$13, 100%, $E$13)</f>
        <v>4.5285000000000002</v>
      </c>
      <c r="H179" s="68">
        <f>7.3145* CHOOSE(CONTROL!$C$22, $C$13, 100%, $E$13)</f>
        <v>7.3144999999999998</v>
      </c>
      <c r="I179" s="68">
        <f>7.3177 * CHOOSE(CONTROL!$C$22, $C$13, 100%, $E$13)</f>
        <v>7.3177000000000003</v>
      </c>
      <c r="J179" s="68">
        <f>4.5253 * CHOOSE(CONTROL!$C$22, $C$13, 100%, $E$13)</f>
        <v>4.5252999999999997</v>
      </c>
      <c r="K179" s="68">
        <f>4.5285 * CHOOSE(CONTROL!$C$22, $C$13, 100%, $E$13)</f>
        <v>4.5285000000000002</v>
      </c>
    </row>
    <row r="180" spans="1:11" ht="15">
      <c r="A180" s="13">
        <v>46600</v>
      </c>
      <c r="B180" s="67">
        <f>3.7654 * CHOOSE(CONTROL!$C$22, $C$13, 100%, $E$13)</f>
        <v>3.7654000000000001</v>
      </c>
      <c r="C180" s="67">
        <f>3.7654 * CHOOSE(CONTROL!$C$22, $C$13, 100%, $E$13)</f>
        <v>3.7654000000000001</v>
      </c>
      <c r="D180" s="67">
        <f>3.768 * CHOOSE(CONTROL!$C$22, $C$13, 100%, $E$13)</f>
        <v>3.7679999999999998</v>
      </c>
      <c r="E180" s="68">
        <f>4.4633 * CHOOSE(CONTROL!$C$22, $C$13, 100%, $E$13)</f>
        <v>4.4633000000000003</v>
      </c>
      <c r="F180" s="68">
        <f>4.4633 * CHOOSE(CONTROL!$C$22, $C$13, 100%, $E$13)</f>
        <v>4.4633000000000003</v>
      </c>
      <c r="G180" s="68">
        <f>4.4666 * CHOOSE(CONTROL!$C$22, $C$13, 100%, $E$13)</f>
        <v>4.4665999999999997</v>
      </c>
      <c r="H180" s="68">
        <f>7.3297* CHOOSE(CONTROL!$C$22, $C$13, 100%, $E$13)</f>
        <v>7.3296999999999999</v>
      </c>
      <c r="I180" s="68">
        <f>7.333 * CHOOSE(CONTROL!$C$22, $C$13, 100%, $E$13)</f>
        <v>7.3330000000000002</v>
      </c>
      <c r="J180" s="68">
        <f>4.4633 * CHOOSE(CONTROL!$C$22, $C$13, 100%, $E$13)</f>
        <v>4.4633000000000003</v>
      </c>
      <c r="K180" s="68">
        <f>4.4666 * CHOOSE(CONTROL!$C$22, $C$13, 100%, $E$13)</f>
        <v>4.4665999999999997</v>
      </c>
    </row>
    <row r="181" spans="1:11" ht="15">
      <c r="A181" s="13">
        <v>46631</v>
      </c>
      <c r="B181" s="67">
        <f>3.7623 * CHOOSE(CONTROL!$C$22, $C$13, 100%, $E$13)</f>
        <v>3.7623000000000002</v>
      </c>
      <c r="C181" s="67">
        <f>3.7623 * CHOOSE(CONTROL!$C$22, $C$13, 100%, $E$13)</f>
        <v>3.7623000000000002</v>
      </c>
      <c r="D181" s="67">
        <f>3.7649 * CHOOSE(CONTROL!$C$22, $C$13, 100%, $E$13)</f>
        <v>3.7648999999999999</v>
      </c>
      <c r="E181" s="68">
        <f>4.4538 * CHOOSE(CONTROL!$C$22, $C$13, 100%, $E$13)</f>
        <v>4.4538000000000002</v>
      </c>
      <c r="F181" s="68">
        <f>4.4538 * CHOOSE(CONTROL!$C$22, $C$13, 100%, $E$13)</f>
        <v>4.4538000000000002</v>
      </c>
      <c r="G181" s="68">
        <f>4.457 * CHOOSE(CONTROL!$C$22, $C$13, 100%, $E$13)</f>
        <v>4.4569999999999999</v>
      </c>
      <c r="H181" s="68">
        <f>7.345* CHOOSE(CONTROL!$C$22, $C$13, 100%, $E$13)</f>
        <v>7.3449999999999998</v>
      </c>
      <c r="I181" s="68">
        <f>7.3482 * CHOOSE(CONTROL!$C$22, $C$13, 100%, $E$13)</f>
        <v>7.3482000000000003</v>
      </c>
      <c r="J181" s="68">
        <f>4.4538 * CHOOSE(CONTROL!$C$22, $C$13, 100%, $E$13)</f>
        <v>4.4538000000000002</v>
      </c>
      <c r="K181" s="68">
        <f>4.457 * CHOOSE(CONTROL!$C$22, $C$13, 100%, $E$13)</f>
        <v>4.4569999999999999</v>
      </c>
    </row>
    <row r="182" spans="1:11" ht="15">
      <c r="A182" s="13">
        <v>46661</v>
      </c>
      <c r="B182" s="67">
        <f>3.7564 * CHOOSE(CONTROL!$C$22, $C$13, 100%, $E$13)</f>
        <v>3.7564000000000002</v>
      </c>
      <c r="C182" s="67">
        <f>3.7564 * CHOOSE(CONTROL!$C$22, $C$13, 100%, $E$13)</f>
        <v>3.7564000000000002</v>
      </c>
      <c r="D182" s="67">
        <f>3.7574 * CHOOSE(CONTROL!$C$22, $C$13, 100%, $E$13)</f>
        <v>3.7574000000000001</v>
      </c>
      <c r="E182" s="68">
        <f>4.47 * CHOOSE(CONTROL!$C$22, $C$13, 100%, $E$13)</f>
        <v>4.47</v>
      </c>
      <c r="F182" s="68">
        <f>4.47 * CHOOSE(CONTROL!$C$22, $C$13, 100%, $E$13)</f>
        <v>4.47</v>
      </c>
      <c r="G182" s="68">
        <f>4.4713 * CHOOSE(CONTROL!$C$22, $C$13, 100%, $E$13)</f>
        <v>4.4713000000000003</v>
      </c>
      <c r="H182" s="68">
        <f>7.3603* CHOOSE(CONTROL!$C$22, $C$13, 100%, $E$13)</f>
        <v>7.3602999999999996</v>
      </c>
      <c r="I182" s="68">
        <f>7.3616 * CHOOSE(CONTROL!$C$22, $C$13, 100%, $E$13)</f>
        <v>7.3616000000000001</v>
      </c>
      <c r="J182" s="68">
        <f>4.47 * CHOOSE(CONTROL!$C$22, $C$13, 100%, $E$13)</f>
        <v>4.47</v>
      </c>
      <c r="K182" s="68">
        <f>4.4713 * CHOOSE(CONTROL!$C$22, $C$13, 100%, $E$13)</f>
        <v>4.4713000000000003</v>
      </c>
    </row>
    <row r="183" spans="1:11" ht="15">
      <c r="A183" s="13">
        <v>46692</v>
      </c>
      <c r="B183" s="67">
        <f>3.7595 * CHOOSE(CONTROL!$C$22, $C$13, 100%, $E$13)</f>
        <v>3.7595000000000001</v>
      </c>
      <c r="C183" s="67">
        <f>3.7595 * CHOOSE(CONTROL!$C$22, $C$13, 100%, $E$13)</f>
        <v>3.7595000000000001</v>
      </c>
      <c r="D183" s="67">
        <f>3.7604 * CHOOSE(CONTROL!$C$22, $C$13, 100%, $E$13)</f>
        <v>3.7604000000000002</v>
      </c>
      <c r="E183" s="68">
        <f>4.4869 * CHOOSE(CONTROL!$C$22, $C$13, 100%, $E$13)</f>
        <v>4.4869000000000003</v>
      </c>
      <c r="F183" s="68">
        <f>4.4869 * CHOOSE(CONTROL!$C$22, $C$13, 100%, $E$13)</f>
        <v>4.4869000000000003</v>
      </c>
      <c r="G183" s="68">
        <f>4.4882 * CHOOSE(CONTROL!$C$22, $C$13, 100%, $E$13)</f>
        <v>4.4882</v>
      </c>
      <c r="H183" s="68">
        <f>7.3756* CHOOSE(CONTROL!$C$22, $C$13, 100%, $E$13)</f>
        <v>7.3756000000000004</v>
      </c>
      <c r="I183" s="68">
        <f>7.3769 * CHOOSE(CONTROL!$C$22, $C$13, 100%, $E$13)</f>
        <v>7.3769</v>
      </c>
      <c r="J183" s="68">
        <f>4.4869 * CHOOSE(CONTROL!$C$22, $C$13, 100%, $E$13)</f>
        <v>4.4869000000000003</v>
      </c>
      <c r="K183" s="68">
        <f>4.4882 * CHOOSE(CONTROL!$C$22, $C$13, 100%, $E$13)</f>
        <v>4.4882</v>
      </c>
    </row>
    <row r="184" spans="1:11" ht="15">
      <c r="A184" s="13">
        <v>46722</v>
      </c>
      <c r="B184" s="67">
        <f>3.7595 * CHOOSE(CONTROL!$C$22, $C$13, 100%, $E$13)</f>
        <v>3.7595000000000001</v>
      </c>
      <c r="C184" s="67">
        <f>3.7595 * CHOOSE(CONTROL!$C$22, $C$13, 100%, $E$13)</f>
        <v>3.7595000000000001</v>
      </c>
      <c r="D184" s="67">
        <f>3.7604 * CHOOSE(CONTROL!$C$22, $C$13, 100%, $E$13)</f>
        <v>3.7604000000000002</v>
      </c>
      <c r="E184" s="68">
        <f>4.4499 * CHOOSE(CONTROL!$C$22, $C$13, 100%, $E$13)</f>
        <v>4.4499000000000004</v>
      </c>
      <c r="F184" s="68">
        <f>4.4499 * CHOOSE(CONTROL!$C$22, $C$13, 100%, $E$13)</f>
        <v>4.4499000000000004</v>
      </c>
      <c r="G184" s="68">
        <f>4.4512 * CHOOSE(CONTROL!$C$22, $C$13, 100%, $E$13)</f>
        <v>4.4512</v>
      </c>
      <c r="H184" s="68">
        <f>7.391* CHOOSE(CONTROL!$C$22, $C$13, 100%, $E$13)</f>
        <v>7.391</v>
      </c>
      <c r="I184" s="68">
        <f>7.3923 * CHOOSE(CONTROL!$C$22, $C$13, 100%, $E$13)</f>
        <v>7.3922999999999996</v>
      </c>
      <c r="J184" s="68">
        <f>4.4499 * CHOOSE(CONTROL!$C$22, $C$13, 100%, $E$13)</f>
        <v>4.4499000000000004</v>
      </c>
      <c r="K184" s="68">
        <f>4.4512 * CHOOSE(CONTROL!$C$22, $C$13, 100%, $E$13)</f>
        <v>4.4512</v>
      </c>
    </row>
    <row r="185" spans="1:11" ht="15">
      <c r="A185" s="13">
        <v>46753</v>
      </c>
      <c r="B185" s="67">
        <f>3.7926 * CHOOSE(CONTROL!$C$22, $C$13, 100%, $E$13)</f>
        <v>3.7926000000000002</v>
      </c>
      <c r="C185" s="67">
        <f>3.7926 * CHOOSE(CONTROL!$C$22, $C$13, 100%, $E$13)</f>
        <v>3.7926000000000002</v>
      </c>
      <c r="D185" s="67">
        <f>3.7936 * CHOOSE(CONTROL!$C$22, $C$13, 100%, $E$13)</f>
        <v>3.7936000000000001</v>
      </c>
      <c r="E185" s="68">
        <f>4.5119 * CHOOSE(CONTROL!$C$22, $C$13, 100%, $E$13)</f>
        <v>4.5118999999999998</v>
      </c>
      <c r="F185" s="68">
        <f>4.5119 * CHOOSE(CONTROL!$C$22, $C$13, 100%, $E$13)</f>
        <v>4.5118999999999998</v>
      </c>
      <c r="G185" s="68">
        <f>4.5132 * CHOOSE(CONTROL!$C$22, $C$13, 100%, $E$13)</f>
        <v>4.5132000000000003</v>
      </c>
      <c r="H185" s="68">
        <f>7.4064* CHOOSE(CONTROL!$C$22, $C$13, 100%, $E$13)</f>
        <v>7.4063999999999997</v>
      </c>
      <c r="I185" s="68">
        <f>7.4077 * CHOOSE(CONTROL!$C$22, $C$13, 100%, $E$13)</f>
        <v>7.4077000000000002</v>
      </c>
      <c r="J185" s="68">
        <f>4.5119 * CHOOSE(CONTROL!$C$22, $C$13, 100%, $E$13)</f>
        <v>4.5118999999999998</v>
      </c>
      <c r="K185" s="68">
        <f>4.5132 * CHOOSE(CONTROL!$C$22, $C$13, 100%, $E$13)</f>
        <v>4.5132000000000003</v>
      </c>
    </row>
    <row r="186" spans="1:11" ht="15">
      <c r="A186" s="13">
        <v>46784</v>
      </c>
      <c r="B186" s="67">
        <f>3.7896 * CHOOSE(CONTROL!$C$22, $C$13, 100%, $E$13)</f>
        <v>3.7896000000000001</v>
      </c>
      <c r="C186" s="67">
        <f>3.7896 * CHOOSE(CONTROL!$C$22, $C$13, 100%, $E$13)</f>
        <v>3.7896000000000001</v>
      </c>
      <c r="D186" s="67">
        <f>3.7905 * CHOOSE(CONTROL!$C$22, $C$13, 100%, $E$13)</f>
        <v>3.7905000000000002</v>
      </c>
      <c r="E186" s="68">
        <f>4.438 * CHOOSE(CONTROL!$C$22, $C$13, 100%, $E$13)</f>
        <v>4.4379999999999997</v>
      </c>
      <c r="F186" s="68">
        <f>4.438 * CHOOSE(CONTROL!$C$22, $C$13, 100%, $E$13)</f>
        <v>4.4379999999999997</v>
      </c>
      <c r="G186" s="68">
        <f>4.4393 * CHOOSE(CONTROL!$C$22, $C$13, 100%, $E$13)</f>
        <v>4.4393000000000002</v>
      </c>
      <c r="H186" s="68">
        <f>7.4218* CHOOSE(CONTROL!$C$22, $C$13, 100%, $E$13)</f>
        <v>7.4218000000000002</v>
      </c>
      <c r="I186" s="68">
        <f>7.4231 * CHOOSE(CONTROL!$C$22, $C$13, 100%, $E$13)</f>
        <v>7.4230999999999998</v>
      </c>
      <c r="J186" s="68">
        <f>4.438 * CHOOSE(CONTROL!$C$22, $C$13, 100%, $E$13)</f>
        <v>4.4379999999999997</v>
      </c>
      <c r="K186" s="68">
        <f>4.4393 * CHOOSE(CONTROL!$C$22, $C$13, 100%, $E$13)</f>
        <v>4.4393000000000002</v>
      </c>
    </row>
    <row r="187" spans="1:11" ht="15">
      <c r="A187" s="13">
        <v>46813</v>
      </c>
      <c r="B187" s="67">
        <f>3.7865 * CHOOSE(CONTROL!$C$22, $C$13, 100%, $E$13)</f>
        <v>3.7865000000000002</v>
      </c>
      <c r="C187" s="67">
        <f>3.7865 * CHOOSE(CONTROL!$C$22, $C$13, 100%, $E$13)</f>
        <v>3.7865000000000002</v>
      </c>
      <c r="D187" s="67">
        <f>3.7875 * CHOOSE(CONTROL!$C$22, $C$13, 100%, $E$13)</f>
        <v>3.7875000000000001</v>
      </c>
      <c r="E187" s="68">
        <f>4.4925 * CHOOSE(CONTROL!$C$22, $C$13, 100%, $E$13)</f>
        <v>4.4924999999999997</v>
      </c>
      <c r="F187" s="68">
        <f>4.4925 * CHOOSE(CONTROL!$C$22, $C$13, 100%, $E$13)</f>
        <v>4.4924999999999997</v>
      </c>
      <c r="G187" s="68">
        <f>4.4938 * CHOOSE(CONTROL!$C$22, $C$13, 100%, $E$13)</f>
        <v>4.4938000000000002</v>
      </c>
      <c r="H187" s="68">
        <f>7.4373* CHOOSE(CONTROL!$C$22, $C$13, 100%, $E$13)</f>
        <v>7.4372999999999996</v>
      </c>
      <c r="I187" s="68">
        <f>7.4386 * CHOOSE(CONTROL!$C$22, $C$13, 100%, $E$13)</f>
        <v>7.4386000000000001</v>
      </c>
      <c r="J187" s="68">
        <f>4.4925 * CHOOSE(CONTROL!$C$22, $C$13, 100%, $E$13)</f>
        <v>4.4924999999999997</v>
      </c>
      <c r="K187" s="68">
        <f>4.4938 * CHOOSE(CONTROL!$C$22, $C$13, 100%, $E$13)</f>
        <v>4.4938000000000002</v>
      </c>
    </row>
    <row r="188" spans="1:11" ht="15">
      <c r="A188" s="13">
        <v>46844</v>
      </c>
      <c r="B188" s="67">
        <f>3.7839 * CHOOSE(CONTROL!$C$22, $C$13, 100%, $E$13)</f>
        <v>3.7839</v>
      </c>
      <c r="C188" s="67">
        <f>3.7839 * CHOOSE(CONTROL!$C$22, $C$13, 100%, $E$13)</f>
        <v>3.7839</v>
      </c>
      <c r="D188" s="67">
        <f>3.7849 * CHOOSE(CONTROL!$C$22, $C$13, 100%, $E$13)</f>
        <v>3.7848999999999999</v>
      </c>
      <c r="E188" s="68">
        <f>4.549 * CHOOSE(CONTROL!$C$22, $C$13, 100%, $E$13)</f>
        <v>4.5490000000000004</v>
      </c>
      <c r="F188" s="68">
        <f>4.549 * CHOOSE(CONTROL!$C$22, $C$13, 100%, $E$13)</f>
        <v>4.5490000000000004</v>
      </c>
      <c r="G188" s="68">
        <f>4.5503 * CHOOSE(CONTROL!$C$22, $C$13, 100%, $E$13)</f>
        <v>4.5503</v>
      </c>
      <c r="H188" s="68">
        <f>7.4528* CHOOSE(CONTROL!$C$22, $C$13, 100%, $E$13)</f>
        <v>7.4527999999999999</v>
      </c>
      <c r="I188" s="68">
        <f>7.4541 * CHOOSE(CONTROL!$C$22, $C$13, 100%, $E$13)</f>
        <v>7.4541000000000004</v>
      </c>
      <c r="J188" s="68">
        <f>4.549 * CHOOSE(CONTROL!$C$22, $C$13, 100%, $E$13)</f>
        <v>4.5490000000000004</v>
      </c>
      <c r="K188" s="68">
        <f>4.5503 * CHOOSE(CONTROL!$C$22, $C$13, 100%, $E$13)</f>
        <v>4.5503</v>
      </c>
    </row>
    <row r="189" spans="1:11" ht="15">
      <c r="A189" s="13">
        <v>46874</v>
      </c>
      <c r="B189" s="67">
        <f>3.7839 * CHOOSE(CONTROL!$C$22, $C$13, 100%, $E$13)</f>
        <v>3.7839</v>
      </c>
      <c r="C189" s="67">
        <f>3.7839 * CHOOSE(CONTROL!$C$22, $C$13, 100%, $E$13)</f>
        <v>3.7839</v>
      </c>
      <c r="D189" s="67">
        <f>3.7866 * CHOOSE(CONTROL!$C$22, $C$13, 100%, $E$13)</f>
        <v>3.7866</v>
      </c>
      <c r="E189" s="68">
        <f>4.5718 * CHOOSE(CONTROL!$C$22, $C$13, 100%, $E$13)</f>
        <v>4.5717999999999996</v>
      </c>
      <c r="F189" s="68">
        <f>4.5718 * CHOOSE(CONTROL!$C$22, $C$13, 100%, $E$13)</f>
        <v>4.5717999999999996</v>
      </c>
      <c r="G189" s="68">
        <f>4.575 * CHOOSE(CONTROL!$C$22, $C$13, 100%, $E$13)</f>
        <v>4.5750000000000002</v>
      </c>
      <c r="H189" s="68">
        <f>7.4683* CHOOSE(CONTROL!$C$22, $C$13, 100%, $E$13)</f>
        <v>7.4683000000000002</v>
      </c>
      <c r="I189" s="68">
        <f>7.4716 * CHOOSE(CONTROL!$C$22, $C$13, 100%, $E$13)</f>
        <v>7.4715999999999996</v>
      </c>
      <c r="J189" s="68">
        <f>4.5718 * CHOOSE(CONTROL!$C$22, $C$13, 100%, $E$13)</f>
        <v>4.5717999999999996</v>
      </c>
      <c r="K189" s="68">
        <f>4.575 * CHOOSE(CONTROL!$C$22, $C$13, 100%, $E$13)</f>
        <v>4.5750000000000002</v>
      </c>
    </row>
    <row r="190" spans="1:11" ht="15">
      <c r="A190" s="13">
        <v>46905</v>
      </c>
      <c r="B190" s="67">
        <f>3.79 * CHOOSE(CONTROL!$C$22, $C$13, 100%, $E$13)</f>
        <v>3.79</v>
      </c>
      <c r="C190" s="67">
        <f>3.79 * CHOOSE(CONTROL!$C$22, $C$13, 100%, $E$13)</f>
        <v>3.79</v>
      </c>
      <c r="D190" s="67">
        <f>3.7926 * CHOOSE(CONTROL!$C$22, $C$13, 100%, $E$13)</f>
        <v>3.7926000000000002</v>
      </c>
      <c r="E190" s="68">
        <f>4.5532 * CHOOSE(CONTROL!$C$22, $C$13, 100%, $E$13)</f>
        <v>4.5532000000000004</v>
      </c>
      <c r="F190" s="68">
        <f>4.5532 * CHOOSE(CONTROL!$C$22, $C$13, 100%, $E$13)</f>
        <v>4.5532000000000004</v>
      </c>
      <c r="G190" s="68">
        <f>4.5565 * CHOOSE(CONTROL!$C$22, $C$13, 100%, $E$13)</f>
        <v>4.5564999999999998</v>
      </c>
      <c r="H190" s="68">
        <f>7.4839* CHOOSE(CONTROL!$C$22, $C$13, 100%, $E$13)</f>
        <v>7.4839000000000002</v>
      </c>
      <c r="I190" s="68">
        <f>7.4871 * CHOOSE(CONTROL!$C$22, $C$13, 100%, $E$13)</f>
        <v>7.4870999999999999</v>
      </c>
      <c r="J190" s="68">
        <f>4.5532 * CHOOSE(CONTROL!$C$22, $C$13, 100%, $E$13)</f>
        <v>4.5532000000000004</v>
      </c>
      <c r="K190" s="68">
        <f>4.5565 * CHOOSE(CONTROL!$C$22, $C$13, 100%, $E$13)</f>
        <v>4.5564999999999998</v>
      </c>
    </row>
    <row r="191" spans="1:11" ht="15">
      <c r="A191" s="13">
        <v>46935</v>
      </c>
      <c r="B191" s="67">
        <f>3.8518 * CHOOSE(CONTROL!$C$22, $C$13, 100%, $E$13)</f>
        <v>3.8517999999999999</v>
      </c>
      <c r="C191" s="67">
        <f>3.8518 * CHOOSE(CONTROL!$C$22, $C$13, 100%, $E$13)</f>
        <v>3.8517999999999999</v>
      </c>
      <c r="D191" s="67">
        <f>3.8544 * CHOOSE(CONTROL!$C$22, $C$13, 100%, $E$13)</f>
        <v>3.8544</v>
      </c>
      <c r="E191" s="68">
        <f>4.6316 * CHOOSE(CONTROL!$C$22, $C$13, 100%, $E$13)</f>
        <v>4.6315999999999997</v>
      </c>
      <c r="F191" s="68">
        <f>4.6316 * CHOOSE(CONTROL!$C$22, $C$13, 100%, $E$13)</f>
        <v>4.6315999999999997</v>
      </c>
      <c r="G191" s="68">
        <f>4.6348 * CHOOSE(CONTROL!$C$22, $C$13, 100%, $E$13)</f>
        <v>4.6348000000000003</v>
      </c>
      <c r="H191" s="68">
        <f>7.4995* CHOOSE(CONTROL!$C$22, $C$13, 100%, $E$13)</f>
        <v>7.4995000000000003</v>
      </c>
      <c r="I191" s="68">
        <f>7.5027 * CHOOSE(CONTROL!$C$22, $C$13, 100%, $E$13)</f>
        <v>7.5026999999999999</v>
      </c>
      <c r="J191" s="68">
        <f>4.6316 * CHOOSE(CONTROL!$C$22, $C$13, 100%, $E$13)</f>
        <v>4.6315999999999997</v>
      </c>
      <c r="K191" s="68">
        <f>4.6348 * CHOOSE(CONTROL!$C$22, $C$13, 100%, $E$13)</f>
        <v>4.6348000000000003</v>
      </c>
    </row>
    <row r="192" spans="1:11" ht="15">
      <c r="A192" s="13">
        <v>46966</v>
      </c>
      <c r="B192" s="67">
        <f>3.8585 * CHOOSE(CONTROL!$C$22, $C$13, 100%, $E$13)</f>
        <v>3.8584999999999998</v>
      </c>
      <c r="C192" s="67">
        <f>3.8585 * CHOOSE(CONTROL!$C$22, $C$13, 100%, $E$13)</f>
        <v>3.8584999999999998</v>
      </c>
      <c r="D192" s="67">
        <f>3.8611 * CHOOSE(CONTROL!$C$22, $C$13, 100%, $E$13)</f>
        <v>3.8611</v>
      </c>
      <c r="E192" s="68">
        <f>4.5679 * CHOOSE(CONTROL!$C$22, $C$13, 100%, $E$13)</f>
        <v>4.5678999999999998</v>
      </c>
      <c r="F192" s="68">
        <f>4.5679 * CHOOSE(CONTROL!$C$22, $C$13, 100%, $E$13)</f>
        <v>4.5678999999999998</v>
      </c>
      <c r="G192" s="68">
        <f>4.5711 * CHOOSE(CONTROL!$C$22, $C$13, 100%, $E$13)</f>
        <v>4.5711000000000004</v>
      </c>
      <c r="H192" s="68">
        <f>7.5151* CHOOSE(CONTROL!$C$22, $C$13, 100%, $E$13)</f>
        <v>7.5151000000000003</v>
      </c>
      <c r="I192" s="68">
        <f>7.5183 * CHOOSE(CONTROL!$C$22, $C$13, 100%, $E$13)</f>
        <v>7.5183</v>
      </c>
      <c r="J192" s="68">
        <f>4.5679 * CHOOSE(CONTROL!$C$22, $C$13, 100%, $E$13)</f>
        <v>4.5678999999999998</v>
      </c>
      <c r="K192" s="68">
        <f>4.5711 * CHOOSE(CONTROL!$C$22, $C$13, 100%, $E$13)</f>
        <v>4.5711000000000004</v>
      </c>
    </row>
    <row r="193" spans="1:11" ht="15">
      <c r="A193" s="13">
        <v>46997</v>
      </c>
      <c r="B193" s="67">
        <f>3.8554 * CHOOSE(CONTROL!$C$22, $C$13, 100%, $E$13)</f>
        <v>3.8553999999999999</v>
      </c>
      <c r="C193" s="67">
        <f>3.8554 * CHOOSE(CONTROL!$C$22, $C$13, 100%, $E$13)</f>
        <v>3.8553999999999999</v>
      </c>
      <c r="D193" s="67">
        <f>3.858 * CHOOSE(CONTROL!$C$22, $C$13, 100%, $E$13)</f>
        <v>3.8580000000000001</v>
      </c>
      <c r="E193" s="68">
        <f>4.5582 * CHOOSE(CONTROL!$C$22, $C$13, 100%, $E$13)</f>
        <v>4.5582000000000003</v>
      </c>
      <c r="F193" s="68">
        <f>4.5582 * CHOOSE(CONTROL!$C$22, $C$13, 100%, $E$13)</f>
        <v>4.5582000000000003</v>
      </c>
      <c r="G193" s="68">
        <f>4.5614 * CHOOSE(CONTROL!$C$22, $C$13, 100%, $E$13)</f>
        <v>4.5613999999999999</v>
      </c>
      <c r="H193" s="68">
        <f>7.5307* CHOOSE(CONTROL!$C$22, $C$13, 100%, $E$13)</f>
        <v>7.5307000000000004</v>
      </c>
      <c r="I193" s="68">
        <f>7.534 * CHOOSE(CONTROL!$C$22, $C$13, 100%, $E$13)</f>
        <v>7.5339999999999998</v>
      </c>
      <c r="J193" s="68">
        <f>4.5582 * CHOOSE(CONTROL!$C$22, $C$13, 100%, $E$13)</f>
        <v>4.5582000000000003</v>
      </c>
      <c r="K193" s="68">
        <f>4.5614 * CHOOSE(CONTROL!$C$22, $C$13, 100%, $E$13)</f>
        <v>4.5613999999999999</v>
      </c>
    </row>
    <row r="194" spans="1:11" ht="15">
      <c r="A194" s="13">
        <v>47027</v>
      </c>
      <c r="B194" s="67">
        <f>3.8498 * CHOOSE(CONTROL!$C$22, $C$13, 100%, $E$13)</f>
        <v>3.8498000000000001</v>
      </c>
      <c r="C194" s="67">
        <f>3.8498 * CHOOSE(CONTROL!$C$22, $C$13, 100%, $E$13)</f>
        <v>3.8498000000000001</v>
      </c>
      <c r="D194" s="67">
        <f>3.8508 * CHOOSE(CONTROL!$C$22, $C$13, 100%, $E$13)</f>
        <v>3.8508</v>
      </c>
      <c r="E194" s="68">
        <f>4.5751 * CHOOSE(CONTROL!$C$22, $C$13, 100%, $E$13)</f>
        <v>4.5750999999999999</v>
      </c>
      <c r="F194" s="68">
        <f>4.5751 * CHOOSE(CONTROL!$C$22, $C$13, 100%, $E$13)</f>
        <v>4.5750999999999999</v>
      </c>
      <c r="G194" s="68">
        <f>4.5764 * CHOOSE(CONTROL!$C$22, $C$13, 100%, $E$13)</f>
        <v>4.5763999999999996</v>
      </c>
      <c r="H194" s="68">
        <f>7.5464* CHOOSE(CONTROL!$C$22, $C$13, 100%, $E$13)</f>
        <v>7.5464000000000002</v>
      </c>
      <c r="I194" s="68">
        <f>7.5477 * CHOOSE(CONTROL!$C$22, $C$13, 100%, $E$13)</f>
        <v>7.5476999999999999</v>
      </c>
      <c r="J194" s="68">
        <f>4.5751 * CHOOSE(CONTROL!$C$22, $C$13, 100%, $E$13)</f>
        <v>4.5750999999999999</v>
      </c>
      <c r="K194" s="68">
        <f>4.5764 * CHOOSE(CONTROL!$C$22, $C$13, 100%, $E$13)</f>
        <v>4.5763999999999996</v>
      </c>
    </row>
    <row r="195" spans="1:11" ht="15">
      <c r="A195" s="13">
        <v>47058</v>
      </c>
      <c r="B195" s="67">
        <f>3.8529 * CHOOSE(CONTROL!$C$22, $C$13, 100%, $E$13)</f>
        <v>3.8529</v>
      </c>
      <c r="C195" s="67">
        <f>3.8529 * CHOOSE(CONTROL!$C$22, $C$13, 100%, $E$13)</f>
        <v>3.8529</v>
      </c>
      <c r="D195" s="67">
        <f>3.8539 * CHOOSE(CONTROL!$C$22, $C$13, 100%, $E$13)</f>
        <v>3.8538999999999999</v>
      </c>
      <c r="E195" s="68">
        <f>4.5924 * CHOOSE(CONTROL!$C$22, $C$13, 100%, $E$13)</f>
        <v>4.5923999999999996</v>
      </c>
      <c r="F195" s="68">
        <f>4.5924 * CHOOSE(CONTROL!$C$22, $C$13, 100%, $E$13)</f>
        <v>4.5923999999999996</v>
      </c>
      <c r="G195" s="68">
        <f>4.5937 * CHOOSE(CONTROL!$C$22, $C$13, 100%, $E$13)</f>
        <v>4.5937000000000001</v>
      </c>
      <c r="H195" s="68">
        <f>7.5621* CHOOSE(CONTROL!$C$22, $C$13, 100%, $E$13)</f>
        <v>7.5621</v>
      </c>
      <c r="I195" s="68">
        <f>7.5634 * CHOOSE(CONTROL!$C$22, $C$13, 100%, $E$13)</f>
        <v>7.5633999999999997</v>
      </c>
      <c r="J195" s="68">
        <f>4.5924 * CHOOSE(CONTROL!$C$22, $C$13, 100%, $E$13)</f>
        <v>4.5923999999999996</v>
      </c>
      <c r="K195" s="68">
        <f>4.5937 * CHOOSE(CONTROL!$C$22, $C$13, 100%, $E$13)</f>
        <v>4.5937000000000001</v>
      </c>
    </row>
    <row r="196" spans="1:11" ht="15">
      <c r="A196" s="13">
        <v>47088</v>
      </c>
      <c r="B196" s="67">
        <f>3.8529 * CHOOSE(CONTROL!$C$22, $C$13, 100%, $E$13)</f>
        <v>3.8529</v>
      </c>
      <c r="C196" s="67">
        <f>3.8529 * CHOOSE(CONTROL!$C$22, $C$13, 100%, $E$13)</f>
        <v>3.8529</v>
      </c>
      <c r="D196" s="67">
        <f>3.8539 * CHOOSE(CONTROL!$C$22, $C$13, 100%, $E$13)</f>
        <v>3.8538999999999999</v>
      </c>
      <c r="E196" s="68">
        <f>4.5545 * CHOOSE(CONTROL!$C$22, $C$13, 100%, $E$13)</f>
        <v>4.5545</v>
      </c>
      <c r="F196" s="68">
        <f>4.5545 * CHOOSE(CONTROL!$C$22, $C$13, 100%, $E$13)</f>
        <v>4.5545</v>
      </c>
      <c r="G196" s="68">
        <f>4.5558 * CHOOSE(CONTROL!$C$22, $C$13, 100%, $E$13)</f>
        <v>4.5557999999999996</v>
      </c>
      <c r="H196" s="68">
        <f>7.5779* CHOOSE(CONTROL!$C$22, $C$13, 100%, $E$13)</f>
        <v>7.5778999999999996</v>
      </c>
      <c r="I196" s="68">
        <f>7.5792 * CHOOSE(CONTROL!$C$22, $C$13, 100%, $E$13)</f>
        <v>7.5792000000000002</v>
      </c>
      <c r="J196" s="68">
        <f>4.5545 * CHOOSE(CONTROL!$C$22, $C$13, 100%, $E$13)</f>
        <v>4.5545</v>
      </c>
      <c r="K196" s="68">
        <f>4.5558 * CHOOSE(CONTROL!$C$22, $C$13, 100%, $E$13)</f>
        <v>4.5557999999999996</v>
      </c>
    </row>
    <row r="197" spans="1:11" ht="15">
      <c r="A197" s="13">
        <v>47119</v>
      </c>
      <c r="B197" s="67">
        <f>3.8828 * CHOOSE(CONTROL!$C$22, $C$13, 100%, $E$13)</f>
        <v>3.8828</v>
      </c>
      <c r="C197" s="67">
        <f>3.8828 * CHOOSE(CONTROL!$C$22, $C$13, 100%, $E$13)</f>
        <v>3.8828</v>
      </c>
      <c r="D197" s="67">
        <f>3.8838 * CHOOSE(CONTROL!$C$22, $C$13, 100%, $E$13)</f>
        <v>3.8837999999999999</v>
      </c>
      <c r="E197" s="68">
        <f>4.6181 * CHOOSE(CONTROL!$C$22, $C$13, 100%, $E$13)</f>
        <v>4.6181000000000001</v>
      </c>
      <c r="F197" s="68">
        <f>4.6181 * CHOOSE(CONTROL!$C$22, $C$13, 100%, $E$13)</f>
        <v>4.6181000000000001</v>
      </c>
      <c r="G197" s="68">
        <f>4.6194 * CHOOSE(CONTROL!$C$22, $C$13, 100%, $E$13)</f>
        <v>4.6193999999999997</v>
      </c>
      <c r="H197" s="68">
        <f>7.5937* CHOOSE(CONTROL!$C$22, $C$13, 100%, $E$13)</f>
        <v>7.5937000000000001</v>
      </c>
      <c r="I197" s="68">
        <f>7.595 * CHOOSE(CONTROL!$C$22, $C$13, 100%, $E$13)</f>
        <v>7.5949999999999998</v>
      </c>
      <c r="J197" s="68">
        <f>4.6181 * CHOOSE(CONTROL!$C$22, $C$13, 100%, $E$13)</f>
        <v>4.6181000000000001</v>
      </c>
      <c r="K197" s="68">
        <f>4.6194 * CHOOSE(CONTROL!$C$22, $C$13, 100%, $E$13)</f>
        <v>4.6193999999999997</v>
      </c>
    </row>
    <row r="198" spans="1:11" ht="15">
      <c r="A198" s="13">
        <v>47150</v>
      </c>
      <c r="B198" s="67">
        <f>3.8798 * CHOOSE(CONTROL!$C$22, $C$13, 100%, $E$13)</f>
        <v>3.8797999999999999</v>
      </c>
      <c r="C198" s="67">
        <f>3.8798 * CHOOSE(CONTROL!$C$22, $C$13, 100%, $E$13)</f>
        <v>3.8797999999999999</v>
      </c>
      <c r="D198" s="67">
        <f>3.8808 * CHOOSE(CONTROL!$C$22, $C$13, 100%, $E$13)</f>
        <v>3.8807999999999998</v>
      </c>
      <c r="E198" s="68">
        <f>4.5424 * CHOOSE(CONTROL!$C$22, $C$13, 100%, $E$13)</f>
        <v>4.5423999999999998</v>
      </c>
      <c r="F198" s="68">
        <f>4.5424 * CHOOSE(CONTROL!$C$22, $C$13, 100%, $E$13)</f>
        <v>4.5423999999999998</v>
      </c>
      <c r="G198" s="68">
        <f>4.5437 * CHOOSE(CONTROL!$C$22, $C$13, 100%, $E$13)</f>
        <v>4.5437000000000003</v>
      </c>
      <c r="H198" s="68">
        <f>7.6095* CHOOSE(CONTROL!$C$22, $C$13, 100%, $E$13)</f>
        <v>7.6094999999999997</v>
      </c>
      <c r="I198" s="68">
        <f>7.6108 * CHOOSE(CONTROL!$C$22, $C$13, 100%, $E$13)</f>
        <v>7.6108000000000002</v>
      </c>
      <c r="J198" s="68">
        <f>4.5424 * CHOOSE(CONTROL!$C$22, $C$13, 100%, $E$13)</f>
        <v>4.5423999999999998</v>
      </c>
      <c r="K198" s="68">
        <f>4.5437 * CHOOSE(CONTROL!$C$22, $C$13, 100%, $E$13)</f>
        <v>4.5437000000000003</v>
      </c>
    </row>
    <row r="199" spans="1:11" ht="15">
      <c r="A199" s="13">
        <v>47178</v>
      </c>
      <c r="B199" s="67">
        <f>3.8767 * CHOOSE(CONTROL!$C$22, $C$13, 100%, $E$13)</f>
        <v>3.8767</v>
      </c>
      <c r="C199" s="67">
        <f>3.8767 * CHOOSE(CONTROL!$C$22, $C$13, 100%, $E$13)</f>
        <v>3.8767</v>
      </c>
      <c r="D199" s="67">
        <f>3.8777 * CHOOSE(CONTROL!$C$22, $C$13, 100%, $E$13)</f>
        <v>3.8776999999999999</v>
      </c>
      <c r="E199" s="68">
        <f>4.5983 * CHOOSE(CONTROL!$C$22, $C$13, 100%, $E$13)</f>
        <v>4.5983000000000001</v>
      </c>
      <c r="F199" s="68">
        <f>4.5983 * CHOOSE(CONTROL!$C$22, $C$13, 100%, $E$13)</f>
        <v>4.5983000000000001</v>
      </c>
      <c r="G199" s="68">
        <f>4.5996 * CHOOSE(CONTROL!$C$22, $C$13, 100%, $E$13)</f>
        <v>4.5995999999999997</v>
      </c>
      <c r="H199" s="68">
        <f>7.6254* CHOOSE(CONTROL!$C$22, $C$13, 100%, $E$13)</f>
        <v>7.6254</v>
      </c>
      <c r="I199" s="68">
        <f>7.6266 * CHOOSE(CONTROL!$C$22, $C$13, 100%, $E$13)</f>
        <v>7.6265999999999998</v>
      </c>
      <c r="J199" s="68">
        <f>4.5983 * CHOOSE(CONTROL!$C$22, $C$13, 100%, $E$13)</f>
        <v>4.5983000000000001</v>
      </c>
      <c r="K199" s="68">
        <f>4.5996 * CHOOSE(CONTROL!$C$22, $C$13, 100%, $E$13)</f>
        <v>4.5995999999999997</v>
      </c>
    </row>
    <row r="200" spans="1:11" ht="15">
      <c r="A200" s="13">
        <v>47209</v>
      </c>
      <c r="B200" s="67">
        <f>3.8743 * CHOOSE(CONTROL!$C$22, $C$13, 100%, $E$13)</f>
        <v>3.8742999999999999</v>
      </c>
      <c r="C200" s="67">
        <f>3.8743 * CHOOSE(CONTROL!$C$22, $C$13, 100%, $E$13)</f>
        <v>3.8742999999999999</v>
      </c>
      <c r="D200" s="67">
        <f>3.8752 * CHOOSE(CONTROL!$C$22, $C$13, 100%, $E$13)</f>
        <v>3.8752</v>
      </c>
      <c r="E200" s="68">
        <f>4.6563 * CHOOSE(CONTROL!$C$22, $C$13, 100%, $E$13)</f>
        <v>4.6562999999999999</v>
      </c>
      <c r="F200" s="68">
        <f>4.6563 * CHOOSE(CONTROL!$C$22, $C$13, 100%, $E$13)</f>
        <v>4.6562999999999999</v>
      </c>
      <c r="G200" s="68">
        <f>4.6576 * CHOOSE(CONTROL!$C$22, $C$13, 100%, $E$13)</f>
        <v>4.6576000000000004</v>
      </c>
      <c r="H200" s="68">
        <f>7.6412* CHOOSE(CONTROL!$C$22, $C$13, 100%, $E$13)</f>
        <v>7.6412000000000004</v>
      </c>
      <c r="I200" s="68">
        <f>7.6425 * CHOOSE(CONTROL!$C$22, $C$13, 100%, $E$13)</f>
        <v>7.6425000000000001</v>
      </c>
      <c r="J200" s="68">
        <f>4.6563 * CHOOSE(CONTROL!$C$22, $C$13, 100%, $E$13)</f>
        <v>4.6562999999999999</v>
      </c>
      <c r="K200" s="68">
        <f>4.6576 * CHOOSE(CONTROL!$C$22, $C$13, 100%, $E$13)</f>
        <v>4.6576000000000004</v>
      </c>
    </row>
    <row r="201" spans="1:11" ht="15">
      <c r="A201" s="13">
        <v>47239</v>
      </c>
      <c r="B201" s="67">
        <f>3.8743 * CHOOSE(CONTROL!$C$22, $C$13, 100%, $E$13)</f>
        <v>3.8742999999999999</v>
      </c>
      <c r="C201" s="67">
        <f>3.8743 * CHOOSE(CONTROL!$C$22, $C$13, 100%, $E$13)</f>
        <v>3.8742999999999999</v>
      </c>
      <c r="D201" s="67">
        <f>3.8769 * CHOOSE(CONTROL!$C$22, $C$13, 100%, $E$13)</f>
        <v>3.8769</v>
      </c>
      <c r="E201" s="68">
        <f>4.6797 * CHOOSE(CONTROL!$C$22, $C$13, 100%, $E$13)</f>
        <v>4.6797000000000004</v>
      </c>
      <c r="F201" s="68">
        <f>4.6797 * CHOOSE(CONTROL!$C$22, $C$13, 100%, $E$13)</f>
        <v>4.6797000000000004</v>
      </c>
      <c r="G201" s="68">
        <f>4.683 * CHOOSE(CONTROL!$C$22, $C$13, 100%, $E$13)</f>
        <v>4.6829999999999998</v>
      </c>
      <c r="H201" s="68">
        <f>7.6572* CHOOSE(CONTROL!$C$22, $C$13, 100%, $E$13)</f>
        <v>7.6571999999999996</v>
      </c>
      <c r="I201" s="68">
        <f>7.6604 * CHOOSE(CONTROL!$C$22, $C$13, 100%, $E$13)</f>
        <v>7.6604000000000001</v>
      </c>
      <c r="J201" s="68">
        <f>4.6797 * CHOOSE(CONTROL!$C$22, $C$13, 100%, $E$13)</f>
        <v>4.6797000000000004</v>
      </c>
      <c r="K201" s="68">
        <f>4.683 * CHOOSE(CONTROL!$C$22, $C$13, 100%, $E$13)</f>
        <v>4.6829999999999998</v>
      </c>
    </row>
    <row r="202" spans="1:11" ht="15">
      <c r="A202" s="13">
        <v>47270</v>
      </c>
      <c r="B202" s="67">
        <f>3.8803 * CHOOSE(CONTROL!$C$22, $C$13, 100%, $E$13)</f>
        <v>3.8803000000000001</v>
      </c>
      <c r="C202" s="67">
        <f>3.8803 * CHOOSE(CONTROL!$C$22, $C$13, 100%, $E$13)</f>
        <v>3.8803000000000001</v>
      </c>
      <c r="D202" s="67">
        <f>3.883 * CHOOSE(CONTROL!$C$22, $C$13, 100%, $E$13)</f>
        <v>3.883</v>
      </c>
      <c r="E202" s="68">
        <f>4.6606 * CHOOSE(CONTROL!$C$22, $C$13, 100%, $E$13)</f>
        <v>4.6605999999999996</v>
      </c>
      <c r="F202" s="68">
        <f>4.6606 * CHOOSE(CONTROL!$C$22, $C$13, 100%, $E$13)</f>
        <v>4.6605999999999996</v>
      </c>
      <c r="G202" s="68">
        <f>4.6638 * CHOOSE(CONTROL!$C$22, $C$13, 100%, $E$13)</f>
        <v>4.6638000000000002</v>
      </c>
      <c r="H202" s="68">
        <f>7.6731* CHOOSE(CONTROL!$C$22, $C$13, 100%, $E$13)</f>
        <v>7.6730999999999998</v>
      </c>
      <c r="I202" s="68">
        <f>7.6764 * CHOOSE(CONTROL!$C$22, $C$13, 100%, $E$13)</f>
        <v>7.6764000000000001</v>
      </c>
      <c r="J202" s="68">
        <f>4.6606 * CHOOSE(CONTROL!$C$22, $C$13, 100%, $E$13)</f>
        <v>4.6605999999999996</v>
      </c>
      <c r="K202" s="68">
        <f>4.6638 * CHOOSE(CONTROL!$C$22, $C$13, 100%, $E$13)</f>
        <v>4.6638000000000002</v>
      </c>
    </row>
    <row r="203" spans="1:11" ht="15">
      <c r="A203" s="13">
        <v>47300</v>
      </c>
      <c r="B203" s="67">
        <f>3.9341 * CHOOSE(CONTROL!$C$22, $C$13, 100%, $E$13)</f>
        <v>3.9340999999999999</v>
      </c>
      <c r="C203" s="67">
        <f>3.9341 * CHOOSE(CONTROL!$C$22, $C$13, 100%, $E$13)</f>
        <v>3.9340999999999999</v>
      </c>
      <c r="D203" s="67">
        <f>3.9367 * CHOOSE(CONTROL!$C$22, $C$13, 100%, $E$13)</f>
        <v>3.9367000000000001</v>
      </c>
      <c r="E203" s="68">
        <f>4.7415 * CHOOSE(CONTROL!$C$22, $C$13, 100%, $E$13)</f>
        <v>4.7415000000000003</v>
      </c>
      <c r="F203" s="68">
        <f>4.7415 * CHOOSE(CONTROL!$C$22, $C$13, 100%, $E$13)</f>
        <v>4.7415000000000003</v>
      </c>
      <c r="G203" s="68">
        <f>4.7447 * CHOOSE(CONTROL!$C$22, $C$13, 100%, $E$13)</f>
        <v>4.7446999999999999</v>
      </c>
      <c r="H203" s="68">
        <f>7.6891* CHOOSE(CONTROL!$C$22, $C$13, 100%, $E$13)</f>
        <v>7.6890999999999998</v>
      </c>
      <c r="I203" s="68">
        <f>7.6924 * CHOOSE(CONTROL!$C$22, $C$13, 100%, $E$13)</f>
        <v>7.6924000000000001</v>
      </c>
      <c r="J203" s="68">
        <f>4.7415 * CHOOSE(CONTROL!$C$22, $C$13, 100%, $E$13)</f>
        <v>4.7415000000000003</v>
      </c>
      <c r="K203" s="68">
        <f>4.7447 * CHOOSE(CONTROL!$C$22, $C$13, 100%, $E$13)</f>
        <v>4.7446999999999999</v>
      </c>
    </row>
    <row r="204" spans="1:11" ht="15">
      <c r="A204" s="13">
        <v>47331</v>
      </c>
      <c r="B204" s="67">
        <f>3.9407 * CHOOSE(CONTROL!$C$22, $C$13, 100%, $E$13)</f>
        <v>3.9407000000000001</v>
      </c>
      <c r="C204" s="67">
        <f>3.9407 * CHOOSE(CONTROL!$C$22, $C$13, 100%, $E$13)</f>
        <v>3.9407000000000001</v>
      </c>
      <c r="D204" s="67">
        <f>3.9434 * CHOOSE(CONTROL!$C$22, $C$13, 100%, $E$13)</f>
        <v>3.9434</v>
      </c>
      <c r="E204" s="68">
        <f>4.676 * CHOOSE(CONTROL!$C$22, $C$13, 100%, $E$13)</f>
        <v>4.6760000000000002</v>
      </c>
      <c r="F204" s="68">
        <f>4.676 * CHOOSE(CONTROL!$C$22, $C$13, 100%, $E$13)</f>
        <v>4.6760000000000002</v>
      </c>
      <c r="G204" s="68">
        <f>4.6793 * CHOOSE(CONTROL!$C$22, $C$13, 100%, $E$13)</f>
        <v>4.6792999999999996</v>
      </c>
      <c r="H204" s="68">
        <f>7.7051* CHOOSE(CONTROL!$C$22, $C$13, 100%, $E$13)</f>
        <v>7.7050999999999998</v>
      </c>
      <c r="I204" s="68">
        <f>7.7084 * CHOOSE(CONTROL!$C$22, $C$13, 100%, $E$13)</f>
        <v>7.7084000000000001</v>
      </c>
      <c r="J204" s="68">
        <f>4.676 * CHOOSE(CONTROL!$C$22, $C$13, 100%, $E$13)</f>
        <v>4.6760000000000002</v>
      </c>
      <c r="K204" s="68">
        <f>4.6793 * CHOOSE(CONTROL!$C$22, $C$13, 100%, $E$13)</f>
        <v>4.6792999999999996</v>
      </c>
    </row>
    <row r="205" spans="1:11" ht="15">
      <c r="A205" s="13">
        <v>47362</v>
      </c>
      <c r="B205" s="67">
        <f>3.9377 * CHOOSE(CONTROL!$C$22, $C$13, 100%, $E$13)</f>
        <v>3.9377</v>
      </c>
      <c r="C205" s="67">
        <f>3.9377 * CHOOSE(CONTROL!$C$22, $C$13, 100%, $E$13)</f>
        <v>3.9377</v>
      </c>
      <c r="D205" s="67">
        <f>3.9403 * CHOOSE(CONTROL!$C$22, $C$13, 100%, $E$13)</f>
        <v>3.9403000000000001</v>
      </c>
      <c r="E205" s="68">
        <f>4.6661 * CHOOSE(CONTROL!$C$22, $C$13, 100%, $E$13)</f>
        <v>4.6661000000000001</v>
      </c>
      <c r="F205" s="68">
        <f>4.6661 * CHOOSE(CONTROL!$C$22, $C$13, 100%, $E$13)</f>
        <v>4.6661000000000001</v>
      </c>
      <c r="G205" s="68">
        <f>4.6694 * CHOOSE(CONTROL!$C$22, $C$13, 100%, $E$13)</f>
        <v>4.6694000000000004</v>
      </c>
      <c r="H205" s="68">
        <f>7.7212* CHOOSE(CONTROL!$C$22, $C$13, 100%, $E$13)</f>
        <v>7.7211999999999996</v>
      </c>
      <c r="I205" s="68">
        <f>7.7244 * CHOOSE(CONTROL!$C$22, $C$13, 100%, $E$13)</f>
        <v>7.7244000000000002</v>
      </c>
      <c r="J205" s="68">
        <f>4.6661 * CHOOSE(CONTROL!$C$22, $C$13, 100%, $E$13)</f>
        <v>4.6661000000000001</v>
      </c>
      <c r="K205" s="68">
        <f>4.6694 * CHOOSE(CONTROL!$C$22, $C$13, 100%, $E$13)</f>
        <v>4.6694000000000004</v>
      </c>
    </row>
    <row r="206" spans="1:11" ht="15">
      <c r="A206" s="13">
        <v>47392</v>
      </c>
      <c r="B206" s="67">
        <f>3.9325 * CHOOSE(CONTROL!$C$22, $C$13, 100%, $E$13)</f>
        <v>3.9325000000000001</v>
      </c>
      <c r="C206" s="67">
        <f>3.9325 * CHOOSE(CONTROL!$C$22, $C$13, 100%, $E$13)</f>
        <v>3.9325000000000001</v>
      </c>
      <c r="D206" s="67">
        <f>3.9335 * CHOOSE(CONTROL!$C$22, $C$13, 100%, $E$13)</f>
        <v>3.9335</v>
      </c>
      <c r="E206" s="68">
        <f>4.6838 * CHOOSE(CONTROL!$C$22, $C$13, 100%, $E$13)</f>
        <v>4.6837999999999997</v>
      </c>
      <c r="F206" s="68">
        <f>4.6838 * CHOOSE(CONTROL!$C$22, $C$13, 100%, $E$13)</f>
        <v>4.6837999999999997</v>
      </c>
      <c r="G206" s="68">
        <f>4.6851 * CHOOSE(CONTROL!$C$22, $C$13, 100%, $E$13)</f>
        <v>4.6851000000000003</v>
      </c>
      <c r="H206" s="68">
        <f>7.7373* CHOOSE(CONTROL!$C$22, $C$13, 100%, $E$13)</f>
        <v>7.7373000000000003</v>
      </c>
      <c r="I206" s="68">
        <f>7.7385 * CHOOSE(CONTROL!$C$22, $C$13, 100%, $E$13)</f>
        <v>7.7385000000000002</v>
      </c>
      <c r="J206" s="68">
        <f>4.6838 * CHOOSE(CONTROL!$C$22, $C$13, 100%, $E$13)</f>
        <v>4.6837999999999997</v>
      </c>
      <c r="K206" s="68">
        <f>4.6851 * CHOOSE(CONTROL!$C$22, $C$13, 100%, $E$13)</f>
        <v>4.6851000000000003</v>
      </c>
    </row>
    <row r="207" spans="1:11" ht="15">
      <c r="A207" s="13">
        <v>47423</v>
      </c>
      <c r="B207" s="67">
        <f>3.9355 * CHOOSE(CONTROL!$C$22, $C$13, 100%, $E$13)</f>
        <v>3.9355000000000002</v>
      </c>
      <c r="C207" s="67">
        <f>3.9355 * CHOOSE(CONTROL!$C$22, $C$13, 100%, $E$13)</f>
        <v>3.9355000000000002</v>
      </c>
      <c r="D207" s="67">
        <f>3.9365 * CHOOSE(CONTROL!$C$22, $C$13, 100%, $E$13)</f>
        <v>3.9365000000000001</v>
      </c>
      <c r="E207" s="68">
        <f>4.7015 * CHOOSE(CONTROL!$C$22, $C$13, 100%, $E$13)</f>
        <v>4.7015000000000002</v>
      </c>
      <c r="F207" s="68">
        <f>4.7015 * CHOOSE(CONTROL!$C$22, $C$13, 100%, $E$13)</f>
        <v>4.7015000000000002</v>
      </c>
      <c r="G207" s="68">
        <f>4.7028 * CHOOSE(CONTROL!$C$22, $C$13, 100%, $E$13)</f>
        <v>4.7027999999999999</v>
      </c>
      <c r="H207" s="68">
        <f>7.7534* CHOOSE(CONTROL!$C$22, $C$13, 100%, $E$13)</f>
        <v>7.7534000000000001</v>
      </c>
      <c r="I207" s="68">
        <f>7.7547 * CHOOSE(CONTROL!$C$22, $C$13, 100%, $E$13)</f>
        <v>7.7546999999999997</v>
      </c>
      <c r="J207" s="68">
        <f>4.7015 * CHOOSE(CONTROL!$C$22, $C$13, 100%, $E$13)</f>
        <v>4.7015000000000002</v>
      </c>
      <c r="K207" s="68">
        <f>4.7028 * CHOOSE(CONTROL!$C$22, $C$13, 100%, $E$13)</f>
        <v>4.7027999999999999</v>
      </c>
    </row>
    <row r="208" spans="1:11" ht="15">
      <c r="A208" s="13">
        <v>47453</v>
      </c>
      <c r="B208" s="67">
        <f>3.9355 * CHOOSE(CONTROL!$C$22, $C$13, 100%, $E$13)</f>
        <v>3.9355000000000002</v>
      </c>
      <c r="C208" s="67">
        <f>3.9355 * CHOOSE(CONTROL!$C$22, $C$13, 100%, $E$13)</f>
        <v>3.9355000000000002</v>
      </c>
      <c r="D208" s="67">
        <f>3.9365 * CHOOSE(CONTROL!$C$22, $C$13, 100%, $E$13)</f>
        <v>3.9365000000000001</v>
      </c>
      <c r="E208" s="68">
        <f>4.6626 * CHOOSE(CONTROL!$C$22, $C$13, 100%, $E$13)</f>
        <v>4.6626000000000003</v>
      </c>
      <c r="F208" s="68">
        <f>4.6626 * CHOOSE(CONTROL!$C$22, $C$13, 100%, $E$13)</f>
        <v>4.6626000000000003</v>
      </c>
      <c r="G208" s="68">
        <f>4.6639 * CHOOSE(CONTROL!$C$22, $C$13, 100%, $E$13)</f>
        <v>4.6638999999999999</v>
      </c>
      <c r="H208" s="68">
        <f>7.7695* CHOOSE(CONTROL!$C$22, $C$13, 100%, $E$13)</f>
        <v>7.7694999999999999</v>
      </c>
      <c r="I208" s="68">
        <f>7.7708 * CHOOSE(CONTROL!$C$22, $C$13, 100%, $E$13)</f>
        <v>7.7708000000000004</v>
      </c>
      <c r="J208" s="68">
        <f>4.6626 * CHOOSE(CONTROL!$C$22, $C$13, 100%, $E$13)</f>
        <v>4.6626000000000003</v>
      </c>
      <c r="K208" s="68">
        <f>4.6639 * CHOOSE(CONTROL!$C$22, $C$13, 100%, $E$13)</f>
        <v>4.6638999999999999</v>
      </c>
    </row>
    <row r="209" spans="1:11" ht="15">
      <c r="A209" s="13">
        <v>47484</v>
      </c>
      <c r="B209" s="67">
        <f>3.9695 * CHOOSE(CONTROL!$C$22, $C$13, 100%, $E$13)</f>
        <v>3.9695</v>
      </c>
      <c r="C209" s="67">
        <f>3.9695 * CHOOSE(CONTROL!$C$22, $C$13, 100%, $E$13)</f>
        <v>3.9695</v>
      </c>
      <c r="D209" s="67">
        <f>3.9705 * CHOOSE(CONTROL!$C$22, $C$13, 100%, $E$13)</f>
        <v>3.9704999999999999</v>
      </c>
      <c r="E209" s="68">
        <f>4.7284 * CHOOSE(CONTROL!$C$22, $C$13, 100%, $E$13)</f>
        <v>4.7283999999999997</v>
      </c>
      <c r="F209" s="68">
        <f>4.7284 * CHOOSE(CONTROL!$C$22, $C$13, 100%, $E$13)</f>
        <v>4.7283999999999997</v>
      </c>
      <c r="G209" s="68">
        <f>4.7297 * CHOOSE(CONTROL!$C$22, $C$13, 100%, $E$13)</f>
        <v>4.7297000000000002</v>
      </c>
      <c r="H209" s="68">
        <f>7.7857* CHOOSE(CONTROL!$C$22, $C$13, 100%, $E$13)</f>
        <v>7.7857000000000003</v>
      </c>
      <c r="I209" s="68">
        <f>7.787 * CHOOSE(CONTROL!$C$22, $C$13, 100%, $E$13)</f>
        <v>7.7869999999999999</v>
      </c>
      <c r="J209" s="68">
        <f>4.7284 * CHOOSE(CONTROL!$C$22, $C$13, 100%, $E$13)</f>
        <v>4.7283999999999997</v>
      </c>
      <c r="K209" s="68">
        <f>4.7297 * CHOOSE(CONTROL!$C$22, $C$13, 100%, $E$13)</f>
        <v>4.7297000000000002</v>
      </c>
    </row>
    <row r="210" spans="1:11" ht="15">
      <c r="A210" s="13">
        <v>47515</v>
      </c>
      <c r="B210" s="67">
        <f>3.9664 * CHOOSE(CONTROL!$C$22, $C$13, 100%, $E$13)</f>
        <v>3.9664000000000001</v>
      </c>
      <c r="C210" s="67">
        <f>3.9664 * CHOOSE(CONTROL!$C$22, $C$13, 100%, $E$13)</f>
        <v>3.9664000000000001</v>
      </c>
      <c r="D210" s="67">
        <f>3.9674 * CHOOSE(CONTROL!$C$22, $C$13, 100%, $E$13)</f>
        <v>3.9674</v>
      </c>
      <c r="E210" s="68">
        <f>4.6508 * CHOOSE(CONTROL!$C$22, $C$13, 100%, $E$13)</f>
        <v>4.6508000000000003</v>
      </c>
      <c r="F210" s="68">
        <f>4.6508 * CHOOSE(CONTROL!$C$22, $C$13, 100%, $E$13)</f>
        <v>4.6508000000000003</v>
      </c>
      <c r="G210" s="68">
        <f>4.6521 * CHOOSE(CONTROL!$C$22, $C$13, 100%, $E$13)</f>
        <v>4.6520999999999999</v>
      </c>
      <c r="H210" s="68">
        <f>7.8019* CHOOSE(CONTROL!$C$22, $C$13, 100%, $E$13)</f>
        <v>7.8018999999999998</v>
      </c>
      <c r="I210" s="68">
        <f>7.8032 * CHOOSE(CONTROL!$C$22, $C$13, 100%, $E$13)</f>
        <v>7.8032000000000004</v>
      </c>
      <c r="J210" s="68">
        <f>4.6508 * CHOOSE(CONTROL!$C$22, $C$13, 100%, $E$13)</f>
        <v>4.6508000000000003</v>
      </c>
      <c r="K210" s="68">
        <f>4.6521 * CHOOSE(CONTROL!$C$22, $C$13, 100%, $E$13)</f>
        <v>4.6520999999999999</v>
      </c>
    </row>
    <row r="211" spans="1:11" ht="15">
      <c r="A211" s="13">
        <v>47543</v>
      </c>
      <c r="B211" s="67">
        <f>3.9634 * CHOOSE(CONTROL!$C$22, $C$13, 100%, $E$13)</f>
        <v>3.9634</v>
      </c>
      <c r="C211" s="67">
        <f>3.9634 * CHOOSE(CONTROL!$C$22, $C$13, 100%, $E$13)</f>
        <v>3.9634</v>
      </c>
      <c r="D211" s="67">
        <f>3.9644 * CHOOSE(CONTROL!$C$22, $C$13, 100%, $E$13)</f>
        <v>3.9643999999999999</v>
      </c>
      <c r="E211" s="68">
        <f>4.7082 * CHOOSE(CONTROL!$C$22, $C$13, 100%, $E$13)</f>
        <v>4.7081999999999997</v>
      </c>
      <c r="F211" s="68">
        <f>4.7082 * CHOOSE(CONTROL!$C$22, $C$13, 100%, $E$13)</f>
        <v>4.7081999999999997</v>
      </c>
      <c r="G211" s="68">
        <f>4.7095 * CHOOSE(CONTROL!$C$22, $C$13, 100%, $E$13)</f>
        <v>4.7095000000000002</v>
      </c>
      <c r="H211" s="68">
        <f>7.8182* CHOOSE(CONTROL!$C$22, $C$13, 100%, $E$13)</f>
        <v>7.8182</v>
      </c>
      <c r="I211" s="68">
        <f>7.8195 * CHOOSE(CONTROL!$C$22, $C$13, 100%, $E$13)</f>
        <v>7.8194999999999997</v>
      </c>
      <c r="J211" s="68">
        <f>4.7082 * CHOOSE(CONTROL!$C$22, $C$13, 100%, $E$13)</f>
        <v>4.7081999999999997</v>
      </c>
      <c r="K211" s="68">
        <f>4.7095 * CHOOSE(CONTROL!$C$22, $C$13, 100%, $E$13)</f>
        <v>4.7095000000000002</v>
      </c>
    </row>
    <row r="212" spans="1:11" ht="15">
      <c r="A212" s="13">
        <v>47574</v>
      </c>
      <c r="B212" s="67">
        <f>3.961 * CHOOSE(CONTROL!$C$22, $C$13, 100%, $E$13)</f>
        <v>3.9609999999999999</v>
      </c>
      <c r="C212" s="67">
        <f>3.961 * CHOOSE(CONTROL!$C$22, $C$13, 100%, $E$13)</f>
        <v>3.9609999999999999</v>
      </c>
      <c r="D212" s="67">
        <f>3.962 * CHOOSE(CONTROL!$C$22, $C$13, 100%, $E$13)</f>
        <v>3.9620000000000002</v>
      </c>
      <c r="E212" s="68">
        <f>4.7679 * CHOOSE(CONTROL!$C$22, $C$13, 100%, $E$13)</f>
        <v>4.7679</v>
      </c>
      <c r="F212" s="68">
        <f>4.7679 * CHOOSE(CONTROL!$C$22, $C$13, 100%, $E$13)</f>
        <v>4.7679</v>
      </c>
      <c r="G212" s="68">
        <f>4.7692 * CHOOSE(CONTROL!$C$22, $C$13, 100%, $E$13)</f>
        <v>4.7691999999999997</v>
      </c>
      <c r="H212" s="68">
        <f>7.8345* CHOOSE(CONTROL!$C$22, $C$13, 100%, $E$13)</f>
        <v>7.8345000000000002</v>
      </c>
      <c r="I212" s="68">
        <f>7.8358 * CHOOSE(CONTROL!$C$22, $C$13, 100%, $E$13)</f>
        <v>7.8357999999999999</v>
      </c>
      <c r="J212" s="68">
        <f>4.7679 * CHOOSE(CONTROL!$C$22, $C$13, 100%, $E$13)</f>
        <v>4.7679</v>
      </c>
      <c r="K212" s="68">
        <f>4.7692 * CHOOSE(CONTROL!$C$22, $C$13, 100%, $E$13)</f>
        <v>4.7691999999999997</v>
      </c>
    </row>
    <row r="213" spans="1:11" ht="15">
      <c r="A213" s="13">
        <v>47604</v>
      </c>
      <c r="B213" s="67">
        <f>3.961 * CHOOSE(CONTROL!$C$22, $C$13, 100%, $E$13)</f>
        <v>3.9609999999999999</v>
      </c>
      <c r="C213" s="67">
        <f>3.961 * CHOOSE(CONTROL!$C$22, $C$13, 100%, $E$13)</f>
        <v>3.9609999999999999</v>
      </c>
      <c r="D213" s="67">
        <f>3.9636 * CHOOSE(CONTROL!$C$22, $C$13, 100%, $E$13)</f>
        <v>3.9636</v>
      </c>
      <c r="E213" s="68">
        <f>4.7918 * CHOOSE(CONTROL!$C$22, $C$13, 100%, $E$13)</f>
        <v>4.7918000000000003</v>
      </c>
      <c r="F213" s="68">
        <f>4.7918 * CHOOSE(CONTROL!$C$22, $C$13, 100%, $E$13)</f>
        <v>4.7918000000000003</v>
      </c>
      <c r="G213" s="68">
        <f>4.7951 * CHOOSE(CONTROL!$C$22, $C$13, 100%, $E$13)</f>
        <v>4.7950999999999997</v>
      </c>
      <c r="H213" s="68">
        <f>7.8508* CHOOSE(CONTROL!$C$22, $C$13, 100%, $E$13)</f>
        <v>7.8507999999999996</v>
      </c>
      <c r="I213" s="68">
        <f>7.8541 * CHOOSE(CONTROL!$C$22, $C$13, 100%, $E$13)</f>
        <v>7.8540999999999999</v>
      </c>
      <c r="J213" s="68">
        <f>4.7918 * CHOOSE(CONTROL!$C$22, $C$13, 100%, $E$13)</f>
        <v>4.7918000000000003</v>
      </c>
      <c r="K213" s="68">
        <f>4.7951 * CHOOSE(CONTROL!$C$22, $C$13, 100%, $E$13)</f>
        <v>4.7950999999999997</v>
      </c>
    </row>
    <row r="214" spans="1:11" ht="15">
      <c r="A214" s="13">
        <v>47635</v>
      </c>
      <c r="B214" s="67">
        <f>3.9671 * CHOOSE(CONTROL!$C$22, $C$13, 100%, $E$13)</f>
        <v>3.9670999999999998</v>
      </c>
      <c r="C214" s="67">
        <f>3.9671 * CHOOSE(CONTROL!$C$22, $C$13, 100%, $E$13)</f>
        <v>3.9670999999999998</v>
      </c>
      <c r="D214" s="67">
        <f>3.9697 * CHOOSE(CONTROL!$C$22, $C$13, 100%, $E$13)</f>
        <v>3.9697</v>
      </c>
      <c r="E214" s="68">
        <f>4.7721 * CHOOSE(CONTROL!$C$22, $C$13, 100%, $E$13)</f>
        <v>4.7721</v>
      </c>
      <c r="F214" s="68">
        <f>4.7721 * CHOOSE(CONTROL!$C$22, $C$13, 100%, $E$13)</f>
        <v>4.7721</v>
      </c>
      <c r="G214" s="68">
        <f>4.7754 * CHOOSE(CONTROL!$C$22, $C$13, 100%, $E$13)</f>
        <v>4.7754000000000003</v>
      </c>
      <c r="H214" s="68">
        <f>7.8672* CHOOSE(CONTROL!$C$22, $C$13, 100%, $E$13)</f>
        <v>7.8672000000000004</v>
      </c>
      <c r="I214" s="68">
        <f>7.8704 * CHOOSE(CONTROL!$C$22, $C$13, 100%, $E$13)</f>
        <v>7.8704000000000001</v>
      </c>
      <c r="J214" s="68">
        <f>4.7721 * CHOOSE(CONTROL!$C$22, $C$13, 100%, $E$13)</f>
        <v>4.7721</v>
      </c>
      <c r="K214" s="68">
        <f>4.7754 * CHOOSE(CONTROL!$C$22, $C$13, 100%, $E$13)</f>
        <v>4.7754000000000003</v>
      </c>
    </row>
    <row r="215" spans="1:11" ht="15">
      <c r="A215" s="13">
        <v>47665</v>
      </c>
      <c r="B215" s="67">
        <f>4.0298 * CHOOSE(CONTROL!$C$22, $C$13, 100%, $E$13)</f>
        <v>4.0297999999999998</v>
      </c>
      <c r="C215" s="67">
        <f>4.0298 * CHOOSE(CONTROL!$C$22, $C$13, 100%, $E$13)</f>
        <v>4.0297999999999998</v>
      </c>
      <c r="D215" s="67">
        <f>4.0324 * CHOOSE(CONTROL!$C$22, $C$13, 100%, $E$13)</f>
        <v>4.0324</v>
      </c>
      <c r="E215" s="68">
        <f>4.8562 * CHOOSE(CONTROL!$C$22, $C$13, 100%, $E$13)</f>
        <v>4.8562000000000003</v>
      </c>
      <c r="F215" s="68">
        <f>4.8562 * CHOOSE(CONTROL!$C$22, $C$13, 100%, $E$13)</f>
        <v>4.8562000000000003</v>
      </c>
      <c r="G215" s="68">
        <f>4.8594 * CHOOSE(CONTROL!$C$22, $C$13, 100%, $E$13)</f>
        <v>4.8593999999999999</v>
      </c>
      <c r="H215" s="68">
        <f>7.8835* CHOOSE(CONTROL!$C$22, $C$13, 100%, $E$13)</f>
        <v>7.8834999999999997</v>
      </c>
      <c r="I215" s="68">
        <f>7.8868 * CHOOSE(CONTROL!$C$22, $C$13, 100%, $E$13)</f>
        <v>7.8868</v>
      </c>
      <c r="J215" s="68">
        <f>4.8562 * CHOOSE(CONTROL!$C$22, $C$13, 100%, $E$13)</f>
        <v>4.8562000000000003</v>
      </c>
      <c r="K215" s="68">
        <f>4.8594 * CHOOSE(CONTROL!$C$22, $C$13, 100%, $E$13)</f>
        <v>4.8593999999999999</v>
      </c>
    </row>
    <row r="216" spans="1:11" ht="15">
      <c r="A216" s="13">
        <v>47696</v>
      </c>
      <c r="B216" s="67">
        <f>4.0365 * CHOOSE(CONTROL!$C$22, $C$13, 100%, $E$13)</f>
        <v>4.0365000000000002</v>
      </c>
      <c r="C216" s="67">
        <f>4.0365 * CHOOSE(CONTROL!$C$22, $C$13, 100%, $E$13)</f>
        <v>4.0365000000000002</v>
      </c>
      <c r="D216" s="67">
        <f>4.0391 * CHOOSE(CONTROL!$C$22, $C$13, 100%, $E$13)</f>
        <v>4.0391000000000004</v>
      </c>
      <c r="E216" s="68">
        <f>4.7889 * CHOOSE(CONTROL!$C$22, $C$13, 100%, $E$13)</f>
        <v>4.7888999999999999</v>
      </c>
      <c r="F216" s="68">
        <f>4.7889 * CHOOSE(CONTROL!$C$22, $C$13, 100%, $E$13)</f>
        <v>4.7888999999999999</v>
      </c>
      <c r="G216" s="68">
        <f>4.7922 * CHOOSE(CONTROL!$C$22, $C$13, 100%, $E$13)</f>
        <v>4.7922000000000002</v>
      </c>
      <c r="H216" s="68">
        <f>7.9* CHOOSE(CONTROL!$C$22, $C$13, 100%, $E$13)</f>
        <v>7.9</v>
      </c>
      <c r="I216" s="68">
        <f>7.9032 * CHOOSE(CONTROL!$C$22, $C$13, 100%, $E$13)</f>
        <v>7.9032</v>
      </c>
      <c r="J216" s="68">
        <f>4.7889 * CHOOSE(CONTROL!$C$22, $C$13, 100%, $E$13)</f>
        <v>4.7888999999999999</v>
      </c>
      <c r="K216" s="68">
        <f>4.7922 * CHOOSE(CONTROL!$C$22, $C$13, 100%, $E$13)</f>
        <v>4.7922000000000002</v>
      </c>
    </row>
    <row r="217" spans="1:11" ht="15">
      <c r="A217" s="13">
        <v>47727</v>
      </c>
      <c r="B217" s="67">
        <f>4.0334 * CHOOSE(CONTROL!$C$22, $C$13, 100%, $E$13)</f>
        <v>4.0334000000000003</v>
      </c>
      <c r="C217" s="67">
        <f>4.0334 * CHOOSE(CONTROL!$C$22, $C$13, 100%, $E$13)</f>
        <v>4.0334000000000003</v>
      </c>
      <c r="D217" s="67">
        <f>4.0361 * CHOOSE(CONTROL!$C$22, $C$13, 100%, $E$13)</f>
        <v>4.0361000000000002</v>
      </c>
      <c r="E217" s="68">
        <f>4.7788 * CHOOSE(CONTROL!$C$22, $C$13, 100%, $E$13)</f>
        <v>4.7788000000000004</v>
      </c>
      <c r="F217" s="68">
        <f>4.7788 * CHOOSE(CONTROL!$C$22, $C$13, 100%, $E$13)</f>
        <v>4.7788000000000004</v>
      </c>
      <c r="G217" s="68">
        <f>4.7821 * CHOOSE(CONTROL!$C$22, $C$13, 100%, $E$13)</f>
        <v>4.7820999999999998</v>
      </c>
      <c r="H217" s="68">
        <f>7.9164* CHOOSE(CONTROL!$C$22, $C$13, 100%, $E$13)</f>
        <v>7.9164000000000003</v>
      </c>
      <c r="I217" s="68">
        <f>7.9197 * CHOOSE(CONTROL!$C$22, $C$13, 100%, $E$13)</f>
        <v>7.9196999999999997</v>
      </c>
      <c r="J217" s="68">
        <f>4.7788 * CHOOSE(CONTROL!$C$22, $C$13, 100%, $E$13)</f>
        <v>4.7788000000000004</v>
      </c>
      <c r="K217" s="68">
        <f>4.7821 * CHOOSE(CONTROL!$C$22, $C$13, 100%, $E$13)</f>
        <v>4.7820999999999998</v>
      </c>
    </row>
    <row r="218" spans="1:11" ht="15">
      <c r="A218" s="13">
        <v>47757</v>
      </c>
      <c r="B218" s="67">
        <f>4.0286 * CHOOSE(CONTROL!$C$22, $C$13, 100%, $E$13)</f>
        <v>4.0286</v>
      </c>
      <c r="C218" s="67">
        <f>4.0286 * CHOOSE(CONTROL!$C$22, $C$13, 100%, $E$13)</f>
        <v>4.0286</v>
      </c>
      <c r="D218" s="67">
        <f>4.0295 * CHOOSE(CONTROL!$C$22, $C$13, 100%, $E$13)</f>
        <v>4.0294999999999996</v>
      </c>
      <c r="E218" s="68">
        <f>4.7974 * CHOOSE(CONTROL!$C$22, $C$13, 100%, $E$13)</f>
        <v>4.7973999999999997</v>
      </c>
      <c r="F218" s="68">
        <f>4.7974 * CHOOSE(CONTROL!$C$22, $C$13, 100%, $E$13)</f>
        <v>4.7973999999999997</v>
      </c>
      <c r="G218" s="68">
        <f>4.7987 * CHOOSE(CONTROL!$C$22, $C$13, 100%, $E$13)</f>
        <v>4.7987000000000002</v>
      </c>
      <c r="H218" s="68">
        <f>7.9329* CHOOSE(CONTROL!$C$22, $C$13, 100%, $E$13)</f>
        <v>7.9329000000000001</v>
      </c>
      <c r="I218" s="68">
        <f>7.9342 * CHOOSE(CONTROL!$C$22, $C$13, 100%, $E$13)</f>
        <v>7.9341999999999997</v>
      </c>
      <c r="J218" s="68">
        <f>4.7974 * CHOOSE(CONTROL!$C$22, $C$13, 100%, $E$13)</f>
        <v>4.7973999999999997</v>
      </c>
      <c r="K218" s="68">
        <f>4.7987 * CHOOSE(CONTROL!$C$22, $C$13, 100%, $E$13)</f>
        <v>4.7987000000000002</v>
      </c>
    </row>
    <row r="219" spans="1:11" ht="15">
      <c r="A219" s="13">
        <v>47788</v>
      </c>
      <c r="B219" s="67">
        <f>4.0316 * CHOOSE(CONTROL!$C$22, $C$13, 100%, $E$13)</f>
        <v>4.0316000000000001</v>
      </c>
      <c r="C219" s="67">
        <f>4.0316 * CHOOSE(CONTROL!$C$22, $C$13, 100%, $E$13)</f>
        <v>4.0316000000000001</v>
      </c>
      <c r="D219" s="67">
        <f>4.0326 * CHOOSE(CONTROL!$C$22, $C$13, 100%, $E$13)</f>
        <v>4.0326000000000004</v>
      </c>
      <c r="E219" s="68">
        <f>4.8155 * CHOOSE(CONTROL!$C$22, $C$13, 100%, $E$13)</f>
        <v>4.8155000000000001</v>
      </c>
      <c r="F219" s="68">
        <f>4.8155 * CHOOSE(CONTROL!$C$22, $C$13, 100%, $E$13)</f>
        <v>4.8155000000000001</v>
      </c>
      <c r="G219" s="68">
        <f>4.8167 * CHOOSE(CONTROL!$C$22, $C$13, 100%, $E$13)</f>
        <v>4.8167</v>
      </c>
      <c r="H219" s="68">
        <f>7.9495* CHOOSE(CONTROL!$C$22, $C$13, 100%, $E$13)</f>
        <v>7.9494999999999996</v>
      </c>
      <c r="I219" s="68">
        <f>7.9507 * CHOOSE(CONTROL!$C$22, $C$13, 100%, $E$13)</f>
        <v>7.9507000000000003</v>
      </c>
      <c r="J219" s="68">
        <f>4.8155 * CHOOSE(CONTROL!$C$22, $C$13, 100%, $E$13)</f>
        <v>4.8155000000000001</v>
      </c>
      <c r="K219" s="68">
        <f>4.8167 * CHOOSE(CONTROL!$C$22, $C$13, 100%, $E$13)</f>
        <v>4.8167</v>
      </c>
    </row>
    <row r="220" spans="1:11" ht="15">
      <c r="A220" s="13">
        <v>47818</v>
      </c>
      <c r="B220" s="67">
        <f>4.0316 * CHOOSE(CONTROL!$C$22, $C$13, 100%, $E$13)</f>
        <v>4.0316000000000001</v>
      </c>
      <c r="C220" s="67">
        <f>4.0316 * CHOOSE(CONTROL!$C$22, $C$13, 100%, $E$13)</f>
        <v>4.0316000000000001</v>
      </c>
      <c r="D220" s="67">
        <f>4.0326 * CHOOSE(CONTROL!$C$22, $C$13, 100%, $E$13)</f>
        <v>4.0326000000000004</v>
      </c>
      <c r="E220" s="68">
        <f>4.7755 * CHOOSE(CONTROL!$C$22, $C$13, 100%, $E$13)</f>
        <v>4.7755000000000001</v>
      </c>
      <c r="F220" s="68">
        <f>4.7755 * CHOOSE(CONTROL!$C$22, $C$13, 100%, $E$13)</f>
        <v>4.7755000000000001</v>
      </c>
      <c r="G220" s="68">
        <f>4.7768 * CHOOSE(CONTROL!$C$22, $C$13, 100%, $E$13)</f>
        <v>4.7767999999999997</v>
      </c>
      <c r="H220" s="68">
        <f>7.966* CHOOSE(CONTROL!$C$22, $C$13, 100%, $E$13)</f>
        <v>7.9660000000000002</v>
      </c>
      <c r="I220" s="68">
        <f>7.9673 * CHOOSE(CONTROL!$C$22, $C$13, 100%, $E$13)</f>
        <v>7.9672999999999998</v>
      </c>
      <c r="J220" s="68">
        <f>4.7755 * CHOOSE(CONTROL!$C$22, $C$13, 100%, $E$13)</f>
        <v>4.7755000000000001</v>
      </c>
      <c r="K220" s="68">
        <f>4.7768 * CHOOSE(CONTROL!$C$22, $C$13, 100%, $E$13)</f>
        <v>4.7767999999999997</v>
      </c>
    </row>
    <row r="221" spans="1:11" ht="15">
      <c r="A221" s="13">
        <v>47849</v>
      </c>
      <c r="B221" s="67">
        <f>4.065 * CHOOSE(CONTROL!$C$22, $C$13, 100%, $E$13)</f>
        <v>4.0650000000000004</v>
      </c>
      <c r="C221" s="67">
        <f>4.065 * CHOOSE(CONTROL!$C$22, $C$13, 100%, $E$13)</f>
        <v>4.0650000000000004</v>
      </c>
      <c r="D221" s="67">
        <f>4.066 * CHOOSE(CONTROL!$C$22, $C$13, 100%, $E$13)</f>
        <v>4.0659999999999998</v>
      </c>
      <c r="E221" s="68">
        <f>4.8568 * CHOOSE(CONTROL!$C$22, $C$13, 100%, $E$13)</f>
        <v>4.8567999999999998</v>
      </c>
      <c r="F221" s="68">
        <f>4.8568 * CHOOSE(CONTROL!$C$22, $C$13, 100%, $E$13)</f>
        <v>4.8567999999999998</v>
      </c>
      <c r="G221" s="68">
        <f>4.8581 * CHOOSE(CONTROL!$C$22, $C$13, 100%, $E$13)</f>
        <v>4.8581000000000003</v>
      </c>
      <c r="H221" s="68">
        <f>7.9826* CHOOSE(CONTROL!$C$22, $C$13, 100%, $E$13)</f>
        <v>7.9825999999999997</v>
      </c>
      <c r="I221" s="68">
        <f>7.9839 * CHOOSE(CONTROL!$C$22, $C$13, 100%, $E$13)</f>
        <v>7.9839000000000002</v>
      </c>
      <c r="J221" s="68">
        <f>4.8568 * CHOOSE(CONTROL!$C$22, $C$13, 100%, $E$13)</f>
        <v>4.8567999999999998</v>
      </c>
      <c r="K221" s="68">
        <f>4.8581 * CHOOSE(CONTROL!$C$22, $C$13, 100%, $E$13)</f>
        <v>4.8581000000000003</v>
      </c>
    </row>
    <row r="222" spans="1:11" ht="15">
      <c r="A222" s="13">
        <v>47880</v>
      </c>
      <c r="B222" s="67">
        <f>4.062 * CHOOSE(CONTROL!$C$22, $C$13, 100%, $E$13)</f>
        <v>4.0620000000000003</v>
      </c>
      <c r="C222" s="67">
        <f>4.062 * CHOOSE(CONTROL!$C$22, $C$13, 100%, $E$13)</f>
        <v>4.0620000000000003</v>
      </c>
      <c r="D222" s="67">
        <f>4.063 * CHOOSE(CONTROL!$C$22, $C$13, 100%, $E$13)</f>
        <v>4.0629999999999997</v>
      </c>
      <c r="E222" s="68">
        <f>4.7772 * CHOOSE(CONTROL!$C$22, $C$13, 100%, $E$13)</f>
        <v>4.7771999999999997</v>
      </c>
      <c r="F222" s="68">
        <f>4.7772 * CHOOSE(CONTROL!$C$22, $C$13, 100%, $E$13)</f>
        <v>4.7771999999999997</v>
      </c>
      <c r="G222" s="68">
        <f>4.7785 * CHOOSE(CONTROL!$C$22, $C$13, 100%, $E$13)</f>
        <v>4.7785000000000002</v>
      </c>
      <c r="H222" s="68">
        <f>7.9992* CHOOSE(CONTROL!$C$22, $C$13, 100%, $E$13)</f>
        <v>7.9992000000000001</v>
      </c>
      <c r="I222" s="68">
        <f>8.0005 * CHOOSE(CONTROL!$C$22, $C$13, 100%, $E$13)</f>
        <v>8.0005000000000006</v>
      </c>
      <c r="J222" s="68">
        <f>4.7772 * CHOOSE(CONTROL!$C$22, $C$13, 100%, $E$13)</f>
        <v>4.7771999999999997</v>
      </c>
      <c r="K222" s="68">
        <f>4.7785 * CHOOSE(CONTROL!$C$22, $C$13, 100%, $E$13)</f>
        <v>4.7785000000000002</v>
      </c>
    </row>
    <row r="223" spans="1:11" ht="15">
      <c r="A223" s="13">
        <v>47908</v>
      </c>
      <c r="B223" s="67">
        <f>4.059 * CHOOSE(CONTROL!$C$22, $C$13, 100%, $E$13)</f>
        <v>4.0590000000000002</v>
      </c>
      <c r="C223" s="67">
        <f>4.059 * CHOOSE(CONTROL!$C$22, $C$13, 100%, $E$13)</f>
        <v>4.0590000000000002</v>
      </c>
      <c r="D223" s="67">
        <f>4.0599 * CHOOSE(CONTROL!$C$22, $C$13, 100%, $E$13)</f>
        <v>4.0598999999999998</v>
      </c>
      <c r="E223" s="68">
        <f>4.8362 * CHOOSE(CONTROL!$C$22, $C$13, 100%, $E$13)</f>
        <v>4.8361999999999998</v>
      </c>
      <c r="F223" s="68">
        <f>4.8362 * CHOOSE(CONTROL!$C$22, $C$13, 100%, $E$13)</f>
        <v>4.8361999999999998</v>
      </c>
      <c r="G223" s="68">
        <f>4.8374 * CHOOSE(CONTROL!$C$22, $C$13, 100%, $E$13)</f>
        <v>4.8373999999999997</v>
      </c>
      <c r="H223" s="68">
        <f>8.0159* CHOOSE(CONTROL!$C$22, $C$13, 100%, $E$13)</f>
        <v>8.0159000000000002</v>
      </c>
      <c r="I223" s="68">
        <f>8.0172 * CHOOSE(CONTROL!$C$22, $C$13, 100%, $E$13)</f>
        <v>8.0172000000000008</v>
      </c>
      <c r="J223" s="68">
        <f>4.8362 * CHOOSE(CONTROL!$C$22, $C$13, 100%, $E$13)</f>
        <v>4.8361999999999998</v>
      </c>
      <c r="K223" s="68">
        <f>4.8374 * CHOOSE(CONTROL!$C$22, $C$13, 100%, $E$13)</f>
        <v>4.8373999999999997</v>
      </c>
    </row>
    <row r="224" spans="1:11" ht="15">
      <c r="A224" s="13">
        <v>47939</v>
      </c>
      <c r="B224" s="67">
        <f>4.0567 * CHOOSE(CONTROL!$C$22, $C$13, 100%, $E$13)</f>
        <v>4.0567000000000002</v>
      </c>
      <c r="C224" s="67">
        <f>4.0567 * CHOOSE(CONTROL!$C$22, $C$13, 100%, $E$13)</f>
        <v>4.0567000000000002</v>
      </c>
      <c r="D224" s="67">
        <f>4.0576 * CHOOSE(CONTROL!$C$22, $C$13, 100%, $E$13)</f>
        <v>4.0575999999999999</v>
      </c>
      <c r="E224" s="68">
        <f>4.8975 * CHOOSE(CONTROL!$C$22, $C$13, 100%, $E$13)</f>
        <v>4.8975</v>
      </c>
      <c r="F224" s="68">
        <f>4.8975 * CHOOSE(CONTROL!$C$22, $C$13, 100%, $E$13)</f>
        <v>4.8975</v>
      </c>
      <c r="G224" s="68">
        <f>4.8988 * CHOOSE(CONTROL!$C$22, $C$13, 100%, $E$13)</f>
        <v>4.8987999999999996</v>
      </c>
      <c r="H224" s="68">
        <f>8.0326* CHOOSE(CONTROL!$C$22, $C$13, 100%, $E$13)</f>
        <v>8.0326000000000004</v>
      </c>
      <c r="I224" s="68">
        <f>8.0339 * CHOOSE(CONTROL!$C$22, $C$13, 100%, $E$13)</f>
        <v>8.0338999999999992</v>
      </c>
      <c r="J224" s="68">
        <f>4.8975 * CHOOSE(CONTROL!$C$22, $C$13, 100%, $E$13)</f>
        <v>4.8975</v>
      </c>
      <c r="K224" s="68">
        <f>4.8988 * CHOOSE(CONTROL!$C$22, $C$13, 100%, $E$13)</f>
        <v>4.8987999999999996</v>
      </c>
    </row>
    <row r="225" spans="1:11" ht="15">
      <c r="A225" s="13">
        <v>47969</v>
      </c>
      <c r="B225" s="67">
        <f>4.0567 * CHOOSE(CONTROL!$C$22, $C$13, 100%, $E$13)</f>
        <v>4.0567000000000002</v>
      </c>
      <c r="C225" s="67">
        <f>4.0567 * CHOOSE(CONTROL!$C$22, $C$13, 100%, $E$13)</f>
        <v>4.0567000000000002</v>
      </c>
      <c r="D225" s="67">
        <f>4.0593 * CHOOSE(CONTROL!$C$22, $C$13, 100%, $E$13)</f>
        <v>4.0593000000000004</v>
      </c>
      <c r="E225" s="68">
        <f>4.9221 * CHOOSE(CONTROL!$C$22, $C$13, 100%, $E$13)</f>
        <v>4.9221000000000004</v>
      </c>
      <c r="F225" s="68">
        <f>4.9221 * CHOOSE(CONTROL!$C$22, $C$13, 100%, $E$13)</f>
        <v>4.9221000000000004</v>
      </c>
      <c r="G225" s="68">
        <f>4.9253 * CHOOSE(CONTROL!$C$22, $C$13, 100%, $E$13)</f>
        <v>4.9253</v>
      </c>
      <c r="H225" s="68">
        <f>8.0493* CHOOSE(CONTROL!$C$22, $C$13, 100%, $E$13)</f>
        <v>8.0493000000000006</v>
      </c>
      <c r="I225" s="68">
        <f>8.0526 * CHOOSE(CONTROL!$C$22, $C$13, 100%, $E$13)</f>
        <v>8.0526</v>
      </c>
      <c r="J225" s="68">
        <f>4.9221 * CHOOSE(CONTROL!$C$22, $C$13, 100%, $E$13)</f>
        <v>4.9221000000000004</v>
      </c>
      <c r="K225" s="68">
        <f>4.9253 * CHOOSE(CONTROL!$C$22, $C$13, 100%, $E$13)</f>
        <v>4.9253</v>
      </c>
    </row>
    <row r="226" spans="1:11" ht="15">
      <c r="A226" s="13">
        <v>48000</v>
      </c>
      <c r="B226" s="67">
        <f>4.0627 * CHOOSE(CONTROL!$C$22, $C$13, 100%, $E$13)</f>
        <v>4.0627000000000004</v>
      </c>
      <c r="C226" s="67">
        <f>4.0627 * CHOOSE(CONTROL!$C$22, $C$13, 100%, $E$13)</f>
        <v>4.0627000000000004</v>
      </c>
      <c r="D226" s="67">
        <f>4.0654 * CHOOSE(CONTROL!$C$22, $C$13, 100%, $E$13)</f>
        <v>4.0654000000000003</v>
      </c>
      <c r="E226" s="68">
        <f>4.9017 * CHOOSE(CONTROL!$C$22, $C$13, 100%, $E$13)</f>
        <v>4.9016999999999999</v>
      </c>
      <c r="F226" s="68">
        <f>4.9017 * CHOOSE(CONTROL!$C$22, $C$13, 100%, $E$13)</f>
        <v>4.9016999999999999</v>
      </c>
      <c r="G226" s="68">
        <f>4.905 * CHOOSE(CONTROL!$C$22, $C$13, 100%, $E$13)</f>
        <v>4.9050000000000002</v>
      </c>
      <c r="H226" s="68">
        <f>8.0661* CHOOSE(CONTROL!$C$22, $C$13, 100%, $E$13)</f>
        <v>8.0661000000000005</v>
      </c>
      <c r="I226" s="68">
        <f>8.0694 * CHOOSE(CONTROL!$C$22, $C$13, 100%, $E$13)</f>
        <v>8.0693999999999999</v>
      </c>
      <c r="J226" s="68">
        <f>4.9017 * CHOOSE(CONTROL!$C$22, $C$13, 100%, $E$13)</f>
        <v>4.9016999999999999</v>
      </c>
      <c r="K226" s="68">
        <f>4.905 * CHOOSE(CONTROL!$C$22, $C$13, 100%, $E$13)</f>
        <v>4.9050000000000002</v>
      </c>
    </row>
    <row r="227" spans="1:11" ht="15">
      <c r="A227" s="13">
        <v>48030</v>
      </c>
      <c r="B227" s="67">
        <f>4.1241 * CHOOSE(CONTROL!$C$22, $C$13, 100%, $E$13)</f>
        <v>4.1241000000000003</v>
      </c>
      <c r="C227" s="67">
        <f>4.1241 * CHOOSE(CONTROL!$C$22, $C$13, 100%, $E$13)</f>
        <v>4.1241000000000003</v>
      </c>
      <c r="D227" s="67">
        <f>4.1267 * CHOOSE(CONTROL!$C$22, $C$13, 100%, $E$13)</f>
        <v>4.1266999999999996</v>
      </c>
      <c r="E227" s="68">
        <f>5.0209 * CHOOSE(CONTROL!$C$22, $C$13, 100%, $E$13)</f>
        <v>5.0209000000000001</v>
      </c>
      <c r="F227" s="68">
        <f>5.0209 * CHOOSE(CONTROL!$C$22, $C$13, 100%, $E$13)</f>
        <v>5.0209000000000001</v>
      </c>
      <c r="G227" s="68">
        <f>5.0242 * CHOOSE(CONTROL!$C$22, $C$13, 100%, $E$13)</f>
        <v>5.0242000000000004</v>
      </c>
      <c r="H227" s="68">
        <f>8.0829* CHOOSE(CONTROL!$C$22, $C$13, 100%, $E$13)</f>
        <v>8.0829000000000004</v>
      </c>
      <c r="I227" s="68">
        <f>8.0862 * CHOOSE(CONTROL!$C$22, $C$13, 100%, $E$13)</f>
        <v>8.0861999999999998</v>
      </c>
      <c r="J227" s="68">
        <f>5.0209 * CHOOSE(CONTROL!$C$22, $C$13, 100%, $E$13)</f>
        <v>5.0209000000000001</v>
      </c>
      <c r="K227" s="68">
        <f>5.0242 * CHOOSE(CONTROL!$C$22, $C$13, 100%, $E$13)</f>
        <v>5.0242000000000004</v>
      </c>
    </row>
    <row r="228" spans="1:11" ht="15">
      <c r="A228" s="13">
        <v>48061</v>
      </c>
      <c r="B228" s="67">
        <f>4.1308 * CHOOSE(CONTROL!$C$22, $C$13, 100%, $E$13)</f>
        <v>4.1307999999999998</v>
      </c>
      <c r="C228" s="67">
        <f>4.1308 * CHOOSE(CONTROL!$C$22, $C$13, 100%, $E$13)</f>
        <v>4.1307999999999998</v>
      </c>
      <c r="D228" s="67">
        <f>4.1334 * CHOOSE(CONTROL!$C$22, $C$13, 100%, $E$13)</f>
        <v>4.1334</v>
      </c>
      <c r="E228" s="68">
        <f>4.9519 * CHOOSE(CONTROL!$C$22, $C$13, 100%, $E$13)</f>
        <v>4.9519000000000002</v>
      </c>
      <c r="F228" s="68">
        <f>4.9519 * CHOOSE(CONTROL!$C$22, $C$13, 100%, $E$13)</f>
        <v>4.9519000000000002</v>
      </c>
      <c r="G228" s="68">
        <f>4.9551 * CHOOSE(CONTROL!$C$22, $C$13, 100%, $E$13)</f>
        <v>4.9550999999999998</v>
      </c>
      <c r="H228" s="68">
        <f>8.0998* CHOOSE(CONTROL!$C$22, $C$13, 100%, $E$13)</f>
        <v>8.0998000000000001</v>
      </c>
      <c r="I228" s="68">
        <f>8.103 * CHOOSE(CONTROL!$C$22, $C$13, 100%, $E$13)</f>
        <v>8.1029999999999998</v>
      </c>
      <c r="J228" s="68">
        <f>4.9519 * CHOOSE(CONTROL!$C$22, $C$13, 100%, $E$13)</f>
        <v>4.9519000000000002</v>
      </c>
      <c r="K228" s="68">
        <f>4.9551 * CHOOSE(CONTROL!$C$22, $C$13, 100%, $E$13)</f>
        <v>4.9550999999999998</v>
      </c>
    </row>
    <row r="229" spans="1:11" ht="15">
      <c r="A229" s="13">
        <v>48092</v>
      </c>
      <c r="B229" s="67">
        <f>4.1278 * CHOOSE(CONTROL!$C$22, $C$13, 100%, $E$13)</f>
        <v>4.1277999999999997</v>
      </c>
      <c r="C229" s="67">
        <f>4.1278 * CHOOSE(CONTROL!$C$22, $C$13, 100%, $E$13)</f>
        <v>4.1277999999999997</v>
      </c>
      <c r="D229" s="67">
        <f>4.1304 * CHOOSE(CONTROL!$C$22, $C$13, 100%, $E$13)</f>
        <v>4.1303999999999998</v>
      </c>
      <c r="E229" s="68">
        <f>4.9415 * CHOOSE(CONTROL!$C$22, $C$13, 100%, $E$13)</f>
        <v>4.9414999999999996</v>
      </c>
      <c r="F229" s="68">
        <f>4.9415 * CHOOSE(CONTROL!$C$22, $C$13, 100%, $E$13)</f>
        <v>4.9414999999999996</v>
      </c>
      <c r="G229" s="68">
        <f>4.9448 * CHOOSE(CONTROL!$C$22, $C$13, 100%, $E$13)</f>
        <v>4.9447999999999999</v>
      </c>
      <c r="H229" s="68">
        <f>8.1166* CHOOSE(CONTROL!$C$22, $C$13, 100%, $E$13)</f>
        <v>8.1166</v>
      </c>
      <c r="I229" s="68">
        <f>8.1199 * CHOOSE(CONTROL!$C$22, $C$13, 100%, $E$13)</f>
        <v>8.1198999999999995</v>
      </c>
      <c r="J229" s="68">
        <f>4.9415 * CHOOSE(CONTROL!$C$22, $C$13, 100%, $E$13)</f>
        <v>4.9414999999999996</v>
      </c>
      <c r="K229" s="68">
        <f>4.9448 * CHOOSE(CONTROL!$C$22, $C$13, 100%, $E$13)</f>
        <v>4.9447999999999999</v>
      </c>
    </row>
    <row r="230" spans="1:11" ht="15">
      <c r="A230" s="13">
        <v>48122</v>
      </c>
      <c r="B230" s="67">
        <f>4.1232 * CHOOSE(CONTROL!$C$22, $C$13, 100%, $E$13)</f>
        <v>4.1231999999999998</v>
      </c>
      <c r="C230" s="67">
        <f>4.1232 * CHOOSE(CONTROL!$C$22, $C$13, 100%, $E$13)</f>
        <v>4.1231999999999998</v>
      </c>
      <c r="D230" s="67">
        <f>4.1242 * CHOOSE(CONTROL!$C$22, $C$13, 100%, $E$13)</f>
        <v>4.1242000000000001</v>
      </c>
      <c r="E230" s="68">
        <f>4.9609 * CHOOSE(CONTROL!$C$22, $C$13, 100%, $E$13)</f>
        <v>4.9608999999999996</v>
      </c>
      <c r="F230" s="68">
        <f>4.9609 * CHOOSE(CONTROL!$C$22, $C$13, 100%, $E$13)</f>
        <v>4.9608999999999996</v>
      </c>
      <c r="G230" s="68">
        <f>4.9622 * CHOOSE(CONTROL!$C$22, $C$13, 100%, $E$13)</f>
        <v>4.9622000000000002</v>
      </c>
      <c r="H230" s="68">
        <f>8.1335* CHOOSE(CONTROL!$C$22, $C$13, 100%, $E$13)</f>
        <v>8.1334999999999997</v>
      </c>
      <c r="I230" s="68">
        <f>8.1348 * CHOOSE(CONTROL!$C$22, $C$13, 100%, $E$13)</f>
        <v>8.1348000000000003</v>
      </c>
      <c r="J230" s="68">
        <f>4.9609 * CHOOSE(CONTROL!$C$22, $C$13, 100%, $E$13)</f>
        <v>4.9608999999999996</v>
      </c>
      <c r="K230" s="68">
        <f>4.9622 * CHOOSE(CONTROL!$C$22, $C$13, 100%, $E$13)</f>
        <v>4.9622000000000002</v>
      </c>
    </row>
    <row r="231" spans="1:11" ht="15">
      <c r="A231" s="13">
        <v>48153</v>
      </c>
      <c r="B231" s="67">
        <f>4.1263 * CHOOSE(CONTROL!$C$22, $C$13, 100%, $E$13)</f>
        <v>4.1262999999999996</v>
      </c>
      <c r="C231" s="67">
        <f>4.1263 * CHOOSE(CONTROL!$C$22, $C$13, 100%, $E$13)</f>
        <v>4.1262999999999996</v>
      </c>
      <c r="D231" s="67">
        <f>4.1273 * CHOOSE(CONTROL!$C$22, $C$13, 100%, $E$13)</f>
        <v>4.1273</v>
      </c>
      <c r="E231" s="68">
        <f>4.9794 * CHOOSE(CONTROL!$C$22, $C$13, 100%, $E$13)</f>
        <v>4.9794</v>
      </c>
      <c r="F231" s="68">
        <f>4.9794 * CHOOSE(CONTROL!$C$22, $C$13, 100%, $E$13)</f>
        <v>4.9794</v>
      </c>
      <c r="G231" s="68">
        <f>4.9807 * CHOOSE(CONTROL!$C$22, $C$13, 100%, $E$13)</f>
        <v>4.9806999999999997</v>
      </c>
      <c r="H231" s="68">
        <f>8.1505* CHOOSE(CONTROL!$C$22, $C$13, 100%, $E$13)</f>
        <v>8.1504999999999992</v>
      </c>
      <c r="I231" s="68">
        <f>8.1518 * CHOOSE(CONTROL!$C$22, $C$13, 100%, $E$13)</f>
        <v>8.1517999999999997</v>
      </c>
      <c r="J231" s="68">
        <f>4.9794 * CHOOSE(CONTROL!$C$22, $C$13, 100%, $E$13)</f>
        <v>4.9794</v>
      </c>
      <c r="K231" s="68">
        <f>4.9807 * CHOOSE(CONTROL!$C$22, $C$13, 100%, $E$13)</f>
        <v>4.9806999999999997</v>
      </c>
    </row>
    <row r="232" spans="1:11" ht="15">
      <c r="A232" s="13">
        <v>48183</v>
      </c>
      <c r="B232" s="67">
        <f>4.1263 * CHOOSE(CONTROL!$C$22, $C$13, 100%, $E$13)</f>
        <v>4.1262999999999996</v>
      </c>
      <c r="C232" s="67">
        <f>4.1263 * CHOOSE(CONTROL!$C$22, $C$13, 100%, $E$13)</f>
        <v>4.1262999999999996</v>
      </c>
      <c r="D232" s="67">
        <f>4.1273 * CHOOSE(CONTROL!$C$22, $C$13, 100%, $E$13)</f>
        <v>4.1273</v>
      </c>
      <c r="E232" s="68">
        <f>4.9384 * CHOOSE(CONTROL!$C$22, $C$13, 100%, $E$13)</f>
        <v>4.9383999999999997</v>
      </c>
      <c r="F232" s="68">
        <f>4.9384 * CHOOSE(CONTROL!$C$22, $C$13, 100%, $E$13)</f>
        <v>4.9383999999999997</v>
      </c>
      <c r="G232" s="68">
        <f>4.9397 * CHOOSE(CONTROL!$C$22, $C$13, 100%, $E$13)</f>
        <v>4.9397000000000002</v>
      </c>
      <c r="H232" s="68">
        <f>8.1675* CHOOSE(CONTROL!$C$22, $C$13, 100%, $E$13)</f>
        <v>8.1675000000000004</v>
      </c>
      <c r="I232" s="68">
        <f>8.1687 * CHOOSE(CONTROL!$C$22, $C$13, 100%, $E$13)</f>
        <v>8.1686999999999994</v>
      </c>
      <c r="J232" s="68">
        <f>4.9384 * CHOOSE(CONTROL!$C$22, $C$13, 100%, $E$13)</f>
        <v>4.9383999999999997</v>
      </c>
      <c r="K232" s="68">
        <f>4.9397 * CHOOSE(CONTROL!$C$22, $C$13, 100%, $E$13)</f>
        <v>4.9397000000000002</v>
      </c>
    </row>
    <row r="233" spans="1:11" ht="15">
      <c r="A233" s="13">
        <v>48214</v>
      </c>
      <c r="B233" s="67">
        <f>4.1645 * CHOOSE(CONTROL!$C$22, $C$13, 100%, $E$13)</f>
        <v>4.1645000000000003</v>
      </c>
      <c r="C233" s="67">
        <f>4.1645 * CHOOSE(CONTROL!$C$22, $C$13, 100%, $E$13)</f>
        <v>4.1645000000000003</v>
      </c>
      <c r="D233" s="67">
        <f>4.1655 * CHOOSE(CONTROL!$C$22, $C$13, 100%, $E$13)</f>
        <v>4.1654999999999998</v>
      </c>
      <c r="E233" s="68">
        <f>5.0152 * CHOOSE(CONTROL!$C$22, $C$13, 100%, $E$13)</f>
        <v>5.0152000000000001</v>
      </c>
      <c r="F233" s="68">
        <f>5.0152 * CHOOSE(CONTROL!$C$22, $C$13, 100%, $E$13)</f>
        <v>5.0152000000000001</v>
      </c>
      <c r="G233" s="68">
        <f>5.0165 * CHOOSE(CONTROL!$C$22, $C$13, 100%, $E$13)</f>
        <v>5.0164999999999997</v>
      </c>
      <c r="H233" s="68">
        <f>8.1845* CHOOSE(CONTROL!$C$22, $C$13, 100%, $E$13)</f>
        <v>8.1844999999999999</v>
      </c>
      <c r="I233" s="68">
        <f>8.1858 * CHOOSE(CONTROL!$C$22, $C$13, 100%, $E$13)</f>
        <v>8.1858000000000004</v>
      </c>
      <c r="J233" s="68">
        <f>5.0152 * CHOOSE(CONTROL!$C$22, $C$13, 100%, $E$13)</f>
        <v>5.0152000000000001</v>
      </c>
      <c r="K233" s="68">
        <f>5.0165 * CHOOSE(CONTROL!$C$22, $C$13, 100%, $E$13)</f>
        <v>5.0164999999999997</v>
      </c>
    </row>
    <row r="234" spans="1:11" ht="15">
      <c r="A234" s="13">
        <v>48245</v>
      </c>
      <c r="B234" s="67">
        <f>4.1614 * CHOOSE(CONTROL!$C$22, $C$13, 100%, $E$13)</f>
        <v>4.1614000000000004</v>
      </c>
      <c r="C234" s="67">
        <f>4.1614 * CHOOSE(CONTROL!$C$22, $C$13, 100%, $E$13)</f>
        <v>4.1614000000000004</v>
      </c>
      <c r="D234" s="67">
        <f>4.1624 * CHOOSE(CONTROL!$C$22, $C$13, 100%, $E$13)</f>
        <v>4.1623999999999999</v>
      </c>
      <c r="E234" s="68">
        <f>4.9336 * CHOOSE(CONTROL!$C$22, $C$13, 100%, $E$13)</f>
        <v>4.9336000000000002</v>
      </c>
      <c r="F234" s="68">
        <f>4.9336 * CHOOSE(CONTROL!$C$22, $C$13, 100%, $E$13)</f>
        <v>4.9336000000000002</v>
      </c>
      <c r="G234" s="68">
        <f>4.9349 * CHOOSE(CONTROL!$C$22, $C$13, 100%, $E$13)</f>
        <v>4.9348999999999998</v>
      </c>
      <c r="H234" s="68">
        <f>8.2015* CHOOSE(CONTROL!$C$22, $C$13, 100%, $E$13)</f>
        <v>8.2014999999999993</v>
      </c>
      <c r="I234" s="68">
        <f>8.2028 * CHOOSE(CONTROL!$C$22, $C$13, 100%, $E$13)</f>
        <v>8.2027999999999999</v>
      </c>
      <c r="J234" s="68">
        <f>4.9336 * CHOOSE(CONTROL!$C$22, $C$13, 100%, $E$13)</f>
        <v>4.9336000000000002</v>
      </c>
      <c r="K234" s="68">
        <f>4.9349 * CHOOSE(CONTROL!$C$22, $C$13, 100%, $E$13)</f>
        <v>4.9348999999999998</v>
      </c>
    </row>
    <row r="235" spans="1:11" ht="15">
      <c r="A235" s="13">
        <v>48274</v>
      </c>
      <c r="B235" s="67">
        <f>4.1584 * CHOOSE(CONTROL!$C$22, $C$13, 100%, $E$13)</f>
        <v>4.1584000000000003</v>
      </c>
      <c r="C235" s="67">
        <f>4.1584 * CHOOSE(CONTROL!$C$22, $C$13, 100%, $E$13)</f>
        <v>4.1584000000000003</v>
      </c>
      <c r="D235" s="67">
        <f>4.1594 * CHOOSE(CONTROL!$C$22, $C$13, 100%, $E$13)</f>
        <v>4.1593999999999998</v>
      </c>
      <c r="E235" s="68">
        <f>4.9942 * CHOOSE(CONTROL!$C$22, $C$13, 100%, $E$13)</f>
        <v>4.9942000000000002</v>
      </c>
      <c r="F235" s="68">
        <f>4.9942 * CHOOSE(CONTROL!$C$22, $C$13, 100%, $E$13)</f>
        <v>4.9942000000000002</v>
      </c>
      <c r="G235" s="68">
        <f>4.9954 * CHOOSE(CONTROL!$C$22, $C$13, 100%, $E$13)</f>
        <v>4.9954000000000001</v>
      </c>
      <c r="H235" s="68">
        <f>8.2186* CHOOSE(CONTROL!$C$22, $C$13, 100%, $E$13)</f>
        <v>8.2186000000000003</v>
      </c>
      <c r="I235" s="68">
        <f>8.2199 * CHOOSE(CONTROL!$C$22, $C$13, 100%, $E$13)</f>
        <v>8.2199000000000009</v>
      </c>
      <c r="J235" s="68">
        <f>4.9942 * CHOOSE(CONTROL!$C$22, $C$13, 100%, $E$13)</f>
        <v>4.9942000000000002</v>
      </c>
      <c r="K235" s="68">
        <f>4.9954 * CHOOSE(CONTROL!$C$22, $C$13, 100%, $E$13)</f>
        <v>4.9954000000000001</v>
      </c>
    </row>
    <row r="236" spans="1:11" ht="15">
      <c r="A236" s="13">
        <v>48305</v>
      </c>
      <c r="B236" s="67">
        <f>4.1562 * CHOOSE(CONTROL!$C$22, $C$13, 100%, $E$13)</f>
        <v>4.1562000000000001</v>
      </c>
      <c r="C236" s="67">
        <f>4.1562 * CHOOSE(CONTROL!$C$22, $C$13, 100%, $E$13)</f>
        <v>4.1562000000000001</v>
      </c>
      <c r="D236" s="67">
        <f>4.1572 * CHOOSE(CONTROL!$C$22, $C$13, 100%, $E$13)</f>
        <v>4.1571999999999996</v>
      </c>
      <c r="E236" s="68">
        <f>5.0572 * CHOOSE(CONTROL!$C$22, $C$13, 100%, $E$13)</f>
        <v>5.0571999999999999</v>
      </c>
      <c r="F236" s="68">
        <f>5.0572 * CHOOSE(CONTROL!$C$22, $C$13, 100%, $E$13)</f>
        <v>5.0571999999999999</v>
      </c>
      <c r="G236" s="68">
        <f>5.0585 * CHOOSE(CONTROL!$C$22, $C$13, 100%, $E$13)</f>
        <v>5.0585000000000004</v>
      </c>
      <c r="H236" s="68">
        <f>8.2357* CHOOSE(CONTROL!$C$22, $C$13, 100%, $E$13)</f>
        <v>8.2356999999999996</v>
      </c>
      <c r="I236" s="68">
        <f>8.237 * CHOOSE(CONTROL!$C$22, $C$13, 100%, $E$13)</f>
        <v>8.2370000000000001</v>
      </c>
      <c r="J236" s="68">
        <f>5.0572 * CHOOSE(CONTROL!$C$22, $C$13, 100%, $E$13)</f>
        <v>5.0571999999999999</v>
      </c>
      <c r="K236" s="68">
        <f>5.0585 * CHOOSE(CONTROL!$C$22, $C$13, 100%, $E$13)</f>
        <v>5.0585000000000004</v>
      </c>
    </row>
    <row r="237" spans="1:11" ht="15">
      <c r="A237" s="13">
        <v>48335</v>
      </c>
      <c r="B237" s="67">
        <f>4.1562 * CHOOSE(CONTROL!$C$22, $C$13, 100%, $E$13)</f>
        <v>4.1562000000000001</v>
      </c>
      <c r="C237" s="67">
        <f>4.1562 * CHOOSE(CONTROL!$C$22, $C$13, 100%, $E$13)</f>
        <v>4.1562000000000001</v>
      </c>
      <c r="D237" s="67">
        <f>4.1588 * CHOOSE(CONTROL!$C$22, $C$13, 100%, $E$13)</f>
        <v>4.1588000000000003</v>
      </c>
      <c r="E237" s="68">
        <f>5.0825 * CHOOSE(CONTROL!$C$22, $C$13, 100%, $E$13)</f>
        <v>5.0824999999999996</v>
      </c>
      <c r="F237" s="68">
        <f>5.0825 * CHOOSE(CONTROL!$C$22, $C$13, 100%, $E$13)</f>
        <v>5.0824999999999996</v>
      </c>
      <c r="G237" s="68">
        <f>5.0857 * CHOOSE(CONTROL!$C$22, $C$13, 100%, $E$13)</f>
        <v>5.0857000000000001</v>
      </c>
      <c r="H237" s="68">
        <f>8.2529* CHOOSE(CONTROL!$C$22, $C$13, 100%, $E$13)</f>
        <v>8.2529000000000003</v>
      </c>
      <c r="I237" s="68">
        <f>8.2561 * CHOOSE(CONTROL!$C$22, $C$13, 100%, $E$13)</f>
        <v>8.2561</v>
      </c>
      <c r="J237" s="68">
        <f>5.0825 * CHOOSE(CONTROL!$C$22, $C$13, 100%, $E$13)</f>
        <v>5.0824999999999996</v>
      </c>
      <c r="K237" s="68">
        <f>5.0857 * CHOOSE(CONTROL!$C$22, $C$13, 100%, $E$13)</f>
        <v>5.0857000000000001</v>
      </c>
    </row>
    <row r="238" spans="1:11" ht="15">
      <c r="A238" s="13">
        <v>48366</v>
      </c>
      <c r="B238" s="67">
        <f>4.1623 * CHOOSE(CONTROL!$C$22, $C$13, 100%, $E$13)</f>
        <v>4.1623000000000001</v>
      </c>
      <c r="C238" s="67">
        <f>4.1623 * CHOOSE(CONTROL!$C$22, $C$13, 100%, $E$13)</f>
        <v>4.1623000000000001</v>
      </c>
      <c r="D238" s="67">
        <f>4.1649 * CHOOSE(CONTROL!$C$22, $C$13, 100%, $E$13)</f>
        <v>4.1649000000000003</v>
      </c>
      <c r="E238" s="68">
        <f>5.0615 * CHOOSE(CONTROL!$C$22, $C$13, 100%, $E$13)</f>
        <v>5.0614999999999997</v>
      </c>
      <c r="F238" s="68">
        <f>5.0615 * CHOOSE(CONTROL!$C$22, $C$13, 100%, $E$13)</f>
        <v>5.0614999999999997</v>
      </c>
      <c r="G238" s="68">
        <f>5.0647 * CHOOSE(CONTROL!$C$22, $C$13, 100%, $E$13)</f>
        <v>5.0647000000000002</v>
      </c>
      <c r="H238" s="68">
        <f>8.2701* CHOOSE(CONTROL!$C$22, $C$13, 100%, $E$13)</f>
        <v>8.2700999999999993</v>
      </c>
      <c r="I238" s="68">
        <f>8.2733 * CHOOSE(CONTROL!$C$22, $C$13, 100%, $E$13)</f>
        <v>8.2733000000000008</v>
      </c>
      <c r="J238" s="68">
        <f>5.0615 * CHOOSE(CONTROL!$C$22, $C$13, 100%, $E$13)</f>
        <v>5.0614999999999997</v>
      </c>
      <c r="K238" s="68">
        <f>5.0647 * CHOOSE(CONTROL!$C$22, $C$13, 100%, $E$13)</f>
        <v>5.0647000000000002</v>
      </c>
    </row>
    <row r="239" spans="1:11" ht="15">
      <c r="A239" s="13">
        <v>48396</v>
      </c>
      <c r="B239" s="67">
        <f>4.2341 * CHOOSE(CONTROL!$C$22, $C$13, 100%, $E$13)</f>
        <v>4.2340999999999998</v>
      </c>
      <c r="C239" s="67">
        <f>4.2341 * CHOOSE(CONTROL!$C$22, $C$13, 100%, $E$13)</f>
        <v>4.2340999999999998</v>
      </c>
      <c r="D239" s="67">
        <f>4.2367 * CHOOSE(CONTROL!$C$22, $C$13, 100%, $E$13)</f>
        <v>4.2366999999999999</v>
      </c>
      <c r="E239" s="68">
        <f>5.166 * CHOOSE(CONTROL!$C$22, $C$13, 100%, $E$13)</f>
        <v>5.1660000000000004</v>
      </c>
      <c r="F239" s="68">
        <f>5.166 * CHOOSE(CONTROL!$C$22, $C$13, 100%, $E$13)</f>
        <v>5.1660000000000004</v>
      </c>
      <c r="G239" s="68">
        <f>5.1693 * CHOOSE(CONTROL!$C$22, $C$13, 100%, $E$13)</f>
        <v>5.1692999999999998</v>
      </c>
      <c r="H239" s="68">
        <f>8.2873* CHOOSE(CONTROL!$C$22, $C$13, 100%, $E$13)</f>
        <v>8.2873000000000001</v>
      </c>
      <c r="I239" s="68">
        <f>8.2906 * CHOOSE(CONTROL!$C$22, $C$13, 100%, $E$13)</f>
        <v>8.2905999999999995</v>
      </c>
      <c r="J239" s="68">
        <f>5.166 * CHOOSE(CONTROL!$C$22, $C$13, 100%, $E$13)</f>
        <v>5.1660000000000004</v>
      </c>
      <c r="K239" s="68">
        <f>5.1693 * CHOOSE(CONTROL!$C$22, $C$13, 100%, $E$13)</f>
        <v>5.1692999999999998</v>
      </c>
    </row>
    <row r="240" spans="1:11" ht="15">
      <c r="A240" s="13">
        <v>48427</v>
      </c>
      <c r="B240" s="67">
        <f>4.2408 * CHOOSE(CONTROL!$C$22, $C$13, 100%, $E$13)</f>
        <v>4.2408000000000001</v>
      </c>
      <c r="C240" s="67">
        <f>4.2408 * CHOOSE(CONTROL!$C$22, $C$13, 100%, $E$13)</f>
        <v>4.2408000000000001</v>
      </c>
      <c r="D240" s="67">
        <f>4.2434 * CHOOSE(CONTROL!$C$22, $C$13, 100%, $E$13)</f>
        <v>4.2434000000000003</v>
      </c>
      <c r="E240" s="68">
        <f>5.095 * CHOOSE(CONTROL!$C$22, $C$13, 100%, $E$13)</f>
        <v>5.0949999999999998</v>
      </c>
      <c r="F240" s="68">
        <f>5.095 * CHOOSE(CONTROL!$C$22, $C$13, 100%, $E$13)</f>
        <v>5.0949999999999998</v>
      </c>
      <c r="G240" s="68">
        <f>5.0982 * CHOOSE(CONTROL!$C$22, $C$13, 100%, $E$13)</f>
        <v>5.0982000000000003</v>
      </c>
      <c r="H240" s="68">
        <f>8.3046* CHOOSE(CONTROL!$C$22, $C$13, 100%, $E$13)</f>
        <v>8.3046000000000006</v>
      </c>
      <c r="I240" s="68">
        <f>8.3078 * CHOOSE(CONTROL!$C$22, $C$13, 100%, $E$13)</f>
        <v>8.3078000000000003</v>
      </c>
      <c r="J240" s="68">
        <f>5.095 * CHOOSE(CONTROL!$C$22, $C$13, 100%, $E$13)</f>
        <v>5.0949999999999998</v>
      </c>
      <c r="K240" s="68">
        <f>5.0982 * CHOOSE(CONTROL!$C$22, $C$13, 100%, $E$13)</f>
        <v>5.0982000000000003</v>
      </c>
    </row>
    <row r="241" spans="1:11" ht="15">
      <c r="A241" s="13">
        <v>48458</v>
      </c>
      <c r="B241" s="67">
        <f>4.2378 * CHOOSE(CONTROL!$C$22, $C$13, 100%, $E$13)</f>
        <v>4.2378</v>
      </c>
      <c r="C241" s="67">
        <f>4.2378 * CHOOSE(CONTROL!$C$22, $C$13, 100%, $E$13)</f>
        <v>4.2378</v>
      </c>
      <c r="D241" s="67">
        <f>4.2404 * CHOOSE(CONTROL!$C$22, $C$13, 100%, $E$13)</f>
        <v>4.2404000000000002</v>
      </c>
      <c r="E241" s="68">
        <f>5.0844 * CHOOSE(CONTROL!$C$22, $C$13, 100%, $E$13)</f>
        <v>5.0843999999999996</v>
      </c>
      <c r="F241" s="68">
        <f>5.0844 * CHOOSE(CONTROL!$C$22, $C$13, 100%, $E$13)</f>
        <v>5.0843999999999996</v>
      </c>
      <c r="G241" s="68">
        <f>5.0877 * CHOOSE(CONTROL!$C$22, $C$13, 100%, $E$13)</f>
        <v>5.0876999999999999</v>
      </c>
      <c r="H241" s="68">
        <f>8.3219* CHOOSE(CONTROL!$C$22, $C$13, 100%, $E$13)</f>
        <v>8.3218999999999994</v>
      </c>
      <c r="I241" s="68">
        <f>8.3251 * CHOOSE(CONTROL!$C$22, $C$13, 100%, $E$13)</f>
        <v>8.3251000000000008</v>
      </c>
      <c r="J241" s="68">
        <f>5.0844 * CHOOSE(CONTROL!$C$22, $C$13, 100%, $E$13)</f>
        <v>5.0843999999999996</v>
      </c>
      <c r="K241" s="68">
        <f>5.0877 * CHOOSE(CONTROL!$C$22, $C$13, 100%, $E$13)</f>
        <v>5.0876999999999999</v>
      </c>
    </row>
    <row r="242" spans="1:11" ht="15">
      <c r="A242" s="13">
        <v>48488</v>
      </c>
      <c r="B242" s="67">
        <f>4.2336 * CHOOSE(CONTROL!$C$22, $C$13, 100%, $E$13)</f>
        <v>4.2336</v>
      </c>
      <c r="C242" s="67">
        <f>4.2336 * CHOOSE(CONTROL!$C$22, $C$13, 100%, $E$13)</f>
        <v>4.2336</v>
      </c>
      <c r="D242" s="67">
        <f>4.2346 * CHOOSE(CONTROL!$C$22, $C$13, 100%, $E$13)</f>
        <v>4.2346000000000004</v>
      </c>
      <c r="E242" s="68">
        <f>5.1047 * CHOOSE(CONTROL!$C$22, $C$13, 100%, $E$13)</f>
        <v>5.1047000000000002</v>
      </c>
      <c r="F242" s="68">
        <f>5.1047 * CHOOSE(CONTROL!$C$22, $C$13, 100%, $E$13)</f>
        <v>5.1047000000000002</v>
      </c>
      <c r="G242" s="68">
        <f>5.1059 * CHOOSE(CONTROL!$C$22, $C$13, 100%, $E$13)</f>
        <v>5.1059000000000001</v>
      </c>
      <c r="H242" s="68">
        <f>8.3392* CHOOSE(CONTROL!$C$22, $C$13, 100%, $E$13)</f>
        <v>8.3391999999999999</v>
      </c>
      <c r="I242" s="68">
        <f>8.3405 * CHOOSE(CONTROL!$C$22, $C$13, 100%, $E$13)</f>
        <v>8.3405000000000005</v>
      </c>
      <c r="J242" s="68">
        <f>5.1047 * CHOOSE(CONTROL!$C$22, $C$13, 100%, $E$13)</f>
        <v>5.1047000000000002</v>
      </c>
      <c r="K242" s="68">
        <f>5.1059 * CHOOSE(CONTROL!$C$22, $C$13, 100%, $E$13)</f>
        <v>5.1059000000000001</v>
      </c>
    </row>
    <row r="243" spans="1:11" ht="15">
      <c r="A243" s="13">
        <v>48519</v>
      </c>
      <c r="B243" s="67">
        <f>4.2367 * CHOOSE(CONTROL!$C$22, $C$13, 100%, $E$13)</f>
        <v>4.2366999999999999</v>
      </c>
      <c r="C243" s="67">
        <f>4.2367 * CHOOSE(CONTROL!$C$22, $C$13, 100%, $E$13)</f>
        <v>4.2366999999999999</v>
      </c>
      <c r="D243" s="67">
        <f>4.2376 * CHOOSE(CONTROL!$C$22, $C$13, 100%, $E$13)</f>
        <v>4.2375999999999996</v>
      </c>
      <c r="E243" s="68">
        <f>5.1236 * CHOOSE(CONTROL!$C$22, $C$13, 100%, $E$13)</f>
        <v>5.1235999999999997</v>
      </c>
      <c r="F243" s="68">
        <f>5.1236 * CHOOSE(CONTROL!$C$22, $C$13, 100%, $E$13)</f>
        <v>5.1235999999999997</v>
      </c>
      <c r="G243" s="68">
        <f>5.1249 * CHOOSE(CONTROL!$C$22, $C$13, 100%, $E$13)</f>
        <v>5.1249000000000002</v>
      </c>
      <c r="H243" s="68">
        <f>8.3566* CHOOSE(CONTROL!$C$22, $C$13, 100%, $E$13)</f>
        <v>8.3566000000000003</v>
      </c>
      <c r="I243" s="68">
        <f>8.3579 * CHOOSE(CONTROL!$C$22, $C$13, 100%, $E$13)</f>
        <v>8.3579000000000008</v>
      </c>
      <c r="J243" s="68">
        <f>5.1236 * CHOOSE(CONTROL!$C$22, $C$13, 100%, $E$13)</f>
        <v>5.1235999999999997</v>
      </c>
      <c r="K243" s="68">
        <f>5.1249 * CHOOSE(CONTROL!$C$22, $C$13, 100%, $E$13)</f>
        <v>5.1249000000000002</v>
      </c>
    </row>
    <row r="244" spans="1:11" ht="15">
      <c r="A244" s="13">
        <v>48549</v>
      </c>
      <c r="B244" s="67">
        <f>4.2367 * CHOOSE(CONTROL!$C$22, $C$13, 100%, $E$13)</f>
        <v>4.2366999999999999</v>
      </c>
      <c r="C244" s="67">
        <f>4.2367 * CHOOSE(CONTROL!$C$22, $C$13, 100%, $E$13)</f>
        <v>4.2366999999999999</v>
      </c>
      <c r="D244" s="67">
        <f>4.2376 * CHOOSE(CONTROL!$C$22, $C$13, 100%, $E$13)</f>
        <v>4.2375999999999996</v>
      </c>
      <c r="E244" s="68">
        <f>5.0815 * CHOOSE(CONTROL!$C$22, $C$13, 100%, $E$13)</f>
        <v>5.0815000000000001</v>
      </c>
      <c r="F244" s="68">
        <f>5.0815 * CHOOSE(CONTROL!$C$22, $C$13, 100%, $E$13)</f>
        <v>5.0815000000000001</v>
      </c>
      <c r="G244" s="68">
        <f>5.0828 * CHOOSE(CONTROL!$C$22, $C$13, 100%, $E$13)</f>
        <v>5.0827999999999998</v>
      </c>
      <c r="H244" s="68">
        <f>8.374* CHOOSE(CONTROL!$C$22, $C$13, 100%, $E$13)</f>
        <v>8.3740000000000006</v>
      </c>
      <c r="I244" s="68">
        <f>8.3753 * CHOOSE(CONTROL!$C$22, $C$13, 100%, $E$13)</f>
        <v>8.3752999999999993</v>
      </c>
      <c r="J244" s="68">
        <f>5.0815 * CHOOSE(CONTROL!$C$22, $C$13, 100%, $E$13)</f>
        <v>5.0815000000000001</v>
      </c>
      <c r="K244" s="68">
        <f>5.0828 * CHOOSE(CONTROL!$C$22, $C$13, 100%, $E$13)</f>
        <v>5.0827999999999998</v>
      </c>
    </row>
    <row r="245" spans="1:11" ht="15">
      <c r="A245" s="13">
        <v>48580</v>
      </c>
      <c r="B245" s="67">
        <f>4.2764 * CHOOSE(CONTROL!$C$22, $C$13, 100%, $E$13)</f>
        <v>4.2763999999999998</v>
      </c>
      <c r="C245" s="67">
        <f>4.2764 * CHOOSE(CONTROL!$C$22, $C$13, 100%, $E$13)</f>
        <v>4.2763999999999998</v>
      </c>
      <c r="D245" s="67">
        <f>4.2774 * CHOOSE(CONTROL!$C$22, $C$13, 100%, $E$13)</f>
        <v>4.2774000000000001</v>
      </c>
      <c r="E245" s="68">
        <f>5.1642 * CHOOSE(CONTROL!$C$22, $C$13, 100%, $E$13)</f>
        <v>5.1642000000000001</v>
      </c>
      <c r="F245" s="68">
        <f>5.1642 * CHOOSE(CONTROL!$C$22, $C$13, 100%, $E$13)</f>
        <v>5.1642000000000001</v>
      </c>
      <c r="G245" s="68">
        <f>5.1655 * CHOOSE(CONTROL!$C$22, $C$13, 100%, $E$13)</f>
        <v>5.1654999999999998</v>
      </c>
      <c r="H245" s="68">
        <f>8.3914* CHOOSE(CONTROL!$C$22, $C$13, 100%, $E$13)</f>
        <v>8.3914000000000009</v>
      </c>
      <c r="I245" s="68">
        <f>8.3927 * CHOOSE(CONTROL!$C$22, $C$13, 100%, $E$13)</f>
        <v>8.3926999999999996</v>
      </c>
      <c r="J245" s="68">
        <f>5.1642 * CHOOSE(CONTROL!$C$22, $C$13, 100%, $E$13)</f>
        <v>5.1642000000000001</v>
      </c>
      <c r="K245" s="68">
        <f>5.1655 * CHOOSE(CONTROL!$C$22, $C$13, 100%, $E$13)</f>
        <v>5.1654999999999998</v>
      </c>
    </row>
    <row r="246" spans="1:11" ht="15">
      <c r="A246" s="13">
        <v>48611</v>
      </c>
      <c r="B246" s="67">
        <f>4.2734 * CHOOSE(CONTROL!$C$22, $C$13, 100%, $E$13)</f>
        <v>4.2733999999999996</v>
      </c>
      <c r="C246" s="67">
        <f>4.2734 * CHOOSE(CONTROL!$C$22, $C$13, 100%, $E$13)</f>
        <v>4.2733999999999996</v>
      </c>
      <c r="D246" s="67">
        <f>4.2744 * CHOOSE(CONTROL!$C$22, $C$13, 100%, $E$13)</f>
        <v>4.2744</v>
      </c>
      <c r="E246" s="68">
        <f>5.0805 * CHOOSE(CONTROL!$C$22, $C$13, 100%, $E$13)</f>
        <v>5.0804999999999998</v>
      </c>
      <c r="F246" s="68">
        <f>5.0805 * CHOOSE(CONTROL!$C$22, $C$13, 100%, $E$13)</f>
        <v>5.0804999999999998</v>
      </c>
      <c r="G246" s="68">
        <f>5.0818 * CHOOSE(CONTROL!$C$22, $C$13, 100%, $E$13)</f>
        <v>5.0818000000000003</v>
      </c>
      <c r="H246" s="68">
        <f>8.4089* CHOOSE(CONTROL!$C$22, $C$13, 100%, $E$13)</f>
        <v>8.4088999999999992</v>
      </c>
      <c r="I246" s="68">
        <f>8.4102 * CHOOSE(CONTROL!$C$22, $C$13, 100%, $E$13)</f>
        <v>8.4101999999999997</v>
      </c>
      <c r="J246" s="68">
        <f>5.0805 * CHOOSE(CONTROL!$C$22, $C$13, 100%, $E$13)</f>
        <v>5.0804999999999998</v>
      </c>
      <c r="K246" s="68">
        <f>5.0818 * CHOOSE(CONTROL!$C$22, $C$13, 100%, $E$13)</f>
        <v>5.0818000000000003</v>
      </c>
    </row>
    <row r="247" spans="1:11" ht="15">
      <c r="A247" s="13">
        <v>48639</v>
      </c>
      <c r="B247" s="67">
        <f>4.2703 * CHOOSE(CONTROL!$C$22, $C$13, 100%, $E$13)</f>
        <v>4.2702999999999998</v>
      </c>
      <c r="C247" s="67">
        <f>4.2703 * CHOOSE(CONTROL!$C$22, $C$13, 100%, $E$13)</f>
        <v>4.2702999999999998</v>
      </c>
      <c r="D247" s="67">
        <f>4.2713 * CHOOSE(CONTROL!$C$22, $C$13, 100%, $E$13)</f>
        <v>4.2713000000000001</v>
      </c>
      <c r="E247" s="68">
        <f>5.1427 * CHOOSE(CONTROL!$C$22, $C$13, 100%, $E$13)</f>
        <v>5.1426999999999996</v>
      </c>
      <c r="F247" s="68">
        <f>5.1427 * CHOOSE(CONTROL!$C$22, $C$13, 100%, $E$13)</f>
        <v>5.1426999999999996</v>
      </c>
      <c r="G247" s="68">
        <f>5.144 * CHOOSE(CONTROL!$C$22, $C$13, 100%, $E$13)</f>
        <v>5.1440000000000001</v>
      </c>
      <c r="H247" s="68">
        <f>8.4264* CHOOSE(CONTROL!$C$22, $C$13, 100%, $E$13)</f>
        <v>8.4263999999999992</v>
      </c>
      <c r="I247" s="68">
        <f>8.4277 * CHOOSE(CONTROL!$C$22, $C$13, 100%, $E$13)</f>
        <v>8.4276999999999997</v>
      </c>
      <c r="J247" s="68">
        <f>5.1427 * CHOOSE(CONTROL!$C$22, $C$13, 100%, $E$13)</f>
        <v>5.1426999999999996</v>
      </c>
      <c r="K247" s="68">
        <f>5.144 * CHOOSE(CONTROL!$C$22, $C$13, 100%, $E$13)</f>
        <v>5.1440000000000001</v>
      </c>
    </row>
    <row r="248" spans="1:11" ht="15">
      <c r="A248" s="13">
        <v>48670</v>
      </c>
      <c r="B248" s="67">
        <f>4.2682 * CHOOSE(CONTROL!$C$22, $C$13, 100%, $E$13)</f>
        <v>4.2682000000000002</v>
      </c>
      <c r="C248" s="67">
        <f>4.2682 * CHOOSE(CONTROL!$C$22, $C$13, 100%, $E$13)</f>
        <v>4.2682000000000002</v>
      </c>
      <c r="D248" s="67">
        <f>4.2692 * CHOOSE(CONTROL!$C$22, $C$13, 100%, $E$13)</f>
        <v>4.2691999999999997</v>
      </c>
      <c r="E248" s="68">
        <f>5.2076 * CHOOSE(CONTROL!$C$22, $C$13, 100%, $E$13)</f>
        <v>5.2076000000000002</v>
      </c>
      <c r="F248" s="68">
        <f>5.2076 * CHOOSE(CONTROL!$C$22, $C$13, 100%, $E$13)</f>
        <v>5.2076000000000002</v>
      </c>
      <c r="G248" s="68">
        <f>5.2088 * CHOOSE(CONTROL!$C$22, $C$13, 100%, $E$13)</f>
        <v>5.2088000000000001</v>
      </c>
      <c r="H248" s="68">
        <f>8.444* CHOOSE(CONTROL!$C$22, $C$13, 100%, $E$13)</f>
        <v>8.4440000000000008</v>
      </c>
      <c r="I248" s="68">
        <f>8.4453 * CHOOSE(CONTROL!$C$22, $C$13, 100%, $E$13)</f>
        <v>8.4452999999999996</v>
      </c>
      <c r="J248" s="68">
        <f>5.2076 * CHOOSE(CONTROL!$C$22, $C$13, 100%, $E$13)</f>
        <v>5.2076000000000002</v>
      </c>
      <c r="K248" s="68">
        <f>5.2088 * CHOOSE(CONTROL!$C$22, $C$13, 100%, $E$13)</f>
        <v>5.2088000000000001</v>
      </c>
    </row>
    <row r="249" spans="1:11" ht="15">
      <c r="A249" s="13">
        <v>48700</v>
      </c>
      <c r="B249" s="67">
        <f>4.2682 * CHOOSE(CONTROL!$C$22, $C$13, 100%, $E$13)</f>
        <v>4.2682000000000002</v>
      </c>
      <c r="C249" s="67">
        <f>4.2682 * CHOOSE(CONTROL!$C$22, $C$13, 100%, $E$13)</f>
        <v>4.2682000000000002</v>
      </c>
      <c r="D249" s="67">
        <f>4.2708 * CHOOSE(CONTROL!$C$22, $C$13, 100%, $E$13)</f>
        <v>4.2708000000000004</v>
      </c>
      <c r="E249" s="68">
        <f>5.2335 * CHOOSE(CONTROL!$C$22, $C$13, 100%, $E$13)</f>
        <v>5.2335000000000003</v>
      </c>
      <c r="F249" s="68">
        <f>5.2335 * CHOOSE(CONTROL!$C$22, $C$13, 100%, $E$13)</f>
        <v>5.2335000000000003</v>
      </c>
      <c r="G249" s="68">
        <f>5.2367 * CHOOSE(CONTROL!$C$22, $C$13, 100%, $E$13)</f>
        <v>5.2366999999999999</v>
      </c>
      <c r="H249" s="68">
        <f>8.4616* CHOOSE(CONTROL!$C$22, $C$13, 100%, $E$13)</f>
        <v>8.4616000000000007</v>
      </c>
      <c r="I249" s="68">
        <f>8.4648 * CHOOSE(CONTROL!$C$22, $C$13, 100%, $E$13)</f>
        <v>8.4648000000000003</v>
      </c>
      <c r="J249" s="68">
        <f>5.2335 * CHOOSE(CONTROL!$C$22, $C$13, 100%, $E$13)</f>
        <v>5.2335000000000003</v>
      </c>
      <c r="K249" s="68">
        <f>5.2367 * CHOOSE(CONTROL!$C$22, $C$13, 100%, $E$13)</f>
        <v>5.2366999999999999</v>
      </c>
    </row>
    <row r="250" spans="1:11" ht="15">
      <c r="A250" s="13">
        <v>48731</v>
      </c>
      <c r="B250" s="67">
        <f>4.2743 * CHOOSE(CONTROL!$C$22, $C$13, 100%, $E$13)</f>
        <v>4.2743000000000002</v>
      </c>
      <c r="C250" s="67">
        <f>4.2743 * CHOOSE(CONTROL!$C$22, $C$13, 100%, $E$13)</f>
        <v>4.2743000000000002</v>
      </c>
      <c r="D250" s="67">
        <f>4.2769 * CHOOSE(CONTROL!$C$22, $C$13, 100%, $E$13)</f>
        <v>4.2769000000000004</v>
      </c>
      <c r="E250" s="68">
        <f>5.2118 * CHOOSE(CONTROL!$C$22, $C$13, 100%, $E$13)</f>
        <v>5.2118000000000002</v>
      </c>
      <c r="F250" s="68">
        <f>5.2118 * CHOOSE(CONTROL!$C$22, $C$13, 100%, $E$13)</f>
        <v>5.2118000000000002</v>
      </c>
      <c r="G250" s="68">
        <f>5.215 * CHOOSE(CONTROL!$C$22, $C$13, 100%, $E$13)</f>
        <v>5.2149999999999999</v>
      </c>
      <c r="H250" s="68">
        <f>8.4792* CHOOSE(CONTROL!$C$22, $C$13, 100%, $E$13)</f>
        <v>8.4792000000000005</v>
      </c>
      <c r="I250" s="68">
        <f>8.4825 * CHOOSE(CONTROL!$C$22, $C$13, 100%, $E$13)</f>
        <v>8.4824999999999999</v>
      </c>
      <c r="J250" s="68">
        <f>5.2118 * CHOOSE(CONTROL!$C$22, $C$13, 100%, $E$13)</f>
        <v>5.2118000000000002</v>
      </c>
      <c r="K250" s="68">
        <f>5.215 * CHOOSE(CONTROL!$C$22, $C$13, 100%, $E$13)</f>
        <v>5.2149999999999999</v>
      </c>
    </row>
    <row r="251" spans="1:11" ht="15">
      <c r="A251" s="13">
        <v>48761</v>
      </c>
      <c r="B251" s="67">
        <f>4.3499 * CHOOSE(CONTROL!$C$22, $C$13, 100%, $E$13)</f>
        <v>4.3498999999999999</v>
      </c>
      <c r="C251" s="67">
        <f>4.3499 * CHOOSE(CONTROL!$C$22, $C$13, 100%, $E$13)</f>
        <v>4.3498999999999999</v>
      </c>
      <c r="D251" s="67">
        <f>4.3525 * CHOOSE(CONTROL!$C$22, $C$13, 100%, $E$13)</f>
        <v>4.3525</v>
      </c>
      <c r="E251" s="68">
        <f>5.3292 * CHOOSE(CONTROL!$C$22, $C$13, 100%, $E$13)</f>
        <v>5.3292000000000002</v>
      </c>
      <c r="F251" s="68">
        <f>5.3292 * CHOOSE(CONTROL!$C$22, $C$13, 100%, $E$13)</f>
        <v>5.3292000000000002</v>
      </c>
      <c r="G251" s="68">
        <f>5.3325 * CHOOSE(CONTROL!$C$22, $C$13, 100%, $E$13)</f>
        <v>5.3324999999999996</v>
      </c>
      <c r="H251" s="68">
        <f>8.4969* CHOOSE(CONTROL!$C$22, $C$13, 100%, $E$13)</f>
        <v>8.4969000000000001</v>
      </c>
      <c r="I251" s="68">
        <f>8.5001 * CHOOSE(CONTROL!$C$22, $C$13, 100%, $E$13)</f>
        <v>8.5000999999999998</v>
      </c>
      <c r="J251" s="68">
        <f>5.3292 * CHOOSE(CONTROL!$C$22, $C$13, 100%, $E$13)</f>
        <v>5.3292000000000002</v>
      </c>
      <c r="K251" s="68">
        <f>5.3325 * CHOOSE(CONTROL!$C$22, $C$13, 100%, $E$13)</f>
        <v>5.3324999999999996</v>
      </c>
    </row>
    <row r="252" spans="1:11" ht="15">
      <c r="A252" s="13">
        <v>48792</v>
      </c>
      <c r="B252" s="67">
        <f>4.3566 * CHOOSE(CONTROL!$C$22, $C$13, 100%, $E$13)</f>
        <v>4.3566000000000003</v>
      </c>
      <c r="C252" s="67">
        <f>4.3566 * CHOOSE(CONTROL!$C$22, $C$13, 100%, $E$13)</f>
        <v>4.3566000000000003</v>
      </c>
      <c r="D252" s="67">
        <f>4.3592 * CHOOSE(CONTROL!$C$22, $C$13, 100%, $E$13)</f>
        <v>4.3592000000000004</v>
      </c>
      <c r="E252" s="68">
        <f>5.2562 * CHOOSE(CONTROL!$C$22, $C$13, 100%, $E$13)</f>
        <v>5.2561999999999998</v>
      </c>
      <c r="F252" s="68">
        <f>5.2562 * CHOOSE(CONTROL!$C$22, $C$13, 100%, $E$13)</f>
        <v>5.2561999999999998</v>
      </c>
      <c r="G252" s="68">
        <f>5.2594 * CHOOSE(CONTROL!$C$22, $C$13, 100%, $E$13)</f>
        <v>5.2594000000000003</v>
      </c>
      <c r="H252" s="68">
        <f>8.5146* CHOOSE(CONTROL!$C$22, $C$13, 100%, $E$13)</f>
        <v>8.5145999999999997</v>
      </c>
      <c r="I252" s="68">
        <f>8.5178 * CHOOSE(CONTROL!$C$22, $C$13, 100%, $E$13)</f>
        <v>8.5177999999999994</v>
      </c>
      <c r="J252" s="68">
        <f>5.2562 * CHOOSE(CONTROL!$C$22, $C$13, 100%, $E$13)</f>
        <v>5.2561999999999998</v>
      </c>
      <c r="K252" s="68">
        <f>5.2594 * CHOOSE(CONTROL!$C$22, $C$13, 100%, $E$13)</f>
        <v>5.2594000000000003</v>
      </c>
    </row>
    <row r="253" spans="1:11" ht="15">
      <c r="A253" s="13">
        <v>48823</v>
      </c>
      <c r="B253" s="67">
        <f>4.3535 * CHOOSE(CONTROL!$C$22, $C$13, 100%, $E$13)</f>
        <v>4.3535000000000004</v>
      </c>
      <c r="C253" s="67">
        <f>4.3535 * CHOOSE(CONTROL!$C$22, $C$13, 100%, $E$13)</f>
        <v>4.3535000000000004</v>
      </c>
      <c r="D253" s="67">
        <f>4.3561 * CHOOSE(CONTROL!$C$22, $C$13, 100%, $E$13)</f>
        <v>4.3560999999999996</v>
      </c>
      <c r="E253" s="68">
        <f>5.2454 * CHOOSE(CONTROL!$C$22, $C$13, 100%, $E$13)</f>
        <v>5.2454000000000001</v>
      </c>
      <c r="F253" s="68">
        <f>5.2454 * CHOOSE(CONTROL!$C$22, $C$13, 100%, $E$13)</f>
        <v>5.2454000000000001</v>
      </c>
      <c r="G253" s="68">
        <f>5.2487 * CHOOSE(CONTROL!$C$22, $C$13, 100%, $E$13)</f>
        <v>5.2487000000000004</v>
      </c>
      <c r="H253" s="68">
        <f>8.5323* CHOOSE(CONTROL!$C$22, $C$13, 100%, $E$13)</f>
        <v>8.5322999999999993</v>
      </c>
      <c r="I253" s="68">
        <f>8.5356 * CHOOSE(CONTROL!$C$22, $C$13, 100%, $E$13)</f>
        <v>8.5356000000000005</v>
      </c>
      <c r="J253" s="68">
        <f>5.2454 * CHOOSE(CONTROL!$C$22, $C$13, 100%, $E$13)</f>
        <v>5.2454000000000001</v>
      </c>
      <c r="K253" s="68">
        <f>5.2487 * CHOOSE(CONTROL!$C$22, $C$13, 100%, $E$13)</f>
        <v>5.2487000000000004</v>
      </c>
    </row>
    <row r="254" spans="1:11" ht="15">
      <c r="A254" s="13">
        <v>48853</v>
      </c>
      <c r="B254" s="67">
        <f>4.3497 * CHOOSE(CONTROL!$C$22, $C$13, 100%, $E$13)</f>
        <v>4.3497000000000003</v>
      </c>
      <c r="C254" s="67">
        <f>4.3497 * CHOOSE(CONTROL!$C$22, $C$13, 100%, $E$13)</f>
        <v>4.3497000000000003</v>
      </c>
      <c r="D254" s="67">
        <f>4.3507 * CHOOSE(CONTROL!$C$22, $C$13, 100%, $E$13)</f>
        <v>4.3506999999999998</v>
      </c>
      <c r="E254" s="68">
        <f>5.2665 * CHOOSE(CONTROL!$C$22, $C$13, 100%, $E$13)</f>
        <v>5.2664999999999997</v>
      </c>
      <c r="F254" s="68">
        <f>5.2665 * CHOOSE(CONTROL!$C$22, $C$13, 100%, $E$13)</f>
        <v>5.2664999999999997</v>
      </c>
      <c r="G254" s="68">
        <f>5.2678 * CHOOSE(CONTROL!$C$22, $C$13, 100%, $E$13)</f>
        <v>5.2678000000000003</v>
      </c>
      <c r="H254" s="68">
        <f>8.5501* CHOOSE(CONTROL!$C$22, $C$13, 100%, $E$13)</f>
        <v>8.5501000000000005</v>
      </c>
      <c r="I254" s="68">
        <f>8.5514 * CHOOSE(CONTROL!$C$22, $C$13, 100%, $E$13)</f>
        <v>8.5513999999999992</v>
      </c>
      <c r="J254" s="68">
        <f>5.2665 * CHOOSE(CONTROL!$C$22, $C$13, 100%, $E$13)</f>
        <v>5.2664999999999997</v>
      </c>
      <c r="K254" s="68">
        <f>5.2678 * CHOOSE(CONTROL!$C$22, $C$13, 100%, $E$13)</f>
        <v>5.2678000000000003</v>
      </c>
    </row>
    <row r="255" spans="1:11" ht="15">
      <c r="A255" s="13">
        <v>48884</v>
      </c>
      <c r="B255" s="67">
        <f>4.3528 * CHOOSE(CONTROL!$C$22, $C$13, 100%, $E$13)</f>
        <v>4.3528000000000002</v>
      </c>
      <c r="C255" s="67">
        <f>4.3528 * CHOOSE(CONTROL!$C$22, $C$13, 100%, $E$13)</f>
        <v>4.3528000000000002</v>
      </c>
      <c r="D255" s="67">
        <f>4.3538 * CHOOSE(CONTROL!$C$22, $C$13, 100%, $E$13)</f>
        <v>4.3537999999999997</v>
      </c>
      <c r="E255" s="68">
        <f>5.2859 * CHOOSE(CONTROL!$C$22, $C$13, 100%, $E$13)</f>
        <v>5.2858999999999998</v>
      </c>
      <c r="F255" s="68">
        <f>5.2859 * CHOOSE(CONTROL!$C$22, $C$13, 100%, $E$13)</f>
        <v>5.2858999999999998</v>
      </c>
      <c r="G255" s="68">
        <f>5.2872 * CHOOSE(CONTROL!$C$22, $C$13, 100%, $E$13)</f>
        <v>5.2872000000000003</v>
      </c>
      <c r="H255" s="68">
        <f>8.5679* CHOOSE(CONTROL!$C$22, $C$13, 100%, $E$13)</f>
        <v>8.5678999999999998</v>
      </c>
      <c r="I255" s="68">
        <f>8.5692 * CHOOSE(CONTROL!$C$22, $C$13, 100%, $E$13)</f>
        <v>8.5692000000000004</v>
      </c>
      <c r="J255" s="68">
        <f>5.2859 * CHOOSE(CONTROL!$C$22, $C$13, 100%, $E$13)</f>
        <v>5.2858999999999998</v>
      </c>
      <c r="K255" s="68">
        <f>5.2872 * CHOOSE(CONTROL!$C$22, $C$13, 100%, $E$13)</f>
        <v>5.2872000000000003</v>
      </c>
    </row>
    <row r="256" spans="1:11" ht="15">
      <c r="A256" s="13">
        <v>48914</v>
      </c>
      <c r="B256" s="67">
        <f>4.3528 * CHOOSE(CONTROL!$C$22, $C$13, 100%, $E$13)</f>
        <v>4.3528000000000002</v>
      </c>
      <c r="C256" s="67">
        <f>4.3528 * CHOOSE(CONTROL!$C$22, $C$13, 100%, $E$13)</f>
        <v>4.3528000000000002</v>
      </c>
      <c r="D256" s="67">
        <f>4.3538 * CHOOSE(CONTROL!$C$22, $C$13, 100%, $E$13)</f>
        <v>4.3537999999999997</v>
      </c>
      <c r="E256" s="68">
        <f>5.2427 * CHOOSE(CONTROL!$C$22, $C$13, 100%, $E$13)</f>
        <v>5.2427000000000001</v>
      </c>
      <c r="F256" s="68">
        <f>5.2427 * CHOOSE(CONTROL!$C$22, $C$13, 100%, $E$13)</f>
        <v>5.2427000000000001</v>
      </c>
      <c r="G256" s="68">
        <f>5.244 * CHOOSE(CONTROL!$C$22, $C$13, 100%, $E$13)</f>
        <v>5.2439999999999998</v>
      </c>
      <c r="H256" s="68">
        <f>8.5858* CHOOSE(CONTROL!$C$22, $C$13, 100%, $E$13)</f>
        <v>8.5858000000000008</v>
      </c>
      <c r="I256" s="68">
        <f>8.5871 * CHOOSE(CONTROL!$C$22, $C$13, 100%, $E$13)</f>
        <v>8.5870999999999995</v>
      </c>
      <c r="J256" s="68">
        <f>5.2427 * CHOOSE(CONTROL!$C$22, $C$13, 100%, $E$13)</f>
        <v>5.2427000000000001</v>
      </c>
      <c r="K256" s="68">
        <f>5.244 * CHOOSE(CONTROL!$C$22, $C$13, 100%, $E$13)</f>
        <v>5.2439999999999998</v>
      </c>
    </row>
    <row r="257" spans="1:11" ht="15">
      <c r="A257" s="13">
        <v>48945</v>
      </c>
      <c r="B257" s="67">
        <f>4.3942 * CHOOSE(CONTROL!$C$22, $C$13, 100%, $E$13)</f>
        <v>4.3941999999999997</v>
      </c>
      <c r="C257" s="67">
        <f>4.3942 * CHOOSE(CONTROL!$C$22, $C$13, 100%, $E$13)</f>
        <v>4.3941999999999997</v>
      </c>
      <c r="D257" s="67">
        <f>4.3951 * CHOOSE(CONTROL!$C$22, $C$13, 100%, $E$13)</f>
        <v>4.3951000000000002</v>
      </c>
      <c r="E257" s="68">
        <f>5.3259 * CHOOSE(CONTROL!$C$22, $C$13, 100%, $E$13)</f>
        <v>5.3258999999999999</v>
      </c>
      <c r="F257" s="68">
        <f>5.3259 * CHOOSE(CONTROL!$C$22, $C$13, 100%, $E$13)</f>
        <v>5.3258999999999999</v>
      </c>
      <c r="G257" s="68">
        <f>5.3272 * CHOOSE(CONTROL!$C$22, $C$13, 100%, $E$13)</f>
        <v>5.3272000000000004</v>
      </c>
      <c r="H257" s="68">
        <f>8.6037* CHOOSE(CONTROL!$C$22, $C$13, 100%, $E$13)</f>
        <v>8.6036999999999999</v>
      </c>
      <c r="I257" s="68">
        <f>8.6049 * CHOOSE(CONTROL!$C$22, $C$13, 100%, $E$13)</f>
        <v>8.6049000000000007</v>
      </c>
      <c r="J257" s="68">
        <f>5.3259 * CHOOSE(CONTROL!$C$22, $C$13, 100%, $E$13)</f>
        <v>5.3258999999999999</v>
      </c>
      <c r="K257" s="68">
        <f>5.3272 * CHOOSE(CONTROL!$C$22, $C$13, 100%, $E$13)</f>
        <v>5.3272000000000004</v>
      </c>
    </row>
    <row r="258" spans="1:11" ht="15">
      <c r="A258" s="13">
        <v>48976</v>
      </c>
      <c r="B258" s="67">
        <f>4.3911 * CHOOSE(CONTROL!$C$22, $C$13, 100%, $E$13)</f>
        <v>4.3910999999999998</v>
      </c>
      <c r="C258" s="67">
        <f>4.3911 * CHOOSE(CONTROL!$C$22, $C$13, 100%, $E$13)</f>
        <v>4.3910999999999998</v>
      </c>
      <c r="D258" s="67">
        <f>4.3921 * CHOOSE(CONTROL!$C$22, $C$13, 100%, $E$13)</f>
        <v>4.3921000000000001</v>
      </c>
      <c r="E258" s="68">
        <f>5.24 * CHOOSE(CONTROL!$C$22, $C$13, 100%, $E$13)</f>
        <v>5.24</v>
      </c>
      <c r="F258" s="68">
        <f>5.24 * CHOOSE(CONTROL!$C$22, $C$13, 100%, $E$13)</f>
        <v>5.24</v>
      </c>
      <c r="G258" s="68">
        <f>5.2413 * CHOOSE(CONTROL!$C$22, $C$13, 100%, $E$13)</f>
        <v>5.2412999999999998</v>
      </c>
      <c r="H258" s="68">
        <f>8.6216* CHOOSE(CONTROL!$C$22, $C$13, 100%, $E$13)</f>
        <v>8.6216000000000008</v>
      </c>
      <c r="I258" s="68">
        <f>8.6229 * CHOOSE(CONTROL!$C$22, $C$13, 100%, $E$13)</f>
        <v>8.6228999999999996</v>
      </c>
      <c r="J258" s="68">
        <f>5.24 * CHOOSE(CONTROL!$C$22, $C$13, 100%, $E$13)</f>
        <v>5.24</v>
      </c>
      <c r="K258" s="68">
        <f>5.2413 * CHOOSE(CONTROL!$C$22, $C$13, 100%, $E$13)</f>
        <v>5.2412999999999998</v>
      </c>
    </row>
    <row r="259" spans="1:11" ht="15">
      <c r="A259" s="13">
        <v>49004</v>
      </c>
      <c r="B259" s="67">
        <f>4.3881 * CHOOSE(CONTROL!$C$22, $C$13, 100%, $E$13)</f>
        <v>4.3880999999999997</v>
      </c>
      <c r="C259" s="67">
        <f>4.3881 * CHOOSE(CONTROL!$C$22, $C$13, 100%, $E$13)</f>
        <v>4.3880999999999997</v>
      </c>
      <c r="D259" s="67">
        <f>4.3891 * CHOOSE(CONTROL!$C$22, $C$13, 100%, $E$13)</f>
        <v>4.3891</v>
      </c>
      <c r="E259" s="68">
        <f>5.304 * CHOOSE(CONTROL!$C$22, $C$13, 100%, $E$13)</f>
        <v>5.3040000000000003</v>
      </c>
      <c r="F259" s="68">
        <f>5.304 * CHOOSE(CONTROL!$C$22, $C$13, 100%, $E$13)</f>
        <v>5.3040000000000003</v>
      </c>
      <c r="G259" s="68">
        <f>5.3052 * CHOOSE(CONTROL!$C$22, $C$13, 100%, $E$13)</f>
        <v>5.3052000000000001</v>
      </c>
      <c r="H259" s="68">
        <f>8.6395* CHOOSE(CONTROL!$C$22, $C$13, 100%, $E$13)</f>
        <v>8.6395</v>
      </c>
      <c r="I259" s="68">
        <f>8.6408 * CHOOSE(CONTROL!$C$22, $C$13, 100%, $E$13)</f>
        <v>8.6408000000000005</v>
      </c>
      <c r="J259" s="68">
        <f>5.304 * CHOOSE(CONTROL!$C$22, $C$13, 100%, $E$13)</f>
        <v>5.3040000000000003</v>
      </c>
      <c r="K259" s="68">
        <f>5.3052 * CHOOSE(CONTROL!$C$22, $C$13, 100%, $E$13)</f>
        <v>5.3052000000000001</v>
      </c>
    </row>
    <row r="260" spans="1:11" ht="15">
      <c r="A260" s="13">
        <v>49035</v>
      </c>
      <c r="B260" s="67">
        <f>4.3861 * CHOOSE(CONTROL!$C$22, $C$13, 100%, $E$13)</f>
        <v>4.3860999999999999</v>
      </c>
      <c r="C260" s="67">
        <f>4.3861 * CHOOSE(CONTROL!$C$22, $C$13, 100%, $E$13)</f>
        <v>4.3860999999999999</v>
      </c>
      <c r="D260" s="67">
        <f>4.387 * CHOOSE(CONTROL!$C$22, $C$13, 100%, $E$13)</f>
        <v>4.3869999999999996</v>
      </c>
      <c r="E260" s="68">
        <f>5.3707 * CHOOSE(CONTROL!$C$22, $C$13, 100%, $E$13)</f>
        <v>5.3707000000000003</v>
      </c>
      <c r="F260" s="68">
        <f>5.3707 * CHOOSE(CONTROL!$C$22, $C$13, 100%, $E$13)</f>
        <v>5.3707000000000003</v>
      </c>
      <c r="G260" s="68">
        <f>5.3719 * CHOOSE(CONTROL!$C$22, $C$13, 100%, $E$13)</f>
        <v>5.3719000000000001</v>
      </c>
      <c r="H260" s="68">
        <f>8.6575* CHOOSE(CONTROL!$C$22, $C$13, 100%, $E$13)</f>
        <v>8.6575000000000006</v>
      </c>
      <c r="I260" s="68">
        <f>8.6588 * CHOOSE(CONTROL!$C$22, $C$13, 100%, $E$13)</f>
        <v>8.6587999999999994</v>
      </c>
      <c r="J260" s="68">
        <f>5.3707 * CHOOSE(CONTROL!$C$22, $C$13, 100%, $E$13)</f>
        <v>5.3707000000000003</v>
      </c>
      <c r="K260" s="68">
        <f>5.3719 * CHOOSE(CONTROL!$C$22, $C$13, 100%, $E$13)</f>
        <v>5.3719000000000001</v>
      </c>
    </row>
    <row r="261" spans="1:11" ht="15">
      <c r="A261" s="13">
        <v>49065</v>
      </c>
      <c r="B261" s="67">
        <f>4.3861 * CHOOSE(CONTROL!$C$22, $C$13, 100%, $E$13)</f>
        <v>4.3860999999999999</v>
      </c>
      <c r="C261" s="67">
        <f>4.3861 * CHOOSE(CONTROL!$C$22, $C$13, 100%, $E$13)</f>
        <v>4.3860999999999999</v>
      </c>
      <c r="D261" s="67">
        <f>4.3887 * CHOOSE(CONTROL!$C$22, $C$13, 100%, $E$13)</f>
        <v>4.3887</v>
      </c>
      <c r="E261" s="68">
        <f>5.3973 * CHOOSE(CONTROL!$C$22, $C$13, 100%, $E$13)</f>
        <v>5.3973000000000004</v>
      </c>
      <c r="F261" s="68">
        <f>5.3973 * CHOOSE(CONTROL!$C$22, $C$13, 100%, $E$13)</f>
        <v>5.3973000000000004</v>
      </c>
      <c r="G261" s="68">
        <f>5.4005 * CHOOSE(CONTROL!$C$22, $C$13, 100%, $E$13)</f>
        <v>5.4005000000000001</v>
      </c>
      <c r="H261" s="68">
        <f>8.6756* CHOOSE(CONTROL!$C$22, $C$13, 100%, $E$13)</f>
        <v>8.6755999999999993</v>
      </c>
      <c r="I261" s="68">
        <f>8.6788 * CHOOSE(CONTROL!$C$22, $C$13, 100%, $E$13)</f>
        <v>8.6788000000000007</v>
      </c>
      <c r="J261" s="68">
        <f>5.3973 * CHOOSE(CONTROL!$C$22, $C$13, 100%, $E$13)</f>
        <v>5.3973000000000004</v>
      </c>
      <c r="K261" s="68">
        <f>5.4005 * CHOOSE(CONTROL!$C$22, $C$13, 100%, $E$13)</f>
        <v>5.4005000000000001</v>
      </c>
    </row>
    <row r="262" spans="1:11" ht="15">
      <c r="A262" s="13">
        <v>49096</v>
      </c>
      <c r="B262" s="67">
        <f>4.3921 * CHOOSE(CONTROL!$C$22, $C$13, 100%, $E$13)</f>
        <v>4.3921000000000001</v>
      </c>
      <c r="C262" s="67">
        <f>4.3921 * CHOOSE(CONTROL!$C$22, $C$13, 100%, $E$13)</f>
        <v>4.3921000000000001</v>
      </c>
      <c r="D262" s="67">
        <f>4.3948 * CHOOSE(CONTROL!$C$22, $C$13, 100%, $E$13)</f>
        <v>4.3948</v>
      </c>
      <c r="E262" s="68">
        <f>5.3749 * CHOOSE(CONTROL!$C$22, $C$13, 100%, $E$13)</f>
        <v>5.3749000000000002</v>
      </c>
      <c r="F262" s="68">
        <f>5.3749 * CHOOSE(CONTROL!$C$22, $C$13, 100%, $E$13)</f>
        <v>5.3749000000000002</v>
      </c>
      <c r="G262" s="68">
        <f>5.3782 * CHOOSE(CONTROL!$C$22, $C$13, 100%, $E$13)</f>
        <v>5.3781999999999996</v>
      </c>
      <c r="H262" s="68">
        <f>8.6937* CHOOSE(CONTROL!$C$22, $C$13, 100%, $E$13)</f>
        <v>8.6936999999999998</v>
      </c>
      <c r="I262" s="68">
        <f>8.6969 * CHOOSE(CONTROL!$C$22, $C$13, 100%, $E$13)</f>
        <v>8.6968999999999994</v>
      </c>
      <c r="J262" s="68">
        <f>5.3749 * CHOOSE(CONTROL!$C$22, $C$13, 100%, $E$13)</f>
        <v>5.3749000000000002</v>
      </c>
      <c r="K262" s="68">
        <f>5.3782 * CHOOSE(CONTROL!$C$22, $C$13, 100%, $E$13)</f>
        <v>5.3781999999999996</v>
      </c>
    </row>
    <row r="263" spans="1:11" ht="15">
      <c r="A263" s="13">
        <v>49126</v>
      </c>
      <c r="B263" s="67">
        <f>4.4705 * CHOOSE(CONTROL!$C$22, $C$13, 100%, $E$13)</f>
        <v>4.4705000000000004</v>
      </c>
      <c r="C263" s="67">
        <f>4.4705 * CHOOSE(CONTROL!$C$22, $C$13, 100%, $E$13)</f>
        <v>4.4705000000000004</v>
      </c>
      <c r="D263" s="67">
        <f>4.4731 * CHOOSE(CONTROL!$C$22, $C$13, 100%, $E$13)</f>
        <v>4.4730999999999996</v>
      </c>
      <c r="E263" s="68">
        <f>5.4902 * CHOOSE(CONTROL!$C$22, $C$13, 100%, $E$13)</f>
        <v>5.4901999999999997</v>
      </c>
      <c r="F263" s="68">
        <f>5.4902 * CHOOSE(CONTROL!$C$22, $C$13, 100%, $E$13)</f>
        <v>5.4901999999999997</v>
      </c>
      <c r="G263" s="68">
        <f>5.4935 * CHOOSE(CONTROL!$C$22, $C$13, 100%, $E$13)</f>
        <v>5.4935</v>
      </c>
      <c r="H263" s="68">
        <f>8.7118* CHOOSE(CONTROL!$C$22, $C$13, 100%, $E$13)</f>
        <v>8.7118000000000002</v>
      </c>
      <c r="I263" s="68">
        <f>8.715 * CHOOSE(CONTROL!$C$22, $C$13, 100%, $E$13)</f>
        <v>8.7149999999999999</v>
      </c>
      <c r="J263" s="68">
        <f>5.4902 * CHOOSE(CONTROL!$C$22, $C$13, 100%, $E$13)</f>
        <v>5.4901999999999997</v>
      </c>
      <c r="K263" s="68">
        <f>5.4935 * CHOOSE(CONTROL!$C$22, $C$13, 100%, $E$13)</f>
        <v>5.4935</v>
      </c>
    </row>
    <row r="264" spans="1:11" ht="15">
      <c r="A264" s="13">
        <v>49157</v>
      </c>
      <c r="B264" s="67">
        <f>4.4771 * CHOOSE(CONTROL!$C$22, $C$13, 100%, $E$13)</f>
        <v>4.4771000000000001</v>
      </c>
      <c r="C264" s="67">
        <f>4.4771 * CHOOSE(CONTROL!$C$22, $C$13, 100%, $E$13)</f>
        <v>4.4771000000000001</v>
      </c>
      <c r="D264" s="67">
        <f>4.4798 * CHOOSE(CONTROL!$C$22, $C$13, 100%, $E$13)</f>
        <v>4.4798</v>
      </c>
      <c r="E264" s="68">
        <f>5.4151 * CHOOSE(CONTROL!$C$22, $C$13, 100%, $E$13)</f>
        <v>5.4150999999999998</v>
      </c>
      <c r="F264" s="68">
        <f>5.4151 * CHOOSE(CONTROL!$C$22, $C$13, 100%, $E$13)</f>
        <v>5.4150999999999998</v>
      </c>
      <c r="G264" s="68">
        <f>5.4183 * CHOOSE(CONTROL!$C$22, $C$13, 100%, $E$13)</f>
        <v>5.4183000000000003</v>
      </c>
      <c r="H264" s="68">
        <f>8.7299* CHOOSE(CONTROL!$C$22, $C$13, 100%, $E$13)</f>
        <v>8.7299000000000007</v>
      </c>
      <c r="I264" s="68">
        <f>8.7332 * CHOOSE(CONTROL!$C$22, $C$13, 100%, $E$13)</f>
        <v>8.7332000000000001</v>
      </c>
      <c r="J264" s="68">
        <f>5.4151 * CHOOSE(CONTROL!$C$22, $C$13, 100%, $E$13)</f>
        <v>5.4150999999999998</v>
      </c>
      <c r="K264" s="68">
        <f>5.4183 * CHOOSE(CONTROL!$C$22, $C$13, 100%, $E$13)</f>
        <v>5.4183000000000003</v>
      </c>
    </row>
    <row r="265" spans="1:11" ht="15">
      <c r="A265" s="13">
        <v>49188</v>
      </c>
      <c r="B265" s="67">
        <f>4.4741 * CHOOSE(CONTROL!$C$22, $C$13, 100%, $E$13)</f>
        <v>4.4741</v>
      </c>
      <c r="C265" s="67">
        <f>4.4741 * CHOOSE(CONTROL!$C$22, $C$13, 100%, $E$13)</f>
        <v>4.4741</v>
      </c>
      <c r="D265" s="67">
        <f>4.4767 * CHOOSE(CONTROL!$C$22, $C$13, 100%, $E$13)</f>
        <v>4.4767000000000001</v>
      </c>
      <c r="E265" s="68">
        <f>5.4041 * CHOOSE(CONTROL!$C$22, $C$13, 100%, $E$13)</f>
        <v>5.4040999999999997</v>
      </c>
      <c r="F265" s="68">
        <f>5.4041 * CHOOSE(CONTROL!$C$22, $C$13, 100%, $E$13)</f>
        <v>5.4040999999999997</v>
      </c>
      <c r="G265" s="68">
        <f>5.4073 * CHOOSE(CONTROL!$C$22, $C$13, 100%, $E$13)</f>
        <v>5.4073000000000002</v>
      </c>
      <c r="H265" s="68">
        <f>8.7481* CHOOSE(CONTROL!$C$22, $C$13, 100%, $E$13)</f>
        <v>8.7481000000000009</v>
      </c>
      <c r="I265" s="68">
        <f>8.7514 * CHOOSE(CONTROL!$C$22, $C$13, 100%, $E$13)</f>
        <v>8.7514000000000003</v>
      </c>
      <c r="J265" s="68">
        <f>5.4041 * CHOOSE(CONTROL!$C$22, $C$13, 100%, $E$13)</f>
        <v>5.4040999999999997</v>
      </c>
      <c r="K265" s="68">
        <f>5.4073 * CHOOSE(CONTROL!$C$22, $C$13, 100%, $E$13)</f>
        <v>5.4073000000000002</v>
      </c>
    </row>
    <row r="266" spans="1:11" ht="15">
      <c r="A266" s="13">
        <v>49218</v>
      </c>
      <c r="B266" s="67">
        <f>4.4707 * CHOOSE(CONTROL!$C$22, $C$13, 100%, $E$13)</f>
        <v>4.4706999999999999</v>
      </c>
      <c r="C266" s="67">
        <f>4.4707 * CHOOSE(CONTROL!$C$22, $C$13, 100%, $E$13)</f>
        <v>4.4706999999999999</v>
      </c>
      <c r="D266" s="67">
        <f>4.4717 * CHOOSE(CONTROL!$C$22, $C$13, 100%, $E$13)</f>
        <v>4.4717000000000002</v>
      </c>
      <c r="E266" s="68">
        <f>5.4261 * CHOOSE(CONTROL!$C$22, $C$13, 100%, $E$13)</f>
        <v>5.4260999999999999</v>
      </c>
      <c r="F266" s="68">
        <f>5.4261 * CHOOSE(CONTROL!$C$22, $C$13, 100%, $E$13)</f>
        <v>5.4260999999999999</v>
      </c>
      <c r="G266" s="68">
        <f>5.4274 * CHOOSE(CONTROL!$C$22, $C$13, 100%, $E$13)</f>
        <v>5.4273999999999996</v>
      </c>
      <c r="H266" s="68">
        <f>8.7663* CHOOSE(CONTROL!$C$22, $C$13, 100%, $E$13)</f>
        <v>8.7662999999999993</v>
      </c>
      <c r="I266" s="68">
        <f>8.7676 * CHOOSE(CONTROL!$C$22, $C$13, 100%, $E$13)</f>
        <v>8.7675999999999998</v>
      </c>
      <c r="J266" s="68">
        <f>5.4261 * CHOOSE(CONTROL!$C$22, $C$13, 100%, $E$13)</f>
        <v>5.4260999999999999</v>
      </c>
      <c r="K266" s="68">
        <f>5.4274 * CHOOSE(CONTROL!$C$22, $C$13, 100%, $E$13)</f>
        <v>5.4273999999999996</v>
      </c>
    </row>
    <row r="267" spans="1:11" ht="15">
      <c r="A267" s="13">
        <v>49249</v>
      </c>
      <c r="B267" s="67">
        <f>4.4738 * CHOOSE(CONTROL!$C$22, $C$13, 100%, $E$13)</f>
        <v>4.4737999999999998</v>
      </c>
      <c r="C267" s="67">
        <f>4.4738 * CHOOSE(CONTROL!$C$22, $C$13, 100%, $E$13)</f>
        <v>4.4737999999999998</v>
      </c>
      <c r="D267" s="67">
        <f>4.4747 * CHOOSE(CONTROL!$C$22, $C$13, 100%, $E$13)</f>
        <v>4.4747000000000003</v>
      </c>
      <c r="E267" s="68">
        <f>5.446 * CHOOSE(CONTROL!$C$22, $C$13, 100%, $E$13)</f>
        <v>5.4459999999999997</v>
      </c>
      <c r="F267" s="68">
        <f>5.446 * CHOOSE(CONTROL!$C$22, $C$13, 100%, $E$13)</f>
        <v>5.4459999999999997</v>
      </c>
      <c r="G267" s="68">
        <f>5.4473 * CHOOSE(CONTROL!$C$22, $C$13, 100%, $E$13)</f>
        <v>5.4473000000000003</v>
      </c>
      <c r="H267" s="68">
        <f>8.7846* CHOOSE(CONTROL!$C$22, $C$13, 100%, $E$13)</f>
        <v>8.7845999999999993</v>
      </c>
      <c r="I267" s="68">
        <f>8.7859 * CHOOSE(CONTROL!$C$22, $C$13, 100%, $E$13)</f>
        <v>8.7858999999999998</v>
      </c>
      <c r="J267" s="68">
        <f>5.446 * CHOOSE(CONTROL!$C$22, $C$13, 100%, $E$13)</f>
        <v>5.4459999999999997</v>
      </c>
      <c r="K267" s="68">
        <f>5.4473 * CHOOSE(CONTROL!$C$22, $C$13, 100%, $E$13)</f>
        <v>5.4473000000000003</v>
      </c>
    </row>
    <row r="268" spans="1:11" ht="15">
      <c r="A268" s="13">
        <v>49279</v>
      </c>
      <c r="B268" s="67">
        <f>4.4738 * CHOOSE(CONTROL!$C$22, $C$13, 100%, $E$13)</f>
        <v>4.4737999999999998</v>
      </c>
      <c r="C268" s="67">
        <f>4.4738 * CHOOSE(CONTROL!$C$22, $C$13, 100%, $E$13)</f>
        <v>4.4737999999999998</v>
      </c>
      <c r="D268" s="67">
        <f>4.4747 * CHOOSE(CONTROL!$C$22, $C$13, 100%, $E$13)</f>
        <v>4.4747000000000003</v>
      </c>
      <c r="E268" s="68">
        <f>5.4016 * CHOOSE(CONTROL!$C$22, $C$13, 100%, $E$13)</f>
        <v>5.4016000000000002</v>
      </c>
      <c r="F268" s="68">
        <f>5.4016 * CHOOSE(CONTROL!$C$22, $C$13, 100%, $E$13)</f>
        <v>5.4016000000000002</v>
      </c>
      <c r="G268" s="68">
        <f>5.4029 * CHOOSE(CONTROL!$C$22, $C$13, 100%, $E$13)</f>
        <v>5.4028999999999998</v>
      </c>
      <c r="H268" s="68">
        <f>8.8029* CHOOSE(CONTROL!$C$22, $C$13, 100%, $E$13)</f>
        <v>8.8028999999999993</v>
      </c>
      <c r="I268" s="68">
        <f>8.8042 * CHOOSE(CONTROL!$C$22, $C$13, 100%, $E$13)</f>
        <v>8.8041999999999998</v>
      </c>
      <c r="J268" s="68">
        <f>5.4016 * CHOOSE(CONTROL!$C$22, $C$13, 100%, $E$13)</f>
        <v>5.4016000000000002</v>
      </c>
      <c r="K268" s="68">
        <f>5.4029 * CHOOSE(CONTROL!$C$22, $C$13, 100%, $E$13)</f>
        <v>5.4028999999999998</v>
      </c>
    </row>
    <row r="269" spans="1:11" ht="15">
      <c r="A269" s="13">
        <v>49310</v>
      </c>
      <c r="B269" s="67">
        <f>4.515 * CHOOSE(CONTROL!$C$22, $C$13, 100%, $E$13)</f>
        <v>4.5149999999999997</v>
      </c>
      <c r="C269" s="67">
        <f>4.515 * CHOOSE(CONTROL!$C$22, $C$13, 100%, $E$13)</f>
        <v>4.5149999999999997</v>
      </c>
      <c r="D269" s="67">
        <f>4.5159 * CHOOSE(CONTROL!$C$22, $C$13, 100%, $E$13)</f>
        <v>4.5159000000000002</v>
      </c>
      <c r="E269" s="68">
        <f>5.4889 * CHOOSE(CONTROL!$C$22, $C$13, 100%, $E$13)</f>
        <v>5.4889000000000001</v>
      </c>
      <c r="F269" s="68">
        <f>5.4889 * CHOOSE(CONTROL!$C$22, $C$13, 100%, $E$13)</f>
        <v>5.4889000000000001</v>
      </c>
      <c r="G269" s="68">
        <f>5.4901 * CHOOSE(CONTROL!$C$22, $C$13, 100%, $E$13)</f>
        <v>5.4901</v>
      </c>
      <c r="H269" s="68">
        <f>8.8212* CHOOSE(CONTROL!$C$22, $C$13, 100%, $E$13)</f>
        <v>8.8211999999999993</v>
      </c>
      <c r="I269" s="68">
        <f>8.8225 * CHOOSE(CONTROL!$C$22, $C$13, 100%, $E$13)</f>
        <v>8.8224999999999998</v>
      </c>
      <c r="J269" s="68">
        <f>5.4889 * CHOOSE(CONTROL!$C$22, $C$13, 100%, $E$13)</f>
        <v>5.4889000000000001</v>
      </c>
      <c r="K269" s="68">
        <f>5.4901 * CHOOSE(CONTROL!$C$22, $C$13, 100%, $E$13)</f>
        <v>5.4901</v>
      </c>
    </row>
    <row r="270" spans="1:11" ht="15">
      <c r="A270" s="13">
        <v>49341</v>
      </c>
      <c r="B270" s="67">
        <f>4.5119 * CHOOSE(CONTROL!$C$22, $C$13, 100%, $E$13)</f>
        <v>4.5118999999999998</v>
      </c>
      <c r="C270" s="67">
        <f>4.5119 * CHOOSE(CONTROL!$C$22, $C$13, 100%, $E$13)</f>
        <v>4.5118999999999998</v>
      </c>
      <c r="D270" s="67">
        <f>4.5129 * CHOOSE(CONTROL!$C$22, $C$13, 100%, $E$13)</f>
        <v>4.5129000000000001</v>
      </c>
      <c r="E270" s="68">
        <f>5.4007 * CHOOSE(CONTROL!$C$22, $C$13, 100%, $E$13)</f>
        <v>5.4006999999999996</v>
      </c>
      <c r="F270" s="68">
        <f>5.4007 * CHOOSE(CONTROL!$C$22, $C$13, 100%, $E$13)</f>
        <v>5.4006999999999996</v>
      </c>
      <c r="G270" s="68">
        <f>5.402 * CHOOSE(CONTROL!$C$22, $C$13, 100%, $E$13)</f>
        <v>5.4020000000000001</v>
      </c>
      <c r="H270" s="68">
        <f>8.8396* CHOOSE(CONTROL!$C$22, $C$13, 100%, $E$13)</f>
        <v>8.8396000000000008</v>
      </c>
      <c r="I270" s="68">
        <f>8.8409 * CHOOSE(CONTROL!$C$22, $C$13, 100%, $E$13)</f>
        <v>8.8408999999999995</v>
      </c>
      <c r="J270" s="68">
        <f>5.4007 * CHOOSE(CONTROL!$C$22, $C$13, 100%, $E$13)</f>
        <v>5.4006999999999996</v>
      </c>
      <c r="K270" s="68">
        <f>5.402 * CHOOSE(CONTROL!$C$22, $C$13, 100%, $E$13)</f>
        <v>5.4020000000000001</v>
      </c>
    </row>
    <row r="271" spans="1:11" ht="15">
      <c r="A271" s="13">
        <v>49369</v>
      </c>
      <c r="B271" s="67">
        <f>4.5089 * CHOOSE(CONTROL!$C$22, $C$13, 100%, $E$13)</f>
        <v>4.5088999999999997</v>
      </c>
      <c r="C271" s="67">
        <f>4.5089 * CHOOSE(CONTROL!$C$22, $C$13, 100%, $E$13)</f>
        <v>4.5088999999999997</v>
      </c>
      <c r="D271" s="67">
        <f>4.5099 * CHOOSE(CONTROL!$C$22, $C$13, 100%, $E$13)</f>
        <v>4.5099</v>
      </c>
      <c r="E271" s="68">
        <f>5.4664 * CHOOSE(CONTROL!$C$22, $C$13, 100%, $E$13)</f>
        <v>5.4664000000000001</v>
      </c>
      <c r="F271" s="68">
        <f>5.4664 * CHOOSE(CONTROL!$C$22, $C$13, 100%, $E$13)</f>
        <v>5.4664000000000001</v>
      </c>
      <c r="G271" s="68">
        <f>5.4677 * CHOOSE(CONTROL!$C$22, $C$13, 100%, $E$13)</f>
        <v>5.4676999999999998</v>
      </c>
      <c r="H271" s="68">
        <f>8.858* CHOOSE(CONTROL!$C$22, $C$13, 100%, $E$13)</f>
        <v>8.8580000000000005</v>
      </c>
      <c r="I271" s="68">
        <f>8.8593 * CHOOSE(CONTROL!$C$22, $C$13, 100%, $E$13)</f>
        <v>8.8592999999999993</v>
      </c>
      <c r="J271" s="68">
        <f>5.4664 * CHOOSE(CONTROL!$C$22, $C$13, 100%, $E$13)</f>
        <v>5.4664000000000001</v>
      </c>
      <c r="K271" s="68">
        <f>5.4677 * CHOOSE(CONTROL!$C$22, $C$13, 100%, $E$13)</f>
        <v>5.4676999999999998</v>
      </c>
    </row>
    <row r="272" spans="1:11" ht="15">
      <c r="A272" s="13">
        <v>49400</v>
      </c>
      <c r="B272" s="67">
        <f>4.507 * CHOOSE(CONTROL!$C$22, $C$13, 100%, $E$13)</f>
        <v>4.5069999999999997</v>
      </c>
      <c r="C272" s="67">
        <f>4.507 * CHOOSE(CONTROL!$C$22, $C$13, 100%, $E$13)</f>
        <v>4.5069999999999997</v>
      </c>
      <c r="D272" s="67">
        <f>4.508 * CHOOSE(CONTROL!$C$22, $C$13, 100%, $E$13)</f>
        <v>4.508</v>
      </c>
      <c r="E272" s="68">
        <f>5.535 * CHOOSE(CONTROL!$C$22, $C$13, 100%, $E$13)</f>
        <v>5.5350000000000001</v>
      </c>
      <c r="F272" s="68">
        <f>5.535 * CHOOSE(CONTROL!$C$22, $C$13, 100%, $E$13)</f>
        <v>5.5350000000000001</v>
      </c>
      <c r="G272" s="68">
        <f>5.5363 * CHOOSE(CONTROL!$C$22, $C$13, 100%, $E$13)</f>
        <v>5.5362999999999998</v>
      </c>
      <c r="H272" s="68">
        <f>8.8765* CHOOSE(CONTROL!$C$22, $C$13, 100%, $E$13)</f>
        <v>8.8765000000000001</v>
      </c>
      <c r="I272" s="68">
        <f>8.8778 * CHOOSE(CONTROL!$C$22, $C$13, 100%, $E$13)</f>
        <v>8.8778000000000006</v>
      </c>
      <c r="J272" s="68">
        <f>5.535 * CHOOSE(CONTROL!$C$22, $C$13, 100%, $E$13)</f>
        <v>5.5350000000000001</v>
      </c>
      <c r="K272" s="68">
        <f>5.5363 * CHOOSE(CONTROL!$C$22, $C$13, 100%, $E$13)</f>
        <v>5.5362999999999998</v>
      </c>
    </row>
    <row r="273" spans="1:11" ht="15">
      <c r="A273" s="13">
        <v>49430</v>
      </c>
      <c r="B273" s="67">
        <f>4.507 * CHOOSE(CONTROL!$C$22, $C$13, 100%, $E$13)</f>
        <v>4.5069999999999997</v>
      </c>
      <c r="C273" s="67">
        <f>4.507 * CHOOSE(CONTROL!$C$22, $C$13, 100%, $E$13)</f>
        <v>4.5069999999999997</v>
      </c>
      <c r="D273" s="67">
        <f>4.5096 * CHOOSE(CONTROL!$C$22, $C$13, 100%, $E$13)</f>
        <v>4.5095999999999998</v>
      </c>
      <c r="E273" s="68">
        <f>5.5623 * CHOOSE(CONTROL!$C$22, $C$13, 100%, $E$13)</f>
        <v>5.5622999999999996</v>
      </c>
      <c r="F273" s="68">
        <f>5.5623 * CHOOSE(CONTROL!$C$22, $C$13, 100%, $E$13)</f>
        <v>5.5622999999999996</v>
      </c>
      <c r="G273" s="68">
        <f>5.5656 * CHOOSE(CONTROL!$C$22, $C$13, 100%, $E$13)</f>
        <v>5.5655999999999999</v>
      </c>
      <c r="H273" s="68">
        <f>8.895* CHOOSE(CONTROL!$C$22, $C$13, 100%, $E$13)</f>
        <v>8.8949999999999996</v>
      </c>
      <c r="I273" s="68">
        <f>8.8982 * CHOOSE(CONTROL!$C$22, $C$13, 100%, $E$13)</f>
        <v>8.8981999999999992</v>
      </c>
      <c r="J273" s="68">
        <f>5.5623 * CHOOSE(CONTROL!$C$22, $C$13, 100%, $E$13)</f>
        <v>5.5622999999999996</v>
      </c>
      <c r="K273" s="68">
        <f>5.5656 * CHOOSE(CONTROL!$C$22, $C$13, 100%, $E$13)</f>
        <v>5.5655999999999999</v>
      </c>
    </row>
    <row r="274" spans="1:11" ht="15">
      <c r="A274" s="13">
        <v>49461</v>
      </c>
      <c r="B274" s="67">
        <f>4.5131 * CHOOSE(CONTROL!$C$22, $C$13, 100%, $E$13)</f>
        <v>4.5130999999999997</v>
      </c>
      <c r="C274" s="67">
        <f>4.5131 * CHOOSE(CONTROL!$C$22, $C$13, 100%, $E$13)</f>
        <v>4.5130999999999997</v>
      </c>
      <c r="D274" s="67">
        <f>4.5157 * CHOOSE(CONTROL!$C$22, $C$13, 100%, $E$13)</f>
        <v>4.5156999999999998</v>
      </c>
      <c r="E274" s="68">
        <f>5.5393 * CHOOSE(CONTROL!$C$22, $C$13, 100%, $E$13)</f>
        <v>5.5392999999999999</v>
      </c>
      <c r="F274" s="68">
        <f>5.5393 * CHOOSE(CONTROL!$C$22, $C$13, 100%, $E$13)</f>
        <v>5.5392999999999999</v>
      </c>
      <c r="G274" s="68">
        <f>5.5425 * CHOOSE(CONTROL!$C$22, $C$13, 100%, $E$13)</f>
        <v>5.5425000000000004</v>
      </c>
      <c r="H274" s="68">
        <f>8.9135* CHOOSE(CONTROL!$C$22, $C$13, 100%, $E$13)</f>
        <v>8.9135000000000009</v>
      </c>
      <c r="I274" s="68">
        <f>8.9168 * CHOOSE(CONTROL!$C$22, $C$13, 100%, $E$13)</f>
        <v>8.9168000000000003</v>
      </c>
      <c r="J274" s="68">
        <f>5.5393 * CHOOSE(CONTROL!$C$22, $C$13, 100%, $E$13)</f>
        <v>5.5392999999999999</v>
      </c>
      <c r="K274" s="68">
        <f>5.5425 * CHOOSE(CONTROL!$C$22, $C$13, 100%, $E$13)</f>
        <v>5.5425000000000004</v>
      </c>
    </row>
    <row r="275" spans="1:11" ht="15">
      <c r="A275" s="13">
        <v>49491</v>
      </c>
      <c r="B275" s="67">
        <f>4.5909 * CHOOSE(CONTROL!$C$22, $C$13, 100%, $E$13)</f>
        <v>4.5909000000000004</v>
      </c>
      <c r="C275" s="67">
        <f>4.5909 * CHOOSE(CONTROL!$C$22, $C$13, 100%, $E$13)</f>
        <v>4.5909000000000004</v>
      </c>
      <c r="D275" s="67">
        <f>4.5935 * CHOOSE(CONTROL!$C$22, $C$13, 100%, $E$13)</f>
        <v>4.5934999999999997</v>
      </c>
      <c r="E275" s="68">
        <f>5.6624 * CHOOSE(CONTROL!$C$22, $C$13, 100%, $E$13)</f>
        <v>5.6623999999999999</v>
      </c>
      <c r="F275" s="68">
        <f>5.6624 * CHOOSE(CONTROL!$C$22, $C$13, 100%, $E$13)</f>
        <v>5.6623999999999999</v>
      </c>
      <c r="G275" s="68">
        <f>5.6656 * CHOOSE(CONTROL!$C$22, $C$13, 100%, $E$13)</f>
        <v>5.6656000000000004</v>
      </c>
      <c r="H275" s="68">
        <f>8.9321* CHOOSE(CONTROL!$C$22, $C$13, 100%, $E$13)</f>
        <v>8.9321000000000002</v>
      </c>
      <c r="I275" s="68">
        <f>8.9353 * CHOOSE(CONTROL!$C$22, $C$13, 100%, $E$13)</f>
        <v>8.9352999999999998</v>
      </c>
      <c r="J275" s="68">
        <f>5.6624 * CHOOSE(CONTROL!$C$22, $C$13, 100%, $E$13)</f>
        <v>5.6623999999999999</v>
      </c>
      <c r="K275" s="68">
        <f>5.6656 * CHOOSE(CONTROL!$C$22, $C$13, 100%, $E$13)</f>
        <v>5.6656000000000004</v>
      </c>
    </row>
    <row r="276" spans="1:11" ht="15">
      <c r="A276" s="13">
        <v>49522</v>
      </c>
      <c r="B276" s="67">
        <f>4.5975 * CHOOSE(CONTROL!$C$22, $C$13, 100%, $E$13)</f>
        <v>4.5975000000000001</v>
      </c>
      <c r="C276" s="67">
        <f>4.5975 * CHOOSE(CONTROL!$C$22, $C$13, 100%, $E$13)</f>
        <v>4.5975000000000001</v>
      </c>
      <c r="D276" s="67">
        <f>4.6002 * CHOOSE(CONTROL!$C$22, $C$13, 100%, $E$13)</f>
        <v>4.6002000000000001</v>
      </c>
      <c r="E276" s="68">
        <f>5.5851 * CHOOSE(CONTROL!$C$22, $C$13, 100%, $E$13)</f>
        <v>5.5850999999999997</v>
      </c>
      <c r="F276" s="68">
        <f>5.5851 * CHOOSE(CONTROL!$C$22, $C$13, 100%, $E$13)</f>
        <v>5.5850999999999997</v>
      </c>
      <c r="G276" s="68">
        <f>5.5883 * CHOOSE(CONTROL!$C$22, $C$13, 100%, $E$13)</f>
        <v>5.5883000000000003</v>
      </c>
      <c r="H276" s="68">
        <f>8.9507* CHOOSE(CONTROL!$C$22, $C$13, 100%, $E$13)</f>
        <v>8.9506999999999994</v>
      </c>
      <c r="I276" s="68">
        <f>8.9539 * CHOOSE(CONTROL!$C$22, $C$13, 100%, $E$13)</f>
        <v>8.9539000000000009</v>
      </c>
      <c r="J276" s="68">
        <f>5.5851 * CHOOSE(CONTROL!$C$22, $C$13, 100%, $E$13)</f>
        <v>5.5850999999999997</v>
      </c>
      <c r="K276" s="68">
        <f>5.5883 * CHOOSE(CONTROL!$C$22, $C$13, 100%, $E$13)</f>
        <v>5.5883000000000003</v>
      </c>
    </row>
    <row r="277" spans="1:11" ht="15">
      <c r="A277" s="13">
        <v>49553</v>
      </c>
      <c r="B277" s="67">
        <f>4.5945 * CHOOSE(CONTROL!$C$22, $C$13, 100%, $E$13)</f>
        <v>4.5945</v>
      </c>
      <c r="C277" s="67">
        <f>4.5945 * CHOOSE(CONTROL!$C$22, $C$13, 100%, $E$13)</f>
        <v>4.5945</v>
      </c>
      <c r="D277" s="67">
        <f>4.5971 * CHOOSE(CONTROL!$C$22, $C$13, 100%, $E$13)</f>
        <v>4.5971000000000002</v>
      </c>
      <c r="E277" s="68">
        <f>5.5739 * CHOOSE(CONTROL!$C$22, $C$13, 100%, $E$13)</f>
        <v>5.5739000000000001</v>
      </c>
      <c r="F277" s="68">
        <f>5.5739 * CHOOSE(CONTROL!$C$22, $C$13, 100%, $E$13)</f>
        <v>5.5739000000000001</v>
      </c>
      <c r="G277" s="68">
        <f>5.5771 * CHOOSE(CONTROL!$C$22, $C$13, 100%, $E$13)</f>
        <v>5.5770999999999997</v>
      </c>
      <c r="H277" s="68">
        <f>8.9693* CHOOSE(CONTROL!$C$22, $C$13, 100%, $E$13)</f>
        <v>8.9693000000000005</v>
      </c>
      <c r="I277" s="68">
        <f>8.9726 * CHOOSE(CONTROL!$C$22, $C$13, 100%, $E$13)</f>
        <v>8.9725999999999999</v>
      </c>
      <c r="J277" s="68">
        <f>5.5739 * CHOOSE(CONTROL!$C$22, $C$13, 100%, $E$13)</f>
        <v>5.5739000000000001</v>
      </c>
      <c r="K277" s="68">
        <f>5.5771 * CHOOSE(CONTROL!$C$22, $C$13, 100%, $E$13)</f>
        <v>5.5770999999999997</v>
      </c>
    </row>
    <row r="278" spans="1:11" ht="15">
      <c r="A278" s="13">
        <v>49583</v>
      </c>
      <c r="B278" s="67">
        <f>4.5915 * CHOOSE(CONTROL!$C$22, $C$13, 100%, $E$13)</f>
        <v>4.5914999999999999</v>
      </c>
      <c r="C278" s="67">
        <f>4.5915 * CHOOSE(CONTROL!$C$22, $C$13, 100%, $E$13)</f>
        <v>4.5914999999999999</v>
      </c>
      <c r="D278" s="67">
        <f>4.5925 * CHOOSE(CONTROL!$C$22, $C$13, 100%, $E$13)</f>
        <v>4.5925000000000002</v>
      </c>
      <c r="E278" s="68">
        <f>5.5969 * CHOOSE(CONTROL!$C$22, $C$13, 100%, $E$13)</f>
        <v>5.5968999999999998</v>
      </c>
      <c r="F278" s="68">
        <f>5.5969 * CHOOSE(CONTROL!$C$22, $C$13, 100%, $E$13)</f>
        <v>5.5968999999999998</v>
      </c>
      <c r="G278" s="68">
        <f>5.5982 * CHOOSE(CONTROL!$C$22, $C$13, 100%, $E$13)</f>
        <v>5.5982000000000003</v>
      </c>
      <c r="H278" s="68">
        <f>8.988* CHOOSE(CONTROL!$C$22, $C$13, 100%, $E$13)</f>
        <v>8.9879999999999995</v>
      </c>
      <c r="I278" s="68">
        <f>8.9893 * CHOOSE(CONTROL!$C$22, $C$13, 100%, $E$13)</f>
        <v>8.9893000000000001</v>
      </c>
      <c r="J278" s="68">
        <f>5.5969 * CHOOSE(CONTROL!$C$22, $C$13, 100%, $E$13)</f>
        <v>5.5968999999999998</v>
      </c>
      <c r="K278" s="68">
        <f>5.5982 * CHOOSE(CONTROL!$C$22, $C$13, 100%, $E$13)</f>
        <v>5.5982000000000003</v>
      </c>
    </row>
    <row r="279" spans="1:11" ht="15">
      <c r="A279" s="13">
        <v>49614</v>
      </c>
      <c r="B279" s="67">
        <f>4.5946 * CHOOSE(CONTROL!$C$22, $C$13, 100%, $E$13)</f>
        <v>4.5945999999999998</v>
      </c>
      <c r="C279" s="67">
        <f>4.5946 * CHOOSE(CONTROL!$C$22, $C$13, 100%, $E$13)</f>
        <v>4.5945999999999998</v>
      </c>
      <c r="D279" s="67">
        <f>4.5955 * CHOOSE(CONTROL!$C$22, $C$13, 100%, $E$13)</f>
        <v>4.5955000000000004</v>
      </c>
      <c r="E279" s="68">
        <f>5.6172 * CHOOSE(CONTROL!$C$22, $C$13, 100%, $E$13)</f>
        <v>5.6172000000000004</v>
      </c>
      <c r="F279" s="68">
        <f>5.6172 * CHOOSE(CONTROL!$C$22, $C$13, 100%, $E$13)</f>
        <v>5.6172000000000004</v>
      </c>
      <c r="G279" s="68">
        <f>5.6185 * CHOOSE(CONTROL!$C$22, $C$13, 100%, $E$13)</f>
        <v>5.6185</v>
      </c>
      <c r="H279" s="68">
        <f>9.0067* CHOOSE(CONTROL!$C$22, $C$13, 100%, $E$13)</f>
        <v>9.0067000000000004</v>
      </c>
      <c r="I279" s="68">
        <f>9.008 * CHOOSE(CONTROL!$C$22, $C$13, 100%, $E$13)</f>
        <v>9.0079999999999991</v>
      </c>
      <c r="J279" s="68">
        <f>5.6172 * CHOOSE(CONTROL!$C$22, $C$13, 100%, $E$13)</f>
        <v>5.6172000000000004</v>
      </c>
      <c r="K279" s="68">
        <f>5.6185 * CHOOSE(CONTROL!$C$22, $C$13, 100%, $E$13)</f>
        <v>5.6185</v>
      </c>
    </row>
    <row r="280" spans="1:11" ht="15">
      <c r="A280" s="13">
        <v>49644</v>
      </c>
      <c r="B280" s="67">
        <f>4.5946 * CHOOSE(CONTROL!$C$22, $C$13, 100%, $E$13)</f>
        <v>4.5945999999999998</v>
      </c>
      <c r="C280" s="67">
        <f>4.5946 * CHOOSE(CONTROL!$C$22, $C$13, 100%, $E$13)</f>
        <v>4.5945999999999998</v>
      </c>
      <c r="D280" s="67">
        <f>4.5955 * CHOOSE(CONTROL!$C$22, $C$13, 100%, $E$13)</f>
        <v>4.5955000000000004</v>
      </c>
      <c r="E280" s="68">
        <f>5.5717 * CHOOSE(CONTROL!$C$22, $C$13, 100%, $E$13)</f>
        <v>5.5716999999999999</v>
      </c>
      <c r="F280" s="68">
        <f>5.5717 * CHOOSE(CONTROL!$C$22, $C$13, 100%, $E$13)</f>
        <v>5.5716999999999999</v>
      </c>
      <c r="G280" s="68">
        <f>5.573 * CHOOSE(CONTROL!$C$22, $C$13, 100%, $E$13)</f>
        <v>5.5730000000000004</v>
      </c>
      <c r="H280" s="68">
        <f>9.0255* CHOOSE(CONTROL!$C$22, $C$13, 100%, $E$13)</f>
        <v>9.0254999999999992</v>
      </c>
      <c r="I280" s="68">
        <f>9.0268 * CHOOSE(CONTROL!$C$22, $C$13, 100%, $E$13)</f>
        <v>9.0267999999999997</v>
      </c>
      <c r="J280" s="68">
        <f>5.5717 * CHOOSE(CONTROL!$C$22, $C$13, 100%, $E$13)</f>
        <v>5.5716999999999999</v>
      </c>
      <c r="K280" s="68">
        <f>5.573 * CHOOSE(CONTROL!$C$22, $C$13, 100%, $E$13)</f>
        <v>5.5730000000000004</v>
      </c>
    </row>
    <row r="281" spans="1:11" ht="15">
      <c r="A281" s="13">
        <v>49675</v>
      </c>
      <c r="B281" s="67">
        <f>4.6362 * CHOOSE(CONTROL!$C$22, $C$13, 100%, $E$13)</f>
        <v>4.6361999999999997</v>
      </c>
      <c r="C281" s="67">
        <f>4.6362 * CHOOSE(CONTROL!$C$22, $C$13, 100%, $E$13)</f>
        <v>4.6361999999999997</v>
      </c>
      <c r="D281" s="67">
        <f>4.6372 * CHOOSE(CONTROL!$C$22, $C$13, 100%, $E$13)</f>
        <v>4.6372</v>
      </c>
      <c r="E281" s="68">
        <f>5.6558 * CHOOSE(CONTROL!$C$22, $C$13, 100%, $E$13)</f>
        <v>5.6558000000000002</v>
      </c>
      <c r="F281" s="68">
        <f>5.6558 * CHOOSE(CONTROL!$C$22, $C$13, 100%, $E$13)</f>
        <v>5.6558000000000002</v>
      </c>
      <c r="G281" s="68">
        <f>5.6571 * CHOOSE(CONTROL!$C$22, $C$13, 100%, $E$13)</f>
        <v>5.6570999999999998</v>
      </c>
      <c r="H281" s="68">
        <f>9.0443* CHOOSE(CONTROL!$C$22, $C$13, 100%, $E$13)</f>
        <v>9.0442999999999998</v>
      </c>
      <c r="I281" s="68">
        <f>9.0456 * CHOOSE(CONTROL!$C$22, $C$13, 100%, $E$13)</f>
        <v>9.0456000000000003</v>
      </c>
      <c r="J281" s="68">
        <f>5.6558 * CHOOSE(CONTROL!$C$22, $C$13, 100%, $E$13)</f>
        <v>5.6558000000000002</v>
      </c>
      <c r="K281" s="68">
        <f>5.6571 * CHOOSE(CONTROL!$C$22, $C$13, 100%, $E$13)</f>
        <v>5.6570999999999998</v>
      </c>
    </row>
    <row r="282" spans="1:11" ht="15">
      <c r="A282" s="13">
        <v>49706</v>
      </c>
      <c r="B282" s="67">
        <f>4.6332 * CHOOSE(CONTROL!$C$22, $C$13, 100%, $E$13)</f>
        <v>4.6332000000000004</v>
      </c>
      <c r="C282" s="67">
        <f>4.6332 * CHOOSE(CONTROL!$C$22, $C$13, 100%, $E$13)</f>
        <v>4.6332000000000004</v>
      </c>
      <c r="D282" s="67">
        <f>4.6341 * CHOOSE(CONTROL!$C$22, $C$13, 100%, $E$13)</f>
        <v>4.6341000000000001</v>
      </c>
      <c r="E282" s="68">
        <f>5.5653 * CHOOSE(CONTROL!$C$22, $C$13, 100%, $E$13)</f>
        <v>5.5652999999999997</v>
      </c>
      <c r="F282" s="68">
        <f>5.5653 * CHOOSE(CONTROL!$C$22, $C$13, 100%, $E$13)</f>
        <v>5.5652999999999997</v>
      </c>
      <c r="G282" s="68">
        <f>5.5666 * CHOOSE(CONTROL!$C$22, $C$13, 100%, $E$13)</f>
        <v>5.5666000000000002</v>
      </c>
      <c r="H282" s="68">
        <f>9.0631* CHOOSE(CONTROL!$C$22, $C$13, 100%, $E$13)</f>
        <v>9.0631000000000004</v>
      </c>
      <c r="I282" s="68">
        <f>9.0644 * CHOOSE(CONTROL!$C$22, $C$13, 100%, $E$13)</f>
        <v>9.0643999999999991</v>
      </c>
      <c r="J282" s="68">
        <f>5.5653 * CHOOSE(CONTROL!$C$22, $C$13, 100%, $E$13)</f>
        <v>5.5652999999999997</v>
      </c>
      <c r="K282" s="68">
        <f>5.5666 * CHOOSE(CONTROL!$C$22, $C$13, 100%, $E$13)</f>
        <v>5.5666000000000002</v>
      </c>
    </row>
    <row r="283" spans="1:11" ht="15">
      <c r="A283" s="13">
        <v>49735</v>
      </c>
      <c r="B283" s="67">
        <f>4.6301 * CHOOSE(CONTROL!$C$22, $C$13, 100%, $E$13)</f>
        <v>4.6300999999999997</v>
      </c>
      <c r="C283" s="67">
        <f>4.6301 * CHOOSE(CONTROL!$C$22, $C$13, 100%, $E$13)</f>
        <v>4.6300999999999997</v>
      </c>
      <c r="D283" s="67">
        <f>4.6311 * CHOOSE(CONTROL!$C$22, $C$13, 100%, $E$13)</f>
        <v>4.6311</v>
      </c>
      <c r="E283" s="68">
        <f>5.6329 * CHOOSE(CONTROL!$C$22, $C$13, 100%, $E$13)</f>
        <v>5.6329000000000002</v>
      </c>
      <c r="F283" s="68">
        <f>5.6329 * CHOOSE(CONTROL!$C$22, $C$13, 100%, $E$13)</f>
        <v>5.6329000000000002</v>
      </c>
      <c r="G283" s="68">
        <f>5.6342 * CHOOSE(CONTROL!$C$22, $C$13, 100%, $E$13)</f>
        <v>5.6341999999999999</v>
      </c>
      <c r="H283" s="68">
        <f>9.082* CHOOSE(CONTROL!$C$22, $C$13, 100%, $E$13)</f>
        <v>9.0820000000000007</v>
      </c>
      <c r="I283" s="68">
        <f>9.0833 * CHOOSE(CONTROL!$C$22, $C$13, 100%, $E$13)</f>
        <v>9.0832999999999995</v>
      </c>
      <c r="J283" s="68">
        <f>5.6329 * CHOOSE(CONTROL!$C$22, $C$13, 100%, $E$13)</f>
        <v>5.6329000000000002</v>
      </c>
      <c r="K283" s="68">
        <f>5.6342 * CHOOSE(CONTROL!$C$22, $C$13, 100%, $E$13)</f>
        <v>5.6341999999999999</v>
      </c>
    </row>
    <row r="284" spans="1:11" ht="15">
      <c r="A284" s="13">
        <v>49766</v>
      </c>
      <c r="B284" s="67">
        <f>4.6283 * CHOOSE(CONTROL!$C$22, $C$13, 100%, $E$13)</f>
        <v>4.6283000000000003</v>
      </c>
      <c r="C284" s="67">
        <f>4.6283 * CHOOSE(CONTROL!$C$22, $C$13, 100%, $E$13)</f>
        <v>4.6283000000000003</v>
      </c>
      <c r="D284" s="67">
        <f>4.6293 * CHOOSE(CONTROL!$C$22, $C$13, 100%, $E$13)</f>
        <v>4.6292999999999997</v>
      </c>
      <c r="E284" s="68">
        <f>5.7035 * CHOOSE(CONTROL!$C$22, $C$13, 100%, $E$13)</f>
        <v>5.7035</v>
      </c>
      <c r="F284" s="68">
        <f>5.7035 * CHOOSE(CONTROL!$C$22, $C$13, 100%, $E$13)</f>
        <v>5.7035</v>
      </c>
      <c r="G284" s="68">
        <f>5.7048 * CHOOSE(CONTROL!$C$22, $C$13, 100%, $E$13)</f>
        <v>5.7047999999999996</v>
      </c>
      <c r="H284" s="68">
        <f>9.1009* CHOOSE(CONTROL!$C$22, $C$13, 100%, $E$13)</f>
        <v>9.1008999999999993</v>
      </c>
      <c r="I284" s="68">
        <f>9.1022 * CHOOSE(CONTROL!$C$22, $C$13, 100%, $E$13)</f>
        <v>9.1021999999999998</v>
      </c>
      <c r="J284" s="68">
        <f>5.7035 * CHOOSE(CONTROL!$C$22, $C$13, 100%, $E$13)</f>
        <v>5.7035</v>
      </c>
      <c r="K284" s="68">
        <f>5.7048 * CHOOSE(CONTROL!$C$22, $C$13, 100%, $E$13)</f>
        <v>5.7047999999999996</v>
      </c>
    </row>
    <row r="285" spans="1:11" ht="15">
      <c r="A285" s="13">
        <v>49796</v>
      </c>
      <c r="B285" s="67">
        <f>4.6283 * CHOOSE(CONTROL!$C$22, $C$13, 100%, $E$13)</f>
        <v>4.6283000000000003</v>
      </c>
      <c r="C285" s="67">
        <f>4.6283 * CHOOSE(CONTROL!$C$22, $C$13, 100%, $E$13)</f>
        <v>4.6283000000000003</v>
      </c>
      <c r="D285" s="67">
        <f>4.6309 * CHOOSE(CONTROL!$C$22, $C$13, 100%, $E$13)</f>
        <v>4.6308999999999996</v>
      </c>
      <c r="E285" s="68">
        <f>5.7315 * CHOOSE(CONTROL!$C$22, $C$13, 100%, $E$13)</f>
        <v>5.7314999999999996</v>
      </c>
      <c r="F285" s="68">
        <f>5.7315 * CHOOSE(CONTROL!$C$22, $C$13, 100%, $E$13)</f>
        <v>5.7314999999999996</v>
      </c>
      <c r="G285" s="68">
        <f>5.7348 * CHOOSE(CONTROL!$C$22, $C$13, 100%, $E$13)</f>
        <v>5.7347999999999999</v>
      </c>
      <c r="H285" s="68">
        <f>9.1199* CHOOSE(CONTROL!$C$22, $C$13, 100%, $E$13)</f>
        <v>9.1198999999999995</v>
      </c>
      <c r="I285" s="68">
        <f>9.1232 * CHOOSE(CONTROL!$C$22, $C$13, 100%, $E$13)</f>
        <v>9.1232000000000006</v>
      </c>
      <c r="J285" s="68">
        <f>5.7315 * CHOOSE(CONTROL!$C$22, $C$13, 100%, $E$13)</f>
        <v>5.7314999999999996</v>
      </c>
      <c r="K285" s="68">
        <f>5.7348 * CHOOSE(CONTROL!$C$22, $C$13, 100%, $E$13)</f>
        <v>5.7347999999999999</v>
      </c>
    </row>
    <row r="286" spans="1:11" ht="15">
      <c r="A286" s="13">
        <v>49827</v>
      </c>
      <c r="B286" s="67">
        <f>4.6344 * CHOOSE(CONTROL!$C$22, $C$13, 100%, $E$13)</f>
        <v>4.6344000000000003</v>
      </c>
      <c r="C286" s="67">
        <f>4.6344 * CHOOSE(CONTROL!$C$22, $C$13, 100%, $E$13)</f>
        <v>4.6344000000000003</v>
      </c>
      <c r="D286" s="67">
        <f>4.637 * CHOOSE(CONTROL!$C$22, $C$13, 100%, $E$13)</f>
        <v>4.6369999999999996</v>
      </c>
      <c r="E286" s="68">
        <f>5.7077 * CHOOSE(CONTROL!$C$22, $C$13, 100%, $E$13)</f>
        <v>5.7077</v>
      </c>
      <c r="F286" s="68">
        <f>5.7077 * CHOOSE(CONTROL!$C$22, $C$13, 100%, $E$13)</f>
        <v>5.7077</v>
      </c>
      <c r="G286" s="68">
        <f>5.711 * CHOOSE(CONTROL!$C$22, $C$13, 100%, $E$13)</f>
        <v>5.7110000000000003</v>
      </c>
      <c r="H286" s="68">
        <f>9.1389* CHOOSE(CONTROL!$C$22, $C$13, 100%, $E$13)</f>
        <v>9.1388999999999996</v>
      </c>
      <c r="I286" s="68">
        <f>9.1422 * CHOOSE(CONTROL!$C$22, $C$13, 100%, $E$13)</f>
        <v>9.1422000000000008</v>
      </c>
      <c r="J286" s="68">
        <f>5.7077 * CHOOSE(CONTROL!$C$22, $C$13, 100%, $E$13)</f>
        <v>5.7077</v>
      </c>
      <c r="K286" s="68">
        <f>5.711 * CHOOSE(CONTROL!$C$22, $C$13, 100%, $E$13)</f>
        <v>5.7110000000000003</v>
      </c>
    </row>
    <row r="287" spans="1:11" ht="15">
      <c r="A287" s="13">
        <v>49857</v>
      </c>
      <c r="B287" s="67">
        <f>4.7122 * CHOOSE(CONTROL!$C$22, $C$13, 100%, $E$13)</f>
        <v>4.7122000000000002</v>
      </c>
      <c r="C287" s="67">
        <f>4.7122 * CHOOSE(CONTROL!$C$22, $C$13, 100%, $E$13)</f>
        <v>4.7122000000000002</v>
      </c>
      <c r="D287" s="67">
        <f>4.7148 * CHOOSE(CONTROL!$C$22, $C$13, 100%, $E$13)</f>
        <v>4.7148000000000003</v>
      </c>
      <c r="E287" s="68">
        <f>5.8199 * CHOOSE(CONTROL!$C$22, $C$13, 100%, $E$13)</f>
        <v>5.8198999999999996</v>
      </c>
      <c r="F287" s="68">
        <f>5.8199 * CHOOSE(CONTROL!$C$22, $C$13, 100%, $E$13)</f>
        <v>5.8198999999999996</v>
      </c>
      <c r="G287" s="68">
        <f>5.8231 * CHOOSE(CONTROL!$C$22, $C$13, 100%, $E$13)</f>
        <v>5.8231000000000002</v>
      </c>
      <c r="H287" s="68">
        <f>9.1579* CHOOSE(CONTROL!$C$22, $C$13, 100%, $E$13)</f>
        <v>9.1578999999999997</v>
      </c>
      <c r="I287" s="68">
        <f>9.1612 * CHOOSE(CONTROL!$C$22, $C$13, 100%, $E$13)</f>
        <v>9.1611999999999991</v>
      </c>
      <c r="J287" s="68">
        <f>5.8199 * CHOOSE(CONTROL!$C$22, $C$13, 100%, $E$13)</f>
        <v>5.8198999999999996</v>
      </c>
      <c r="K287" s="68">
        <f>5.8231 * CHOOSE(CONTROL!$C$22, $C$13, 100%, $E$13)</f>
        <v>5.8231000000000002</v>
      </c>
    </row>
    <row r="288" spans="1:11" ht="15">
      <c r="A288" s="13">
        <v>49888</v>
      </c>
      <c r="B288" s="67">
        <f>4.7188 * CHOOSE(CONTROL!$C$22, $C$13, 100%, $E$13)</f>
        <v>4.7187999999999999</v>
      </c>
      <c r="C288" s="67">
        <f>4.7188 * CHOOSE(CONTROL!$C$22, $C$13, 100%, $E$13)</f>
        <v>4.7187999999999999</v>
      </c>
      <c r="D288" s="67">
        <f>4.7215 * CHOOSE(CONTROL!$C$22, $C$13, 100%, $E$13)</f>
        <v>4.7214999999999998</v>
      </c>
      <c r="E288" s="68">
        <f>5.7404 * CHOOSE(CONTROL!$C$22, $C$13, 100%, $E$13)</f>
        <v>5.7404000000000002</v>
      </c>
      <c r="F288" s="68">
        <f>5.7404 * CHOOSE(CONTROL!$C$22, $C$13, 100%, $E$13)</f>
        <v>5.7404000000000002</v>
      </c>
      <c r="G288" s="68">
        <f>5.7436 * CHOOSE(CONTROL!$C$22, $C$13, 100%, $E$13)</f>
        <v>5.7435999999999998</v>
      </c>
      <c r="H288" s="68">
        <f>9.177* CHOOSE(CONTROL!$C$22, $C$13, 100%, $E$13)</f>
        <v>9.1769999999999996</v>
      </c>
      <c r="I288" s="68">
        <f>9.1803 * CHOOSE(CONTROL!$C$22, $C$13, 100%, $E$13)</f>
        <v>9.1803000000000008</v>
      </c>
      <c r="J288" s="68">
        <f>5.7404 * CHOOSE(CONTROL!$C$22, $C$13, 100%, $E$13)</f>
        <v>5.7404000000000002</v>
      </c>
      <c r="K288" s="68">
        <f>5.7436 * CHOOSE(CONTROL!$C$22, $C$13, 100%, $E$13)</f>
        <v>5.7435999999999998</v>
      </c>
    </row>
    <row r="289" spans="1:11" ht="15">
      <c r="A289" s="13">
        <v>49919</v>
      </c>
      <c r="B289" s="67">
        <f>4.7158 * CHOOSE(CONTROL!$C$22, $C$13, 100%, $E$13)</f>
        <v>4.7157999999999998</v>
      </c>
      <c r="C289" s="67">
        <f>4.7158 * CHOOSE(CONTROL!$C$22, $C$13, 100%, $E$13)</f>
        <v>4.7157999999999998</v>
      </c>
      <c r="D289" s="67">
        <f>4.7184 * CHOOSE(CONTROL!$C$22, $C$13, 100%, $E$13)</f>
        <v>4.7183999999999999</v>
      </c>
      <c r="E289" s="68">
        <f>5.7289 * CHOOSE(CONTROL!$C$22, $C$13, 100%, $E$13)</f>
        <v>5.7289000000000003</v>
      </c>
      <c r="F289" s="68">
        <f>5.7289 * CHOOSE(CONTROL!$C$22, $C$13, 100%, $E$13)</f>
        <v>5.7289000000000003</v>
      </c>
      <c r="G289" s="68">
        <f>5.7321 * CHOOSE(CONTROL!$C$22, $C$13, 100%, $E$13)</f>
        <v>5.7321</v>
      </c>
      <c r="H289" s="68">
        <f>9.1961* CHOOSE(CONTROL!$C$22, $C$13, 100%, $E$13)</f>
        <v>9.1960999999999995</v>
      </c>
      <c r="I289" s="68">
        <f>9.1994 * CHOOSE(CONTROL!$C$22, $C$13, 100%, $E$13)</f>
        <v>9.1994000000000007</v>
      </c>
      <c r="J289" s="68">
        <f>5.7289 * CHOOSE(CONTROL!$C$22, $C$13, 100%, $E$13)</f>
        <v>5.7289000000000003</v>
      </c>
      <c r="K289" s="68">
        <f>5.7321 * CHOOSE(CONTROL!$C$22, $C$13, 100%, $E$13)</f>
        <v>5.7321</v>
      </c>
    </row>
    <row r="290" spans="1:11" ht="15">
      <c r="A290" s="13">
        <v>49949</v>
      </c>
      <c r="B290" s="67">
        <f>4.7132 * CHOOSE(CONTROL!$C$22, $C$13, 100%, $E$13)</f>
        <v>4.7131999999999996</v>
      </c>
      <c r="C290" s="67">
        <f>4.7132 * CHOOSE(CONTROL!$C$22, $C$13, 100%, $E$13)</f>
        <v>4.7131999999999996</v>
      </c>
      <c r="D290" s="67">
        <f>4.7142 * CHOOSE(CONTROL!$C$22, $C$13, 100%, $E$13)</f>
        <v>4.7141999999999999</v>
      </c>
      <c r="E290" s="68">
        <f>5.7529 * CHOOSE(CONTROL!$C$22, $C$13, 100%, $E$13)</f>
        <v>5.7529000000000003</v>
      </c>
      <c r="F290" s="68">
        <f>5.7529 * CHOOSE(CONTROL!$C$22, $C$13, 100%, $E$13)</f>
        <v>5.7529000000000003</v>
      </c>
      <c r="G290" s="68">
        <f>5.7542 * CHOOSE(CONTROL!$C$22, $C$13, 100%, $E$13)</f>
        <v>5.7542</v>
      </c>
      <c r="H290" s="68">
        <f>9.2153* CHOOSE(CONTROL!$C$22, $C$13, 100%, $E$13)</f>
        <v>9.2152999999999992</v>
      </c>
      <c r="I290" s="68">
        <f>9.2166 * CHOOSE(CONTROL!$C$22, $C$13, 100%, $E$13)</f>
        <v>9.2165999999999997</v>
      </c>
      <c r="J290" s="68">
        <f>5.7529 * CHOOSE(CONTROL!$C$22, $C$13, 100%, $E$13)</f>
        <v>5.7529000000000003</v>
      </c>
      <c r="K290" s="68">
        <f>5.7542 * CHOOSE(CONTROL!$C$22, $C$13, 100%, $E$13)</f>
        <v>5.7542</v>
      </c>
    </row>
    <row r="291" spans="1:11" ht="15">
      <c r="A291" s="13">
        <v>49980</v>
      </c>
      <c r="B291" s="67">
        <f>4.7163 * CHOOSE(CONTROL!$C$22, $C$13, 100%, $E$13)</f>
        <v>4.7163000000000004</v>
      </c>
      <c r="C291" s="67">
        <f>4.7163 * CHOOSE(CONTROL!$C$22, $C$13, 100%, $E$13)</f>
        <v>4.7163000000000004</v>
      </c>
      <c r="D291" s="67">
        <f>4.7173 * CHOOSE(CONTROL!$C$22, $C$13, 100%, $E$13)</f>
        <v>4.7172999999999998</v>
      </c>
      <c r="E291" s="68">
        <f>5.7737 * CHOOSE(CONTROL!$C$22, $C$13, 100%, $E$13)</f>
        <v>5.7736999999999998</v>
      </c>
      <c r="F291" s="68">
        <f>5.7737 * CHOOSE(CONTROL!$C$22, $C$13, 100%, $E$13)</f>
        <v>5.7736999999999998</v>
      </c>
      <c r="G291" s="68">
        <f>5.775 * CHOOSE(CONTROL!$C$22, $C$13, 100%, $E$13)</f>
        <v>5.7750000000000004</v>
      </c>
      <c r="H291" s="68">
        <f>9.2345* CHOOSE(CONTROL!$C$22, $C$13, 100%, $E$13)</f>
        <v>9.2345000000000006</v>
      </c>
      <c r="I291" s="68">
        <f>9.2358 * CHOOSE(CONTROL!$C$22, $C$13, 100%, $E$13)</f>
        <v>9.2357999999999993</v>
      </c>
      <c r="J291" s="68">
        <f>5.7737 * CHOOSE(CONTROL!$C$22, $C$13, 100%, $E$13)</f>
        <v>5.7736999999999998</v>
      </c>
      <c r="K291" s="68">
        <f>5.775 * CHOOSE(CONTROL!$C$22, $C$13, 100%, $E$13)</f>
        <v>5.7750000000000004</v>
      </c>
    </row>
    <row r="292" spans="1:11" ht="15">
      <c r="A292" s="13">
        <v>50010</v>
      </c>
      <c r="B292" s="67">
        <f>4.7163 * CHOOSE(CONTROL!$C$22, $C$13, 100%, $E$13)</f>
        <v>4.7163000000000004</v>
      </c>
      <c r="C292" s="67">
        <f>4.7163 * CHOOSE(CONTROL!$C$22, $C$13, 100%, $E$13)</f>
        <v>4.7163000000000004</v>
      </c>
      <c r="D292" s="67">
        <f>4.7173 * CHOOSE(CONTROL!$C$22, $C$13, 100%, $E$13)</f>
        <v>4.7172999999999998</v>
      </c>
      <c r="E292" s="68">
        <f>5.7269 * CHOOSE(CONTROL!$C$22, $C$13, 100%, $E$13)</f>
        <v>5.7268999999999997</v>
      </c>
      <c r="F292" s="68">
        <f>5.7269 * CHOOSE(CONTROL!$C$22, $C$13, 100%, $E$13)</f>
        <v>5.7268999999999997</v>
      </c>
      <c r="G292" s="68">
        <f>5.7282 * CHOOSE(CONTROL!$C$22, $C$13, 100%, $E$13)</f>
        <v>5.7282000000000002</v>
      </c>
      <c r="H292" s="68">
        <f>9.2537* CHOOSE(CONTROL!$C$22, $C$13, 100%, $E$13)</f>
        <v>9.2537000000000003</v>
      </c>
      <c r="I292" s="68">
        <f>9.255 * CHOOSE(CONTROL!$C$22, $C$13, 100%, $E$13)</f>
        <v>9.2550000000000008</v>
      </c>
      <c r="J292" s="68">
        <f>5.7269 * CHOOSE(CONTROL!$C$22, $C$13, 100%, $E$13)</f>
        <v>5.7268999999999997</v>
      </c>
      <c r="K292" s="68">
        <f>5.7282 * CHOOSE(CONTROL!$C$22, $C$13, 100%, $E$13)</f>
        <v>5.7282000000000002</v>
      </c>
    </row>
    <row r="293" spans="1:11" ht="15">
      <c r="A293" s="13">
        <v>50041</v>
      </c>
      <c r="B293" s="67">
        <f>4.7586 * CHOOSE(CONTROL!$C$22, $C$13, 100%, $E$13)</f>
        <v>4.7586000000000004</v>
      </c>
      <c r="C293" s="67">
        <f>4.7586 * CHOOSE(CONTROL!$C$22, $C$13, 100%, $E$13)</f>
        <v>4.7586000000000004</v>
      </c>
      <c r="D293" s="67">
        <f>4.7595 * CHOOSE(CONTROL!$C$22, $C$13, 100%, $E$13)</f>
        <v>4.7595000000000001</v>
      </c>
      <c r="E293" s="68">
        <f>5.8119 * CHOOSE(CONTROL!$C$22, $C$13, 100%, $E$13)</f>
        <v>5.8118999999999996</v>
      </c>
      <c r="F293" s="68">
        <f>5.8119 * CHOOSE(CONTROL!$C$22, $C$13, 100%, $E$13)</f>
        <v>5.8118999999999996</v>
      </c>
      <c r="G293" s="68">
        <f>5.8132 * CHOOSE(CONTROL!$C$22, $C$13, 100%, $E$13)</f>
        <v>5.8132000000000001</v>
      </c>
      <c r="H293" s="68">
        <f>9.273* CHOOSE(CONTROL!$C$22, $C$13, 100%, $E$13)</f>
        <v>9.2729999999999997</v>
      </c>
      <c r="I293" s="68">
        <f>9.2743 * CHOOSE(CONTROL!$C$22, $C$13, 100%, $E$13)</f>
        <v>9.2743000000000002</v>
      </c>
      <c r="J293" s="68">
        <f>5.8119 * CHOOSE(CONTROL!$C$22, $C$13, 100%, $E$13)</f>
        <v>5.8118999999999996</v>
      </c>
      <c r="K293" s="68">
        <f>5.8132 * CHOOSE(CONTROL!$C$22, $C$13, 100%, $E$13)</f>
        <v>5.8132000000000001</v>
      </c>
    </row>
    <row r="294" spans="1:11" ht="15">
      <c r="A294" s="13">
        <v>50072</v>
      </c>
      <c r="B294" s="67">
        <f>4.7555 * CHOOSE(CONTROL!$C$22, $C$13, 100%, $E$13)</f>
        <v>4.7554999999999996</v>
      </c>
      <c r="C294" s="67">
        <f>4.7555 * CHOOSE(CONTROL!$C$22, $C$13, 100%, $E$13)</f>
        <v>4.7554999999999996</v>
      </c>
      <c r="D294" s="67">
        <f>4.7565 * CHOOSE(CONTROL!$C$22, $C$13, 100%, $E$13)</f>
        <v>4.7565</v>
      </c>
      <c r="E294" s="68">
        <f>5.719 * CHOOSE(CONTROL!$C$22, $C$13, 100%, $E$13)</f>
        <v>5.7190000000000003</v>
      </c>
      <c r="F294" s="68">
        <f>5.719 * CHOOSE(CONTROL!$C$22, $C$13, 100%, $E$13)</f>
        <v>5.7190000000000003</v>
      </c>
      <c r="G294" s="68">
        <f>5.7203 * CHOOSE(CONTROL!$C$22, $C$13, 100%, $E$13)</f>
        <v>5.7202999999999999</v>
      </c>
      <c r="H294" s="68">
        <f>9.2923* CHOOSE(CONTROL!$C$22, $C$13, 100%, $E$13)</f>
        <v>9.2922999999999991</v>
      </c>
      <c r="I294" s="68">
        <f>9.2936 * CHOOSE(CONTROL!$C$22, $C$13, 100%, $E$13)</f>
        <v>9.2935999999999996</v>
      </c>
      <c r="J294" s="68">
        <f>5.719 * CHOOSE(CONTROL!$C$22, $C$13, 100%, $E$13)</f>
        <v>5.7190000000000003</v>
      </c>
      <c r="K294" s="68">
        <f>5.7203 * CHOOSE(CONTROL!$C$22, $C$13, 100%, $E$13)</f>
        <v>5.7202999999999999</v>
      </c>
    </row>
    <row r="295" spans="1:11" ht="15">
      <c r="A295" s="13">
        <v>50100</v>
      </c>
      <c r="B295" s="67">
        <f>4.7525 * CHOOSE(CONTROL!$C$22, $C$13, 100%, $E$13)</f>
        <v>4.7525000000000004</v>
      </c>
      <c r="C295" s="67">
        <f>4.7525 * CHOOSE(CONTROL!$C$22, $C$13, 100%, $E$13)</f>
        <v>4.7525000000000004</v>
      </c>
      <c r="D295" s="67">
        <f>4.7535 * CHOOSE(CONTROL!$C$22, $C$13, 100%, $E$13)</f>
        <v>4.7534999999999998</v>
      </c>
      <c r="E295" s="68">
        <f>5.7884 * CHOOSE(CONTROL!$C$22, $C$13, 100%, $E$13)</f>
        <v>5.7884000000000002</v>
      </c>
      <c r="F295" s="68">
        <f>5.7884 * CHOOSE(CONTROL!$C$22, $C$13, 100%, $E$13)</f>
        <v>5.7884000000000002</v>
      </c>
      <c r="G295" s="68">
        <f>5.7897 * CHOOSE(CONTROL!$C$22, $C$13, 100%, $E$13)</f>
        <v>5.7896999999999998</v>
      </c>
      <c r="H295" s="68">
        <f>9.3117* CHOOSE(CONTROL!$C$22, $C$13, 100%, $E$13)</f>
        <v>9.3117000000000001</v>
      </c>
      <c r="I295" s="68">
        <f>9.313 * CHOOSE(CONTROL!$C$22, $C$13, 100%, $E$13)</f>
        <v>9.3130000000000006</v>
      </c>
      <c r="J295" s="68">
        <f>5.7884 * CHOOSE(CONTROL!$C$22, $C$13, 100%, $E$13)</f>
        <v>5.7884000000000002</v>
      </c>
      <c r="K295" s="68">
        <f>5.7897 * CHOOSE(CONTROL!$C$22, $C$13, 100%, $E$13)</f>
        <v>5.7896999999999998</v>
      </c>
    </row>
    <row r="296" spans="1:11" ht="15">
      <c r="A296" s="13">
        <v>50131</v>
      </c>
      <c r="B296" s="67">
        <f>4.7508 * CHOOSE(CONTROL!$C$22, $C$13, 100%, $E$13)</f>
        <v>4.7507999999999999</v>
      </c>
      <c r="C296" s="67">
        <f>4.7508 * CHOOSE(CONTROL!$C$22, $C$13, 100%, $E$13)</f>
        <v>4.7507999999999999</v>
      </c>
      <c r="D296" s="67">
        <f>4.7518 * CHOOSE(CONTROL!$C$22, $C$13, 100%, $E$13)</f>
        <v>4.7518000000000002</v>
      </c>
      <c r="E296" s="68">
        <f>5.861 * CHOOSE(CONTROL!$C$22, $C$13, 100%, $E$13)</f>
        <v>5.8609999999999998</v>
      </c>
      <c r="F296" s="68">
        <f>5.861 * CHOOSE(CONTROL!$C$22, $C$13, 100%, $E$13)</f>
        <v>5.8609999999999998</v>
      </c>
      <c r="G296" s="68">
        <f>5.8623 * CHOOSE(CONTROL!$C$22, $C$13, 100%, $E$13)</f>
        <v>5.8623000000000003</v>
      </c>
      <c r="H296" s="68">
        <f>9.3311* CHOOSE(CONTROL!$C$22, $C$13, 100%, $E$13)</f>
        <v>9.3310999999999993</v>
      </c>
      <c r="I296" s="68">
        <f>9.3324 * CHOOSE(CONTROL!$C$22, $C$13, 100%, $E$13)</f>
        <v>9.3323999999999998</v>
      </c>
      <c r="J296" s="68">
        <f>5.861 * CHOOSE(CONTROL!$C$22, $C$13, 100%, $E$13)</f>
        <v>5.8609999999999998</v>
      </c>
      <c r="K296" s="68">
        <f>5.8623 * CHOOSE(CONTROL!$C$22, $C$13, 100%, $E$13)</f>
        <v>5.8623000000000003</v>
      </c>
    </row>
    <row r="297" spans="1:11" ht="15">
      <c r="A297" s="13">
        <v>50161</v>
      </c>
      <c r="B297" s="67">
        <f>4.7508 * CHOOSE(CONTROL!$C$22, $C$13, 100%, $E$13)</f>
        <v>4.7507999999999999</v>
      </c>
      <c r="C297" s="67">
        <f>4.7508 * CHOOSE(CONTROL!$C$22, $C$13, 100%, $E$13)</f>
        <v>4.7507999999999999</v>
      </c>
      <c r="D297" s="67">
        <f>4.7534 * CHOOSE(CONTROL!$C$22, $C$13, 100%, $E$13)</f>
        <v>4.7534000000000001</v>
      </c>
      <c r="E297" s="68">
        <f>5.8898 * CHOOSE(CONTROL!$C$22, $C$13, 100%, $E$13)</f>
        <v>5.8898000000000001</v>
      </c>
      <c r="F297" s="68">
        <f>5.8898 * CHOOSE(CONTROL!$C$22, $C$13, 100%, $E$13)</f>
        <v>5.8898000000000001</v>
      </c>
      <c r="G297" s="68">
        <f>5.8931 * CHOOSE(CONTROL!$C$22, $C$13, 100%, $E$13)</f>
        <v>5.8930999999999996</v>
      </c>
      <c r="H297" s="68">
        <f>9.3505* CHOOSE(CONTROL!$C$22, $C$13, 100%, $E$13)</f>
        <v>9.3505000000000003</v>
      </c>
      <c r="I297" s="68">
        <f>9.3538 * CHOOSE(CONTROL!$C$22, $C$13, 100%, $E$13)</f>
        <v>9.3537999999999997</v>
      </c>
      <c r="J297" s="68">
        <f>5.8898 * CHOOSE(CONTROL!$C$22, $C$13, 100%, $E$13)</f>
        <v>5.8898000000000001</v>
      </c>
      <c r="K297" s="68">
        <f>5.8931 * CHOOSE(CONTROL!$C$22, $C$13, 100%, $E$13)</f>
        <v>5.8930999999999996</v>
      </c>
    </row>
    <row r="298" spans="1:11" ht="15">
      <c r="A298" s="13">
        <v>50192</v>
      </c>
      <c r="B298" s="67">
        <f>4.7569 * CHOOSE(CONTROL!$C$22, $C$13, 100%, $E$13)</f>
        <v>4.7568999999999999</v>
      </c>
      <c r="C298" s="67">
        <f>4.7569 * CHOOSE(CONTROL!$C$22, $C$13, 100%, $E$13)</f>
        <v>4.7568999999999999</v>
      </c>
      <c r="D298" s="67">
        <f>4.7595 * CHOOSE(CONTROL!$C$22, $C$13, 100%, $E$13)</f>
        <v>4.7595000000000001</v>
      </c>
      <c r="E298" s="68">
        <f>5.8653 * CHOOSE(CONTROL!$C$22, $C$13, 100%, $E$13)</f>
        <v>5.8653000000000004</v>
      </c>
      <c r="F298" s="68">
        <f>5.8653 * CHOOSE(CONTROL!$C$22, $C$13, 100%, $E$13)</f>
        <v>5.8653000000000004</v>
      </c>
      <c r="G298" s="68">
        <f>5.8685 * CHOOSE(CONTROL!$C$22, $C$13, 100%, $E$13)</f>
        <v>5.8685</v>
      </c>
      <c r="H298" s="68">
        <f>9.37* CHOOSE(CONTROL!$C$22, $C$13, 100%, $E$13)</f>
        <v>9.3699999999999992</v>
      </c>
      <c r="I298" s="68">
        <f>9.3733 * CHOOSE(CONTROL!$C$22, $C$13, 100%, $E$13)</f>
        <v>9.3733000000000004</v>
      </c>
      <c r="J298" s="68">
        <f>5.8653 * CHOOSE(CONTROL!$C$22, $C$13, 100%, $E$13)</f>
        <v>5.8653000000000004</v>
      </c>
      <c r="K298" s="68">
        <f>5.8685 * CHOOSE(CONTROL!$C$22, $C$13, 100%, $E$13)</f>
        <v>5.8685</v>
      </c>
    </row>
    <row r="299" spans="1:11" ht="15">
      <c r="A299" s="13">
        <v>50222</v>
      </c>
      <c r="B299" s="67">
        <f>4.836 * CHOOSE(CONTROL!$C$22, $C$13, 100%, $E$13)</f>
        <v>4.8360000000000003</v>
      </c>
      <c r="C299" s="67">
        <f>4.836 * CHOOSE(CONTROL!$C$22, $C$13, 100%, $E$13)</f>
        <v>4.8360000000000003</v>
      </c>
      <c r="D299" s="67">
        <f>4.8386 * CHOOSE(CONTROL!$C$22, $C$13, 100%, $E$13)</f>
        <v>4.8385999999999996</v>
      </c>
      <c r="E299" s="68">
        <f>5.9773 * CHOOSE(CONTROL!$C$22, $C$13, 100%, $E$13)</f>
        <v>5.9772999999999996</v>
      </c>
      <c r="F299" s="68">
        <f>5.9773 * CHOOSE(CONTROL!$C$22, $C$13, 100%, $E$13)</f>
        <v>5.9772999999999996</v>
      </c>
      <c r="G299" s="68">
        <f>5.9805 * CHOOSE(CONTROL!$C$22, $C$13, 100%, $E$13)</f>
        <v>5.9805000000000001</v>
      </c>
      <c r="H299" s="68">
        <f>9.3895* CHOOSE(CONTROL!$C$22, $C$13, 100%, $E$13)</f>
        <v>9.3895</v>
      </c>
      <c r="I299" s="68">
        <f>9.3928 * CHOOSE(CONTROL!$C$22, $C$13, 100%, $E$13)</f>
        <v>9.3927999999999994</v>
      </c>
      <c r="J299" s="68">
        <f>5.9773 * CHOOSE(CONTROL!$C$22, $C$13, 100%, $E$13)</f>
        <v>5.9772999999999996</v>
      </c>
      <c r="K299" s="68">
        <f>5.9805 * CHOOSE(CONTROL!$C$22, $C$13, 100%, $E$13)</f>
        <v>5.9805000000000001</v>
      </c>
    </row>
    <row r="300" spans="1:11" ht="15">
      <c r="A300" s="13">
        <v>50253</v>
      </c>
      <c r="B300" s="67">
        <f>4.8427 * CHOOSE(CONTROL!$C$22, $C$13, 100%, $E$13)</f>
        <v>4.8426999999999998</v>
      </c>
      <c r="C300" s="67">
        <f>4.8427 * CHOOSE(CONTROL!$C$22, $C$13, 100%, $E$13)</f>
        <v>4.8426999999999998</v>
      </c>
      <c r="D300" s="67">
        <f>4.8453 * CHOOSE(CONTROL!$C$22, $C$13, 100%, $E$13)</f>
        <v>4.8452999999999999</v>
      </c>
      <c r="E300" s="68">
        <f>5.8955 * CHOOSE(CONTROL!$C$22, $C$13, 100%, $E$13)</f>
        <v>5.8955000000000002</v>
      </c>
      <c r="F300" s="68">
        <f>5.8955 * CHOOSE(CONTROL!$C$22, $C$13, 100%, $E$13)</f>
        <v>5.8955000000000002</v>
      </c>
      <c r="G300" s="68">
        <f>5.8987 * CHOOSE(CONTROL!$C$22, $C$13, 100%, $E$13)</f>
        <v>5.8986999999999998</v>
      </c>
      <c r="H300" s="68">
        <f>9.4091* CHOOSE(CONTROL!$C$22, $C$13, 100%, $E$13)</f>
        <v>9.4091000000000005</v>
      </c>
      <c r="I300" s="68">
        <f>9.4124 * CHOOSE(CONTROL!$C$22, $C$13, 100%, $E$13)</f>
        <v>9.4123999999999999</v>
      </c>
      <c r="J300" s="68">
        <f>5.8955 * CHOOSE(CONTROL!$C$22, $C$13, 100%, $E$13)</f>
        <v>5.8955000000000002</v>
      </c>
      <c r="K300" s="68">
        <f>5.8987 * CHOOSE(CONTROL!$C$22, $C$13, 100%, $E$13)</f>
        <v>5.8986999999999998</v>
      </c>
    </row>
    <row r="301" spans="1:11" ht="15">
      <c r="A301" s="13">
        <v>50284</v>
      </c>
      <c r="B301" s="67">
        <f>4.8396 * CHOOSE(CONTROL!$C$22, $C$13, 100%, $E$13)</f>
        <v>4.8395999999999999</v>
      </c>
      <c r="C301" s="67">
        <f>4.8396 * CHOOSE(CONTROL!$C$22, $C$13, 100%, $E$13)</f>
        <v>4.8395999999999999</v>
      </c>
      <c r="D301" s="67">
        <f>4.8423 * CHOOSE(CONTROL!$C$22, $C$13, 100%, $E$13)</f>
        <v>4.8422999999999998</v>
      </c>
      <c r="E301" s="68">
        <f>5.8837 * CHOOSE(CONTROL!$C$22, $C$13, 100%, $E$13)</f>
        <v>5.8837000000000002</v>
      </c>
      <c r="F301" s="68">
        <f>5.8837 * CHOOSE(CONTROL!$C$22, $C$13, 100%, $E$13)</f>
        <v>5.8837000000000002</v>
      </c>
      <c r="G301" s="68">
        <f>5.887 * CHOOSE(CONTROL!$C$22, $C$13, 100%, $E$13)</f>
        <v>5.8869999999999996</v>
      </c>
      <c r="H301" s="68">
        <f>9.4287* CHOOSE(CONTROL!$C$22, $C$13, 100%, $E$13)</f>
        <v>9.4286999999999992</v>
      </c>
      <c r="I301" s="68">
        <f>9.432 * CHOOSE(CONTROL!$C$22, $C$13, 100%, $E$13)</f>
        <v>9.4320000000000004</v>
      </c>
      <c r="J301" s="68">
        <f>5.8837 * CHOOSE(CONTROL!$C$22, $C$13, 100%, $E$13)</f>
        <v>5.8837000000000002</v>
      </c>
      <c r="K301" s="68">
        <f>5.887 * CHOOSE(CONTROL!$C$22, $C$13, 100%, $E$13)</f>
        <v>5.8869999999999996</v>
      </c>
    </row>
    <row r="302" spans="1:11" ht="15">
      <c r="A302" s="13">
        <v>50314</v>
      </c>
      <c r="B302" s="67">
        <f>4.8375 * CHOOSE(CONTROL!$C$22, $C$13, 100%, $E$13)</f>
        <v>4.8375000000000004</v>
      </c>
      <c r="C302" s="67">
        <f>4.8375 * CHOOSE(CONTROL!$C$22, $C$13, 100%, $E$13)</f>
        <v>4.8375000000000004</v>
      </c>
      <c r="D302" s="67">
        <f>4.8385 * CHOOSE(CONTROL!$C$22, $C$13, 100%, $E$13)</f>
        <v>4.8384999999999998</v>
      </c>
      <c r="E302" s="68">
        <f>5.9087 * CHOOSE(CONTROL!$C$22, $C$13, 100%, $E$13)</f>
        <v>5.9086999999999996</v>
      </c>
      <c r="F302" s="68">
        <f>5.9087 * CHOOSE(CONTROL!$C$22, $C$13, 100%, $E$13)</f>
        <v>5.9086999999999996</v>
      </c>
      <c r="G302" s="68">
        <f>5.91 * CHOOSE(CONTROL!$C$22, $C$13, 100%, $E$13)</f>
        <v>5.91</v>
      </c>
      <c r="H302" s="68">
        <f>9.4483* CHOOSE(CONTROL!$C$22, $C$13, 100%, $E$13)</f>
        <v>9.4482999999999997</v>
      </c>
      <c r="I302" s="68">
        <f>9.4496 * CHOOSE(CONTROL!$C$22, $C$13, 100%, $E$13)</f>
        <v>9.4496000000000002</v>
      </c>
      <c r="J302" s="68">
        <f>5.9087 * CHOOSE(CONTROL!$C$22, $C$13, 100%, $E$13)</f>
        <v>5.9086999999999996</v>
      </c>
      <c r="K302" s="68">
        <f>5.91 * CHOOSE(CONTROL!$C$22, $C$13, 100%, $E$13)</f>
        <v>5.91</v>
      </c>
    </row>
    <row r="303" spans="1:11" ht="15">
      <c r="A303" s="13">
        <v>50345</v>
      </c>
      <c r="B303" s="67">
        <f>4.8405 * CHOOSE(CONTROL!$C$22, $C$13, 100%, $E$13)</f>
        <v>4.8404999999999996</v>
      </c>
      <c r="C303" s="67">
        <f>4.8405 * CHOOSE(CONTROL!$C$22, $C$13, 100%, $E$13)</f>
        <v>4.8404999999999996</v>
      </c>
      <c r="D303" s="67">
        <f>4.8415 * CHOOSE(CONTROL!$C$22, $C$13, 100%, $E$13)</f>
        <v>4.8414999999999999</v>
      </c>
      <c r="E303" s="68">
        <f>5.9301 * CHOOSE(CONTROL!$C$22, $C$13, 100%, $E$13)</f>
        <v>5.9301000000000004</v>
      </c>
      <c r="F303" s="68">
        <f>5.9301 * CHOOSE(CONTROL!$C$22, $C$13, 100%, $E$13)</f>
        <v>5.9301000000000004</v>
      </c>
      <c r="G303" s="68">
        <f>5.9314 * CHOOSE(CONTROL!$C$22, $C$13, 100%, $E$13)</f>
        <v>5.9314</v>
      </c>
      <c r="H303" s="68">
        <f>9.468* CHOOSE(CONTROL!$C$22, $C$13, 100%, $E$13)</f>
        <v>9.468</v>
      </c>
      <c r="I303" s="68">
        <f>9.4693 * CHOOSE(CONTROL!$C$22, $C$13, 100%, $E$13)</f>
        <v>9.4693000000000005</v>
      </c>
      <c r="J303" s="68">
        <f>5.9301 * CHOOSE(CONTROL!$C$22, $C$13, 100%, $E$13)</f>
        <v>5.9301000000000004</v>
      </c>
      <c r="K303" s="68">
        <f>5.9314 * CHOOSE(CONTROL!$C$22, $C$13, 100%, $E$13)</f>
        <v>5.9314</v>
      </c>
    </row>
    <row r="304" spans="1:11" ht="15">
      <c r="A304" s="13">
        <v>50375</v>
      </c>
      <c r="B304" s="67">
        <f>4.8405 * CHOOSE(CONTROL!$C$22, $C$13, 100%, $E$13)</f>
        <v>4.8404999999999996</v>
      </c>
      <c r="C304" s="67">
        <f>4.8405 * CHOOSE(CONTROL!$C$22, $C$13, 100%, $E$13)</f>
        <v>4.8404999999999996</v>
      </c>
      <c r="D304" s="67">
        <f>4.8415 * CHOOSE(CONTROL!$C$22, $C$13, 100%, $E$13)</f>
        <v>4.8414999999999999</v>
      </c>
      <c r="E304" s="68">
        <f>5.8821 * CHOOSE(CONTROL!$C$22, $C$13, 100%, $E$13)</f>
        <v>5.8821000000000003</v>
      </c>
      <c r="F304" s="68">
        <f>5.8821 * CHOOSE(CONTROL!$C$22, $C$13, 100%, $E$13)</f>
        <v>5.8821000000000003</v>
      </c>
      <c r="G304" s="68">
        <f>5.8833 * CHOOSE(CONTROL!$C$22, $C$13, 100%, $E$13)</f>
        <v>5.8833000000000002</v>
      </c>
      <c r="H304" s="68">
        <f>9.4878* CHOOSE(CONTROL!$C$22, $C$13, 100%, $E$13)</f>
        <v>9.4878</v>
      </c>
      <c r="I304" s="68">
        <f>9.489 * CHOOSE(CONTROL!$C$22, $C$13, 100%, $E$13)</f>
        <v>9.4890000000000008</v>
      </c>
      <c r="J304" s="68">
        <f>5.8821 * CHOOSE(CONTROL!$C$22, $C$13, 100%, $E$13)</f>
        <v>5.8821000000000003</v>
      </c>
      <c r="K304" s="68">
        <f>5.8833 * CHOOSE(CONTROL!$C$22, $C$13, 100%, $E$13)</f>
        <v>5.8833000000000002</v>
      </c>
    </row>
    <row r="305" spans="1:11" ht="15">
      <c r="A305" s="13">
        <v>50406</v>
      </c>
      <c r="B305" s="67">
        <f>4.8843 * CHOOSE(CONTROL!$C$22, $C$13, 100%, $E$13)</f>
        <v>4.8842999999999996</v>
      </c>
      <c r="C305" s="67">
        <f>4.8843 * CHOOSE(CONTROL!$C$22, $C$13, 100%, $E$13)</f>
        <v>4.8842999999999996</v>
      </c>
      <c r="D305" s="67">
        <f>4.8853 * CHOOSE(CONTROL!$C$22, $C$13, 100%, $E$13)</f>
        <v>4.8853</v>
      </c>
      <c r="E305" s="68">
        <f>5.9668 * CHOOSE(CONTROL!$C$22, $C$13, 100%, $E$13)</f>
        <v>5.9668000000000001</v>
      </c>
      <c r="F305" s="68">
        <f>5.9668 * CHOOSE(CONTROL!$C$22, $C$13, 100%, $E$13)</f>
        <v>5.9668000000000001</v>
      </c>
      <c r="G305" s="68">
        <f>5.9681 * CHOOSE(CONTROL!$C$22, $C$13, 100%, $E$13)</f>
        <v>5.9680999999999997</v>
      </c>
      <c r="H305" s="68">
        <f>9.5075* CHOOSE(CONTROL!$C$22, $C$13, 100%, $E$13)</f>
        <v>9.5075000000000003</v>
      </c>
      <c r="I305" s="68">
        <f>9.5088 * CHOOSE(CONTROL!$C$22, $C$13, 100%, $E$13)</f>
        <v>9.5088000000000008</v>
      </c>
      <c r="J305" s="68">
        <f>5.9668 * CHOOSE(CONTROL!$C$22, $C$13, 100%, $E$13)</f>
        <v>5.9668000000000001</v>
      </c>
      <c r="K305" s="68">
        <f>5.9681 * CHOOSE(CONTROL!$C$22, $C$13, 100%, $E$13)</f>
        <v>5.9680999999999997</v>
      </c>
    </row>
    <row r="306" spans="1:11" ht="15">
      <c r="A306" s="13">
        <v>50437</v>
      </c>
      <c r="B306" s="67">
        <f>4.8813 * CHOOSE(CONTROL!$C$22, $C$13, 100%, $E$13)</f>
        <v>4.8813000000000004</v>
      </c>
      <c r="C306" s="67">
        <f>4.8813 * CHOOSE(CONTROL!$C$22, $C$13, 100%, $E$13)</f>
        <v>4.8813000000000004</v>
      </c>
      <c r="D306" s="67">
        <f>4.8823 * CHOOSE(CONTROL!$C$22, $C$13, 100%, $E$13)</f>
        <v>4.8822999999999999</v>
      </c>
      <c r="E306" s="68">
        <f>5.8715 * CHOOSE(CONTROL!$C$22, $C$13, 100%, $E$13)</f>
        <v>5.8715000000000002</v>
      </c>
      <c r="F306" s="68">
        <f>5.8715 * CHOOSE(CONTROL!$C$22, $C$13, 100%, $E$13)</f>
        <v>5.8715000000000002</v>
      </c>
      <c r="G306" s="68">
        <f>5.8728 * CHOOSE(CONTROL!$C$22, $C$13, 100%, $E$13)</f>
        <v>5.8727999999999998</v>
      </c>
      <c r="H306" s="68">
        <f>9.5273* CHOOSE(CONTROL!$C$22, $C$13, 100%, $E$13)</f>
        <v>9.5273000000000003</v>
      </c>
      <c r="I306" s="68">
        <f>9.5286 * CHOOSE(CONTROL!$C$22, $C$13, 100%, $E$13)</f>
        <v>9.5286000000000008</v>
      </c>
      <c r="J306" s="68">
        <f>5.8715 * CHOOSE(CONTROL!$C$22, $C$13, 100%, $E$13)</f>
        <v>5.8715000000000002</v>
      </c>
      <c r="K306" s="68">
        <f>5.8728 * CHOOSE(CONTROL!$C$22, $C$13, 100%, $E$13)</f>
        <v>5.8727999999999998</v>
      </c>
    </row>
    <row r="307" spans="1:11" ht="15">
      <c r="A307" s="13">
        <v>50465</v>
      </c>
      <c r="B307" s="67">
        <f>4.8783 * CHOOSE(CONTROL!$C$22, $C$13, 100%, $E$13)</f>
        <v>4.8783000000000003</v>
      </c>
      <c r="C307" s="67">
        <f>4.8783 * CHOOSE(CONTROL!$C$22, $C$13, 100%, $E$13)</f>
        <v>4.8783000000000003</v>
      </c>
      <c r="D307" s="67">
        <f>4.8792 * CHOOSE(CONTROL!$C$22, $C$13, 100%, $E$13)</f>
        <v>4.8792</v>
      </c>
      <c r="E307" s="68">
        <f>5.9428 * CHOOSE(CONTROL!$C$22, $C$13, 100%, $E$13)</f>
        <v>5.9428000000000001</v>
      </c>
      <c r="F307" s="68">
        <f>5.9428 * CHOOSE(CONTROL!$C$22, $C$13, 100%, $E$13)</f>
        <v>5.9428000000000001</v>
      </c>
      <c r="G307" s="68">
        <f>5.9441 * CHOOSE(CONTROL!$C$22, $C$13, 100%, $E$13)</f>
        <v>5.9440999999999997</v>
      </c>
      <c r="H307" s="68">
        <f>9.5472* CHOOSE(CONTROL!$C$22, $C$13, 100%, $E$13)</f>
        <v>9.5472000000000001</v>
      </c>
      <c r="I307" s="68">
        <f>9.5485 * CHOOSE(CONTROL!$C$22, $C$13, 100%, $E$13)</f>
        <v>9.5485000000000007</v>
      </c>
      <c r="J307" s="68">
        <f>5.9428 * CHOOSE(CONTROL!$C$22, $C$13, 100%, $E$13)</f>
        <v>5.9428000000000001</v>
      </c>
      <c r="K307" s="68">
        <f>5.9441 * CHOOSE(CONTROL!$C$22, $C$13, 100%, $E$13)</f>
        <v>5.9440999999999997</v>
      </c>
    </row>
    <row r="308" spans="1:11" ht="15">
      <c r="A308" s="13">
        <v>50496</v>
      </c>
      <c r="B308" s="67">
        <f>4.8767 * CHOOSE(CONTROL!$C$22, $C$13, 100%, $E$13)</f>
        <v>4.8766999999999996</v>
      </c>
      <c r="C308" s="67">
        <f>4.8767 * CHOOSE(CONTROL!$C$22, $C$13, 100%, $E$13)</f>
        <v>4.8766999999999996</v>
      </c>
      <c r="D308" s="67">
        <f>4.8776 * CHOOSE(CONTROL!$C$22, $C$13, 100%, $E$13)</f>
        <v>4.8776000000000002</v>
      </c>
      <c r="E308" s="68">
        <f>6.0175 * CHOOSE(CONTROL!$C$22, $C$13, 100%, $E$13)</f>
        <v>6.0175000000000001</v>
      </c>
      <c r="F308" s="68">
        <f>6.0175 * CHOOSE(CONTROL!$C$22, $C$13, 100%, $E$13)</f>
        <v>6.0175000000000001</v>
      </c>
      <c r="G308" s="68">
        <f>6.0187 * CHOOSE(CONTROL!$C$22, $C$13, 100%, $E$13)</f>
        <v>6.0186999999999999</v>
      </c>
      <c r="H308" s="68">
        <f>9.5671* CHOOSE(CONTROL!$C$22, $C$13, 100%, $E$13)</f>
        <v>9.5670999999999999</v>
      </c>
      <c r="I308" s="68">
        <f>9.5684 * CHOOSE(CONTROL!$C$22, $C$13, 100%, $E$13)</f>
        <v>9.5684000000000005</v>
      </c>
      <c r="J308" s="68">
        <f>6.0175 * CHOOSE(CONTROL!$C$22, $C$13, 100%, $E$13)</f>
        <v>6.0175000000000001</v>
      </c>
      <c r="K308" s="68">
        <f>6.0187 * CHOOSE(CONTROL!$C$22, $C$13, 100%, $E$13)</f>
        <v>6.0186999999999999</v>
      </c>
    </row>
    <row r="309" spans="1:11" ht="15">
      <c r="A309" s="13">
        <v>50526</v>
      </c>
      <c r="B309" s="67">
        <f>4.8767 * CHOOSE(CONTROL!$C$22, $C$13, 100%, $E$13)</f>
        <v>4.8766999999999996</v>
      </c>
      <c r="C309" s="67">
        <f>4.8767 * CHOOSE(CONTROL!$C$22, $C$13, 100%, $E$13)</f>
        <v>4.8766999999999996</v>
      </c>
      <c r="D309" s="67">
        <f>4.8793 * CHOOSE(CONTROL!$C$22, $C$13, 100%, $E$13)</f>
        <v>4.8792999999999997</v>
      </c>
      <c r="E309" s="68">
        <f>6.047 * CHOOSE(CONTROL!$C$22, $C$13, 100%, $E$13)</f>
        <v>6.0469999999999997</v>
      </c>
      <c r="F309" s="68">
        <f>6.047 * CHOOSE(CONTROL!$C$22, $C$13, 100%, $E$13)</f>
        <v>6.0469999999999997</v>
      </c>
      <c r="G309" s="68">
        <f>6.0503 * CHOOSE(CONTROL!$C$22, $C$13, 100%, $E$13)</f>
        <v>6.0503</v>
      </c>
      <c r="H309" s="68">
        <f>9.587* CHOOSE(CONTROL!$C$22, $C$13, 100%, $E$13)</f>
        <v>9.5869999999999997</v>
      </c>
      <c r="I309" s="68">
        <f>9.5903 * CHOOSE(CONTROL!$C$22, $C$13, 100%, $E$13)</f>
        <v>9.5902999999999992</v>
      </c>
      <c r="J309" s="68">
        <f>6.047 * CHOOSE(CONTROL!$C$22, $C$13, 100%, $E$13)</f>
        <v>6.0469999999999997</v>
      </c>
      <c r="K309" s="68">
        <f>6.0503 * CHOOSE(CONTROL!$C$22, $C$13, 100%, $E$13)</f>
        <v>6.0503</v>
      </c>
    </row>
    <row r="310" spans="1:11" ht="15">
      <c r="A310" s="13">
        <v>50557</v>
      </c>
      <c r="B310" s="67">
        <f>4.8827 * CHOOSE(CONTROL!$C$22, $C$13, 100%, $E$13)</f>
        <v>4.8826999999999998</v>
      </c>
      <c r="C310" s="67">
        <f>4.8827 * CHOOSE(CONTROL!$C$22, $C$13, 100%, $E$13)</f>
        <v>4.8826999999999998</v>
      </c>
      <c r="D310" s="67">
        <f>4.8854 * CHOOSE(CONTROL!$C$22, $C$13, 100%, $E$13)</f>
        <v>4.8853999999999997</v>
      </c>
      <c r="E310" s="68">
        <f>6.0217 * CHOOSE(CONTROL!$C$22, $C$13, 100%, $E$13)</f>
        <v>6.0217000000000001</v>
      </c>
      <c r="F310" s="68">
        <f>6.0217 * CHOOSE(CONTROL!$C$22, $C$13, 100%, $E$13)</f>
        <v>6.0217000000000001</v>
      </c>
      <c r="G310" s="68">
        <f>6.0249 * CHOOSE(CONTROL!$C$22, $C$13, 100%, $E$13)</f>
        <v>6.0248999999999997</v>
      </c>
      <c r="H310" s="68">
        <f>9.607* CHOOSE(CONTROL!$C$22, $C$13, 100%, $E$13)</f>
        <v>9.6069999999999993</v>
      </c>
      <c r="I310" s="68">
        <f>9.6102 * CHOOSE(CONTROL!$C$22, $C$13, 100%, $E$13)</f>
        <v>9.6102000000000007</v>
      </c>
      <c r="J310" s="68">
        <f>6.0217 * CHOOSE(CONTROL!$C$22, $C$13, 100%, $E$13)</f>
        <v>6.0217000000000001</v>
      </c>
      <c r="K310" s="68">
        <f>6.0249 * CHOOSE(CONTROL!$C$22, $C$13, 100%, $E$13)</f>
        <v>6.0248999999999997</v>
      </c>
    </row>
    <row r="311" spans="1:11" ht="15">
      <c r="A311" s="13">
        <v>50587</v>
      </c>
      <c r="B311" s="67">
        <f>4.9646 * CHOOSE(CONTROL!$C$22, $C$13, 100%, $E$13)</f>
        <v>4.9645999999999999</v>
      </c>
      <c r="C311" s="67">
        <f>4.9646 * CHOOSE(CONTROL!$C$22, $C$13, 100%, $E$13)</f>
        <v>4.9645999999999999</v>
      </c>
      <c r="D311" s="67">
        <f>4.9673 * CHOOSE(CONTROL!$C$22, $C$13, 100%, $E$13)</f>
        <v>4.9672999999999998</v>
      </c>
      <c r="E311" s="68">
        <f>6.1322 * CHOOSE(CONTROL!$C$22, $C$13, 100%, $E$13)</f>
        <v>6.1322000000000001</v>
      </c>
      <c r="F311" s="68">
        <f>6.1322 * CHOOSE(CONTROL!$C$22, $C$13, 100%, $E$13)</f>
        <v>6.1322000000000001</v>
      </c>
      <c r="G311" s="68">
        <f>6.1354 * CHOOSE(CONTROL!$C$22, $C$13, 100%, $E$13)</f>
        <v>6.1353999999999997</v>
      </c>
      <c r="H311" s="68">
        <f>9.627* CHOOSE(CONTROL!$C$22, $C$13, 100%, $E$13)</f>
        <v>9.6270000000000007</v>
      </c>
      <c r="I311" s="68">
        <f>9.6302 * CHOOSE(CONTROL!$C$22, $C$13, 100%, $E$13)</f>
        <v>9.6302000000000003</v>
      </c>
      <c r="J311" s="68">
        <f>6.1322 * CHOOSE(CONTROL!$C$22, $C$13, 100%, $E$13)</f>
        <v>6.1322000000000001</v>
      </c>
      <c r="K311" s="68">
        <f>6.1354 * CHOOSE(CONTROL!$C$22, $C$13, 100%, $E$13)</f>
        <v>6.1353999999999997</v>
      </c>
    </row>
    <row r="312" spans="1:11" ht="15">
      <c r="A312" s="13">
        <v>50618</v>
      </c>
      <c r="B312" s="67">
        <f>4.9713 * CHOOSE(CONTROL!$C$22, $C$13, 100%, $E$13)</f>
        <v>4.9713000000000003</v>
      </c>
      <c r="C312" s="67">
        <f>4.9713 * CHOOSE(CONTROL!$C$22, $C$13, 100%, $E$13)</f>
        <v>4.9713000000000003</v>
      </c>
      <c r="D312" s="67">
        <f>4.974 * CHOOSE(CONTROL!$C$22, $C$13, 100%, $E$13)</f>
        <v>4.9740000000000002</v>
      </c>
      <c r="E312" s="68">
        <f>6.0481 * CHOOSE(CONTROL!$C$22, $C$13, 100%, $E$13)</f>
        <v>6.0480999999999998</v>
      </c>
      <c r="F312" s="68">
        <f>6.0481 * CHOOSE(CONTROL!$C$22, $C$13, 100%, $E$13)</f>
        <v>6.0480999999999998</v>
      </c>
      <c r="G312" s="68">
        <f>6.0514 * CHOOSE(CONTROL!$C$22, $C$13, 100%, $E$13)</f>
        <v>6.0514000000000001</v>
      </c>
      <c r="H312" s="68">
        <f>9.647* CHOOSE(CONTROL!$C$22, $C$13, 100%, $E$13)</f>
        <v>9.6470000000000002</v>
      </c>
      <c r="I312" s="68">
        <f>9.6503 * CHOOSE(CONTROL!$C$22, $C$13, 100%, $E$13)</f>
        <v>9.6502999999999997</v>
      </c>
      <c r="J312" s="68">
        <f>6.0481 * CHOOSE(CONTROL!$C$22, $C$13, 100%, $E$13)</f>
        <v>6.0480999999999998</v>
      </c>
      <c r="K312" s="68">
        <f>6.0514 * CHOOSE(CONTROL!$C$22, $C$13, 100%, $E$13)</f>
        <v>6.0514000000000001</v>
      </c>
    </row>
    <row r="313" spans="1:11" ht="15">
      <c r="A313" s="13">
        <v>50649</v>
      </c>
      <c r="B313" s="67">
        <f>4.9683 * CHOOSE(CONTROL!$C$22, $C$13, 100%, $E$13)</f>
        <v>4.9683000000000002</v>
      </c>
      <c r="C313" s="67">
        <f>4.9683 * CHOOSE(CONTROL!$C$22, $C$13, 100%, $E$13)</f>
        <v>4.9683000000000002</v>
      </c>
      <c r="D313" s="67">
        <f>4.9709 * CHOOSE(CONTROL!$C$22, $C$13, 100%, $E$13)</f>
        <v>4.9709000000000003</v>
      </c>
      <c r="E313" s="68">
        <f>6.0361 * CHOOSE(CONTROL!$C$22, $C$13, 100%, $E$13)</f>
        <v>6.0361000000000002</v>
      </c>
      <c r="F313" s="68">
        <f>6.0361 * CHOOSE(CONTROL!$C$22, $C$13, 100%, $E$13)</f>
        <v>6.0361000000000002</v>
      </c>
      <c r="G313" s="68">
        <f>6.0394 * CHOOSE(CONTROL!$C$22, $C$13, 100%, $E$13)</f>
        <v>6.0393999999999997</v>
      </c>
      <c r="H313" s="68">
        <f>9.6671* CHOOSE(CONTROL!$C$22, $C$13, 100%, $E$13)</f>
        <v>9.6670999999999996</v>
      </c>
      <c r="I313" s="68">
        <f>9.6704 * CHOOSE(CONTROL!$C$22, $C$13, 100%, $E$13)</f>
        <v>9.6704000000000008</v>
      </c>
      <c r="J313" s="68">
        <f>6.0361 * CHOOSE(CONTROL!$C$22, $C$13, 100%, $E$13)</f>
        <v>6.0361000000000002</v>
      </c>
      <c r="K313" s="68">
        <f>6.0394 * CHOOSE(CONTROL!$C$22, $C$13, 100%, $E$13)</f>
        <v>6.0393999999999997</v>
      </c>
    </row>
    <row r="314" spans="1:11" ht="15">
      <c r="A314" s="13">
        <v>50679</v>
      </c>
      <c r="B314" s="67">
        <f>4.9666 * CHOOSE(CONTROL!$C$22, $C$13, 100%, $E$13)</f>
        <v>4.9665999999999997</v>
      </c>
      <c r="C314" s="67">
        <f>4.9666 * CHOOSE(CONTROL!$C$22, $C$13, 100%, $E$13)</f>
        <v>4.9665999999999997</v>
      </c>
      <c r="D314" s="67">
        <f>4.9676 * CHOOSE(CONTROL!$C$22, $C$13, 100%, $E$13)</f>
        <v>4.9676</v>
      </c>
      <c r="E314" s="68">
        <f>6.0622 * CHOOSE(CONTROL!$C$22, $C$13, 100%, $E$13)</f>
        <v>6.0621999999999998</v>
      </c>
      <c r="F314" s="68">
        <f>6.0622 * CHOOSE(CONTROL!$C$22, $C$13, 100%, $E$13)</f>
        <v>6.0621999999999998</v>
      </c>
      <c r="G314" s="68">
        <f>6.0634 * CHOOSE(CONTROL!$C$22, $C$13, 100%, $E$13)</f>
        <v>6.0633999999999997</v>
      </c>
      <c r="H314" s="68">
        <f>9.6873* CHOOSE(CONTROL!$C$22, $C$13, 100%, $E$13)</f>
        <v>9.6873000000000005</v>
      </c>
      <c r="I314" s="68">
        <f>9.6886 * CHOOSE(CONTROL!$C$22, $C$13, 100%, $E$13)</f>
        <v>9.6885999999999992</v>
      </c>
      <c r="J314" s="68">
        <f>6.0622 * CHOOSE(CONTROL!$C$22, $C$13, 100%, $E$13)</f>
        <v>6.0621999999999998</v>
      </c>
      <c r="K314" s="68">
        <f>6.0634 * CHOOSE(CONTROL!$C$22, $C$13, 100%, $E$13)</f>
        <v>6.0633999999999997</v>
      </c>
    </row>
    <row r="315" spans="1:11" ht="15">
      <c r="A315" s="13">
        <v>50710</v>
      </c>
      <c r="B315" s="67">
        <f>4.9696 * CHOOSE(CONTROL!$C$22, $C$13, 100%, $E$13)</f>
        <v>4.9695999999999998</v>
      </c>
      <c r="C315" s="67">
        <f>4.9696 * CHOOSE(CONTROL!$C$22, $C$13, 100%, $E$13)</f>
        <v>4.9695999999999998</v>
      </c>
      <c r="D315" s="67">
        <f>4.9706 * CHOOSE(CONTROL!$C$22, $C$13, 100%, $E$13)</f>
        <v>4.9706000000000001</v>
      </c>
      <c r="E315" s="68">
        <f>6.084 * CHOOSE(CONTROL!$C$22, $C$13, 100%, $E$13)</f>
        <v>6.0839999999999996</v>
      </c>
      <c r="F315" s="68">
        <f>6.084 * CHOOSE(CONTROL!$C$22, $C$13, 100%, $E$13)</f>
        <v>6.0839999999999996</v>
      </c>
      <c r="G315" s="68">
        <f>6.0853 * CHOOSE(CONTROL!$C$22, $C$13, 100%, $E$13)</f>
        <v>6.0853000000000002</v>
      </c>
      <c r="H315" s="68">
        <f>9.7075* CHOOSE(CONTROL!$C$22, $C$13, 100%, $E$13)</f>
        <v>9.7074999999999996</v>
      </c>
      <c r="I315" s="68">
        <f>9.7087 * CHOOSE(CONTROL!$C$22, $C$13, 100%, $E$13)</f>
        <v>9.7087000000000003</v>
      </c>
      <c r="J315" s="68">
        <f>6.084 * CHOOSE(CONTROL!$C$22, $C$13, 100%, $E$13)</f>
        <v>6.0839999999999996</v>
      </c>
      <c r="K315" s="68">
        <f>6.0853 * CHOOSE(CONTROL!$C$22, $C$13, 100%, $E$13)</f>
        <v>6.0853000000000002</v>
      </c>
    </row>
    <row r="316" spans="1:11" ht="15">
      <c r="A316" s="13">
        <v>50740</v>
      </c>
      <c r="B316" s="67">
        <f>4.9696 * CHOOSE(CONTROL!$C$22, $C$13, 100%, $E$13)</f>
        <v>4.9695999999999998</v>
      </c>
      <c r="C316" s="67">
        <f>4.9696 * CHOOSE(CONTROL!$C$22, $C$13, 100%, $E$13)</f>
        <v>4.9695999999999998</v>
      </c>
      <c r="D316" s="67">
        <f>4.9706 * CHOOSE(CONTROL!$C$22, $C$13, 100%, $E$13)</f>
        <v>4.9706000000000001</v>
      </c>
      <c r="E316" s="68">
        <f>6.061 * CHOOSE(CONTROL!$C$22, $C$13, 100%, $E$13)</f>
        <v>6.0609999999999999</v>
      </c>
      <c r="F316" s="68">
        <f>6.061 * CHOOSE(CONTROL!$C$22, $C$13, 100%, $E$13)</f>
        <v>6.0609999999999999</v>
      </c>
      <c r="G316" s="68">
        <f>6.0623 * CHOOSE(CONTROL!$C$22, $C$13, 100%, $E$13)</f>
        <v>6.0622999999999996</v>
      </c>
      <c r="H316" s="68">
        <f>9.7277* CHOOSE(CONTROL!$C$22, $C$13, 100%, $E$13)</f>
        <v>9.7277000000000005</v>
      </c>
      <c r="I316" s="68">
        <f>9.729 * CHOOSE(CONTROL!$C$22, $C$13, 100%, $E$13)</f>
        <v>9.7289999999999992</v>
      </c>
      <c r="J316" s="68">
        <f>6.061 * CHOOSE(CONTROL!$C$22, $C$13, 100%, $E$13)</f>
        <v>6.0609999999999999</v>
      </c>
      <c r="K316" s="68">
        <f>6.0623 * CHOOSE(CONTROL!$C$22, $C$13, 100%, $E$13)</f>
        <v>6.0622999999999996</v>
      </c>
    </row>
    <row r="317" spans="1:11" ht="15">
      <c r="A317" s="13">
        <v>50771</v>
      </c>
      <c r="B317" s="67">
        <f>5.014 * CHOOSE(CONTROL!$C$22, $C$13, 100%, $E$13)</f>
        <v>5.0140000000000002</v>
      </c>
      <c r="C317" s="67">
        <f>5.014 * CHOOSE(CONTROL!$C$22, $C$13, 100%, $E$13)</f>
        <v>5.0140000000000002</v>
      </c>
      <c r="D317" s="67">
        <f>5.015 * CHOOSE(CONTROL!$C$22, $C$13, 100%, $E$13)</f>
        <v>5.0149999999999997</v>
      </c>
      <c r="E317" s="68">
        <f>6.1195 * CHOOSE(CONTROL!$C$22, $C$13, 100%, $E$13)</f>
        <v>6.1195000000000004</v>
      </c>
      <c r="F317" s="68">
        <f>6.1195 * CHOOSE(CONTROL!$C$22, $C$13, 100%, $E$13)</f>
        <v>6.1195000000000004</v>
      </c>
      <c r="G317" s="68">
        <f>6.1207 * CHOOSE(CONTROL!$C$22, $C$13, 100%, $E$13)</f>
        <v>6.1207000000000003</v>
      </c>
      <c r="H317" s="68">
        <f>9.748* CHOOSE(CONTROL!$C$22, $C$13, 100%, $E$13)</f>
        <v>9.7479999999999993</v>
      </c>
      <c r="I317" s="68">
        <f>9.7492 * CHOOSE(CONTROL!$C$22, $C$13, 100%, $E$13)</f>
        <v>9.7492000000000001</v>
      </c>
      <c r="J317" s="68">
        <f>6.1195 * CHOOSE(CONTROL!$C$22, $C$13, 100%, $E$13)</f>
        <v>6.1195000000000004</v>
      </c>
      <c r="K317" s="68">
        <f>6.1207 * CHOOSE(CONTROL!$C$22, $C$13, 100%, $E$13)</f>
        <v>6.1207000000000003</v>
      </c>
    </row>
    <row r="318" spans="1:11" ht="15">
      <c r="A318" s="13">
        <v>50802</v>
      </c>
      <c r="B318" s="67">
        <f>5.0109 * CHOOSE(CONTROL!$C$22, $C$13, 100%, $E$13)</f>
        <v>5.0109000000000004</v>
      </c>
      <c r="C318" s="67">
        <f>5.0109 * CHOOSE(CONTROL!$C$22, $C$13, 100%, $E$13)</f>
        <v>5.0109000000000004</v>
      </c>
      <c r="D318" s="67">
        <f>5.0119 * CHOOSE(CONTROL!$C$22, $C$13, 100%, $E$13)</f>
        <v>5.0118999999999998</v>
      </c>
      <c r="E318" s="68">
        <f>6.0216 * CHOOSE(CONTROL!$C$22, $C$13, 100%, $E$13)</f>
        <v>6.0216000000000003</v>
      </c>
      <c r="F318" s="68">
        <f>6.0216 * CHOOSE(CONTROL!$C$22, $C$13, 100%, $E$13)</f>
        <v>6.0216000000000003</v>
      </c>
      <c r="G318" s="68">
        <f>6.0229 * CHOOSE(CONTROL!$C$22, $C$13, 100%, $E$13)</f>
        <v>6.0228999999999999</v>
      </c>
      <c r="H318" s="68">
        <f>9.7683* CHOOSE(CONTROL!$C$22, $C$13, 100%, $E$13)</f>
        <v>9.7683</v>
      </c>
      <c r="I318" s="68">
        <f>9.7695 * CHOOSE(CONTROL!$C$22, $C$13, 100%, $E$13)</f>
        <v>9.7695000000000007</v>
      </c>
      <c r="J318" s="68">
        <f>6.0216 * CHOOSE(CONTROL!$C$22, $C$13, 100%, $E$13)</f>
        <v>6.0216000000000003</v>
      </c>
      <c r="K318" s="68">
        <f>6.0229 * CHOOSE(CONTROL!$C$22, $C$13, 100%, $E$13)</f>
        <v>6.0228999999999999</v>
      </c>
    </row>
    <row r="319" spans="1:11" ht="15">
      <c r="A319" s="13">
        <v>50830</v>
      </c>
      <c r="B319" s="67">
        <f>5.0079 * CHOOSE(CONTROL!$C$22, $C$13, 100%, $E$13)</f>
        <v>5.0079000000000002</v>
      </c>
      <c r="C319" s="67">
        <f>5.0079 * CHOOSE(CONTROL!$C$22, $C$13, 100%, $E$13)</f>
        <v>5.0079000000000002</v>
      </c>
      <c r="D319" s="67">
        <f>5.0089 * CHOOSE(CONTROL!$C$22, $C$13, 100%, $E$13)</f>
        <v>5.0088999999999997</v>
      </c>
      <c r="E319" s="68">
        <f>6.095 * CHOOSE(CONTROL!$C$22, $C$13, 100%, $E$13)</f>
        <v>6.0949999999999998</v>
      </c>
      <c r="F319" s="68">
        <f>6.095 * CHOOSE(CONTROL!$C$22, $C$13, 100%, $E$13)</f>
        <v>6.0949999999999998</v>
      </c>
      <c r="G319" s="68">
        <f>6.0962 * CHOOSE(CONTROL!$C$22, $C$13, 100%, $E$13)</f>
        <v>6.0961999999999996</v>
      </c>
      <c r="H319" s="68">
        <f>9.7886* CHOOSE(CONTROL!$C$22, $C$13, 100%, $E$13)</f>
        <v>9.7886000000000006</v>
      </c>
      <c r="I319" s="68">
        <f>9.7899 * CHOOSE(CONTROL!$C$22, $C$13, 100%, $E$13)</f>
        <v>9.7898999999999994</v>
      </c>
      <c r="J319" s="68">
        <f>6.095 * CHOOSE(CONTROL!$C$22, $C$13, 100%, $E$13)</f>
        <v>6.0949999999999998</v>
      </c>
      <c r="K319" s="68">
        <f>6.0962 * CHOOSE(CONTROL!$C$22, $C$13, 100%, $E$13)</f>
        <v>6.0961999999999996</v>
      </c>
    </row>
    <row r="320" spans="1:11" ht="15">
      <c r="A320" s="13">
        <v>50861</v>
      </c>
      <c r="B320" s="67">
        <f>5.0064 * CHOOSE(CONTROL!$C$22, $C$13, 100%, $E$13)</f>
        <v>5.0064000000000002</v>
      </c>
      <c r="C320" s="67">
        <f>5.0064 * CHOOSE(CONTROL!$C$22, $C$13, 100%, $E$13)</f>
        <v>5.0064000000000002</v>
      </c>
      <c r="D320" s="67">
        <f>5.0074 * CHOOSE(CONTROL!$C$22, $C$13, 100%, $E$13)</f>
        <v>5.0073999999999996</v>
      </c>
      <c r="E320" s="68">
        <f>6.1718 * CHOOSE(CONTROL!$C$22, $C$13, 100%, $E$13)</f>
        <v>6.1718000000000002</v>
      </c>
      <c r="F320" s="68">
        <f>6.1718 * CHOOSE(CONTROL!$C$22, $C$13, 100%, $E$13)</f>
        <v>6.1718000000000002</v>
      </c>
      <c r="G320" s="68">
        <f>6.173 * CHOOSE(CONTROL!$C$22, $C$13, 100%, $E$13)</f>
        <v>6.173</v>
      </c>
      <c r="H320" s="68">
        <f>9.809* CHOOSE(CONTROL!$C$22, $C$13, 100%, $E$13)</f>
        <v>9.8089999999999993</v>
      </c>
      <c r="I320" s="68">
        <f>9.8103 * CHOOSE(CONTROL!$C$22, $C$13, 100%, $E$13)</f>
        <v>9.8102999999999998</v>
      </c>
      <c r="J320" s="68">
        <f>6.1718 * CHOOSE(CONTROL!$C$22, $C$13, 100%, $E$13)</f>
        <v>6.1718000000000002</v>
      </c>
      <c r="K320" s="68">
        <f>6.173 * CHOOSE(CONTROL!$C$22, $C$13, 100%, $E$13)</f>
        <v>6.173</v>
      </c>
    </row>
    <row r="321" spans="1:11" ht="15">
      <c r="A321" s="13">
        <v>50891</v>
      </c>
      <c r="B321" s="67">
        <f>5.0064 * CHOOSE(CONTROL!$C$22, $C$13, 100%, $E$13)</f>
        <v>5.0064000000000002</v>
      </c>
      <c r="C321" s="67">
        <f>5.0064 * CHOOSE(CONTROL!$C$22, $C$13, 100%, $E$13)</f>
        <v>5.0064000000000002</v>
      </c>
      <c r="D321" s="67">
        <f>5.009 * CHOOSE(CONTROL!$C$22, $C$13, 100%, $E$13)</f>
        <v>5.0090000000000003</v>
      </c>
      <c r="E321" s="68">
        <f>6.2021 * CHOOSE(CONTROL!$C$22, $C$13, 100%, $E$13)</f>
        <v>6.2020999999999997</v>
      </c>
      <c r="F321" s="68">
        <f>6.2021 * CHOOSE(CONTROL!$C$22, $C$13, 100%, $E$13)</f>
        <v>6.2020999999999997</v>
      </c>
      <c r="G321" s="68">
        <f>6.2054 * CHOOSE(CONTROL!$C$22, $C$13, 100%, $E$13)</f>
        <v>6.2054</v>
      </c>
      <c r="H321" s="68">
        <f>9.8294* CHOOSE(CONTROL!$C$22, $C$13, 100%, $E$13)</f>
        <v>9.8293999999999997</v>
      </c>
      <c r="I321" s="68">
        <f>9.8327 * CHOOSE(CONTROL!$C$22, $C$13, 100%, $E$13)</f>
        <v>9.8327000000000009</v>
      </c>
      <c r="J321" s="68">
        <f>6.2021 * CHOOSE(CONTROL!$C$22, $C$13, 100%, $E$13)</f>
        <v>6.2020999999999997</v>
      </c>
      <c r="K321" s="68">
        <f>6.2054 * CHOOSE(CONTROL!$C$22, $C$13, 100%, $E$13)</f>
        <v>6.2054</v>
      </c>
    </row>
    <row r="322" spans="1:11" ht="15">
      <c r="A322" s="13">
        <v>50922</v>
      </c>
      <c r="B322" s="67">
        <f>5.0125 * CHOOSE(CONTROL!$C$22, $C$13, 100%, $E$13)</f>
        <v>5.0125000000000002</v>
      </c>
      <c r="C322" s="67">
        <f>5.0125 * CHOOSE(CONTROL!$C$22, $C$13, 100%, $E$13)</f>
        <v>5.0125000000000002</v>
      </c>
      <c r="D322" s="67">
        <f>5.0151 * CHOOSE(CONTROL!$C$22, $C$13, 100%, $E$13)</f>
        <v>5.0151000000000003</v>
      </c>
      <c r="E322" s="68">
        <f>6.176 * CHOOSE(CONTROL!$C$22, $C$13, 100%, $E$13)</f>
        <v>6.1760000000000002</v>
      </c>
      <c r="F322" s="68">
        <f>6.176 * CHOOSE(CONTROL!$C$22, $C$13, 100%, $E$13)</f>
        <v>6.1760000000000002</v>
      </c>
      <c r="G322" s="68">
        <f>6.1793 * CHOOSE(CONTROL!$C$22, $C$13, 100%, $E$13)</f>
        <v>6.1792999999999996</v>
      </c>
      <c r="H322" s="68">
        <f>9.8499* CHOOSE(CONTROL!$C$22, $C$13, 100%, $E$13)</f>
        <v>9.8498999999999999</v>
      </c>
      <c r="I322" s="68">
        <f>9.8532 * CHOOSE(CONTROL!$C$22, $C$13, 100%, $E$13)</f>
        <v>9.8531999999999993</v>
      </c>
      <c r="J322" s="68">
        <f>6.176 * CHOOSE(CONTROL!$C$22, $C$13, 100%, $E$13)</f>
        <v>6.1760000000000002</v>
      </c>
      <c r="K322" s="68">
        <f>6.1793 * CHOOSE(CONTROL!$C$22, $C$13, 100%, $E$13)</f>
        <v>6.1792999999999996</v>
      </c>
    </row>
    <row r="323" spans="1:11" ht="15">
      <c r="A323" s="13">
        <v>50952</v>
      </c>
      <c r="B323" s="67">
        <f>5.0952 * CHOOSE(CONTROL!$C$22, $C$13, 100%, $E$13)</f>
        <v>5.0952000000000002</v>
      </c>
      <c r="C323" s="67">
        <f>5.0952 * CHOOSE(CONTROL!$C$22, $C$13, 100%, $E$13)</f>
        <v>5.0952000000000002</v>
      </c>
      <c r="D323" s="67">
        <f>5.0978 * CHOOSE(CONTROL!$C$22, $C$13, 100%, $E$13)</f>
        <v>5.0978000000000003</v>
      </c>
      <c r="E323" s="68">
        <f>6.2809 * CHOOSE(CONTROL!$C$22, $C$13, 100%, $E$13)</f>
        <v>6.2808999999999999</v>
      </c>
      <c r="F323" s="68">
        <f>6.2809 * CHOOSE(CONTROL!$C$22, $C$13, 100%, $E$13)</f>
        <v>6.2808999999999999</v>
      </c>
      <c r="G323" s="68">
        <f>6.2842 * CHOOSE(CONTROL!$C$22, $C$13, 100%, $E$13)</f>
        <v>6.2842000000000002</v>
      </c>
      <c r="H323" s="68">
        <f>9.8704* CHOOSE(CONTROL!$C$22, $C$13, 100%, $E$13)</f>
        <v>9.8704000000000001</v>
      </c>
      <c r="I323" s="68">
        <f>9.8737 * CHOOSE(CONTROL!$C$22, $C$13, 100%, $E$13)</f>
        <v>9.8736999999999995</v>
      </c>
      <c r="J323" s="68">
        <f>6.2809 * CHOOSE(CONTROL!$C$22, $C$13, 100%, $E$13)</f>
        <v>6.2808999999999999</v>
      </c>
      <c r="K323" s="68">
        <f>6.2842 * CHOOSE(CONTROL!$C$22, $C$13, 100%, $E$13)</f>
        <v>6.2842000000000002</v>
      </c>
    </row>
    <row r="324" spans="1:11" ht="15">
      <c r="A324" s="13">
        <v>50983</v>
      </c>
      <c r="B324" s="67">
        <f>5.1019 * CHOOSE(CONTROL!$C$22, $C$13, 100%, $E$13)</f>
        <v>5.1018999999999997</v>
      </c>
      <c r="C324" s="67">
        <f>5.1019 * CHOOSE(CONTROL!$C$22, $C$13, 100%, $E$13)</f>
        <v>5.1018999999999997</v>
      </c>
      <c r="D324" s="67">
        <f>5.1045 * CHOOSE(CONTROL!$C$22, $C$13, 100%, $E$13)</f>
        <v>5.1044999999999998</v>
      </c>
      <c r="E324" s="68">
        <f>6.1944 * CHOOSE(CONTROL!$C$22, $C$13, 100%, $E$13)</f>
        <v>6.1943999999999999</v>
      </c>
      <c r="F324" s="68">
        <f>6.1944 * CHOOSE(CONTROL!$C$22, $C$13, 100%, $E$13)</f>
        <v>6.1943999999999999</v>
      </c>
      <c r="G324" s="68">
        <f>6.1977 * CHOOSE(CONTROL!$C$22, $C$13, 100%, $E$13)</f>
        <v>6.1977000000000002</v>
      </c>
      <c r="H324" s="68">
        <f>9.891* CHOOSE(CONTROL!$C$22, $C$13, 100%, $E$13)</f>
        <v>9.891</v>
      </c>
      <c r="I324" s="68">
        <f>9.8943 * CHOOSE(CONTROL!$C$22, $C$13, 100%, $E$13)</f>
        <v>9.8942999999999994</v>
      </c>
      <c r="J324" s="68">
        <f>6.1944 * CHOOSE(CONTROL!$C$22, $C$13, 100%, $E$13)</f>
        <v>6.1943999999999999</v>
      </c>
      <c r="K324" s="68">
        <f>6.1977 * CHOOSE(CONTROL!$C$22, $C$13, 100%, $E$13)</f>
        <v>6.1977000000000002</v>
      </c>
    </row>
    <row r="325" spans="1:11" ht="15">
      <c r="A325" s="13">
        <v>51014</v>
      </c>
      <c r="B325" s="67">
        <f>5.0988 * CHOOSE(CONTROL!$C$22, $C$13, 100%, $E$13)</f>
        <v>5.0987999999999998</v>
      </c>
      <c r="C325" s="67">
        <f>5.0988 * CHOOSE(CONTROL!$C$22, $C$13, 100%, $E$13)</f>
        <v>5.0987999999999998</v>
      </c>
      <c r="D325" s="67">
        <f>5.1014 * CHOOSE(CONTROL!$C$22, $C$13, 100%, $E$13)</f>
        <v>5.1013999999999999</v>
      </c>
      <c r="E325" s="68">
        <f>6.1822 * CHOOSE(CONTROL!$C$22, $C$13, 100%, $E$13)</f>
        <v>6.1821999999999999</v>
      </c>
      <c r="F325" s="68">
        <f>6.1822 * CHOOSE(CONTROL!$C$22, $C$13, 100%, $E$13)</f>
        <v>6.1821999999999999</v>
      </c>
      <c r="G325" s="68">
        <f>6.1854 * CHOOSE(CONTROL!$C$22, $C$13, 100%, $E$13)</f>
        <v>6.1853999999999996</v>
      </c>
      <c r="H325" s="68">
        <f>9.9116* CHOOSE(CONTROL!$C$22, $C$13, 100%, $E$13)</f>
        <v>9.9116</v>
      </c>
      <c r="I325" s="68">
        <f>9.9149 * CHOOSE(CONTROL!$C$22, $C$13, 100%, $E$13)</f>
        <v>9.9148999999999994</v>
      </c>
      <c r="J325" s="68">
        <f>6.1822 * CHOOSE(CONTROL!$C$22, $C$13, 100%, $E$13)</f>
        <v>6.1821999999999999</v>
      </c>
      <c r="K325" s="68">
        <f>6.1854 * CHOOSE(CONTROL!$C$22, $C$13, 100%, $E$13)</f>
        <v>6.1853999999999996</v>
      </c>
    </row>
    <row r="326" spans="1:11" ht="15">
      <c r="A326" s="13">
        <v>51044</v>
      </c>
      <c r="B326" s="67">
        <f>5.0975 * CHOOSE(CONTROL!$C$22, $C$13, 100%, $E$13)</f>
        <v>5.0975000000000001</v>
      </c>
      <c r="C326" s="67">
        <f>5.0975 * CHOOSE(CONTROL!$C$22, $C$13, 100%, $E$13)</f>
        <v>5.0975000000000001</v>
      </c>
      <c r="D326" s="67">
        <f>5.0985 * CHOOSE(CONTROL!$C$22, $C$13, 100%, $E$13)</f>
        <v>5.0984999999999996</v>
      </c>
      <c r="E326" s="68">
        <f>6.2093 * CHOOSE(CONTROL!$C$22, $C$13, 100%, $E$13)</f>
        <v>6.2092999999999998</v>
      </c>
      <c r="F326" s="68">
        <f>6.2093 * CHOOSE(CONTROL!$C$22, $C$13, 100%, $E$13)</f>
        <v>6.2092999999999998</v>
      </c>
      <c r="G326" s="68">
        <f>6.2106 * CHOOSE(CONTROL!$C$22, $C$13, 100%, $E$13)</f>
        <v>6.2106000000000003</v>
      </c>
      <c r="H326" s="68">
        <f>9.9323* CHOOSE(CONTROL!$C$22, $C$13, 100%, $E$13)</f>
        <v>9.9322999999999997</v>
      </c>
      <c r="I326" s="68">
        <f>9.9335 * CHOOSE(CONTROL!$C$22, $C$13, 100%, $E$13)</f>
        <v>9.9335000000000004</v>
      </c>
      <c r="J326" s="68">
        <f>6.2093 * CHOOSE(CONTROL!$C$22, $C$13, 100%, $E$13)</f>
        <v>6.2092999999999998</v>
      </c>
      <c r="K326" s="68">
        <f>6.2106 * CHOOSE(CONTROL!$C$22, $C$13, 100%, $E$13)</f>
        <v>6.2106000000000003</v>
      </c>
    </row>
    <row r="327" spans="1:11" ht="15">
      <c r="A327" s="13">
        <v>51075</v>
      </c>
      <c r="B327" s="67">
        <f>5.1006 * CHOOSE(CONTROL!$C$22, $C$13, 100%, $E$13)</f>
        <v>5.1006</v>
      </c>
      <c r="C327" s="67">
        <f>5.1006 * CHOOSE(CONTROL!$C$22, $C$13, 100%, $E$13)</f>
        <v>5.1006</v>
      </c>
      <c r="D327" s="67">
        <f>5.1016 * CHOOSE(CONTROL!$C$22, $C$13, 100%, $E$13)</f>
        <v>5.1016000000000004</v>
      </c>
      <c r="E327" s="68">
        <f>6.2316 * CHOOSE(CONTROL!$C$22, $C$13, 100%, $E$13)</f>
        <v>6.2316000000000003</v>
      </c>
      <c r="F327" s="68">
        <f>6.2316 * CHOOSE(CONTROL!$C$22, $C$13, 100%, $E$13)</f>
        <v>6.2316000000000003</v>
      </c>
      <c r="G327" s="68">
        <f>6.2329 * CHOOSE(CONTROL!$C$22, $C$13, 100%, $E$13)</f>
        <v>6.2328999999999999</v>
      </c>
      <c r="H327" s="68">
        <f>9.9529* CHOOSE(CONTROL!$C$22, $C$13, 100%, $E$13)</f>
        <v>9.9528999999999996</v>
      </c>
      <c r="I327" s="68">
        <f>9.9542 * CHOOSE(CONTROL!$C$22, $C$13, 100%, $E$13)</f>
        <v>9.9542000000000002</v>
      </c>
      <c r="J327" s="68">
        <f>6.2316 * CHOOSE(CONTROL!$C$22, $C$13, 100%, $E$13)</f>
        <v>6.2316000000000003</v>
      </c>
      <c r="K327" s="68">
        <f>6.2329 * CHOOSE(CONTROL!$C$22, $C$13, 100%, $E$13)</f>
        <v>6.2328999999999999</v>
      </c>
    </row>
    <row r="328" spans="1:11" ht="15">
      <c r="A328" s="13">
        <v>51105</v>
      </c>
      <c r="B328" s="67">
        <f>5.1006 * CHOOSE(CONTROL!$C$22, $C$13, 100%, $E$13)</f>
        <v>5.1006</v>
      </c>
      <c r="C328" s="67">
        <f>5.1006 * CHOOSE(CONTROL!$C$22, $C$13, 100%, $E$13)</f>
        <v>5.1006</v>
      </c>
      <c r="D328" s="67">
        <f>5.1016 * CHOOSE(CONTROL!$C$22, $C$13, 100%, $E$13)</f>
        <v>5.1016000000000004</v>
      </c>
      <c r="E328" s="68">
        <f>6.181 * CHOOSE(CONTROL!$C$22, $C$13, 100%, $E$13)</f>
        <v>6.181</v>
      </c>
      <c r="F328" s="68">
        <f>6.181 * CHOOSE(CONTROL!$C$22, $C$13, 100%, $E$13)</f>
        <v>6.181</v>
      </c>
      <c r="G328" s="68">
        <f>6.1823 * CHOOSE(CONTROL!$C$22, $C$13, 100%, $E$13)</f>
        <v>6.1822999999999997</v>
      </c>
      <c r="H328" s="68">
        <f>9.9737* CHOOSE(CONTROL!$C$22, $C$13, 100%, $E$13)</f>
        <v>9.9736999999999991</v>
      </c>
      <c r="I328" s="68">
        <f>9.975 * CHOOSE(CONTROL!$C$22, $C$13, 100%, $E$13)</f>
        <v>9.9749999999999996</v>
      </c>
      <c r="J328" s="68">
        <f>6.181 * CHOOSE(CONTROL!$C$22, $C$13, 100%, $E$13)</f>
        <v>6.181</v>
      </c>
      <c r="K328" s="68">
        <f>6.1823 * CHOOSE(CONTROL!$C$22, $C$13, 100%, $E$13)</f>
        <v>6.1822999999999997</v>
      </c>
    </row>
    <row r="329" spans="1:11" ht="15">
      <c r="A329" s="13">
        <v>51136</v>
      </c>
      <c r="B329" s="67">
        <f>5.146 * CHOOSE(CONTROL!$C$22, $C$13, 100%, $E$13)</f>
        <v>5.1459999999999999</v>
      </c>
      <c r="C329" s="67">
        <f>5.146 * CHOOSE(CONTROL!$C$22, $C$13, 100%, $E$13)</f>
        <v>5.1459999999999999</v>
      </c>
      <c r="D329" s="67">
        <f>5.1469 * CHOOSE(CONTROL!$C$22, $C$13, 100%, $E$13)</f>
        <v>5.1468999999999996</v>
      </c>
      <c r="E329" s="68">
        <f>6.2686 * CHOOSE(CONTROL!$C$22, $C$13, 100%, $E$13)</f>
        <v>6.2686000000000002</v>
      </c>
      <c r="F329" s="68">
        <f>6.2686 * CHOOSE(CONTROL!$C$22, $C$13, 100%, $E$13)</f>
        <v>6.2686000000000002</v>
      </c>
      <c r="G329" s="68">
        <f>6.2699 * CHOOSE(CONTROL!$C$22, $C$13, 100%, $E$13)</f>
        <v>6.2698999999999998</v>
      </c>
      <c r="H329" s="68">
        <f>9.9945* CHOOSE(CONTROL!$C$22, $C$13, 100%, $E$13)</f>
        <v>9.9945000000000004</v>
      </c>
      <c r="I329" s="68">
        <f>9.9957 * CHOOSE(CONTROL!$C$22, $C$13, 100%, $E$13)</f>
        <v>9.9956999999999994</v>
      </c>
      <c r="J329" s="68">
        <f>6.2686 * CHOOSE(CONTROL!$C$22, $C$13, 100%, $E$13)</f>
        <v>6.2686000000000002</v>
      </c>
      <c r="K329" s="68">
        <f>6.2699 * CHOOSE(CONTROL!$C$22, $C$13, 100%, $E$13)</f>
        <v>6.2698999999999998</v>
      </c>
    </row>
    <row r="330" spans="1:11" ht="15">
      <c r="A330" s="13">
        <v>51167</v>
      </c>
      <c r="B330" s="67">
        <f>5.1429 * CHOOSE(CONTROL!$C$22, $C$13, 100%, $E$13)</f>
        <v>5.1429</v>
      </c>
      <c r="C330" s="67">
        <f>5.1429 * CHOOSE(CONTROL!$C$22, $C$13, 100%, $E$13)</f>
        <v>5.1429</v>
      </c>
      <c r="D330" s="67">
        <f>5.1439 * CHOOSE(CONTROL!$C$22, $C$13, 100%, $E$13)</f>
        <v>5.1439000000000004</v>
      </c>
      <c r="E330" s="68">
        <f>6.1681 * CHOOSE(CONTROL!$C$22, $C$13, 100%, $E$13)</f>
        <v>6.1680999999999999</v>
      </c>
      <c r="F330" s="68">
        <f>6.1681 * CHOOSE(CONTROL!$C$22, $C$13, 100%, $E$13)</f>
        <v>6.1680999999999999</v>
      </c>
      <c r="G330" s="68">
        <f>6.1694 * CHOOSE(CONTROL!$C$22, $C$13, 100%, $E$13)</f>
        <v>6.1694000000000004</v>
      </c>
      <c r="H330" s="68">
        <f>10.0153* CHOOSE(CONTROL!$C$22, $C$13, 100%, $E$13)</f>
        <v>10.0153</v>
      </c>
      <c r="I330" s="68">
        <f>10.0166 * CHOOSE(CONTROL!$C$22, $C$13, 100%, $E$13)</f>
        <v>10.0166</v>
      </c>
      <c r="J330" s="68">
        <f>6.1681 * CHOOSE(CONTROL!$C$22, $C$13, 100%, $E$13)</f>
        <v>6.1680999999999999</v>
      </c>
      <c r="K330" s="68">
        <f>6.1694 * CHOOSE(CONTROL!$C$22, $C$13, 100%, $E$13)</f>
        <v>6.1694000000000004</v>
      </c>
    </row>
    <row r="331" spans="1:11" ht="15">
      <c r="A331" s="13">
        <v>51196</v>
      </c>
      <c r="B331" s="67">
        <f>5.1399 * CHOOSE(CONTROL!$C$22, $C$13, 100%, $E$13)</f>
        <v>5.1398999999999999</v>
      </c>
      <c r="C331" s="67">
        <f>5.1399 * CHOOSE(CONTROL!$C$22, $C$13, 100%, $E$13)</f>
        <v>5.1398999999999999</v>
      </c>
      <c r="D331" s="67">
        <f>5.1409 * CHOOSE(CONTROL!$C$22, $C$13, 100%, $E$13)</f>
        <v>5.1409000000000002</v>
      </c>
      <c r="E331" s="68">
        <f>6.2435 * CHOOSE(CONTROL!$C$22, $C$13, 100%, $E$13)</f>
        <v>6.2435</v>
      </c>
      <c r="F331" s="68">
        <f>6.2435 * CHOOSE(CONTROL!$C$22, $C$13, 100%, $E$13)</f>
        <v>6.2435</v>
      </c>
      <c r="G331" s="68">
        <f>6.2448 * CHOOSE(CONTROL!$C$22, $C$13, 100%, $E$13)</f>
        <v>6.2447999999999997</v>
      </c>
      <c r="H331" s="68">
        <f>10.0361* CHOOSE(CONTROL!$C$22, $C$13, 100%, $E$13)</f>
        <v>10.036099999999999</v>
      </c>
      <c r="I331" s="68">
        <f>10.0374 * CHOOSE(CONTROL!$C$22, $C$13, 100%, $E$13)</f>
        <v>10.0374</v>
      </c>
      <c r="J331" s="68">
        <f>6.2435 * CHOOSE(CONTROL!$C$22, $C$13, 100%, $E$13)</f>
        <v>6.2435</v>
      </c>
      <c r="K331" s="68">
        <f>6.2448 * CHOOSE(CONTROL!$C$22, $C$13, 100%, $E$13)</f>
        <v>6.2447999999999997</v>
      </c>
    </row>
    <row r="332" spans="1:11" ht="15">
      <c r="A332" s="13">
        <v>51227</v>
      </c>
      <c r="B332" s="67">
        <f>5.1385 * CHOOSE(CONTROL!$C$22, $C$13, 100%, $E$13)</f>
        <v>5.1384999999999996</v>
      </c>
      <c r="C332" s="67">
        <f>5.1385 * CHOOSE(CONTROL!$C$22, $C$13, 100%, $E$13)</f>
        <v>5.1384999999999996</v>
      </c>
      <c r="D332" s="67">
        <f>5.1395 * CHOOSE(CONTROL!$C$22, $C$13, 100%, $E$13)</f>
        <v>5.1395</v>
      </c>
      <c r="E332" s="68">
        <f>6.3226 * CHOOSE(CONTROL!$C$22, $C$13, 100%, $E$13)</f>
        <v>6.3226000000000004</v>
      </c>
      <c r="F332" s="68">
        <f>6.3226 * CHOOSE(CONTROL!$C$22, $C$13, 100%, $E$13)</f>
        <v>6.3226000000000004</v>
      </c>
      <c r="G332" s="68">
        <f>6.3239 * CHOOSE(CONTROL!$C$22, $C$13, 100%, $E$13)</f>
        <v>6.3239000000000001</v>
      </c>
      <c r="H332" s="68">
        <f>10.0571* CHOOSE(CONTROL!$C$22, $C$13, 100%, $E$13)</f>
        <v>10.0571</v>
      </c>
      <c r="I332" s="68">
        <f>10.0583 * CHOOSE(CONTROL!$C$22, $C$13, 100%, $E$13)</f>
        <v>10.058299999999999</v>
      </c>
      <c r="J332" s="68">
        <f>6.3226 * CHOOSE(CONTROL!$C$22, $C$13, 100%, $E$13)</f>
        <v>6.3226000000000004</v>
      </c>
      <c r="K332" s="68">
        <f>6.3239 * CHOOSE(CONTROL!$C$22, $C$13, 100%, $E$13)</f>
        <v>6.3239000000000001</v>
      </c>
    </row>
    <row r="333" spans="1:11" ht="15">
      <c r="A333" s="13">
        <v>51257</v>
      </c>
      <c r="B333" s="67">
        <f>5.1385 * CHOOSE(CONTROL!$C$22, $C$13, 100%, $E$13)</f>
        <v>5.1384999999999996</v>
      </c>
      <c r="C333" s="67">
        <f>5.1385 * CHOOSE(CONTROL!$C$22, $C$13, 100%, $E$13)</f>
        <v>5.1384999999999996</v>
      </c>
      <c r="D333" s="67">
        <f>5.1411 * CHOOSE(CONTROL!$C$22, $C$13, 100%, $E$13)</f>
        <v>5.1410999999999998</v>
      </c>
      <c r="E333" s="68">
        <f>6.3538 * CHOOSE(CONTROL!$C$22, $C$13, 100%, $E$13)</f>
        <v>6.3537999999999997</v>
      </c>
      <c r="F333" s="68">
        <f>6.3538 * CHOOSE(CONTROL!$C$22, $C$13, 100%, $E$13)</f>
        <v>6.3537999999999997</v>
      </c>
      <c r="G333" s="68">
        <f>6.3571 * CHOOSE(CONTROL!$C$22, $C$13, 100%, $E$13)</f>
        <v>6.3571</v>
      </c>
      <c r="H333" s="68">
        <f>10.078* CHOOSE(CONTROL!$C$22, $C$13, 100%, $E$13)</f>
        <v>10.077999999999999</v>
      </c>
      <c r="I333" s="68">
        <f>10.0813 * CHOOSE(CONTROL!$C$22, $C$13, 100%, $E$13)</f>
        <v>10.081300000000001</v>
      </c>
      <c r="J333" s="68">
        <f>6.3538 * CHOOSE(CONTROL!$C$22, $C$13, 100%, $E$13)</f>
        <v>6.3537999999999997</v>
      </c>
      <c r="K333" s="68">
        <f>6.3571 * CHOOSE(CONTROL!$C$22, $C$13, 100%, $E$13)</f>
        <v>6.3571</v>
      </c>
    </row>
    <row r="334" spans="1:11" ht="15">
      <c r="A334" s="13">
        <v>51288</v>
      </c>
      <c r="B334" s="67">
        <f>5.1446 * CHOOSE(CONTROL!$C$22, $C$13, 100%, $E$13)</f>
        <v>5.1445999999999996</v>
      </c>
      <c r="C334" s="67">
        <f>5.1446 * CHOOSE(CONTROL!$C$22, $C$13, 100%, $E$13)</f>
        <v>5.1445999999999996</v>
      </c>
      <c r="D334" s="67">
        <f>5.1472 * CHOOSE(CONTROL!$C$22, $C$13, 100%, $E$13)</f>
        <v>5.1471999999999998</v>
      </c>
      <c r="E334" s="68">
        <f>6.3268 * CHOOSE(CONTROL!$C$22, $C$13, 100%, $E$13)</f>
        <v>6.3268000000000004</v>
      </c>
      <c r="F334" s="68">
        <f>6.3268 * CHOOSE(CONTROL!$C$22, $C$13, 100%, $E$13)</f>
        <v>6.3268000000000004</v>
      </c>
      <c r="G334" s="68">
        <f>6.3301 * CHOOSE(CONTROL!$C$22, $C$13, 100%, $E$13)</f>
        <v>6.3300999999999998</v>
      </c>
      <c r="H334" s="68">
        <f>10.099* CHOOSE(CONTROL!$C$22, $C$13, 100%, $E$13)</f>
        <v>10.099</v>
      </c>
      <c r="I334" s="68">
        <f>10.1023 * CHOOSE(CONTROL!$C$22, $C$13, 100%, $E$13)</f>
        <v>10.1023</v>
      </c>
      <c r="J334" s="68">
        <f>6.3268 * CHOOSE(CONTROL!$C$22, $C$13, 100%, $E$13)</f>
        <v>6.3268000000000004</v>
      </c>
      <c r="K334" s="68">
        <f>6.3301 * CHOOSE(CONTROL!$C$22, $C$13, 100%, $E$13)</f>
        <v>6.3300999999999998</v>
      </c>
    </row>
    <row r="335" spans="1:11" ht="15">
      <c r="A335" s="13">
        <v>51318</v>
      </c>
      <c r="B335" s="67">
        <f>5.2293 * CHOOSE(CONTROL!$C$22, $C$13, 100%, $E$13)</f>
        <v>5.2293000000000003</v>
      </c>
      <c r="C335" s="67">
        <f>5.2293 * CHOOSE(CONTROL!$C$22, $C$13, 100%, $E$13)</f>
        <v>5.2293000000000003</v>
      </c>
      <c r="D335" s="67">
        <f>5.2319 * CHOOSE(CONTROL!$C$22, $C$13, 100%, $E$13)</f>
        <v>5.2319000000000004</v>
      </c>
      <c r="E335" s="68">
        <f>6.4346 * CHOOSE(CONTROL!$C$22, $C$13, 100%, $E$13)</f>
        <v>6.4345999999999997</v>
      </c>
      <c r="F335" s="68">
        <f>6.4346 * CHOOSE(CONTROL!$C$22, $C$13, 100%, $E$13)</f>
        <v>6.4345999999999997</v>
      </c>
      <c r="G335" s="68">
        <f>6.4378 * CHOOSE(CONTROL!$C$22, $C$13, 100%, $E$13)</f>
        <v>6.4378000000000002</v>
      </c>
      <c r="H335" s="68">
        <f>10.12* CHOOSE(CONTROL!$C$22, $C$13, 100%, $E$13)</f>
        <v>10.119999999999999</v>
      </c>
      <c r="I335" s="68">
        <f>10.1233 * CHOOSE(CONTROL!$C$22, $C$13, 100%, $E$13)</f>
        <v>10.1233</v>
      </c>
      <c r="J335" s="68">
        <f>6.4346 * CHOOSE(CONTROL!$C$22, $C$13, 100%, $E$13)</f>
        <v>6.4345999999999997</v>
      </c>
      <c r="K335" s="68">
        <f>6.4378 * CHOOSE(CONTROL!$C$22, $C$13, 100%, $E$13)</f>
        <v>6.4378000000000002</v>
      </c>
    </row>
    <row r="336" spans="1:11" ht="15">
      <c r="A336" s="13">
        <v>51349</v>
      </c>
      <c r="B336" s="67">
        <f>5.236 * CHOOSE(CONTROL!$C$22, $C$13, 100%, $E$13)</f>
        <v>5.2359999999999998</v>
      </c>
      <c r="C336" s="67">
        <f>5.236 * CHOOSE(CONTROL!$C$22, $C$13, 100%, $E$13)</f>
        <v>5.2359999999999998</v>
      </c>
      <c r="D336" s="67">
        <f>5.2386 * CHOOSE(CONTROL!$C$22, $C$13, 100%, $E$13)</f>
        <v>5.2385999999999999</v>
      </c>
      <c r="E336" s="68">
        <f>6.3455 * CHOOSE(CONTROL!$C$22, $C$13, 100%, $E$13)</f>
        <v>6.3455000000000004</v>
      </c>
      <c r="F336" s="68">
        <f>6.3455 * CHOOSE(CONTROL!$C$22, $C$13, 100%, $E$13)</f>
        <v>6.3455000000000004</v>
      </c>
      <c r="G336" s="68">
        <f>6.3488 * CHOOSE(CONTROL!$C$22, $C$13, 100%, $E$13)</f>
        <v>6.3487999999999998</v>
      </c>
      <c r="H336" s="68">
        <f>10.1411* CHOOSE(CONTROL!$C$22, $C$13, 100%, $E$13)</f>
        <v>10.1411</v>
      </c>
      <c r="I336" s="68">
        <f>10.1444 * CHOOSE(CONTROL!$C$22, $C$13, 100%, $E$13)</f>
        <v>10.144399999999999</v>
      </c>
      <c r="J336" s="68">
        <f>6.3455 * CHOOSE(CONTROL!$C$22, $C$13, 100%, $E$13)</f>
        <v>6.3455000000000004</v>
      </c>
      <c r="K336" s="68">
        <f>6.3488 * CHOOSE(CONTROL!$C$22, $C$13, 100%, $E$13)</f>
        <v>6.3487999999999998</v>
      </c>
    </row>
    <row r="337" spans="1:11" ht="15">
      <c r="A337" s="13">
        <v>51380</v>
      </c>
      <c r="B337" s="67">
        <f>5.233 * CHOOSE(CONTROL!$C$22, $C$13, 100%, $E$13)</f>
        <v>5.2329999999999997</v>
      </c>
      <c r="C337" s="67">
        <f>5.233 * CHOOSE(CONTROL!$C$22, $C$13, 100%, $E$13)</f>
        <v>5.2329999999999997</v>
      </c>
      <c r="D337" s="67">
        <f>5.2356 * CHOOSE(CONTROL!$C$22, $C$13, 100%, $E$13)</f>
        <v>5.2355999999999998</v>
      </c>
      <c r="E337" s="68">
        <f>6.333 * CHOOSE(CONTROL!$C$22, $C$13, 100%, $E$13)</f>
        <v>6.3330000000000002</v>
      </c>
      <c r="F337" s="68">
        <f>6.333 * CHOOSE(CONTROL!$C$22, $C$13, 100%, $E$13)</f>
        <v>6.3330000000000002</v>
      </c>
      <c r="G337" s="68">
        <f>6.3362 * CHOOSE(CONTROL!$C$22, $C$13, 100%, $E$13)</f>
        <v>6.3361999999999998</v>
      </c>
      <c r="H337" s="68">
        <f>10.1623* CHOOSE(CONTROL!$C$22, $C$13, 100%, $E$13)</f>
        <v>10.1623</v>
      </c>
      <c r="I337" s="68">
        <f>10.1655 * CHOOSE(CONTROL!$C$22, $C$13, 100%, $E$13)</f>
        <v>10.1655</v>
      </c>
      <c r="J337" s="68">
        <f>6.333 * CHOOSE(CONTROL!$C$22, $C$13, 100%, $E$13)</f>
        <v>6.3330000000000002</v>
      </c>
      <c r="K337" s="68">
        <f>6.3362 * CHOOSE(CONTROL!$C$22, $C$13, 100%, $E$13)</f>
        <v>6.3361999999999998</v>
      </c>
    </row>
    <row r="338" spans="1:11" ht="15">
      <c r="A338" s="13">
        <v>51410</v>
      </c>
      <c r="B338" s="67">
        <f>5.2321 * CHOOSE(CONTROL!$C$22, $C$13, 100%, $E$13)</f>
        <v>5.2321</v>
      </c>
      <c r="C338" s="67">
        <f>5.2321 * CHOOSE(CONTROL!$C$22, $C$13, 100%, $E$13)</f>
        <v>5.2321</v>
      </c>
      <c r="D338" s="67">
        <f>5.2331 * CHOOSE(CONTROL!$C$22, $C$13, 100%, $E$13)</f>
        <v>5.2331000000000003</v>
      </c>
      <c r="E338" s="68">
        <f>6.3612 * CHOOSE(CONTROL!$C$22, $C$13, 100%, $E$13)</f>
        <v>6.3612000000000002</v>
      </c>
      <c r="F338" s="68">
        <f>6.3612 * CHOOSE(CONTROL!$C$22, $C$13, 100%, $E$13)</f>
        <v>6.3612000000000002</v>
      </c>
      <c r="G338" s="68">
        <f>6.3625 * CHOOSE(CONTROL!$C$22, $C$13, 100%, $E$13)</f>
        <v>6.3624999999999998</v>
      </c>
      <c r="H338" s="68">
        <f>10.1834* CHOOSE(CONTROL!$C$22, $C$13, 100%, $E$13)</f>
        <v>10.183400000000001</v>
      </c>
      <c r="I338" s="68">
        <f>10.1847 * CHOOSE(CONTROL!$C$22, $C$13, 100%, $E$13)</f>
        <v>10.184699999999999</v>
      </c>
      <c r="J338" s="68">
        <f>6.3612 * CHOOSE(CONTROL!$C$22, $C$13, 100%, $E$13)</f>
        <v>6.3612000000000002</v>
      </c>
      <c r="K338" s="68">
        <f>6.3625 * CHOOSE(CONTROL!$C$22, $C$13, 100%, $E$13)</f>
        <v>6.3624999999999998</v>
      </c>
    </row>
    <row r="339" spans="1:11" ht="15">
      <c r="A339" s="13">
        <v>51441</v>
      </c>
      <c r="B339" s="67">
        <f>5.2352 * CHOOSE(CONTROL!$C$22, $C$13, 100%, $E$13)</f>
        <v>5.2351999999999999</v>
      </c>
      <c r="C339" s="67">
        <f>5.2352 * CHOOSE(CONTROL!$C$22, $C$13, 100%, $E$13)</f>
        <v>5.2351999999999999</v>
      </c>
      <c r="D339" s="67">
        <f>5.2362 * CHOOSE(CONTROL!$C$22, $C$13, 100%, $E$13)</f>
        <v>5.2362000000000002</v>
      </c>
      <c r="E339" s="68">
        <f>6.3842 * CHOOSE(CONTROL!$C$22, $C$13, 100%, $E$13)</f>
        <v>6.3841999999999999</v>
      </c>
      <c r="F339" s="68">
        <f>6.3842 * CHOOSE(CONTROL!$C$22, $C$13, 100%, $E$13)</f>
        <v>6.3841999999999999</v>
      </c>
      <c r="G339" s="68">
        <f>6.3855 * CHOOSE(CONTROL!$C$22, $C$13, 100%, $E$13)</f>
        <v>6.3855000000000004</v>
      </c>
      <c r="H339" s="68">
        <f>10.2046* CHOOSE(CONTROL!$C$22, $C$13, 100%, $E$13)</f>
        <v>10.204599999999999</v>
      </c>
      <c r="I339" s="68">
        <f>10.2059 * CHOOSE(CONTROL!$C$22, $C$13, 100%, $E$13)</f>
        <v>10.2059</v>
      </c>
      <c r="J339" s="68">
        <f>6.3842 * CHOOSE(CONTROL!$C$22, $C$13, 100%, $E$13)</f>
        <v>6.3841999999999999</v>
      </c>
      <c r="K339" s="68">
        <f>6.3855 * CHOOSE(CONTROL!$C$22, $C$13, 100%, $E$13)</f>
        <v>6.3855000000000004</v>
      </c>
    </row>
    <row r="340" spans="1:11" ht="15">
      <c r="A340" s="13">
        <v>51471</v>
      </c>
      <c r="B340" s="67">
        <f>5.2352 * CHOOSE(CONTROL!$C$22, $C$13, 100%, $E$13)</f>
        <v>5.2351999999999999</v>
      </c>
      <c r="C340" s="67">
        <f>5.2352 * CHOOSE(CONTROL!$C$22, $C$13, 100%, $E$13)</f>
        <v>5.2351999999999999</v>
      </c>
      <c r="D340" s="67">
        <f>5.2362 * CHOOSE(CONTROL!$C$22, $C$13, 100%, $E$13)</f>
        <v>5.2362000000000002</v>
      </c>
      <c r="E340" s="68">
        <f>6.3321 * CHOOSE(CONTROL!$C$22, $C$13, 100%, $E$13)</f>
        <v>6.3320999999999996</v>
      </c>
      <c r="F340" s="68">
        <f>6.3321 * CHOOSE(CONTROL!$C$22, $C$13, 100%, $E$13)</f>
        <v>6.3320999999999996</v>
      </c>
      <c r="G340" s="68">
        <f>6.3334 * CHOOSE(CONTROL!$C$22, $C$13, 100%, $E$13)</f>
        <v>6.3334000000000001</v>
      </c>
      <c r="H340" s="68">
        <f>10.2259* CHOOSE(CONTROL!$C$22, $C$13, 100%, $E$13)</f>
        <v>10.225899999999999</v>
      </c>
      <c r="I340" s="68">
        <f>10.2272 * CHOOSE(CONTROL!$C$22, $C$13, 100%, $E$13)</f>
        <v>10.2272</v>
      </c>
      <c r="J340" s="68">
        <f>6.3321 * CHOOSE(CONTROL!$C$22, $C$13, 100%, $E$13)</f>
        <v>6.3320999999999996</v>
      </c>
      <c r="K340" s="68">
        <f>6.3334 * CHOOSE(CONTROL!$C$22, $C$13, 100%, $E$13)</f>
        <v>6.3334000000000001</v>
      </c>
    </row>
    <row r="341" spans="1:11" ht="15">
      <c r="A341" s="13">
        <v>51502</v>
      </c>
      <c r="B341" s="67">
        <f>5.2816 * CHOOSE(CONTROL!$C$22, $C$13, 100%, $E$13)</f>
        <v>5.2816000000000001</v>
      </c>
      <c r="C341" s="67">
        <f>5.2816 * CHOOSE(CONTROL!$C$22, $C$13, 100%, $E$13)</f>
        <v>5.2816000000000001</v>
      </c>
      <c r="D341" s="67">
        <f>5.2826 * CHOOSE(CONTROL!$C$22, $C$13, 100%, $E$13)</f>
        <v>5.2826000000000004</v>
      </c>
      <c r="E341" s="68">
        <f>6.4218 * CHOOSE(CONTROL!$C$22, $C$13, 100%, $E$13)</f>
        <v>6.4218000000000002</v>
      </c>
      <c r="F341" s="68">
        <f>6.4218 * CHOOSE(CONTROL!$C$22, $C$13, 100%, $E$13)</f>
        <v>6.4218000000000002</v>
      </c>
      <c r="G341" s="68">
        <f>6.4231 * CHOOSE(CONTROL!$C$22, $C$13, 100%, $E$13)</f>
        <v>6.4230999999999998</v>
      </c>
      <c r="H341" s="68">
        <f>10.2472* CHOOSE(CONTROL!$C$22, $C$13, 100%, $E$13)</f>
        <v>10.247199999999999</v>
      </c>
      <c r="I341" s="68">
        <f>10.2485 * CHOOSE(CONTROL!$C$22, $C$13, 100%, $E$13)</f>
        <v>10.2485</v>
      </c>
      <c r="J341" s="68">
        <f>6.4218 * CHOOSE(CONTROL!$C$22, $C$13, 100%, $E$13)</f>
        <v>6.4218000000000002</v>
      </c>
      <c r="K341" s="68">
        <f>6.4231 * CHOOSE(CONTROL!$C$22, $C$13, 100%, $E$13)</f>
        <v>6.4230999999999998</v>
      </c>
    </row>
    <row r="342" spans="1:11" ht="15">
      <c r="A342" s="13">
        <v>51533</v>
      </c>
      <c r="B342" s="67">
        <f>5.2786 * CHOOSE(CONTROL!$C$22, $C$13, 100%, $E$13)</f>
        <v>5.2786</v>
      </c>
      <c r="C342" s="67">
        <f>5.2786 * CHOOSE(CONTROL!$C$22, $C$13, 100%, $E$13)</f>
        <v>5.2786</v>
      </c>
      <c r="D342" s="67">
        <f>5.2796 * CHOOSE(CONTROL!$C$22, $C$13, 100%, $E$13)</f>
        <v>5.2796000000000003</v>
      </c>
      <c r="E342" s="68">
        <f>6.3185 * CHOOSE(CONTROL!$C$22, $C$13, 100%, $E$13)</f>
        <v>6.3185000000000002</v>
      </c>
      <c r="F342" s="68">
        <f>6.3185 * CHOOSE(CONTROL!$C$22, $C$13, 100%, $E$13)</f>
        <v>6.3185000000000002</v>
      </c>
      <c r="G342" s="68">
        <f>6.3198 * CHOOSE(CONTROL!$C$22, $C$13, 100%, $E$13)</f>
        <v>6.3197999999999999</v>
      </c>
      <c r="H342" s="68">
        <f>10.2686* CHOOSE(CONTROL!$C$22, $C$13, 100%, $E$13)</f>
        <v>10.268599999999999</v>
      </c>
      <c r="I342" s="68">
        <f>10.2698 * CHOOSE(CONTROL!$C$22, $C$13, 100%, $E$13)</f>
        <v>10.2698</v>
      </c>
      <c r="J342" s="68">
        <f>6.3185 * CHOOSE(CONTROL!$C$22, $C$13, 100%, $E$13)</f>
        <v>6.3185000000000002</v>
      </c>
      <c r="K342" s="68">
        <f>6.3198 * CHOOSE(CONTROL!$C$22, $C$13, 100%, $E$13)</f>
        <v>6.3197999999999999</v>
      </c>
    </row>
    <row r="343" spans="1:11" ht="15">
      <c r="A343" s="13">
        <v>51561</v>
      </c>
      <c r="B343" s="67">
        <f>5.2755 * CHOOSE(CONTROL!$C$22, $C$13, 100%, $E$13)</f>
        <v>5.2755000000000001</v>
      </c>
      <c r="C343" s="67">
        <f>5.2755 * CHOOSE(CONTROL!$C$22, $C$13, 100%, $E$13)</f>
        <v>5.2755000000000001</v>
      </c>
      <c r="D343" s="67">
        <f>5.2765 * CHOOSE(CONTROL!$C$22, $C$13, 100%, $E$13)</f>
        <v>5.2765000000000004</v>
      </c>
      <c r="E343" s="68">
        <f>6.3961 * CHOOSE(CONTROL!$C$22, $C$13, 100%, $E$13)</f>
        <v>6.3960999999999997</v>
      </c>
      <c r="F343" s="68">
        <f>6.3961 * CHOOSE(CONTROL!$C$22, $C$13, 100%, $E$13)</f>
        <v>6.3960999999999997</v>
      </c>
      <c r="G343" s="68">
        <f>6.3974 * CHOOSE(CONTROL!$C$22, $C$13, 100%, $E$13)</f>
        <v>6.3974000000000002</v>
      </c>
      <c r="H343" s="68">
        <f>10.2899* CHOOSE(CONTROL!$C$22, $C$13, 100%, $E$13)</f>
        <v>10.289899999999999</v>
      </c>
      <c r="I343" s="68">
        <f>10.2912 * CHOOSE(CONTROL!$C$22, $C$13, 100%, $E$13)</f>
        <v>10.2912</v>
      </c>
      <c r="J343" s="68">
        <f>6.3961 * CHOOSE(CONTROL!$C$22, $C$13, 100%, $E$13)</f>
        <v>6.3960999999999997</v>
      </c>
      <c r="K343" s="68">
        <f>6.3974 * CHOOSE(CONTROL!$C$22, $C$13, 100%, $E$13)</f>
        <v>6.3974000000000002</v>
      </c>
    </row>
    <row r="344" spans="1:11" ht="15">
      <c r="A344" s="13">
        <v>51592</v>
      </c>
      <c r="B344" s="67">
        <f>5.2743 * CHOOSE(CONTROL!$C$22, $C$13, 100%, $E$13)</f>
        <v>5.2743000000000002</v>
      </c>
      <c r="C344" s="67">
        <f>5.2743 * CHOOSE(CONTROL!$C$22, $C$13, 100%, $E$13)</f>
        <v>5.2743000000000002</v>
      </c>
      <c r="D344" s="67">
        <f>5.2753 * CHOOSE(CONTROL!$C$22, $C$13, 100%, $E$13)</f>
        <v>5.2752999999999997</v>
      </c>
      <c r="E344" s="68">
        <f>6.4775 * CHOOSE(CONTROL!$C$22, $C$13, 100%, $E$13)</f>
        <v>6.4775</v>
      </c>
      <c r="F344" s="68">
        <f>6.4775 * CHOOSE(CONTROL!$C$22, $C$13, 100%, $E$13)</f>
        <v>6.4775</v>
      </c>
      <c r="G344" s="68">
        <f>6.4788 * CHOOSE(CONTROL!$C$22, $C$13, 100%, $E$13)</f>
        <v>6.4787999999999997</v>
      </c>
      <c r="H344" s="68">
        <f>10.3114* CHOOSE(CONTROL!$C$22, $C$13, 100%, $E$13)</f>
        <v>10.311400000000001</v>
      </c>
      <c r="I344" s="68">
        <f>10.3127 * CHOOSE(CONTROL!$C$22, $C$13, 100%, $E$13)</f>
        <v>10.3127</v>
      </c>
      <c r="J344" s="68">
        <f>6.4775 * CHOOSE(CONTROL!$C$22, $C$13, 100%, $E$13)</f>
        <v>6.4775</v>
      </c>
      <c r="K344" s="68">
        <f>6.4788 * CHOOSE(CONTROL!$C$22, $C$13, 100%, $E$13)</f>
        <v>6.4787999999999997</v>
      </c>
    </row>
    <row r="345" spans="1:11" ht="15">
      <c r="A345" s="13">
        <v>51622</v>
      </c>
      <c r="B345" s="67">
        <f>5.2743 * CHOOSE(CONTROL!$C$22, $C$13, 100%, $E$13)</f>
        <v>5.2743000000000002</v>
      </c>
      <c r="C345" s="67">
        <f>5.2743 * CHOOSE(CONTROL!$C$22, $C$13, 100%, $E$13)</f>
        <v>5.2743000000000002</v>
      </c>
      <c r="D345" s="67">
        <f>5.2769 * CHOOSE(CONTROL!$C$22, $C$13, 100%, $E$13)</f>
        <v>5.2769000000000004</v>
      </c>
      <c r="E345" s="68">
        <f>6.5097 * CHOOSE(CONTROL!$C$22, $C$13, 100%, $E$13)</f>
        <v>6.5096999999999996</v>
      </c>
      <c r="F345" s="68">
        <f>6.5097 * CHOOSE(CONTROL!$C$22, $C$13, 100%, $E$13)</f>
        <v>6.5096999999999996</v>
      </c>
      <c r="G345" s="68">
        <f>6.5129 * CHOOSE(CONTROL!$C$22, $C$13, 100%, $E$13)</f>
        <v>6.5129000000000001</v>
      </c>
      <c r="H345" s="68">
        <f>10.3329* CHOOSE(CONTROL!$C$22, $C$13, 100%, $E$13)</f>
        <v>10.3329</v>
      </c>
      <c r="I345" s="68">
        <f>10.3361 * CHOOSE(CONTROL!$C$22, $C$13, 100%, $E$13)</f>
        <v>10.3361</v>
      </c>
      <c r="J345" s="68">
        <f>6.5097 * CHOOSE(CONTROL!$C$22, $C$13, 100%, $E$13)</f>
        <v>6.5096999999999996</v>
      </c>
      <c r="K345" s="68">
        <f>6.5129 * CHOOSE(CONTROL!$C$22, $C$13, 100%, $E$13)</f>
        <v>6.5129000000000001</v>
      </c>
    </row>
    <row r="346" spans="1:11" ht="15">
      <c r="A346" s="13">
        <v>51653</v>
      </c>
      <c r="B346" s="67">
        <f>5.2804 * CHOOSE(CONTROL!$C$22, $C$13, 100%, $E$13)</f>
        <v>5.2804000000000002</v>
      </c>
      <c r="C346" s="67">
        <f>5.2804 * CHOOSE(CONTROL!$C$22, $C$13, 100%, $E$13)</f>
        <v>5.2804000000000002</v>
      </c>
      <c r="D346" s="67">
        <f>5.283 * CHOOSE(CONTROL!$C$22, $C$13, 100%, $E$13)</f>
        <v>5.2830000000000004</v>
      </c>
      <c r="E346" s="68">
        <f>6.4818 * CHOOSE(CONTROL!$C$22, $C$13, 100%, $E$13)</f>
        <v>6.4817999999999998</v>
      </c>
      <c r="F346" s="68">
        <f>6.4818 * CHOOSE(CONTROL!$C$22, $C$13, 100%, $E$13)</f>
        <v>6.4817999999999998</v>
      </c>
      <c r="G346" s="68">
        <f>6.485 * CHOOSE(CONTROL!$C$22, $C$13, 100%, $E$13)</f>
        <v>6.4850000000000003</v>
      </c>
      <c r="H346" s="68">
        <f>10.3544* CHOOSE(CONTROL!$C$22, $C$13, 100%, $E$13)</f>
        <v>10.3544</v>
      </c>
      <c r="I346" s="68">
        <f>10.3576 * CHOOSE(CONTROL!$C$22, $C$13, 100%, $E$13)</f>
        <v>10.3576</v>
      </c>
      <c r="J346" s="68">
        <f>6.4818 * CHOOSE(CONTROL!$C$22, $C$13, 100%, $E$13)</f>
        <v>6.4817999999999998</v>
      </c>
      <c r="K346" s="68">
        <f>6.485 * CHOOSE(CONTROL!$C$22, $C$13, 100%, $E$13)</f>
        <v>6.4850000000000003</v>
      </c>
    </row>
    <row r="347" spans="1:11" ht="15">
      <c r="A347" s="13">
        <v>51683</v>
      </c>
      <c r="B347" s="67">
        <f>5.3669 * CHOOSE(CONTROL!$C$22, $C$13, 100%, $E$13)</f>
        <v>5.3669000000000002</v>
      </c>
      <c r="C347" s="67">
        <f>5.3669 * CHOOSE(CONTROL!$C$22, $C$13, 100%, $E$13)</f>
        <v>5.3669000000000002</v>
      </c>
      <c r="D347" s="67">
        <f>5.3695 * CHOOSE(CONTROL!$C$22, $C$13, 100%, $E$13)</f>
        <v>5.3695000000000004</v>
      </c>
      <c r="E347" s="68">
        <f>6.5916 * CHOOSE(CONTROL!$C$22, $C$13, 100%, $E$13)</f>
        <v>6.5915999999999997</v>
      </c>
      <c r="F347" s="68">
        <f>6.5916 * CHOOSE(CONTROL!$C$22, $C$13, 100%, $E$13)</f>
        <v>6.5915999999999997</v>
      </c>
      <c r="G347" s="68">
        <f>6.5949 * CHOOSE(CONTROL!$C$22, $C$13, 100%, $E$13)</f>
        <v>6.5949</v>
      </c>
      <c r="H347" s="68">
        <f>10.376* CHOOSE(CONTROL!$C$22, $C$13, 100%, $E$13)</f>
        <v>10.375999999999999</v>
      </c>
      <c r="I347" s="68">
        <f>10.3792 * CHOOSE(CONTROL!$C$22, $C$13, 100%, $E$13)</f>
        <v>10.379200000000001</v>
      </c>
      <c r="J347" s="68">
        <f>6.5916 * CHOOSE(CONTROL!$C$22, $C$13, 100%, $E$13)</f>
        <v>6.5915999999999997</v>
      </c>
      <c r="K347" s="68">
        <f>6.5949 * CHOOSE(CONTROL!$C$22, $C$13, 100%, $E$13)</f>
        <v>6.5949</v>
      </c>
    </row>
    <row r="348" spans="1:11" ht="15">
      <c r="A348" s="13">
        <v>51714</v>
      </c>
      <c r="B348" s="67">
        <f>5.3736 * CHOOSE(CONTROL!$C$22, $C$13, 100%, $E$13)</f>
        <v>5.3735999999999997</v>
      </c>
      <c r="C348" s="67">
        <f>5.3736 * CHOOSE(CONTROL!$C$22, $C$13, 100%, $E$13)</f>
        <v>5.3735999999999997</v>
      </c>
      <c r="D348" s="67">
        <f>5.3762 * CHOOSE(CONTROL!$C$22, $C$13, 100%, $E$13)</f>
        <v>5.3761999999999999</v>
      </c>
      <c r="E348" s="68">
        <f>6.4999 * CHOOSE(CONTROL!$C$22, $C$13, 100%, $E$13)</f>
        <v>6.4999000000000002</v>
      </c>
      <c r="F348" s="68">
        <f>6.4999 * CHOOSE(CONTROL!$C$22, $C$13, 100%, $E$13)</f>
        <v>6.4999000000000002</v>
      </c>
      <c r="G348" s="68">
        <f>6.5032 * CHOOSE(CONTROL!$C$22, $C$13, 100%, $E$13)</f>
        <v>6.5031999999999996</v>
      </c>
      <c r="H348" s="68">
        <f>10.3976* CHOOSE(CONTROL!$C$22, $C$13, 100%, $E$13)</f>
        <v>10.397600000000001</v>
      </c>
      <c r="I348" s="68">
        <f>10.4008 * CHOOSE(CONTROL!$C$22, $C$13, 100%, $E$13)</f>
        <v>10.4008</v>
      </c>
      <c r="J348" s="68">
        <f>6.4999 * CHOOSE(CONTROL!$C$22, $C$13, 100%, $E$13)</f>
        <v>6.4999000000000002</v>
      </c>
      <c r="K348" s="68">
        <f>6.5032 * CHOOSE(CONTROL!$C$22, $C$13, 100%, $E$13)</f>
        <v>6.5031999999999996</v>
      </c>
    </row>
    <row r="349" spans="1:11" ht="15">
      <c r="A349" s="13">
        <v>51745</v>
      </c>
      <c r="B349" s="67">
        <f>5.3705 * CHOOSE(CONTROL!$C$22, $C$13, 100%, $E$13)</f>
        <v>5.3704999999999998</v>
      </c>
      <c r="C349" s="67">
        <f>5.3705 * CHOOSE(CONTROL!$C$22, $C$13, 100%, $E$13)</f>
        <v>5.3704999999999998</v>
      </c>
      <c r="D349" s="67">
        <f>5.3731 * CHOOSE(CONTROL!$C$22, $C$13, 100%, $E$13)</f>
        <v>5.3731</v>
      </c>
      <c r="E349" s="68">
        <f>6.4871 * CHOOSE(CONTROL!$C$22, $C$13, 100%, $E$13)</f>
        <v>6.4870999999999999</v>
      </c>
      <c r="F349" s="68">
        <f>6.4871 * CHOOSE(CONTROL!$C$22, $C$13, 100%, $E$13)</f>
        <v>6.4870999999999999</v>
      </c>
      <c r="G349" s="68">
        <f>6.4904 * CHOOSE(CONTROL!$C$22, $C$13, 100%, $E$13)</f>
        <v>6.4904000000000002</v>
      </c>
      <c r="H349" s="68">
        <f>10.4192* CHOOSE(CONTROL!$C$22, $C$13, 100%, $E$13)</f>
        <v>10.4192</v>
      </c>
      <c r="I349" s="68">
        <f>10.4225 * CHOOSE(CONTROL!$C$22, $C$13, 100%, $E$13)</f>
        <v>10.422499999999999</v>
      </c>
      <c r="J349" s="68">
        <f>6.4871 * CHOOSE(CONTROL!$C$22, $C$13, 100%, $E$13)</f>
        <v>6.4870999999999999</v>
      </c>
      <c r="K349" s="68">
        <f>6.4904 * CHOOSE(CONTROL!$C$22, $C$13, 100%, $E$13)</f>
        <v>6.4904000000000002</v>
      </c>
    </row>
    <row r="350" spans="1:11" ht="15">
      <c r="A350" s="13">
        <v>51775</v>
      </c>
      <c r="B350" s="67">
        <f>5.3701 * CHOOSE(CONTROL!$C$22, $C$13, 100%, $E$13)</f>
        <v>5.3700999999999999</v>
      </c>
      <c r="C350" s="67">
        <f>5.3701 * CHOOSE(CONTROL!$C$22, $C$13, 100%, $E$13)</f>
        <v>5.3700999999999999</v>
      </c>
      <c r="D350" s="67">
        <f>5.3711 * CHOOSE(CONTROL!$C$22, $C$13, 100%, $E$13)</f>
        <v>5.3711000000000002</v>
      </c>
      <c r="E350" s="68">
        <f>6.5165 * CHOOSE(CONTROL!$C$22, $C$13, 100%, $E$13)</f>
        <v>6.5164999999999997</v>
      </c>
      <c r="F350" s="68">
        <f>6.5165 * CHOOSE(CONTROL!$C$22, $C$13, 100%, $E$13)</f>
        <v>6.5164999999999997</v>
      </c>
      <c r="G350" s="68">
        <f>6.5178 * CHOOSE(CONTROL!$C$22, $C$13, 100%, $E$13)</f>
        <v>6.5178000000000003</v>
      </c>
      <c r="H350" s="68">
        <f>10.441* CHOOSE(CONTROL!$C$22, $C$13, 100%, $E$13)</f>
        <v>10.441000000000001</v>
      </c>
      <c r="I350" s="68">
        <f>10.4422 * CHOOSE(CONTROL!$C$22, $C$13, 100%, $E$13)</f>
        <v>10.4422</v>
      </c>
      <c r="J350" s="68">
        <f>6.5165 * CHOOSE(CONTROL!$C$22, $C$13, 100%, $E$13)</f>
        <v>6.5164999999999997</v>
      </c>
      <c r="K350" s="68">
        <f>6.5178 * CHOOSE(CONTROL!$C$22, $C$13, 100%, $E$13)</f>
        <v>6.5178000000000003</v>
      </c>
    </row>
    <row r="351" spans="1:11" ht="15">
      <c r="A351" s="13">
        <v>51806</v>
      </c>
      <c r="B351" s="67">
        <f>5.3732 * CHOOSE(CONTROL!$C$22, $C$13, 100%, $E$13)</f>
        <v>5.3731999999999998</v>
      </c>
      <c r="C351" s="67">
        <f>5.3732 * CHOOSE(CONTROL!$C$22, $C$13, 100%, $E$13)</f>
        <v>5.3731999999999998</v>
      </c>
      <c r="D351" s="67">
        <f>5.3741 * CHOOSE(CONTROL!$C$22, $C$13, 100%, $E$13)</f>
        <v>5.3741000000000003</v>
      </c>
      <c r="E351" s="68">
        <f>6.54 * CHOOSE(CONTROL!$C$22, $C$13, 100%, $E$13)</f>
        <v>6.54</v>
      </c>
      <c r="F351" s="68">
        <f>6.54 * CHOOSE(CONTROL!$C$22, $C$13, 100%, $E$13)</f>
        <v>6.54</v>
      </c>
      <c r="G351" s="68">
        <f>6.5413 * CHOOSE(CONTROL!$C$22, $C$13, 100%, $E$13)</f>
        <v>6.5412999999999997</v>
      </c>
      <c r="H351" s="68">
        <f>10.4627* CHOOSE(CONTROL!$C$22, $C$13, 100%, $E$13)</f>
        <v>10.4627</v>
      </c>
      <c r="I351" s="68">
        <f>10.464 * CHOOSE(CONTROL!$C$22, $C$13, 100%, $E$13)</f>
        <v>10.464</v>
      </c>
      <c r="J351" s="68">
        <f>6.54 * CHOOSE(CONTROL!$C$22, $C$13, 100%, $E$13)</f>
        <v>6.54</v>
      </c>
      <c r="K351" s="68">
        <f>6.5413 * CHOOSE(CONTROL!$C$22, $C$13, 100%, $E$13)</f>
        <v>6.5412999999999997</v>
      </c>
    </row>
    <row r="352" spans="1:11" ht="15">
      <c r="A352" s="13">
        <v>51836</v>
      </c>
      <c r="B352" s="67">
        <f>5.3732 * CHOOSE(CONTROL!$C$22, $C$13, 100%, $E$13)</f>
        <v>5.3731999999999998</v>
      </c>
      <c r="C352" s="67">
        <f>5.3732 * CHOOSE(CONTROL!$C$22, $C$13, 100%, $E$13)</f>
        <v>5.3731999999999998</v>
      </c>
      <c r="D352" s="67">
        <f>5.3741 * CHOOSE(CONTROL!$C$22, $C$13, 100%, $E$13)</f>
        <v>5.3741000000000003</v>
      </c>
      <c r="E352" s="68">
        <f>6.4865 * CHOOSE(CONTROL!$C$22, $C$13, 100%, $E$13)</f>
        <v>6.4865000000000004</v>
      </c>
      <c r="F352" s="68">
        <f>6.4865 * CHOOSE(CONTROL!$C$22, $C$13, 100%, $E$13)</f>
        <v>6.4865000000000004</v>
      </c>
      <c r="G352" s="68">
        <f>6.4878 * CHOOSE(CONTROL!$C$22, $C$13, 100%, $E$13)</f>
        <v>6.4878</v>
      </c>
      <c r="H352" s="68">
        <f>10.4845* CHOOSE(CONTROL!$C$22, $C$13, 100%, $E$13)</f>
        <v>10.484500000000001</v>
      </c>
      <c r="I352" s="68">
        <f>10.4858 * CHOOSE(CONTROL!$C$22, $C$13, 100%, $E$13)</f>
        <v>10.485799999999999</v>
      </c>
      <c r="J352" s="68">
        <f>6.4865 * CHOOSE(CONTROL!$C$22, $C$13, 100%, $E$13)</f>
        <v>6.4865000000000004</v>
      </c>
      <c r="K352" s="68">
        <f>6.4878 * CHOOSE(CONTROL!$C$22, $C$13, 100%, $E$13)</f>
        <v>6.4878</v>
      </c>
    </row>
    <row r="353" spans="1:11" ht="15">
      <c r="A353" s="13">
        <v>51867</v>
      </c>
      <c r="B353" s="67">
        <f>5.4207 * CHOOSE(CONTROL!$C$22, $C$13, 100%, $E$13)</f>
        <v>5.4207000000000001</v>
      </c>
      <c r="C353" s="67">
        <f>5.4207 * CHOOSE(CONTROL!$C$22, $C$13, 100%, $E$13)</f>
        <v>5.4207000000000001</v>
      </c>
      <c r="D353" s="67">
        <f>5.4217 * CHOOSE(CONTROL!$C$22, $C$13, 100%, $E$13)</f>
        <v>5.4217000000000004</v>
      </c>
      <c r="E353" s="68">
        <f>6.5785 * CHOOSE(CONTROL!$C$22, $C$13, 100%, $E$13)</f>
        <v>6.5785</v>
      </c>
      <c r="F353" s="68">
        <f>6.5785 * CHOOSE(CONTROL!$C$22, $C$13, 100%, $E$13)</f>
        <v>6.5785</v>
      </c>
      <c r="G353" s="68">
        <f>6.5798 * CHOOSE(CONTROL!$C$22, $C$13, 100%, $E$13)</f>
        <v>6.5797999999999996</v>
      </c>
      <c r="H353" s="68">
        <f>10.5063* CHOOSE(CONTROL!$C$22, $C$13, 100%, $E$13)</f>
        <v>10.5063</v>
      </c>
      <c r="I353" s="68">
        <f>10.5076 * CHOOSE(CONTROL!$C$22, $C$13, 100%, $E$13)</f>
        <v>10.5076</v>
      </c>
      <c r="J353" s="68">
        <f>6.5785 * CHOOSE(CONTROL!$C$22, $C$13, 100%, $E$13)</f>
        <v>6.5785</v>
      </c>
      <c r="K353" s="68">
        <f>6.5798 * CHOOSE(CONTROL!$C$22, $C$13, 100%, $E$13)</f>
        <v>6.5797999999999996</v>
      </c>
    </row>
    <row r="354" spans="1:11" ht="15">
      <c r="A354" s="13">
        <v>51898</v>
      </c>
      <c r="B354" s="67">
        <f>5.4177 * CHOOSE(CONTROL!$C$22, $C$13, 100%, $E$13)</f>
        <v>5.4177</v>
      </c>
      <c r="C354" s="67">
        <f>5.4177 * CHOOSE(CONTROL!$C$22, $C$13, 100%, $E$13)</f>
        <v>5.4177</v>
      </c>
      <c r="D354" s="67">
        <f>5.4187 * CHOOSE(CONTROL!$C$22, $C$13, 100%, $E$13)</f>
        <v>5.4187000000000003</v>
      </c>
      <c r="E354" s="68">
        <f>6.4724 * CHOOSE(CONTROL!$C$22, $C$13, 100%, $E$13)</f>
        <v>6.4724000000000004</v>
      </c>
      <c r="F354" s="68">
        <f>6.4724 * CHOOSE(CONTROL!$C$22, $C$13, 100%, $E$13)</f>
        <v>6.4724000000000004</v>
      </c>
      <c r="G354" s="68">
        <f>6.4737 * CHOOSE(CONTROL!$C$22, $C$13, 100%, $E$13)</f>
        <v>6.4737</v>
      </c>
      <c r="H354" s="68">
        <f>10.5282* CHOOSE(CONTROL!$C$22, $C$13, 100%, $E$13)</f>
        <v>10.5282</v>
      </c>
      <c r="I354" s="68">
        <f>10.5295 * CHOOSE(CONTROL!$C$22, $C$13, 100%, $E$13)</f>
        <v>10.529500000000001</v>
      </c>
      <c r="J354" s="68">
        <f>6.4724 * CHOOSE(CONTROL!$C$22, $C$13, 100%, $E$13)</f>
        <v>6.4724000000000004</v>
      </c>
      <c r="K354" s="68">
        <f>6.4737 * CHOOSE(CONTROL!$C$22, $C$13, 100%, $E$13)</f>
        <v>6.4737</v>
      </c>
    </row>
    <row r="355" spans="1:11" ht="15">
      <c r="A355" s="13">
        <v>51926</v>
      </c>
      <c r="B355" s="67">
        <f>5.4147 * CHOOSE(CONTROL!$C$22, $C$13, 100%, $E$13)</f>
        <v>5.4146999999999998</v>
      </c>
      <c r="C355" s="67">
        <f>5.4147 * CHOOSE(CONTROL!$C$22, $C$13, 100%, $E$13)</f>
        <v>5.4146999999999998</v>
      </c>
      <c r="D355" s="67">
        <f>5.4156 * CHOOSE(CONTROL!$C$22, $C$13, 100%, $E$13)</f>
        <v>5.4156000000000004</v>
      </c>
      <c r="E355" s="68">
        <f>6.5523 * CHOOSE(CONTROL!$C$22, $C$13, 100%, $E$13)</f>
        <v>6.5522999999999998</v>
      </c>
      <c r="F355" s="68">
        <f>6.5523 * CHOOSE(CONTROL!$C$22, $C$13, 100%, $E$13)</f>
        <v>6.5522999999999998</v>
      </c>
      <c r="G355" s="68">
        <f>6.5535 * CHOOSE(CONTROL!$C$22, $C$13, 100%, $E$13)</f>
        <v>6.5534999999999997</v>
      </c>
      <c r="H355" s="68">
        <f>10.5502* CHOOSE(CONTROL!$C$22, $C$13, 100%, $E$13)</f>
        <v>10.5502</v>
      </c>
      <c r="I355" s="68">
        <f>10.5514 * CHOOSE(CONTROL!$C$22, $C$13, 100%, $E$13)</f>
        <v>10.551399999999999</v>
      </c>
      <c r="J355" s="68">
        <f>6.5523 * CHOOSE(CONTROL!$C$22, $C$13, 100%, $E$13)</f>
        <v>6.5522999999999998</v>
      </c>
      <c r="K355" s="68">
        <f>6.5535 * CHOOSE(CONTROL!$C$22, $C$13, 100%, $E$13)</f>
        <v>6.5534999999999997</v>
      </c>
    </row>
    <row r="356" spans="1:11" ht="15">
      <c r="A356" s="13">
        <v>51957</v>
      </c>
      <c r="B356" s="67">
        <f>5.4135 * CHOOSE(CONTROL!$C$22, $C$13, 100%, $E$13)</f>
        <v>5.4135</v>
      </c>
      <c r="C356" s="67">
        <f>5.4135 * CHOOSE(CONTROL!$C$22, $C$13, 100%, $E$13)</f>
        <v>5.4135</v>
      </c>
      <c r="D356" s="67">
        <f>5.4145 * CHOOSE(CONTROL!$C$22, $C$13, 100%, $E$13)</f>
        <v>5.4145000000000003</v>
      </c>
      <c r="E356" s="68">
        <f>6.6361 * CHOOSE(CONTROL!$C$22, $C$13, 100%, $E$13)</f>
        <v>6.6360999999999999</v>
      </c>
      <c r="F356" s="68">
        <f>6.6361 * CHOOSE(CONTROL!$C$22, $C$13, 100%, $E$13)</f>
        <v>6.6360999999999999</v>
      </c>
      <c r="G356" s="68">
        <f>6.6374 * CHOOSE(CONTROL!$C$22, $C$13, 100%, $E$13)</f>
        <v>6.6374000000000004</v>
      </c>
      <c r="H356" s="68">
        <f>10.5721* CHOOSE(CONTROL!$C$22, $C$13, 100%, $E$13)</f>
        <v>10.572100000000001</v>
      </c>
      <c r="I356" s="68">
        <f>10.5734 * CHOOSE(CONTROL!$C$22, $C$13, 100%, $E$13)</f>
        <v>10.573399999999999</v>
      </c>
      <c r="J356" s="68">
        <f>6.6361 * CHOOSE(CONTROL!$C$22, $C$13, 100%, $E$13)</f>
        <v>6.6360999999999999</v>
      </c>
      <c r="K356" s="68">
        <f>6.6374 * CHOOSE(CONTROL!$C$22, $C$13, 100%, $E$13)</f>
        <v>6.6374000000000004</v>
      </c>
    </row>
    <row r="357" spans="1:11" ht="15">
      <c r="A357" s="13">
        <v>51987</v>
      </c>
      <c r="B357" s="67">
        <f>5.4135 * CHOOSE(CONTROL!$C$22, $C$13, 100%, $E$13)</f>
        <v>5.4135</v>
      </c>
      <c r="C357" s="67">
        <f>5.4135 * CHOOSE(CONTROL!$C$22, $C$13, 100%, $E$13)</f>
        <v>5.4135</v>
      </c>
      <c r="D357" s="67">
        <f>5.4161 * CHOOSE(CONTROL!$C$22, $C$13, 100%, $E$13)</f>
        <v>5.4161000000000001</v>
      </c>
      <c r="E357" s="68">
        <f>6.6691 * CHOOSE(CONTROL!$C$22, $C$13, 100%, $E$13)</f>
        <v>6.6691000000000003</v>
      </c>
      <c r="F357" s="68">
        <f>6.6691 * CHOOSE(CONTROL!$C$22, $C$13, 100%, $E$13)</f>
        <v>6.6691000000000003</v>
      </c>
      <c r="G357" s="68">
        <f>6.6723 * CHOOSE(CONTROL!$C$22, $C$13, 100%, $E$13)</f>
        <v>6.6722999999999999</v>
      </c>
      <c r="H357" s="68">
        <f>10.5942* CHOOSE(CONTROL!$C$22, $C$13, 100%, $E$13)</f>
        <v>10.594200000000001</v>
      </c>
      <c r="I357" s="68">
        <f>10.5974 * CHOOSE(CONTROL!$C$22, $C$13, 100%, $E$13)</f>
        <v>10.5974</v>
      </c>
      <c r="J357" s="68">
        <f>6.6691 * CHOOSE(CONTROL!$C$22, $C$13, 100%, $E$13)</f>
        <v>6.6691000000000003</v>
      </c>
      <c r="K357" s="68">
        <f>6.6723 * CHOOSE(CONTROL!$C$22, $C$13, 100%, $E$13)</f>
        <v>6.6722999999999999</v>
      </c>
    </row>
    <row r="358" spans="1:11" ht="15">
      <c r="A358" s="13">
        <v>52018</v>
      </c>
      <c r="B358" s="67">
        <f>5.4196 * CHOOSE(CONTROL!$C$22, $C$13, 100%, $E$13)</f>
        <v>5.4196</v>
      </c>
      <c r="C358" s="67">
        <f>5.4196 * CHOOSE(CONTROL!$C$22, $C$13, 100%, $E$13)</f>
        <v>5.4196</v>
      </c>
      <c r="D358" s="67">
        <f>5.4222 * CHOOSE(CONTROL!$C$22, $C$13, 100%, $E$13)</f>
        <v>5.4222000000000001</v>
      </c>
      <c r="E358" s="68">
        <f>6.6403 * CHOOSE(CONTROL!$C$22, $C$13, 100%, $E$13)</f>
        <v>6.6402999999999999</v>
      </c>
      <c r="F358" s="68">
        <f>6.6403 * CHOOSE(CONTROL!$C$22, $C$13, 100%, $E$13)</f>
        <v>6.6402999999999999</v>
      </c>
      <c r="G358" s="68">
        <f>6.6436 * CHOOSE(CONTROL!$C$22, $C$13, 100%, $E$13)</f>
        <v>6.6436000000000002</v>
      </c>
      <c r="H358" s="68">
        <f>10.6162* CHOOSE(CONTROL!$C$22, $C$13, 100%, $E$13)</f>
        <v>10.616199999999999</v>
      </c>
      <c r="I358" s="68">
        <f>10.6195 * CHOOSE(CONTROL!$C$22, $C$13, 100%, $E$13)</f>
        <v>10.6195</v>
      </c>
      <c r="J358" s="68">
        <f>6.6403 * CHOOSE(CONTROL!$C$22, $C$13, 100%, $E$13)</f>
        <v>6.6402999999999999</v>
      </c>
      <c r="K358" s="68">
        <f>6.6436 * CHOOSE(CONTROL!$C$22, $C$13, 100%, $E$13)</f>
        <v>6.6436000000000002</v>
      </c>
    </row>
    <row r="359" spans="1:11" ht="15">
      <c r="A359" s="13">
        <v>52048</v>
      </c>
      <c r="B359" s="67">
        <f>5.5082 * CHOOSE(CONTROL!$C$22, $C$13, 100%, $E$13)</f>
        <v>5.5082000000000004</v>
      </c>
      <c r="C359" s="67">
        <f>5.5082 * CHOOSE(CONTROL!$C$22, $C$13, 100%, $E$13)</f>
        <v>5.5082000000000004</v>
      </c>
      <c r="D359" s="67">
        <f>5.5108 * CHOOSE(CONTROL!$C$22, $C$13, 100%, $E$13)</f>
        <v>5.5107999999999997</v>
      </c>
      <c r="E359" s="68">
        <f>6.7527 * CHOOSE(CONTROL!$C$22, $C$13, 100%, $E$13)</f>
        <v>6.7526999999999999</v>
      </c>
      <c r="F359" s="68">
        <f>6.7527 * CHOOSE(CONTROL!$C$22, $C$13, 100%, $E$13)</f>
        <v>6.7526999999999999</v>
      </c>
      <c r="G359" s="68">
        <f>6.756 * CHOOSE(CONTROL!$C$22, $C$13, 100%, $E$13)</f>
        <v>6.7560000000000002</v>
      </c>
      <c r="H359" s="68">
        <f>10.6384* CHOOSE(CONTROL!$C$22, $C$13, 100%, $E$13)</f>
        <v>10.638400000000001</v>
      </c>
      <c r="I359" s="68">
        <f>10.6416 * CHOOSE(CONTROL!$C$22, $C$13, 100%, $E$13)</f>
        <v>10.6416</v>
      </c>
      <c r="J359" s="68">
        <f>6.7527 * CHOOSE(CONTROL!$C$22, $C$13, 100%, $E$13)</f>
        <v>6.7526999999999999</v>
      </c>
      <c r="K359" s="68">
        <f>6.756 * CHOOSE(CONTROL!$C$22, $C$13, 100%, $E$13)</f>
        <v>6.7560000000000002</v>
      </c>
    </row>
    <row r="360" spans="1:11" ht="15">
      <c r="A360" s="13">
        <v>52079</v>
      </c>
      <c r="B360" s="67">
        <f>5.5149 * CHOOSE(CONTROL!$C$22, $C$13, 100%, $E$13)</f>
        <v>5.5148999999999999</v>
      </c>
      <c r="C360" s="67">
        <f>5.5149 * CHOOSE(CONTROL!$C$22, $C$13, 100%, $E$13)</f>
        <v>5.5148999999999999</v>
      </c>
      <c r="D360" s="67">
        <f>5.5175 * CHOOSE(CONTROL!$C$22, $C$13, 100%, $E$13)</f>
        <v>5.5175000000000001</v>
      </c>
      <c r="E360" s="68">
        <f>6.6583 * CHOOSE(CONTROL!$C$22, $C$13, 100%, $E$13)</f>
        <v>6.6582999999999997</v>
      </c>
      <c r="F360" s="68">
        <f>6.6583 * CHOOSE(CONTROL!$C$22, $C$13, 100%, $E$13)</f>
        <v>6.6582999999999997</v>
      </c>
      <c r="G360" s="68">
        <f>6.6616 * CHOOSE(CONTROL!$C$22, $C$13, 100%, $E$13)</f>
        <v>6.6616</v>
      </c>
      <c r="H360" s="68">
        <f>10.6605* CHOOSE(CONTROL!$C$22, $C$13, 100%, $E$13)</f>
        <v>10.660500000000001</v>
      </c>
      <c r="I360" s="68">
        <f>10.6638 * CHOOSE(CONTROL!$C$22, $C$13, 100%, $E$13)</f>
        <v>10.6638</v>
      </c>
      <c r="J360" s="68">
        <f>6.6583 * CHOOSE(CONTROL!$C$22, $C$13, 100%, $E$13)</f>
        <v>6.6582999999999997</v>
      </c>
      <c r="K360" s="68">
        <f>6.6616 * CHOOSE(CONTROL!$C$22, $C$13, 100%, $E$13)</f>
        <v>6.6616</v>
      </c>
    </row>
    <row r="361" spans="1:11" ht="15">
      <c r="A361" s="13">
        <v>52110</v>
      </c>
      <c r="B361" s="67">
        <f>5.5119 * CHOOSE(CONTROL!$C$22, $C$13, 100%, $E$13)</f>
        <v>5.5118999999999998</v>
      </c>
      <c r="C361" s="67">
        <f>5.5119 * CHOOSE(CONTROL!$C$22, $C$13, 100%, $E$13)</f>
        <v>5.5118999999999998</v>
      </c>
      <c r="D361" s="67">
        <f>5.5145 * CHOOSE(CONTROL!$C$22, $C$13, 100%, $E$13)</f>
        <v>5.5145</v>
      </c>
      <c r="E361" s="68">
        <f>6.6452 * CHOOSE(CONTROL!$C$22, $C$13, 100%, $E$13)</f>
        <v>6.6452</v>
      </c>
      <c r="F361" s="68">
        <f>6.6452 * CHOOSE(CONTROL!$C$22, $C$13, 100%, $E$13)</f>
        <v>6.6452</v>
      </c>
      <c r="G361" s="68">
        <f>6.6485 * CHOOSE(CONTROL!$C$22, $C$13, 100%, $E$13)</f>
        <v>6.6485000000000003</v>
      </c>
      <c r="H361" s="68">
        <f>10.6827* CHOOSE(CONTROL!$C$22, $C$13, 100%, $E$13)</f>
        <v>10.682700000000001</v>
      </c>
      <c r="I361" s="68">
        <f>10.686 * CHOOSE(CONTROL!$C$22, $C$13, 100%, $E$13)</f>
        <v>10.686</v>
      </c>
      <c r="J361" s="68">
        <f>6.6452 * CHOOSE(CONTROL!$C$22, $C$13, 100%, $E$13)</f>
        <v>6.6452</v>
      </c>
      <c r="K361" s="68">
        <f>6.6485 * CHOOSE(CONTROL!$C$22, $C$13, 100%, $E$13)</f>
        <v>6.6485000000000003</v>
      </c>
    </row>
    <row r="362" spans="1:11" ht="15">
      <c r="A362" s="13">
        <v>52140</v>
      </c>
      <c r="B362" s="67">
        <f>5.5119 * CHOOSE(CONTROL!$C$22, $C$13, 100%, $E$13)</f>
        <v>5.5118999999999998</v>
      </c>
      <c r="C362" s="67">
        <f>5.5119 * CHOOSE(CONTROL!$C$22, $C$13, 100%, $E$13)</f>
        <v>5.5118999999999998</v>
      </c>
      <c r="D362" s="67">
        <f>5.5129 * CHOOSE(CONTROL!$C$22, $C$13, 100%, $E$13)</f>
        <v>5.5129000000000001</v>
      </c>
      <c r="E362" s="68">
        <f>6.6758 * CHOOSE(CONTROL!$C$22, $C$13, 100%, $E$13)</f>
        <v>6.6757999999999997</v>
      </c>
      <c r="F362" s="68">
        <f>6.6758 * CHOOSE(CONTROL!$C$22, $C$13, 100%, $E$13)</f>
        <v>6.6757999999999997</v>
      </c>
      <c r="G362" s="68">
        <f>6.6771 * CHOOSE(CONTROL!$C$22, $C$13, 100%, $E$13)</f>
        <v>6.6771000000000003</v>
      </c>
      <c r="H362" s="68">
        <f>10.705* CHOOSE(CONTROL!$C$22, $C$13, 100%, $E$13)</f>
        <v>10.705</v>
      </c>
      <c r="I362" s="68">
        <f>10.7063 * CHOOSE(CONTROL!$C$22, $C$13, 100%, $E$13)</f>
        <v>10.706300000000001</v>
      </c>
      <c r="J362" s="68">
        <f>6.6758 * CHOOSE(CONTROL!$C$22, $C$13, 100%, $E$13)</f>
        <v>6.6757999999999997</v>
      </c>
      <c r="K362" s="68">
        <f>6.6771 * CHOOSE(CONTROL!$C$22, $C$13, 100%, $E$13)</f>
        <v>6.6771000000000003</v>
      </c>
    </row>
    <row r="363" spans="1:11" ht="15">
      <c r="A363" s="13">
        <v>52171</v>
      </c>
      <c r="B363" s="67">
        <f>5.515 * CHOOSE(CONTROL!$C$22, $C$13, 100%, $E$13)</f>
        <v>5.5149999999999997</v>
      </c>
      <c r="C363" s="67">
        <f>5.515 * CHOOSE(CONTROL!$C$22, $C$13, 100%, $E$13)</f>
        <v>5.5149999999999997</v>
      </c>
      <c r="D363" s="67">
        <f>5.516 * CHOOSE(CONTROL!$C$22, $C$13, 100%, $E$13)</f>
        <v>5.516</v>
      </c>
      <c r="E363" s="68">
        <f>6.6999 * CHOOSE(CONTROL!$C$22, $C$13, 100%, $E$13)</f>
        <v>6.6999000000000004</v>
      </c>
      <c r="F363" s="68">
        <f>6.6999 * CHOOSE(CONTROL!$C$22, $C$13, 100%, $E$13)</f>
        <v>6.6999000000000004</v>
      </c>
      <c r="G363" s="68">
        <f>6.7012 * CHOOSE(CONTROL!$C$22, $C$13, 100%, $E$13)</f>
        <v>6.7012</v>
      </c>
      <c r="H363" s="68">
        <f>10.7273* CHOOSE(CONTROL!$C$22, $C$13, 100%, $E$13)</f>
        <v>10.7273</v>
      </c>
      <c r="I363" s="68">
        <f>10.7286 * CHOOSE(CONTROL!$C$22, $C$13, 100%, $E$13)</f>
        <v>10.7286</v>
      </c>
      <c r="J363" s="68">
        <f>6.6999 * CHOOSE(CONTROL!$C$22, $C$13, 100%, $E$13)</f>
        <v>6.6999000000000004</v>
      </c>
      <c r="K363" s="68">
        <f>6.7012 * CHOOSE(CONTROL!$C$22, $C$13, 100%, $E$13)</f>
        <v>6.7012</v>
      </c>
    </row>
    <row r="364" spans="1:11" ht="15">
      <c r="A364" s="13">
        <v>52201</v>
      </c>
      <c r="B364" s="67">
        <f>5.515 * CHOOSE(CONTROL!$C$22, $C$13, 100%, $E$13)</f>
        <v>5.5149999999999997</v>
      </c>
      <c r="C364" s="67">
        <f>5.515 * CHOOSE(CONTROL!$C$22, $C$13, 100%, $E$13)</f>
        <v>5.5149999999999997</v>
      </c>
      <c r="D364" s="67">
        <f>5.516 * CHOOSE(CONTROL!$C$22, $C$13, 100%, $E$13)</f>
        <v>5.516</v>
      </c>
      <c r="E364" s="68">
        <f>6.6449 * CHOOSE(CONTROL!$C$22, $C$13, 100%, $E$13)</f>
        <v>6.6448999999999998</v>
      </c>
      <c r="F364" s="68">
        <f>6.6449 * CHOOSE(CONTROL!$C$22, $C$13, 100%, $E$13)</f>
        <v>6.6448999999999998</v>
      </c>
      <c r="G364" s="68">
        <f>6.6462 * CHOOSE(CONTROL!$C$22, $C$13, 100%, $E$13)</f>
        <v>6.6462000000000003</v>
      </c>
      <c r="H364" s="68">
        <f>10.7496* CHOOSE(CONTROL!$C$22, $C$13, 100%, $E$13)</f>
        <v>10.749599999999999</v>
      </c>
      <c r="I364" s="68">
        <f>10.7509 * CHOOSE(CONTROL!$C$22, $C$13, 100%, $E$13)</f>
        <v>10.7509</v>
      </c>
      <c r="J364" s="68">
        <f>6.6449 * CHOOSE(CONTROL!$C$22, $C$13, 100%, $E$13)</f>
        <v>6.6448999999999998</v>
      </c>
      <c r="K364" s="68">
        <f>6.6462 * CHOOSE(CONTROL!$C$22, $C$13, 100%, $E$13)</f>
        <v>6.6462000000000003</v>
      </c>
    </row>
    <row r="365" spans="1:11" ht="15">
      <c r="A365" s="13">
        <v>52232</v>
      </c>
      <c r="B365" s="67">
        <f>5.5637 * CHOOSE(CONTROL!$C$22, $C$13, 100%, $E$13)</f>
        <v>5.5636999999999999</v>
      </c>
      <c r="C365" s="67">
        <f>5.5637 * CHOOSE(CONTROL!$C$22, $C$13, 100%, $E$13)</f>
        <v>5.5636999999999999</v>
      </c>
      <c r="D365" s="67">
        <f>5.5646 * CHOOSE(CONTROL!$C$22, $C$13, 100%, $E$13)</f>
        <v>5.5646000000000004</v>
      </c>
      <c r="E365" s="68">
        <f>6.7392 * CHOOSE(CONTROL!$C$22, $C$13, 100%, $E$13)</f>
        <v>6.7392000000000003</v>
      </c>
      <c r="F365" s="68">
        <f>6.7392 * CHOOSE(CONTROL!$C$22, $C$13, 100%, $E$13)</f>
        <v>6.7392000000000003</v>
      </c>
      <c r="G365" s="68">
        <f>6.7405 * CHOOSE(CONTROL!$C$22, $C$13, 100%, $E$13)</f>
        <v>6.7404999999999999</v>
      </c>
      <c r="H365" s="68">
        <f>10.772* CHOOSE(CONTROL!$C$22, $C$13, 100%, $E$13)</f>
        <v>10.772</v>
      </c>
      <c r="I365" s="68">
        <f>10.7733 * CHOOSE(CONTROL!$C$22, $C$13, 100%, $E$13)</f>
        <v>10.773300000000001</v>
      </c>
      <c r="J365" s="68">
        <f>6.7392 * CHOOSE(CONTROL!$C$22, $C$13, 100%, $E$13)</f>
        <v>6.7392000000000003</v>
      </c>
      <c r="K365" s="68">
        <f>6.7405 * CHOOSE(CONTROL!$C$22, $C$13, 100%, $E$13)</f>
        <v>6.7404999999999999</v>
      </c>
    </row>
    <row r="366" spans="1:11" ht="15">
      <c r="A366" s="13">
        <v>52263</v>
      </c>
      <c r="B366" s="67">
        <f>5.5606 * CHOOSE(CONTROL!$C$22, $C$13, 100%, $E$13)</f>
        <v>5.5606</v>
      </c>
      <c r="C366" s="67">
        <f>5.5606 * CHOOSE(CONTROL!$C$22, $C$13, 100%, $E$13)</f>
        <v>5.5606</v>
      </c>
      <c r="D366" s="67">
        <f>5.5616 * CHOOSE(CONTROL!$C$22, $C$13, 100%, $E$13)</f>
        <v>5.5616000000000003</v>
      </c>
      <c r="E366" s="68">
        <f>6.6302 * CHOOSE(CONTROL!$C$22, $C$13, 100%, $E$13)</f>
        <v>6.6302000000000003</v>
      </c>
      <c r="F366" s="68">
        <f>6.6302 * CHOOSE(CONTROL!$C$22, $C$13, 100%, $E$13)</f>
        <v>6.6302000000000003</v>
      </c>
      <c r="G366" s="68">
        <f>6.6315 * CHOOSE(CONTROL!$C$22, $C$13, 100%, $E$13)</f>
        <v>6.6315</v>
      </c>
      <c r="H366" s="68">
        <f>10.7945* CHOOSE(CONTROL!$C$22, $C$13, 100%, $E$13)</f>
        <v>10.794499999999999</v>
      </c>
      <c r="I366" s="68">
        <f>10.7958 * CHOOSE(CONTROL!$C$22, $C$13, 100%, $E$13)</f>
        <v>10.7958</v>
      </c>
      <c r="J366" s="68">
        <f>6.6302 * CHOOSE(CONTROL!$C$22, $C$13, 100%, $E$13)</f>
        <v>6.6302000000000003</v>
      </c>
      <c r="K366" s="68">
        <f>6.6315 * CHOOSE(CONTROL!$C$22, $C$13, 100%, $E$13)</f>
        <v>6.6315</v>
      </c>
    </row>
    <row r="367" spans="1:11" ht="15">
      <c r="A367" s="13">
        <v>52291</v>
      </c>
      <c r="B367" s="67">
        <f>5.5576 * CHOOSE(CONTROL!$C$22, $C$13, 100%, $E$13)</f>
        <v>5.5575999999999999</v>
      </c>
      <c r="C367" s="67">
        <f>5.5576 * CHOOSE(CONTROL!$C$22, $C$13, 100%, $E$13)</f>
        <v>5.5575999999999999</v>
      </c>
      <c r="D367" s="67">
        <f>5.5586 * CHOOSE(CONTROL!$C$22, $C$13, 100%, $E$13)</f>
        <v>5.5586000000000002</v>
      </c>
      <c r="E367" s="68">
        <f>6.7123 * CHOOSE(CONTROL!$C$22, $C$13, 100%, $E$13)</f>
        <v>6.7122999999999999</v>
      </c>
      <c r="F367" s="68">
        <f>6.7123 * CHOOSE(CONTROL!$C$22, $C$13, 100%, $E$13)</f>
        <v>6.7122999999999999</v>
      </c>
      <c r="G367" s="68">
        <f>6.7136 * CHOOSE(CONTROL!$C$22, $C$13, 100%, $E$13)</f>
        <v>6.7135999999999996</v>
      </c>
      <c r="H367" s="68">
        <f>10.817* CHOOSE(CONTROL!$C$22, $C$13, 100%, $E$13)</f>
        <v>10.817</v>
      </c>
      <c r="I367" s="68">
        <f>10.8182 * CHOOSE(CONTROL!$C$22, $C$13, 100%, $E$13)</f>
        <v>10.818199999999999</v>
      </c>
      <c r="J367" s="68">
        <f>6.7123 * CHOOSE(CONTROL!$C$22, $C$13, 100%, $E$13)</f>
        <v>6.7122999999999999</v>
      </c>
      <c r="K367" s="68">
        <f>6.7136 * CHOOSE(CONTROL!$C$22, $C$13, 100%, $E$13)</f>
        <v>6.7135999999999996</v>
      </c>
    </row>
    <row r="368" spans="1:11" ht="15">
      <c r="A368" s="13">
        <v>52322</v>
      </c>
      <c r="B368" s="67">
        <f>5.5566 * CHOOSE(CONTROL!$C$22, $C$13, 100%, $E$13)</f>
        <v>5.5566000000000004</v>
      </c>
      <c r="C368" s="67">
        <f>5.5566 * CHOOSE(CONTROL!$C$22, $C$13, 100%, $E$13)</f>
        <v>5.5566000000000004</v>
      </c>
      <c r="D368" s="67">
        <f>5.5576 * CHOOSE(CONTROL!$C$22, $C$13, 100%, $E$13)</f>
        <v>5.5575999999999999</v>
      </c>
      <c r="E368" s="68">
        <f>6.7986 * CHOOSE(CONTROL!$C$22, $C$13, 100%, $E$13)</f>
        <v>6.7986000000000004</v>
      </c>
      <c r="F368" s="68">
        <f>6.7986 * CHOOSE(CONTROL!$C$22, $C$13, 100%, $E$13)</f>
        <v>6.7986000000000004</v>
      </c>
      <c r="G368" s="68">
        <f>6.7999 * CHOOSE(CONTROL!$C$22, $C$13, 100%, $E$13)</f>
        <v>6.7999000000000001</v>
      </c>
      <c r="H368" s="68">
        <f>10.8395* CHOOSE(CONTROL!$C$22, $C$13, 100%, $E$13)</f>
        <v>10.839499999999999</v>
      </c>
      <c r="I368" s="68">
        <f>10.8408 * CHOOSE(CONTROL!$C$22, $C$13, 100%, $E$13)</f>
        <v>10.8408</v>
      </c>
      <c r="J368" s="68">
        <f>6.7986 * CHOOSE(CONTROL!$C$22, $C$13, 100%, $E$13)</f>
        <v>6.7986000000000004</v>
      </c>
      <c r="K368" s="68">
        <f>6.7999 * CHOOSE(CONTROL!$C$22, $C$13, 100%, $E$13)</f>
        <v>6.7999000000000001</v>
      </c>
    </row>
    <row r="369" spans="1:11" ht="15">
      <c r="A369" s="13">
        <v>52352</v>
      </c>
      <c r="B369" s="67">
        <f>5.5566 * CHOOSE(CONTROL!$C$22, $C$13, 100%, $E$13)</f>
        <v>5.5566000000000004</v>
      </c>
      <c r="C369" s="67">
        <f>5.5566 * CHOOSE(CONTROL!$C$22, $C$13, 100%, $E$13)</f>
        <v>5.5566000000000004</v>
      </c>
      <c r="D369" s="67">
        <f>5.5592 * CHOOSE(CONTROL!$C$22, $C$13, 100%, $E$13)</f>
        <v>5.5591999999999997</v>
      </c>
      <c r="E369" s="68">
        <f>6.8326 * CHOOSE(CONTROL!$C$22, $C$13, 100%, $E$13)</f>
        <v>6.8326000000000002</v>
      </c>
      <c r="F369" s="68">
        <f>6.8326 * CHOOSE(CONTROL!$C$22, $C$13, 100%, $E$13)</f>
        <v>6.8326000000000002</v>
      </c>
      <c r="G369" s="68">
        <f>6.8358 * CHOOSE(CONTROL!$C$22, $C$13, 100%, $E$13)</f>
        <v>6.8357999999999999</v>
      </c>
      <c r="H369" s="68">
        <f>10.8621* CHOOSE(CONTROL!$C$22, $C$13, 100%, $E$13)</f>
        <v>10.8621</v>
      </c>
      <c r="I369" s="68">
        <f>10.8653 * CHOOSE(CONTROL!$C$22, $C$13, 100%, $E$13)</f>
        <v>10.8653</v>
      </c>
      <c r="J369" s="68">
        <f>6.8326 * CHOOSE(CONTROL!$C$22, $C$13, 100%, $E$13)</f>
        <v>6.8326000000000002</v>
      </c>
      <c r="K369" s="68">
        <f>6.8358 * CHOOSE(CONTROL!$C$22, $C$13, 100%, $E$13)</f>
        <v>6.8357999999999999</v>
      </c>
    </row>
    <row r="370" spans="1:11" ht="15">
      <c r="A370" s="13">
        <v>52383</v>
      </c>
      <c r="B370" s="67">
        <f>5.5627 * CHOOSE(CONTROL!$C$22, $C$13, 100%, $E$13)</f>
        <v>5.5627000000000004</v>
      </c>
      <c r="C370" s="67">
        <f>5.5627 * CHOOSE(CONTROL!$C$22, $C$13, 100%, $E$13)</f>
        <v>5.5627000000000004</v>
      </c>
      <c r="D370" s="67">
        <f>5.5653 * CHOOSE(CONTROL!$C$22, $C$13, 100%, $E$13)</f>
        <v>5.5652999999999997</v>
      </c>
      <c r="E370" s="68">
        <f>6.8029 * CHOOSE(CONTROL!$C$22, $C$13, 100%, $E$13)</f>
        <v>6.8029000000000002</v>
      </c>
      <c r="F370" s="68">
        <f>6.8029 * CHOOSE(CONTROL!$C$22, $C$13, 100%, $E$13)</f>
        <v>6.8029000000000002</v>
      </c>
      <c r="G370" s="68">
        <f>6.8061 * CHOOSE(CONTROL!$C$22, $C$13, 100%, $E$13)</f>
        <v>6.8060999999999998</v>
      </c>
      <c r="H370" s="68">
        <f>10.8847* CHOOSE(CONTROL!$C$22, $C$13, 100%, $E$13)</f>
        <v>10.8847</v>
      </c>
      <c r="I370" s="68">
        <f>10.888 * CHOOSE(CONTROL!$C$22, $C$13, 100%, $E$13)</f>
        <v>10.888</v>
      </c>
      <c r="J370" s="68">
        <f>6.8029 * CHOOSE(CONTROL!$C$22, $C$13, 100%, $E$13)</f>
        <v>6.8029000000000002</v>
      </c>
      <c r="K370" s="68">
        <f>6.8061 * CHOOSE(CONTROL!$C$22, $C$13, 100%, $E$13)</f>
        <v>6.8060999999999998</v>
      </c>
    </row>
    <row r="371" spans="1:11" ht="15">
      <c r="A371" s="13">
        <v>52413</v>
      </c>
      <c r="B371" s="67">
        <f>5.6532 * CHOOSE(CONTROL!$C$22, $C$13, 100%, $E$13)</f>
        <v>5.6532</v>
      </c>
      <c r="C371" s="67">
        <f>5.6532 * CHOOSE(CONTROL!$C$22, $C$13, 100%, $E$13)</f>
        <v>5.6532</v>
      </c>
      <c r="D371" s="67">
        <f>5.6558 * CHOOSE(CONTROL!$C$22, $C$13, 100%, $E$13)</f>
        <v>5.6558000000000002</v>
      </c>
      <c r="E371" s="68">
        <f>6.9177 * CHOOSE(CONTROL!$C$22, $C$13, 100%, $E$13)</f>
        <v>6.9177</v>
      </c>
      <c r="F371" s="68">
        <f>6.9177 * CHOOSE(CONTROL!$C$22, $C$13, 100%, $E$13)</f>
        <v>6.9177</v>
      </c>
      <c r="G371" s="68">
        <f>6.9209 * CHOOSE(CONTROL!$C$22, $C$13, 100%, $E$13)</f>
        <v>6.9208999999999996</v>
      </c>
      <c r="H371" s="68">
        <f>10.9074* CHOOSE(CONTROL!$C$22, $C$13, 100%, $E$13)</f>
        <v>10.907400000000001</v>
      </c>
      <c r="I371" s="68">
        <f>10.9106 * CHOOSE(CONTROL!$C$22, $C$13, 100%, $E$13)</f>
        <v>10.910600000000001</v>
      </c>
      <c r="J371" s="68">
        <f>6.9177 * CHOOSE(CONTROL!$C$22, $C$13, 100%, $E$13)</f>
        <v>6.9177</v>
      </c>
      <c r="K371" s="68">
        <f>6.9209 * CHOOSE(CONTROL!$C$22, $C$13, 100%, $E$13)</f>
        <v>6.9208999999999996</v>
      </c>
    </row>
    <row r="372" spans="1:11" ht="15">
      <c r="A372" s="13">
        <v>52444</v>
      </c>
      <c r="B372" s="67">
        <f>5.6599 * CHOOSE(CONTROL!$C$22, $C$13, 100%, $E$13)</f>
        <v>5.6599000000000004</v>
      </c>
      <c r="C372" s="67">
        <f>5.6599 * CHOOSE(CONTROL!$C$22, $C$13, 100%, $E$13)</f>
        <v>5.6599000000000004</v>
      </c>
      <c r="D372" s="67">
        <f>5.6625 * CHOOSE(CONTROL!$C$22, $C$13, 100%, $E$13)</f>
        <v>5.6624999999999996</v>
      </c>
      <c r="E372" s="68">
        <f>6.8205 * CHOOSE(CONTROL!$C$22, $C$13, 100%, $E$13)</f>
        <v>6.8205</v>
      </c>
      <c r="F372" s="68">
        <f>6.8205 * CHOOSE(CONTROL!$C$22, $C$13, 100%, $E$13)</f>
        <v>6.8205</v>
      </c>
      <c r="G372" s="68">
        <f>6.8237 * CHOOSE(CONTROL!$C$22, $C$13, 100%, $E$13)</f>
        <v>6.8236999999999997</v>
      </c>
      <c r="H372" s="68">
        <f>10.9301* CHOOSE(CONTROL!$C$22, $C$13, 100%, $E$13)</f>
        <v>10.930099999999999</v>
      </c>
      <c r="I372" s="68">
        <f>10.9334 * CHOOSE(CONTROL!$C$22, $C$13, 100%, $E$13)</f>
        <v>10.933400000000001</v>
      </c>
      <c r="J372" s="68">
        <f>6.8205 * CHOOSE(CONTROL!$C$22, $C$13, 100%, $E$13)</f>
        <v>6.8205</v>
      </c>
      <c r="K372" s="68">
        <f>6.8237 * CHOOSE(CONTROL!$C$22, $C$13, 100%, $E$13)</f>
        <v>6.8236999999999997</v>
      </c>
    </row>
    <row r="373" spans="1:11" ht="15">
      <c r="A373" s="13">
        <v>52475</v>
      </c>
      <c r="B373" s="67">
        <f>5.6569 * CHOOSE(CONTROL!$C$22, $C$13, 100%, $E$13)</f>
        <v>5.6569000000000003</v>
      </c>
      <c r="C373" s="67">
        <f>5.6569 * CHOOSE(CONTROL!$C$22, $C$13, 100%, $E$13)</f>
        <v>5.6569000000000003</v>
      </c>
      <c r="D373" s="67">
        <f>5.6595 * CHOOSE(CONTROL!$C$22, $C$13, 100%, $E$13)</f>
        <v>5.6595000000000004</v>
      </c>
      <c r="E373" s="68">
        <f>6.8071 * CHOOSE(CONTROL!$C$22, $C$13, 100%, $E$13)</f>
        <v>6.8071000000000002</v>
      </c>
      <c r="F373" s="68">
        <f>6.8071 * CHOOSE(CONTROL!$C$22, $C$13, 100%, $E$13)</f>
        <v>6.8071000000000002</v>
      </c>
      <c r="G373" s="68">
        <f>6.8103 * CHOOSE(CONTROL!$C$22, $C$13, 100%, $E$13)</f>
        <v>6.8102999999999998</v>
      </c>
      <c r="H373" s="68">
        <f>10.9529* CHOOSE(CONTROL!$C$22, $C$13, 100%, $E$13)</f>
        <v>10.9529</v>
      </c>
      <c r="I373" s="68">
        <f>10.9561 * CHOOSE(CONTROL!$C$22, $C$13, 100%, $E$13)</f>
        <v>10.956099999999999</v>
      </c>
      <c r="J373" s="68">
        <f>6.8071 * CHOOSE(CONTROL!$C$22, $C$13, 100%, $E$13)</f>
        <v>6.8071000000000002</v>
      </c>
      <c r="K373" s="68">
        <f>6.8103 * CHOOSE(CONTROL!$C$22, $C$13, 100%, $E$13)</f>
        <v>6.8102999999999998</v>
      </c>
    </row>
    <row r="374" spans="1:11" ht="15">
      <c r="A374" s="13">
        <v>52505</v>
      </c>
      <c r="B374" s="67">
        <f>5.6574 * CHOOSE(CONTROL!$C$22, $C$13, 100%, $E$13)</f>
        <v>5.6574</v>
      </c>
      <c r="C374" s="67">
        <f>5.6574 * CHOOSE(CONTROL!$C$22, $C$13, 100%, $E$13)</f>
        <v>5.6574</v>
      </c>
      <c r="D374" s="67">
        <f>5.6584 * CHOOSE(CONTROL!$C$22, $C$13, 100%, $E$13)</f>
        <v>5.6584000000000003</v>
      </c>
      <c r="E374" s="68">
        <f>6.8389 * CHOOSE(CONTROL!$C$22, $C$13, 100%, $E$13)</f>
        <v>6.8388999999999998</v>
      </c>
      <c r="F374" s="68">
        <f>6.8389 * CHOOSE(CONTROL!$C$22, $C$13, 100%, $E$13)</f>
        <v>6.8388999999999998</v>
      </c>
      <c r="G374" s="68">
        <f>6.8402 * CHOOSE(CONTROL!$C$22, $C$13, 100%, $E$13)</f>
        <v>6.8402000000000003</v>
      </c>
      <c r="H374" s="68">
        <f>10.9757* CHOOSE(CONTROL!$C$22, $C$13, 100%, $E$13)</f>
        <v>10.9757</v>
      </c>
      <c r="I374" s="68">
        <f>10.977 * CHOOSE(CONTROL!$C$22, $C$13, 100%, $E$13)</f>
        <v>10.977</v>
      </c>
      <c r="J374" s="68">
        <f>6.8389 * CHOOSE(CONTROL!$C$22, $C$13, 100%, $E$13)</f>
        <v>6.8388999999999998</v>
      </c>
      <c r="K374" s="68">
        <f>6.8402 * CHOOSE(CONTROL!$C$22, $C$13, 100%, $E$13)</f>
        <v>6.8402000000000003</v>
      </c>
    </row>
    <row r="375" spans="1:11" ht="15">
      <c r="A375" s="13">
        <v>52536</v>
      </c>
      <c r="B375" s="67">
        <f>5.6605 * CHOOSE(CONTROL!$C$22, $C$13, 100%, $E$13)</f>
        <v>5.6604999999999999</v>
      </c>
      <c r="C375" s="67">
        <f>5.6605 * CHOOSE(CONTROL!$C$22, $C$13, 100%, $E$13)</f>
        <v>5.6604999999999999</v>
      </c>
      <c r="D375" s="67">
        <f>5.6614 * CHOOSE(CONTROL!$C$22, $C$13, 100%, $E$13)</f>
        <v>5.6614000000000004</v>
      </c>
      <c r="E375" s="68">
        <f>6.8636 * CHOOSE(CONTROL!$C$22, $C$13, 100%, $E$13)</f>
        <v>6.8635999999999999</v>
      </c>
      <c r="F375" s="68">
        <f>6.8636 * CHOOSE(CONTROL!$C$22, $C$13, 100%, $E$13)</f>
        <v>6.8635999999999999</v>
      </c>
      <c r="G375" s="68">
        <f>6.8649 * CHOOSE(CONTROL!$C$22, $C$13, 100%, $E$13)</f>
        <v>6.8648999999999996</v>
      </c>
      <c r="H375" s="68">
        <f>10.9986* CHOOSE(CONTROL!$C$22, $C$13, 100%, $E$13)</f>
        <v>10.9986</v>
      </c>
      <c r="I375" s="68">
        <f>10.9998 * CHOOSE(CONTROL!$C$22, $C$13, 100%, $E$13)</f>
        <v>10.9998</v>
      </c>
      <c r="J375" s="68">
        <f>6.8636 * CHOOSE(CONTROL!$C$22, $C$13, 100%, $E$13)</f>
        <v>6.8635999999999999</v>
      </c>
      <c r="K375" s="68">
        <f>6.8649 * CHOOSE(CONTROL!$C$22, $C$13, 100%, $E$13)</f>
        <v>6.8648999999999996</v>
      </c>
    </row>
    <row r="376" spans="1:11" ht="15">
      <c r="A376" s="13">
        <v>52566</v>
      </c>
      <c r="B376" s="67">
        <f>5.6605 * CHOOSE(CONTROL!$C$22, $C$13, 100%, $E$13)</f>
        <v>5.6604999999999999</v>
      </c>
      <c r="C376" s="67">
        <f>5.6605 * CHOOSE(CONTROL!$C$22, $C$13, 100%, $E$13)</f>
        <v>5.6604999999999999</v>
      </c>
      <c r="D376" s="67">
        <f>5.6614 * CHOOSE(CONTROL!$C$22, $C$13, 100%, $E$13)</f>
        <v>5.6614000000000004</v>
      </c>
      <c r="E376" s="68">
        <f>6.8071 * CHOOSE(CONTROL!$C$22, $C$13, 100%, $E$13)</f>
        <v>6.8071000000000002</v>
      </c>
      <c r="F376" s="68">
        <f>6.8071 * CHOOSE(CONTROL!$C$22, $C$13, 100%, $E$13)</f>
        <v>6.8071000000000002</v>
      </c>
      <c r="G376" s="68">
        <f>6.8084 * CHOOSE(CONTROL!$C$22, $C$13, 100%, $E$13)</f>
        <v>6.8083999999999998</v>
      </c>
      <c r="H376" s="68">
        <f>11.0215* CHOOSE(CONTROL!$C$22, $C$13, 100%, $E$13)</f>
        <v>11.0215</v>
      </c>
      <c r="I376" s="68">
        <f>11.0228 * CHOOSE(CONTROL!$C$22, $C$13, 100%, $E$13)</f>
        <v>11.0228</v>
      </c>
      <c r="J376" s="68">
        <f>6.8071 * CHOOSE(CONTROL!$C$22, $C$13, 100%, $E$13)</f>
        <v>6.8071000000000002</v>
      </c>
      <c r="K376" s="68">
        <f>6.8084 * CHOOSE(CONTROL!$C$22, $C$13, 100%, $E$13)</f>
        <v>6.8083999999999998</v>
      </c>
    </row>
    <row r="377" spans="1:11" ht="15">
      <c r="A377" s="13">
        <v>52597</v>
      </c>
      <c r="B377" s="67">
        <f>5.7103 * CHOOSE(CONTROL!$C$22, $C$13, 100%, $E$13)</f>
        <v>5.7103000000000002</v>
      </c>
      <c r="C377" s="67">
        <f>5.7103 * CHOOSE(CONTROL!$C$22, $C$13, 100%, $E$13)</f>
        <v>5.7103000000000002</v>
      </c>
      <c r="D377" s="67">
        <f>5.7113 * CHOOSE(CONTROL!$C$22, $C$13, 100%, $E$13)</f>
        <v>5.7112999999999996</v>
      </c>
      <c r="E377" s="68">
        <f>6.9038 * CHOOSE(CONTROL!$C$22, $C$13, 100%, $E$13)</f>
        <v>6.9038000000000004</v>
      </c>
      <c r="F377" s="68">
        <f>6.9038 * CHOOSE(CONTROL!$C$22, $C$13, 100%, $E$13)</f>
        <v>6.9038000000000004</v>
      </c>
      <c r="G377" s="68">
        <f>6.9051 * CHOOSE(CONTROL!$C$22, $C$13, 100%, $E$13)</f>
        <v>6.9051</v>
      </c>
      <c r="H377" s="68">
        <f>11.0444* CHOOSE(CONTROL!$C$22, $C$13, 100%, $E$13)</f>
        <v>11.0444</v>
      </c>
      <c r="I377" s="68">
        <f>11.0457 * CHOOSE(CONTROL!$C$22, $C$13, 100%, $E$13)</f>
        <v>11.0457</v>
      </c>
      <c r="J377" s="68">
        <f>6.9038 * CHOOSE(CONTROL!$C$22, $C$13, 100%, $E$13)</f>
        <v>6.9038000000000004</v>
      </c>
      <c r="K377" s="68">
        <f>6.9051 * CHOOSE(CONTROL!$C$22, $C$13, 100%, $E$13)</f>
        <v>6.9051</v>
      </c>
    </row>
    <row r="378" spans="1:11" ht="15">
      <c r="A378" s="13">
        <v>52628</v>
      </c>
      <c r="B378" s="67">
        <f>5.7073 * CHOOSE(CONTROL!$C$22, $C$13, 100%, $E$13)</f>
        <v>5.7073</v>
      </c>
      <c r="C378" s="67">
        <f>5.7073 * CHOOSE(CONTROL!$C$22, $C$13, 100%, $E$13)</f>
        <v>5.7073</v>
      </c>
      <c r="D378" s="67">
        <f>5.7083 * CHOOSE(CONTROL!$C$22, $C$13, 100%, $E$13)</f>
        <v>5.7083000000000004</v>
      </c>
      <c r="E378" s="68">
        <f>6.7917 * CHOOSE(CONTROL!$C$22, $C$13, 100%, $E$13)</f>
        <v>6.7916999999999996</v>
      </c>
      <c r="F378" s="68">
        <f>6.7917 * CHOOSE(CONTROL!$C$22, $C$13, 100%, $E$13)</f>
        <v>6.7916999999999996</v>
      </c>
      <c r="G378" s="68">
        <f>6.793 * CHOOSE(CONTROL!$C$22, $C$13, 100%, $E$13)</f>
        <v>6.7930000000000001</v>
      </c>
      <c r="H378" s="68">
        <f>11.0674* CHOOSE(CONTROL!$C$22, $C$13, 100%, $E$13)</f>
        <v>11.067399999999999</v>
      </c>
      <c r="I378" s="68">
        <f>11.0687 * CHOOSE(CONTROL!$C$22, $C$13, 100%, $E$13)</f>
        <v>11.0687</v>
      </c>
      <c r="J378" s="68">
        <f>6.7917 * CHOOSE(CONTROL!$C$22, $C$13, 100%, $E$13)</f>
        <v>6.7916999999999996</v>
      </c>
      <c r="K378" s="68">
        <f>6.793 * CHOOSE(CONTROL!$C$22, $C$13, 100%, $E$13)</f>
        <v>6.7930000000000001</v>
      </c>
    </row>
    <row r="379" spans="1:11" ht="15">
      <c r="A379" s="13">
        <v>52657</v>
      </c>
      <c r="B379" s="67">
        <f>5.7042 * CHOOSE(CONTROL!$C$22, $C$13, 100%, $E$13)</f>
        <v>5.7042000000000002</v>
      </c>
      <c r="C379" s="67">
        <f>5.7042 * CHOOSE(CONTROL!$C$22, $C$13, 100%, $E$13)</f>
        <v>5.7042000000000002</v>
      </c>
      <c r="D379" s="67">
        <f>5.7052 * CHOOSE(CONTROL!$C$22, $C$13, 100%, $E$13)</f>
        <v>5.7051999999999996</v>
      </c>
      <c r="E379" s="68">
        <f>6.8763 * CHOOSE(CONTROL!$C$22, $C$13, 100%, $E$13)</f>
        <v>6.8762999999999996</v>
      </c>
      <c r="F379" s="68">
        <f>6.8763 * CHOOSE(CONTROL!$C$22, $C$13, 100%, $E$13)</f>
        <v>6.8762999999999996</v>
      </c>
      <c r="G379" s="68">
        <f>6.8776 * CHOOSE(CONTROL!$C$22, $C$13, 100%, $E$13)</f>
        <v>6.8776000000000002</v>
      </c>
      <c r="H379" s="68">
        <f>11.0905* CHOOSE(CONTROL!$C$22, $C$13, 100%, $E$13)</f>
        <v>11.0905</v>
      </c>
      <c r="I379" s="68">
        <f>11.0918 * CHOOSE(CONTROL!$C$22, $C$13, 100%, $E$13)</f>
        <v>11.091799999999999</v>
      </c>
      <c r="J379" s="68">
        <f>6.8763 * CHOOSE(CONTROL!$C$22, $C$13, 100%, $E$13)</f>
        <v>6.8762999999999996</v>
      </c>
      <c r="K379" s="68">
        <f>6.8776 * CHOOSE(CONTROL!$C$22, $C$13, 100%, $E$13)</f>
        <v>6.8776000000000002</v>
      </c>
    </row>
    <row r="380" spans="1:11" ht="15">
      <c r="A380" s="13">
        <v>52688</v>
      </c>
      <c r="B380" s="67">
        <f>5.7034 * CHOOSE(CONTROL!$C$22, $C$13, 100%, $E$13)</f>
        <v>5.7034000000000002</v>
      </c>
      <c r="C380" s="67">
        <f>5.7034 * CHOOSE(CONTROL!$C$22, $C$13, 100%, $E$13)</f>
        <v>5.7034000000000002</v>
      </c>
      <c r="D380" s="67">
        <f>5.7043 * CHOOSE(CONTROL!$C$22, $C$13, 100%, $E$13)</f>
        <v>5.7042999999999999</v>
      </c>
      <c r="E380" s="68">
        <f>6.9651 * CHOOSE(CONTROL!$C$22, $C$13, 100%, $E$13)</f>
        <v>6.9650999999999996</v>
      </c>
      <c r="F380" s="68">
        <f>6.9651 * CHOOSE(CONTROL!$C$22, $C$13, 100%, $E$13)</f>
        <v>6.9650999999999996</v>
      </c>
      <c r="G380" s="68">
        <f>6.9664 * CHOOSE(CONTROL!$C$22, $C$13, 100%, $E$13)</f>
        <v>6.9664000000000001</v>
      </c>
      <c r="H380" s="68">
        <f>11.1136* CHOOSE(CONTROL!$C$22, $C$13, 100%, $E$13)</f>
        <v>11.1136</v>
      </c>
      <c r="I380" s="68">
        <f>11.1149 * CHOOSE(CONTROL!$C$22, $C$13, 100%, $E$13)</f>
        <v>11.1149</v>
      </c>
      <c r="J380" s="68">
        <f>6.9651 * CHOOSE(CONTROL!$C$22, $C$13, 100%, $E$13)</f>
        <v>6.9650999999999996</v>
      </c>
      <c r="K380" s="68">
        <f>6.9664 * CHOOSE(CONTROL!$C$22, $C$13, 100%, $E$13)</f>
        <v>6.9664000000000001</v>
      </c>
    </row>
    <row r="381" spans="1:11" ht="15">
      <c r="A381" s="13">
        <v>52718</v>
      </c>
      <c r="B381" s="67">
        <f>5.7034 * CHOOSE(CONTROL!$C$22, $C$13, 100%, $E$13)</f>
        <v>5.7034000000000002</v>
      </c>
      <c r="C381" s="67">
        <f>5.7034 * CHOOSE(CONTROL!$C$22, $C$13, 100%, $E$13)</f>
        <v>5.7034000000000002</v>
      </c>
      <c r="D381" s="67">
        <f>5.706 * CHOOSE(CONTROL!$C$22, $C$13, 100%, $E$13)</f>
        <v>5.7060000000000004</v>
      </c>
      <c r="E381" s="68">
        <f>7 * CHOOSE(CONTROL!$C$22, $C$13, 100%, $E$13)</f>
        <v>7</v>
      </c>
      <c r="F381" s="68">
        <f>7 * CHOOSE(CONTROL!$C$22, $C$13, 100%, $E$13)</f>
        <v>7</v>
      </c>
      <c r="G381" s="68">
        <f>7.0033 * CHOOSE(CONTROL!$C$22, $C$13, 100%, $E$13)</f>
        <v>7.0033000000000003</v>
      </c>
      <c r="H381" s="68">
        <f>11.1368* CHOOSE(CONTROL!$C$22, $C$13, 100%, $E$13)</f>
        <v>11.136799999999999</v>
      </c>
      <c r="I381" s="68">
        <f>11.14 * CHOOSE(CONTROL!$C$22, $C$13, 100%, $E$13)</f>
        <v>11.14</v>
      </c>
      <c r="J381" s="68">
        <f>7 * CHOOSE(CONTROL!$C$22, $C$13, 100%, $E$13)</f>
        <v>7</v>
      </c>
      <c r="K381" s="68">
        <f>7.0033 * CHOOSE(CONTROL!$C$22, $C$13, 100%, $E$13)</f>
        <v>7.0033000000000003</v>
      </c>
    </row>
    <row r="382" spans="1:11" ht="15">
      <c r="A382" s="13">
        <v>52749</v>
      </c>
      <c r="B382" s="67">
        <f>5.7094 * CHOOSE(CONTROL!$C$22, $C$13, 100%, $E$13)</f>
        <v>5.7093999999999996</v>
      </c>
      <c r="C382" s="67">
        <f>5.7094 * CHOOSE(CONTROL!$C$22, $C$13, 100%, $E$13)</f>
        <v>5.7093999999999996</v>
      </c>
      <c r="D382" s="67">
        <f>5.7121 * CHOOSE(CONTROL!$C$22, $C$13, 100%, $E$13)</f>
        <v>5.7121000000000004</v>
      </c>
      <c r="E382" s="68">
        <f>6.9693 * CHOOSE(CONTROL!$C$22, $C$13, 100%, $E$13)</f>
        <v>6.9692999999999996</v>
      </c>
      <c r="F382" s="68">
        <f>6.9693 * CHOOSE(CONTROL!$C$22, $C$13, 100%, $E$13)</f>
        <v>6.9692999999999996</v>
      </c>
      <c r="G382" s="68">
        <f>6.9726 * CHOOSE(CONTROL!$C$22, $C$13, 100%, $E$13)</f>
        <v>6.9725999999999999</v>
      </c>
      <c r="H382" s="68">
        <f>11.16* CHOOSE(CONTROL!$C$22, $C$13, 100%, $E$13)</f>
        <v>11.16</v>
      </c>
      <c r="I382" s="68">
        <f>11.1632 * CHOOSE(CONTROL!$C$22, $C$13, 100%, $E$13)</f>
        <v>11.1632</v>
      </c>
      <c r="J382" s="68">
        <f>6.9693 * CHOOSE(CONTROL!$C$22, $C$13, 100%, $E$13)</f>
        <v>6.9692999999999996</v>
      </c>
      <c r="K382" s="68">
        <f>6.9726 * CHOOSE(CONTROL!$C$22, $C$13, 100%, $E$13)</f>
        <v>6.9725999999999999</v>
      </c>
    </row>
    <row r="383" spans="1:11" ht="15">
      <c r="A383" s="13">
        <v>52779</v>
      </c>
      <c r="B383" s="67">
        <f>5.8021 * CHOOSE(CONTROL!$C$22, $C$13, 100%, $E$13)</f>
        <v>5.8021000000000003</v>
      </c>
      <c r="C383" s="67">
        <f>5.8021 * CHOOSE(CONTROL!$C$22, $C$13, 100%, $E$13)</f>
        <v>5.8021000000000003</v>
      </c>
      <c r="D383" s="67">
        <f>5.8048 * CHOOSE(CONTROL!$C$22, $C$13, 100%, $E$13)</f>
        <v>5.8048000000000002</v>
      </c>
      <c r="E383" s="68">
        <f>7.0867 * CHOOSE(CONTROL!$C$22, $C$13, 100%, $E$13)</f>
        <v>7.0867000000000004</v>
      </c>
      <c r="F383" s="68">
        <f>7.0867 * CHOOSE(CONTROL!$C$22, $C$13, 100%, $E$13)</f>
        <v>7.0867000000000004</v>
      </c>
      <c r="G383" s="68">
        <f>7.09 * CHOOSE(CONTROL!$C$22, $C$13, 100%, $E$13)</f>
        <v>7.09</v>
      </c>
      <c r="H383" s="68">
        <f>11.1832* CHOOSE(CONTROL!$C$22, $C$13, 100%, $E$13)</f>
        <v>11.183199999999999</v>
      </c>
      <c r="I383" s="68">
        <f>11.1865 * CHOOSE(CONTROL!$C$22, $C$13, 100%, $E$13)</f>
        <v>11.186500000000001</v>
      </c>
      <c r="J383" s="68">
        <f>7.0867 * CHOOSE(CONTROL!$C$22, $C$13, 100%, $E$13)</f>
        <v>7.0867000000000004</v>
      </c>
      <c r="K383" s="68">
        <f>7.09 * CHOOSE(CONTROL!$C$22, $C$13, 100%, $E$13)</f>
        <v>7.09</v>
      </c>
    </row>
    <row r="384" spans="1:11" ht="15">
      <c r="A384" s="13">
        <v>52810</v>
      </c>
      <c r="B384" s="67">
        <f>5.8088 * CHOOSE(CONTROL!$C$22, $C$13, 100%, $E$13)</f>
        <v>5.8087999999999997</v>
      </c>
      <c r="C384" s="67">
        <f>5.8088 * CHOOSE(CONTROL!$C$22, $C$13, 100%, $E$13)</f>
        <v>5.8087999999999997</v>
      </c>
      <c r="D384" s="67">
        <f>5.8114 * CHOOSE(CONTROL!$C$22, $C$13, 100%, $E$13)</f>
        <v>5.8113999999999999</v>
      </c>
      <c r="E384" s="68">
        <f>6.9867 * CHOOSE(CONTROL!$C$22, $C$13, 100%, $E$13)</f>
        <v>6.9866999999999999</v>
      </c>
      <c r="F384" s="68">
        <f>6.9867 * CHOOSE(CONTROL!$C$22, $C$13, 100%, $E$13)</f>
        <v>6.9866999999999999</v>
      </c>
      <c r="G384" s="68">
        <f>6.9899 * CHOOSE(CONTROL!$C$22, $C$13, 100%, $E$13)</f>
        <v>6.9898999999999996</v>
      </c>
      <c r="H384" s="68">
        <f>11.2065* CHOOSE(CONTROL!$C$22, $C$13, 100%, $E$13)</f>
        <v>11.2065</v>
      </c>
      <c r="I384" s="68">
        <f>11.2098 * CHOOSE(CONTROL!$C$22, $C$13, 100%, $E$13)</f>
        <v>11.2098</v>
      </c>
      <c r="J384" s="68">
        <f>6.9867 * CHOOSE(CONTROL!$C$22, $C$13, 100%, $E$13)</f>
        <v>6.9866999999999999</v>
      </c>
      <c r="K384" s="68">
        <f>6.9899 * CHOOSE(CONTROL!$C$22, $C$13, 100%, $E$13)</f>
        <v>6.9898999999999996</v>
      </c>
    </row>
    <row r="385" spans="1:11" ht="15">
      <c r="A385" s="13">
        <v>52841</v>
      </c>
      <c r="B385" s="67">
        <f>5.8058 * CHOOSE(CONTROL!$C$22, $C$13, 100%, $E$13)</f>
        <v>5.8057999999999996</v>
      </c>
      <c r="C385" s="67">
        <f>5.8058 * CHOOSE(CONTROL!$C$22, $C$13, 100%, $E$13)</f>
        <v>5.8057999999999996</v>
      </c>
      <c r="D385" s="67">
        <f>5.8084 * CHOOSE(CONTROL!$C$22, $C$13, 100%, $E$13)</f>
        <v>5.8083999999999998</v>
      </c>
      <c r="E385" s="68">
        <f>6.9729 * CHOOSE(CONTROL!$C$22, $C$13, 100%, $E$13)</f>
        <v>6.9729000000000001</v>
      </c>
      <c r="F385" s="68">
        <f>6.9729 * CHOOSE(CONTROL!$C$22, $C$13, 100%, $E$13)</f>
        <v>6.9729000000000001</v>
      </c>
      <c r="G385" s="68">
        <f>6.9762 * CHOOSE(CONTROL!$C$22, $C$13, 100%, $E$13)</f>
        <v>6.9762000000000004</v>
      </c>
      <c r="H385" s="68">
        <f>11.2299* CHOOSE(CONTROL!$C$22, $C$13, 100%, $E$13)</f>
        <v>11.229900000000001</v>
      </c>
      <c r="I385" s="68">
        <f>11.2331 * CHOOSE(CONTROL!$C$22, $C$13, 100%, $E$13)</f>
        <v>11.2331</v>
      </c>
      <c r="J385" s="68">
        <f>6.9729 * CHOOSE(CONTROL!$C$22, $C$13, 100%, $E$13)</f>
        <v>6.9729000000000001</v>
      </c>
      <c r="K385" s="68">
        <f>6.9762 * CHOOSE(CONTROL!$C$22, $C$13, 100%, $E$13)</f>
        <v>6.9762000000000004</v>
      </c>
    </row>
    <row r="386" spans="1:11" ht="15">
      <c r="A386" s="13">
        <v>52871</v>
      </c>
      <c r="B386" s="67">
        <f>5.8068 * CHOOSE(CONTROL!$C$22, $C$13, 100%, $E$13)</f>
        <v>5.8068</v>
      </c>
      <c r="C386" s="67">
        <f>5.8068 * CHOOSE(CONTROL!$C$22, $C$13, 100%, $E$13)</f>
        <v>5.8068</v>
      </c>
      <c r="D386" s="67">
        <f>5.8078 * CHOOSE(CONTROL!$C$22, $C$13, 100%, $E$13)</f>
        <v>5.8078000000000003</v>
      </c>
      <c r="E386" s="68">
        <f>7.0061 * CHOOSE(CONTROL!$C$22, $C$13, 100%, $E$13)</f>
        <v>7.0061</v>
      </c>
      <c r="F386" s="68">
        <f>7.0061 * CHOOSE(CONTROL!$C$22, $C$13, 100%, $E$13)</f>
        <v>7.0061</v>
      </c>
      <c r="G386" s="68">
        <f>7.0073 * CHOOSE(CONTROL!$C$22, $C$13, 100%, $E$13)</f>
        <v>7.0072999999999999</v>
      </c>
      <c r="H386" s="68">
        <f>11.2533* CHOOSE(CONTROL!$C$22, $C$13, 100%, $E$13)</f>
        <v>11.253299999999999</v>
      </c>
      <c r="I386" s="68">
        <f>11.2545 * CHOOSE(CONTROL!$C$22, $C$13, 100%, $E$13)</f>
        <v>11.2545</v>
      </c>
      <c r="J386" s="68">
        <f>7.0061 * CHOOSE(CONTROL!$C$22, $C$13, 100%, $E$13)</f>
        <v>7.0061</v>
      </c>
      <c r="K386" s="68">
        <f>7.0073 * CHOOSE(CONTROL!$C$22, $C$13, 100%, $E$13)</f>
        <v>7.0072999999999999</v>
      </c>
    </row>
    <row r="387" spans="1:11" ht="15">
      <c r="A387" s="13">
        <v>52902</v>
      </c>
      <c r="B387" s="67">
        <f>5.8099 * CHOOSE(CONTROL!$C$22, $C$13, 100%, $E$13)</f>
        <v>5.8098999999999998</v>
      </c>
      <c r="C387" s="67">
        <f>5.8099 * CHOOSE(CONTROL!$C$22, $C$13, 100%, $E$13)</f>
        <v>5.8098999999999998</v>
      </c>
      <c r="D387" s="67">
        <f>5.8109 * CHOOSE(CONTROL!$C$22, $C$13, 100%, $E$13)</f>
        <v>5.8109000000000002</v>
      </c>
      <c r="E387" s="68">
        <f>7.0314 * CHOOSE(CONTROL!$C$22, $C$13, 100%, $E$13)</f>
        <v>7.0313999999999997</v>
      </c>
      <c r="F387" s="68">
        <f>7.0314 * CHOOSE(CONTROL!$C$22, $C$13, 100%, $E$13)</f>
        <v>7.0313999999999997</v>
      </c>
      <c r="G387" s="68">
        <f>7.0327 * CHOOSE(CONTROL!$C$22, $C$13, 100%, $E$13)</f>
        <v>7.0327000000000002</v>
      </c>
      <c r="H387" s="68">
        <f>11.2767* CHOOSE(CONTROL!$C$22, $C$13, 100%, $E$13)</f>
        <v>11.2767</v>
      </c>
      <c r="I387" s="68">
        <f>11.278 * CHOOSE(CONTROL!$C$22, $C$13, 100%, $E$13)</f>
        <v>11.278</v>
      </c>
      <c r="J387" s="68">
        <f>7.0314 * CHOOSE(CONTROL!$C$22, $C$13, 100%, $E$13)</f>
        <v>7.0313999999999997</v>
      </c>
      <c r="K387" s="68">
        <f>7.0327 * CHOOSE(CONTROL!$C$22, $C$13, 100%, $E$13)</f>
        <v>7.0327000000000002</v>
      </c>
    </row>
    <row r="388" spans="1:11" ht="15">
      <c r="A388" s="13">
        <v>52932</v>
      </c>
      <c r="B388" s="67">
        <f>5.8099 * CHOOSE(CONTROL!$C$22, $C$13, 100%, $E$13)</f>
        <v>5.8098999999999998</v>
      </c>
      <c r="C388" s="67">
        <f>5.8099 * CHOOSE(CONTROL!$C$22, $C$13, 100%, $E$13)</f>
        <v>5.8098999999999998</v>
      </c>
      <c r="D388" s="67">
        <f>5.8109 * CHOOSE(CONTROL!$C$22, $C$13, 100%, $E$13)</f>
        <v>5.8109000000000002</v>
      </c>
      <c r="E388" s="68">
        <f>6.9733 * CHOOSE(CONTROL!$C$22, $C$13, 100%, $E$13)</f>
        <v>6.9733000000000001</v>
      </c>
      <c r="F388" s="68">
        <f>6.9733 * CHOOSE(CONTROL!$C$22, $C$13, 100%, $E$13)</f>
        <v>6.9733000000000001</v>
      </c>
      <c r="G388" s="68">
        <f>6.9746 * CHOOSE(CONTROL!$C$22, $C$13, 100%, $E$13)</f>
        <v>6.9745999999999997</v>
      </c>
      <c r="H388" s="68">
        <f>11.3002* CHOOSE(CONTROL!$C$22, $C$13, 100%, $E$13)</f>
        <v>11.3002</v>
      </c>
      <c r="I388" s="68">
        <f>11.3015 * CHOOSE(CONTROL!$C$22, $C$13, 100%, $E$13)</f>
        <v>11.301500000000001</v>
      </c>
      <c r="J388" s="68">
        <f>6.9733 * CHOOSE(CONTROL!$C$22, $C$13, 100%, $E$13)</f>
        <v>6.9733000000000001</v>
      </c>
      <c r="K388" s="68">
        <f>6.9746 * CHOOSE(CONTROL!$C$22, $C$13, 100%, $E$13)</f>
        <v>6.9745999999999997</v>
      </c>
    </row>
    <row r="389" spans="1:11" ht="15">
      <c r="A389" s="13">
        <v>52963</v>
      </c>
      <c r="B389" s="67">
        <f>5.8609 * CHOOSE(CONTROL!$C$22, $C$13, 100%, $E$13)</f>
        <v>5.8609</v>
      </c>
      <c r="C389" s="67">
        <f>5.8609 * CHOOSE(CONTROL!$C$22, $C$13, 100%, $E$13)</f>
        <v>5.8609</v>
      </c>
      <c r="D389" s="67">
        <f>5.8619 * CHOOSE(CONTROL!$C$22, $C$13, 100%, $E$13)</f>
        <v>5.8619000000000003</v>
      </c>
      <c r="E389" s="68">
        <f>7.0724 * CHOOSE(CONTROL!$C$22, $C$13, 100%, $E$13)</f>
        <v>7.0724</v>
      </c>
      <c r="F389" s="68">
        <f>7.0724 * CHOOSE(CONTROL!$C$22, $C$13, 100%, $E$13)</f>
        <v>7.0724</v>
      </c>
      <c r="G389" s="68">
        <f>7.0737 * CHOOSE(CONTROL!$C$22, $C$13, 100%, $E$13)</f>
        <v>7.0736999999999997</v>
      </c>
      <c r="H389" s="68">
        <f>11.3237* CHOOSE(CONTROL!$C$22, $C$13, 100%, $E$13)</f>
        <v>11.323700000000001</v>
      </c>
      <c r="I389" s="68">
        <f>11.325 * CHOOSE(CONTROL!$C$22, $C$13, 100%, $E$13)</f>
        <v>11.324999999999999</v>
      </c>
      <c r="J389" s="68">
        <f>7.0724 * CHOOSE(CONTROL!$C$22, $C$13, 100%, $E$13)</f>
        <v>7.0724</v>
      </c>
      <c r="K389" s="68">
        <f>7.0737 * CHOOSE(CONTROL!$C$22, $C$13, 100%, $E$13)</f>
        <v>7.0736999999999997</v>
      </c>
    </row>
    <row r="390" spans="1:11" ht="15">
      <c r="A390" s="13">
        <v>52994</v>
      </c>
      <c r="B390" s="67">
        <f>5.8579 * CHOOSE(CONTROL!$C$22, $C$13, 100%, $E$13)</f>
        <v>5.8578999999999999</v>
      </c>
      <c r="C390" s="67">
        <f>5.8579 * CHOOSE(CONTROL!$C$22, $C$13, 100%, $E$13)</f>
        <v>5.8578999999999999</v>
      </c>
      <c r="D390" s="67">
        <f>5.8589 * CHOOSE(CONTROL!$C$22, $C$13, 100%, $E$13)</f>
        <v>5.8589000000000002</v>
      </c>
      <c r="E390" s="68">
        <f>6.9573 * CHOOSE(CONTROL!$C$22, $C$13, 100%, $E$13)</f>
        <v>6.9573</v>
      </c>
      <c r="F390" s="68">
        <f>6.9573 * CHOOSE(CONTROL!$C$22, $C$13, 100%, $E$13)</f>
        <v>6.9573</v>
      </c>
      <c r="G390" s="68">
        <f>6.9586 * CHOOSE(CONTROL!$C$22, $C$13, 100%, $E$13)</f>
        <v>6.9585999999999997</v>
      </c>
      <c r="H390" s="68">
        <f>11.3473* CHOOSE(CONTROL!$C$22, $C$13, 100%, $E$13)</f>
        <v>11.347300000000001</v>
      </c>
      <c r="I390" s="68">
        <f>11.3486 * CHOOSE(CONTROL!$C$22, $C$13, 100%, $E$13)</f>
        <v>11.348599999999999</v>
      </c>
      <c r="J390" s="68">
        <f>6.9573 * CHOOSE(CONTROL!$C$22, $C$13, 100%, $E$13)</f>
        <v>6.9573</v>
      </c>
      <c r="K390" s="68">
        <f>6.9586 * CHOOSE(CONTROL!$C$22, $C$13, 100%, $E$13)</f>
        <v>6.9585999999999997</v>
      </c>
    </row>
    <row r="391" spans="1:11" ht="15">
      <c r="A391" s="13">
        <v>53022</v>
      </c>
      <c r="B391" s="67">
        <f>5.8548 * CHOOSE(CONTROL!$C$22, $C$13, 100%, $E$13)</f>
        <v>5.8548</v>
      </c>
      <c r="C391" s="67">
        <f>5.8548 * CHOOSE(CONTROL!$C$22, $C$13, 100%, $E$13)</f>
        <v>5.8548</v>
      </c>
      <c r="D391" s="67">
        <f>5.8558 * CHOOSE(CONTROL!$C$22, $C$13, 100%, $E$13)</f>
        <v>5.8558000000000003</v>
      </c>
      <c r="E391" s="68">
        <f>7.0443 * CHOOSE(CONTROL!$C$22, $C$13, 100%, $E$13)</f>
        <v>7.0442999999999998</v>
      </c>
      <c r="F391" s="68">
        <f>7.0443 * CHOOSE(CONTROL!$C$22, $C$13, 100%, $E$13)</f>
        <v>7.0442999999999998</v>
      </c>
      <c r="G391" s="68">
        <f>7.0455 * CHOOSE(CONTROL!$C$22, $C$13, 100%, $E$13)</f>
        <v>7.0454999999999997</v>
      </c>
      <c r="H391" s="68">
        <f>11.371* CHOOSE(CONTROL!$C$22, $C$13, 100%, $E$13)</f>
        <v>11.371</v>
      </c>
      <c r="I391" s="68">
        <f>11.3723 * CHOOSE(CONTROL!$C$22, $C$13, 100%, $E$13)</f>
        <v>11.372299999999999</v>
      </c>
      <c r="J391" s="68">
        <f>7.0443 * CHOOSE(CONTROL!$C$22, $C$13, 100%, $E$13)</f>
        <v>7.0442999999999998</v>
      </c>
      <c r="K391" s="68">
        <f>7.0455 * CHOOSE(CONTROL!$C$22, $C$13, 100%, $E$13)</f>
        <v>7.0454999999999997</v>
      </c>
    </row>
    <row r="392" spans="1:11" ht="15">
      <c r="A392" s="13">
        <v>53053</v>
      </c>
      <c r="B392" s="67">
        <f>5.8541 * CHOOSE(CONTROL!$C$22, $C$13, 100%, $E$13)</f>
        <v>5.8540999999999999</v>
      </c>
      <c r="C392" s="67">
        <f>5.8541 * CHOOSE(CONTROL!$C$22, $C$13, 100%, $E$13)</f>
        <v>5.8540999999999999</v>
      </c>
      <c r="D392" s="67">
        <f>5.8551 * CHOOSE(CONTROL!$C$22, $C$13, 100%, $E$13)</f>
        <v>5.8551000000000002</v>
      </c>
      <c r="E392" s="68">
        <f>7.1357 * CHOOSE(CONTROL!$C$22, $C$13, 100%, $E$13)</f>
        <v>7.1356999999999999</v>
      </c>
      <c r="F392" s="68">
        <f>7.1357 * CHOOSE(CONTROL!$C$22, $C$13, 100%, $E$13)</f>
        <v>7.1356999999999999</v>
      </c>
      <c r="G392" s="68">
        <f>7.137 * CHOOSE(CONTROL!$C$22, $C$13, 100%, $E$13)</f>
        <v>7.1369999999999996</v>
      </c>
      <c r="H392" s="68">
        <f>11.3947* CHOOSE(CONTROL!$C$22, $C$13, 100%, $E$13)</f>
        <v>11.3947</v>
      </c>
      <c r="I392" s="68">
        <f>11.3959 * CHOOSE(CONTROL!$C$22, $C$13, 100%, $E$13)</f>
        <v>11.395899999999999</v>
      </c>
      <c r="J392" s="68">
        <f>7.1357 * CHOOSE(CONTROL!$C$22, $C$13, 100%, $E$13)</f>
        <v>7.1356999999999999</v>
      </c>
      <c r="K392" s="68">
        <f>7.137 * CHOOSE(CONTROL!$C$22, $C$13, 100%, $E$13)</f>
        <v>7.1369999999999996</v>
      </c>
    </row>
    <row r="393" spans="1:11" ht="15">
      <c r="A393" s="13">
        <v>53083</v>
      </c>
      <c r="B393" s="67">
        <f>5.8541 * CHOOSE(CONTROL!$C$22, $C$13, 100%, $E$13)</f>
        <v>5.8540999999999999</v>
      </c>
      <c r="C393" s="67">
        <f>5.8541 * CHOOSE(CONTROL!$C$22, $C$13, 100%, $E$13)</f>
        <v>5.8540999999999999</v>
      </c>
      <c r="D393" s="67">
        <f>5.8567 * CHOOSE(CONTROL!$C$22, $C$13, 100%, $E$13)</f>
        <v>5.8567</v>
      </c>
      <c r="E393" s="68">
        <f>7.1716 * CHOOSE(CONTROL!$C$22, $C$13, 100%, $E$13)</f>
        <v>7.1715999999999998</v>
      </c>
      <c r="F393" s="68">
        <f>7.1716 * CHOOSE(CONTROL!$C$22, $C$13, 100%, $E$13)</f>
        <v>7.1715999999999998</v>
      </c>
      <c r="G393" s="68">
        <f>7.1748 * CHOOSE(CONTROL!$C$22, $C$13, 100%, $E$13)</f>
        <v>7.1748000000000003</v>
      </c>
      <c r="H393" s="68">
        <f>11.4184* CHOOSE(CONTROL!$C$22, $C$13, 100%, $E$13)</f>
        <v>11.4184</v>
      </c>
      <c r="I393" s="68">
        <f>11.4216 * CHOOSE(CONTROL!$C$22, $C$13, 100%, $E$13)</f>
        <v>11.4216</v>
      </c>
      <c r="J393" s="68">
        <f>7.1716 * CHOOSE(CONTROL!$C$22, $C$13, 100%, $E$13)</f>
        <v>7.1715999999999998</v>
      </c>
      <c r="K393" s="68">
        <f>7.1748 * CHOOSE(CONTROL!$C$22, $C$13, 100%, $E$13)</f>
        <v>7.1748000000000003</v>
      </c>
    </row>
    <row r="394" spans="1:11" ht="15">
      <c r="A394" s="13">
        <v>53114</v>
      </c>
      <c r="B394" s="67">
        <f>5.8602 * CHOOSE(CONTROL!$C$22, $C$13, 100%, $E$13)</f>
        <v>5.8601999999999999</v>
      </c>
      <c r="C394" s="67">
        <f>5.8602 * CHOOSE(CONTROL!$C$22, $C$13, 100%, $E$13)</f>
        <v>5.8601999999999999</v>
      </c>
      <c r="D394" s="67">
        <f>5.8628 * CHOOSE(CONTROL!$C$22, $C$13, 100%, $E$13)</f>
        <v>5.8628</v>
      </c>
      <c r="E394" s="68">
        <f>7.1399 * CHOOSE(CONTROL!$C$22, $C$13, 100%, $E$13)</f>
        <v>7.1398999999999999</v>
      </c>
      <c r="F394" s="68">
        <f>7.1399 * CHOOSE(CONTROL!$C$22, $C$13, 100%, $E$13)</f>
        <v>7.1398999999999999</v>
      </c>
      <c r="G394" s="68">
        <f>7.1432 * CHOOSE(CONTROL!$C$22, $C$13, 100%, $E$13)</f>
        <v>7.1432000000000002</v>
      </c>
      <c r="H394" s="68">
        <f>11.4422* CHOOSE(CONTROL!$C$22, $C$13, 100%, $E$13)</f>
        <v>11.4422</v>
      </c>
      <c r="I394" s="68">
        <f>11.4454 * CHOOSE(CONTROL!$C$22, $C$13, 100%, $E$13)</f>
        <v>11.445399999999999</v>
      </c>
      <c r="J394" s="68">
        <f>7.1399 * CHOOSE(CONTROL!$C$22, $C$13, 100%, $E$13)</f>
        <v>7.1398999999999999</v>
      </c>
      <c r="K394" s="68">
        <f>7.1432 * CHOOSE(CONTROL!$C$22, $C$13, 100%, $E$13)</f>
        <v>7.1432000000000002</v>
      </c>
    </row>
    <row r="395" spans="1:11" ht="15">
      <c r="A395" s="13">
        <v>53144</v>
      </c>
      <c r="B395" s="67">
        <f>5.955 * CHOOSE(CONTROL!$C$22, $C$13, 100%, $E$13)</f>
        <v>5.9550000000000001</v>
      </c>
      <c r="C395" s="67">
        <f>5.955 * CHOOSE(CONTROL!$C$22, $C$13, 100%, $E$13)</f>
        <v>5.9550000000000001</v>
      </c>
      <c r="D395" s="67">
        <f>5.9576 * CHOOSE(CONTROL!$C$22, $C$13, 100%, $E$13)</f>
        <v>5.9576000000000002</v>
      </c>
      <c r="E395" s="68">
        <f>7.2599 * CHOOSE(CONTROL!$C$22, $C$13, 100%, $E$13)</f>
        <v>7.2599</v>
      </c>
      <c r="F395" s="68">
        <f>7.2599 * CHOOSE(CONTROL!$C$22, $C$13, 100%, $E$13)</f>
        <v>7.2599</v>
      </c>
      <c r="G395" s="68">
        <f>7.2632 * CHOOSE(CONTROL!$C$22, $C$13, 100%, $E$13)</f>
        <v>7.2632000000000003</v>
      </c>
      <c r="H395" s="68">
        <f>11.466* CHOOSE(CONTROL!$C$22, $C$13, 100%, $E$13)</f>
        <v>11.465999999999999</v>
      </c>
      <c r="I395" s="68">
        <f>11.4693 * CHOOSE(CONTROL!$C$22, $C$13, 100%, $E$13)</f>
        <v>11.4693</v>
      </c>
      <c r="J395" s="68">
        <f>7.2599 * CHOOSE(CONTROL!$C$22, $C$13, 100%, $E$13)</f>
        <v>7.2599</v>
      </c>
      <c r="K395" s="68">
        <f>7.2632 * CHOOSE(CONTROL!$C$22, $C$13, 100%, $E$13)</f>
        <v>7.2632000000000003</v>
      </c>
    </row>
    <row r="396" spans="1:11" ht="15">
      <c r="A396" s="13">
        <v>53175</v>
      </c>
      <c r="B396" s="67">
        <f>5.9617 * CHOOSE(CONTROL!$C$22, $C$13, 100%, $E$13)</f>
        <v>5.9617000000000004</v>
      </c>
      <c r="C396" s="67">
        <f>5.9617 * CHOOSE(CONTROL!$C$22, $C$13, 100%, $E$13)</f>
        <v>5.9617000000000004</v>
      </c>
      <c r="D396" s="67">
        <f>5.9643 * CHOOSE(CONTROL!$C$22, $C$13, 100%, $E$13)</f>
        <v>5.9642999999999997</v>
      </c>
      <c r="E396" s="68">
        <f>7.1569 * CHOOSE(CONTROL!$C$22, $C$13, 100%, $E$13)</f>
        <v>7.1569000000000003</v>
      </c>
      <c r="F396" s="68">
        <f>7.1569 * CHOOSE(CONTROL!$C$22, $C$13, 100%, $E$13)</f>
        <v>7.1569000000000003</v>
      </c>
      <c r="G396" s="68">
        <f>7.1602 * CHOOSE(CONTROL!$C$22, $C$13, 100%, $E$13)</f>
        <v>7.1601999999999997</v>
      </c>
      <c r="H396" s="68">
        <f>11.4899* CHOOSE(CONTROL!$C$22, $C$13, 100%, $E$13)</f>
        <v>11.4899</v>
      </c>
      <c r="I396" s="68">
        <f>11.4932 * CHOOSE(CONTROL!$C$22, $C$13, 100%, $E$13)</f>
        <v>11.4932</v>
      </c>
      <c r="J396" s="68">
        <f>7.1569 * CHOOSE(CONTROL!$C$22, $C$13, 100%, $E$13)</f>
        <v>7.1569000000000003</v>
      </c>
      <c r="K396" s="68">
        <f>7.1602 * CHOOSE(CONTROL!$C$22, $C$13, 100%, $E$13)</f>
        <v>7.1601999999999997</v>
      </c>
    </row>
    <row r="397" spans="1:11" ht="15">
      <c r="A397" s="13">
        <v>53206</v>
      </c>
      <c r="B397" s="67">
        <f>5.9586 * CHOOSE(CONTROL!$C$22, $C$13, 100%, $E$13)</f>
        <v>5.9585999999999997</v>
      </c>
      <c r="C397" s="67">
        <f>5.9586 * CHOOSE(CONTROL!$C$22, $C$13, 100%, $E$13)</f>
        <v>5.9585999999999997</v>
      </c>
      <c r="D397" s="67">
        <f>5.9613 * CHOOSE(CONTROL!$C$22, $C$13, 100%, $E$13)</f>
        <v>5.9612999999999996</v>
      </c>
      <c r="E397" s="68">
        <f>7.1429 * CHOOSE(CONTROL!$C$22, $C$13, 100%, $E$13)</f>
        <v>7.1429</v>
      </c>
      <c r="F397" s="68">
        <f>7.1429 * CHOOSE(CONTROL!$C$22, $C$13, 100%, $E$13)</f>
        <v>7.1429</v>
      </c>
      <c r="G397" s="68">
        <f>7.1461 * CHOOSE(CONTROL!$C$22, $C$13, 100%, $E$13)</f>
        <v>7.1460999999999997</v>
      </c>
      <c r="H397" s="68">
        <f>11.5138* CHOOSE(CONTROL!$C$22, $C$13, 100%, $E$13)</f>
        <v>11.5138</v>
      </c>
      <c r="I397" s="68">
        <f>11.5171 * CHOOSE(CONTROL!$C$22, $C$13, 100%, $E$13)</f>
        <v>11.517099999999999</v>
      </c>
      <c r="J397" s="68">
        <f>7.1429 * CHOOSE(CONTROL!$C$22, $C$13, 100%, $E$13)</f>
        <v>7.1429</v>
      </c>
      <c r="K397" s="68">
        <f>7.1461 * CHOOSE(CONTROL!$C$22, $C$13, 100%, $E$13)</f>
        <v>7.1460999999999997</v>
      </c>
    </row>
    <row r="398" spans="1:11" ht="15">
      <c r="A398" s="13">
        <v>53236</v>
      </c>
      <c r="B398" s="67">
        <f>5.9602 * CHOOSE(CONTROL!$C$22, $C$13, 100%, $E$13)</f>
        <v>5.9602000000000004</v>
      </c>
      <c r="C398" s="67">
        <f>5.9602 * CHOOSE(CONTROL!$C$22, $C$13, 100%, $E$13)</f>
        <v>5.9602000000000004</v>
      </c>
      <c r="D398" s="67">
        <f>5.9612 * CHOOSE(CONTROL!$C$22, $C$13, 100%, $E$13)</f>
        <v>5.9611999999999998</v>
      </c>
      <c r="E398" s="68">
        <f>7.1773 * CHOOSE(CONTROL!$C$22, $C$13, 100%, $E$13)</f>
        <v>7.1772999999999998</v>
      </c>
      <c r="F398" s="68">
        <f>7.1773 * CHOOSE(CONTROL!$C$22, $C$13, 100%, $E$13)</f>
        <v>7.1772999999999998</v>
      </c>
      <c r="G398" s="68">
        <f>7.1786 * CHOOSE(CONTROL!$C$22, $C$13, 100%, $E$13)</f>
        <v>7.1786000000000003</v>
      </c>
      <c r="H398" s="68">
        <f>11.5378* CHOOSE(CONTROL!$C$22, $C$13, 100%, $E$13)</f>
        <v>11.537800000000001</v>
      </c>
      <c r="I398" s="68">
        <f>11.5391 * CHOOSE(CONTROL!$C$22, $C$13, 100%, $E$13)</f>
        <v>11.539099999999999</v>
      </c>
      <c r="J398" s="68">
        <f>7.1773 * CHOOSE(CONTROL!$C$22, $C$13, 100%, $E$13)</f>
        <v>7.1772999999999998</v>
      </c>
      <c r="K398" s="68">
        <f>7.1786 * CHOOSE(CONTROL!$C$22, $C$13, 100%, $E$13)</f>
        <v>7.1786000000000003</v>
      </c>
    </row>
    <row r="399" spans="1:11" ht="15">
      <c r="A399" s="13">
        <v>53267</v>
      </c>
      <c r="B399" s="67">
        <f>5.9632 * CHOOSE(CONTROL!$C$22, $C$13, 100%, $E$13)</f>
        <v>5.9631999999999996</v>
      </c>
      <c r="C399" s="67">
        <f>5.9632 * CHOOSE(CONTROL!$C$22, $C$13, 100%, $E$13)</f>
        <v>5.9631999999999996</v>
      </c>
      <c r="D399" s="67">
        <f>5.9642 * CHOOSE(CONTROL!$C$22, $C$13, 100%, $E$13)</f>
        <v>5.9641999999999999</v>
      </c>
      <c r="E399" s="68">
        <f>7.2033 * CHOOSE(CONTROL!$C$22, $C$13, 100%, $E$13)</f>
        <v>7.2032999999999996</v>
      </c>
      <c r="F399" s="68">
        <f>7.2033 * CHOOSE(CONTROL!$C$22, $C$13, 100%, $E$13)</f>
        <v>7.2032999999999996</v>
      </c>
      <c r="G399" s="68">
        <f>7.2046 * CHOOSE(CONTROL!$C$22, $C$13, 100%, $E$13)</f>
        <v>7.2046000000000001</v>
      </c>
      <c r="H399" s="68">
        <f>11.5619* CHOOSE(CONTROL!$C$22, $C$13, 100%, $E$13)</f>
        <v>11.5619</v>
      </c>
      <c r="I399" s="68">
        <f>11.5632 * CHOOSE(CONTROL!$C$22, $C$13, 100%, $E$13)</f>
        <v>11.5632</v>
      </c>
      <c r="J399" s="68">
        <f>7.2033 * CHOOSE(CONTROL!$C$22, $C$13, 100%, $E$13)</f>
        <v>7.2032999999999996</v>
      </c>
      <c r="K399" s="68">
        <f>7.2046 * CHOOSE(CONTROL!$C$22, $C$13, 100%, $E$13)</f>
        <v>7.2046000000000001</v>
      </c>
    </row>
    <row r="400" spans="1:11" ht="15">
      <c r="A400" s="13">
        <v>53297</v>
      </c>
      <c r="B400" s="67">
        <f>5.9632 * CHOOSE(CONTROL!$C$22, $C$13, 100%, $E$13)</f>
        <v>5.9631999999999996</v>
      </c>
      <c r="C400" s="67">
        <f>5.9632 * CHOOSE(CONTROL!$C$22, $C$13, 100%, $E$13)</f>
        <v>5.9631999999999996</v>
      </c>
      <c r="D400" s="67">
        <f>5.9642 * CHOOSE(CONTROL!$C$22, $C$13, 100%, $E$13)</f>
        <v>5.9641999999999999</v>
      </c>
      <c r="E400" s="68">
        <f>7.1435 * CHOOSE(CONTROL!$C$22, $C$13, 100%, $E$13)</f>
        <v>7.1435000000000004</v>
      </c>
      <c r="F400" s="68">
        <f>7.1435 * CHOOSE(CONTROL!$C$22, $C$13, 100%, $E$13)</f>
        <v>7.1435000000000004</v>
      </c>
      <c r="G400" s="68">
        <f>7.1448 * CHOOSE(CONTROL!$C$22, $C$13, 100%, $E$13)</f>
        <v>7.1448</v>
      </c>
      <c r="H400" s="68">
        <f>11.586* CHOOSE(CONTROL!$C$22, $C$13, 100%, $E$13)</f>
        <v>11.586</v>
      </c>
      <c r="I400" s="68">
        <f>11.5872 * CHOOSE(CONTROL!$C$22, $C$13, 100%, $E$13)</f>
        <v>11.587199999999999</v>
      </c>
      <c r="J400" s="68">
        <f>7.1435 * CHOOSE(CONTROL!$C$22, $C$13, 100%, $E$13)</f>
        <v>7.1435000000000004</v>
      </c>
      <c r="K400" s="68">
        <f>7.1448 * CHOOSE(CONTROL!$C$22, $C$13, 100%, $E$13)</f>
        <v>7.1448</v>
      </c>
    </row>
    <row r="401" spans="1:11" ht="15">
      <c r="A401" s="13">
        <v>53328</v>
      </c>
      <c r="B401" s="67">
        <f>6.0155 * CHOOSE(CONTROL!$C$22, $C$13, 100%, $E$13)</f>
        <v>6.0155000000000003</v>
      </c>
      <c r="C401" s="67">
        <f>6.0155 * CHOOSE(CONTROL!$C$22, $C$13, 100%, $E$13)</f>
        <v>6.0155000000000003</v>
      </c>
      <c r="D401" s="67">
        <f>6.0165 * CHOOSE(CONTROL!$C$22, $C$13, 100%, $E$13)</f>
        <v>6.0164999999999997</v>
      </c>
      <c r="E401" s="68">
        <f>7.2452 * CHOOSE(CONTROL!$C$22, $C$13, 100%, $E$13)</f>
        <v>7.2451999999999996</v>
      </c>
      <c r="F401" s="68">
        <f>7.2452 * CHOOSE(CONTROL!$C$22, $C$13, 100%, $E$13)</f>
        <v>7.2451999999999996</v>
      </c>
      <c r="G401" s="68">
        <f>7.2465 * CHOOSE(CONTROL!$C$22, $C$13, 100%, $E$13)</f>
        <v>7.2465000000000002</v>
      </c>
      <c r="H401" s="68">
        <f>11.6101* CHOOSE(CONTROL!$C$22, $C$13, 100%, $E$13)</f>
        <v>11.610099999999999</v>
      </c>
      <c r="I401" s="68">
        <f>11.6114 * CHOOSE(CONTROL!$C$22, $C$13, 100%, $E$13)</f>
        <v>11.6114</v>
      </c>
      <c r="J401" s="68">
        <f>7.2452 * CHOOSE(CONTROL!$C$22, $C$13, 100%, $E$13)</f>
        <v>7.2451999999999996</v>
      </c>
      <c r="K401" s="68">
        <f>7.2465 * CHOOSE(CONTROL!$C$22, $C$13, 100%, $E$13)</f>
        <v>7.2465000000000002</v>
      </c>
    </row>
    <row r="402" spans="1:11" ht="15">
      <c r="A402" s="13">
        <v>53359</v>
      </c>
      <c r="B402" s="67">
        <f>6.0125 * CHOOSE(CONTROL!$C$22, $C$13, 100%, $E$13)</f>
        <v>6.0125000000000002</v>
      </c>
      <c r="C402" s="67">
        <f>6.0125 * CHOOSE(CONTROL!$C$22, $C$13, 100%, $E$13)</f>
        <v>6.0125000000000002</v>
      </c>
      <c r="D402" s="67">
        <f>6.0135 * CHOOSE(CONTROL!$C$22, $C$13, 100%, $E$13)</f>
        <v>6.0134999999999996</v>
      </c>
      <c r="E402" s="68">
        <f>7.1269 * CHOOSE(CONTROL!$C$22, $C$13, 100%, $E$13)</f>
        <v>7.1269</v>
      </c>
      <c r="F402" s="68">
        <f>7.1269 * CHOOSE(CONTROL!$C$22, $C$13, 100%, $E$13)</f>
        <v>7.1269</v>
      </c>
      <c r="G402" s="68">
        <f>7.1282 * CHOOSE(CONTROL!$C$22, $C$13, 100%, $E$13)</f>
        <v>7.1281999999999996</v>
      </c>
      <c r="H402" s="68">
        <f>11.6343* CHOOSE(CONTROL!$C$22, $C$13, 100%, $E$13)</f>
        <v>11.6343</v>
      </c>
      <c r="I402" s="68">
        <f>11.6356 * CHOOSE(CONTROL!$C$22, $C$13, 100%, $E$13)</f>
        <v>11.6356</v>
      </c>
      <c r="J402" s="68">
        <f>7.1269 * CHOOSE(CONTROL!$C$22, $C$13, 100%, $E$13)</f>
        <v>7.1269</v>
      </c>
      <c r="K402" s="68">
        <f>7.1282 * CHOOSE(CONTROL!$C$22, $C$13, 100%, $E$13)</f>
        <v>7.1281999999999996</v>
      </c>
    </row>
    <row r="403" spans="1:11" ht="15">
      <c r="A403" s="13">
        <v>53387</v>
      </c>
      <c r="B403" s="67">
        <f>6.0094 * CHOOSE(CONTROL!$C$22, $C$13, 100%, $E$13)</f>
        <v>6.0094000000000003</v>
      </c>
      <c r="C403" s="67">
        <f>6.0094 * CHOOSE(CONTROL!$C$22, $C$13, 100%, $E$13)</f>
        <v>6.0094000000000003</v>
      </c>
      <c r="D403" s="67">
        <f>6.0104 * CHOOSE(CONTROL!$C$22, $C$13, 100%, $E$13)</f>
        <v>6.0103999999999997</v>
      </c>
      <c r="E403" s="68">
        <f>7.2164 * CHOOSE(CONTROL!$C$22, $C$13, 100%, $E$13)</f>
        <v>7.2164000000000001</v>
      </c>
      <c r="F403" s="68">
        <f>7.2164 * CHOOSE(CONTROL!$C$22, $C$13, 100%, $E$13)</f>
        <v>7.2164000000000001</v>
      </c>
      <c r="G403" s="68">
        <f>7.2176 * CHOOSE(CONTROL!$C$22, $C$13, 100%, $E$13)</f>
        <v>7.2176</v>
      </c>
      <c r="H403" s="68">
        <f>11.6585* CHOOSE(CONTROL!$C$22, $C$13, 100%, $E$13)</f>
        <v>11.6585</v>
      </c>
      <c r="I403" s="68">
        <f>11.6598 * CHOOSE(CONTROL!$C$22, $C$13, 100%, $E$13)</f>
        <v>11.659800000000001</v>
      </c>
      <c r="J403" s="68">
        <f>7.2164 * CHOOSE(CONTROL!$C$22, $C$13, 100%, $E$13)</f>
        <v>7.2164000000000001</v>
      </c>
      <c r="K403" s="68">
        <f>7.2176 * CHOOSE(CONTROL!$C$22, $C$13, 100%, $E$13)</f>
        <v>7.2176</v>
      </c>
    </row>
    <row r="404" spans="1:11" ht="15">
      <c r="A404" s="13">
        <v>53418</v>
      </c>
      <c r="B404" s="67">
        <f>6.0088 * CHOOSE(CONTROL!$C$22, $C$13, 100%, $E$13)</f>
        <v>6.0087999999999999</v>
      </c>
      <c r="C404" s="67">
        <f>6.0088 * CHOOSE(CONTROL!$C$22, $C$13, 100%, $E$13)</f>
        <v>6.0087999999999999</v>
      </c>
      <c r="D404" s="67">
        <f>6.0098 * CHOOSE(CONTROL!$C$22, $C$13, 100%, $E$13)</f>
        <v>6.0098000000000003</v>
      </c>
      <c r="E404" s="68">
        <f>7.3105 * CHOOSE(CONTROL!$C$22, $C$13, 100%, $E$13)</f>
        <v>7.3105000000000002</v>
      </c>
      <c r="F404" s="68">
        <f>7.3105 * CHOOSE(CONTROL!$C$22, $C$13, 100%, $E$13)</f>
        <v>7.3105000000000002</v>
      </c>
      <c r="G404" s="68">
        <f>7.3118 * CHOOSE(CONTROL!$C$22, $C$13, 100%, $E$13)</f>
        <v>7.3117999999999999</v>
      </c>
      <c r="H404" s="68">
        <f>11.6828* CHOOSE(CONTROL!$C$22, $C$13, 100%, $E$13)</f>
        <v>11.6828</v>
      </c>
      <c r="I404" s="68">
        <f>11.6841 * CHOOSE(CONTROL!$C$22, $C$13, 100%, $E$13)</f>
        <v>11.684100000000001</v>
      </c>
      <c r="J404" s="68">
        <f>7.3105 * CHOOSE(CONTROL!$C$22, $C$13, 100%, $E$13)</f>
        <v>7.3105000000000002</v>
      </c>
      <c r="K404" s="68">
        <f>7.3118 * CHOOSE(CONTROL!$C$22, $C$13, 100%, $E$13)</f>
        <v>7.3117999999999999</v>
      </c>
    </row>
    <row r="405" spans="1:11" ht="15">
      <c r="A405" s="13">
        <v>53448</v>
      </c>
      <c r="B405" s="67">
        <f>6.0088 * CHOOSE(CONTROL!$C$22, $C$13, 100%, $E$13)</f>
        <v>6.0087999999999999</v>
      </c>
      <c r="C405" s="67">
        <f>6.0088 * CHOOSE(CONTROL!$C$22, $C$13, 100%, $E$13)</f>
        <v>6.0087999999999999</v>
      </c>
      <c r="D405" s="67">
        <f>6.0114 * CHOOSE(CONTROL!$C$22, $C$13, 100%, $E$13)</f>
        <v>6.0114000000000001</v>
      </c>
      <c r="E405" s="68">
        <f>7.3474 * CHOOSE(CONTROL!$C$22, $C$13, 100%, $E$13)</f>
        <v>7.3474000000000004</v>
      </c>
      <c r="F405" s="68">
        <f>7.3474 * CHOOSE(CONTROL!$C$22, $C$13, 100%, $E$13)</f>
        <v>7.3474000000000004</v>
      </c>
      <c r="G405" s="68">
        <f>7.3506 * CHOOSE(CONTROL!$C$22, $C$13, 100%, $E$13)</f>
        <v>7.3506</v>
      </c>
      <c r="H405" s="68">
        <f>11.7072* CHOOSE(CONTROL!$C$22, $C$13, 100%, $E$13)</f>
        <v>11.7072</v>
      </c>
      <c r="I405" s="68">
        <f>11.7104 * CHOOSE(CONTROL!$C$22, $C$13, 100%, $E$13)</f>
        <v>11.7104</v>
      </c>
      <c r="J405" s="68">
        <f>7.3474 * CHOOSE(CONTROL!$C$22, $C$13, 100%, $E$13)</f>
        <v>7.3474000000000004</v>
      </c>
      <c r="K405" s="68">
        <f>7.3506 * CHOOSE(CONTROL!$C$22, $C$13, 100%, $E$13)</f>
        <v>7.3506</v>
      </c>
    </row>
    <row r="406" spans="1:11" ht="15">
      <c r="A406" s="13">
        <v>53479</v>
      </c>
      <c r="B406" s="67">
        <f>6.0149 * CHOOSE(CONTROL!$C$22, $C$13, 100%, $E$13)</f>
        <v>6.0148999999999999</v>
      </c>
      <c r="C406" s="67">
        <f>6.0149 * CHOOSE(CONTROL!$C$22, $C$13, 100%, $E$13)</f>
        <v>6.0148999999999999</v>
      </c>
      <c r="D406" s="67">
        <f>6.0175 * CHOOSE(CONTROL!$C$22, $C$13, 100%, $E$13)</f>
        <v>6.0175000000000001</v>
      </c>
      <c r="E406" s="68">
        <f>7.3147 * CHOOSE(CONTROL!$C$22, $C$13, 100%, $E$13)</f>
        <v>7.3147000000000002</v>
      </c>
      <c r="F406" s="68">
        <f>7.3147 * CHOOSE(CONTROL!$C$22, $C$13, 100%, $E$13)</f>
        <v>7.3147000000000002</v>
      </c>
      <c r="G406" s="68">
        <f>7.318 * CHOOSE(CONTROL!$C$22, $C$13, 100%, $E$13)</f>
        <v>7.3179999999999996</v>
      </c>
      <c r="H406" s="68">
        <f>11.7315* CHOOSE(CONTROL!$C$22, $C$13, 100%, $E$13)</f>
        <v>11.7315</v>
      </c>
      <c r="I406" s="68">
        <f>11.7348 * CHOOSE(CONTROL!$C$22, $C$13, 100%, $E$13)</f>
        <v>11.7348</v>
      </c>
      <c r="J406" s="68">
        <f>7.3147 * CHOOSE(CONTROL!$C$22, $C$13, 100%, $E$13)</f>
        <v>7.3147000000000002</v>
      </c>
      <c r="K406" s="68">
        <f>7.318 * CHOOSE(CONTROL!$C$22, $C$13, 100%, $E$13)</f>
        <v>7.3179999999999996</v>
      </c>
    </row>
    <row r="407" spans="1:11" ht="15">
      <c r="A407" s="13">
        <v>53509</v>
      </c>
      <c r="B407" s="67">
        <f>6.1119 * CHOOSE(CONTROL!$C$22, $C$13, 100%, $E$13)</f>
        <v>6.1119000000000003</v>
      </c>
      <c r="C407" s="67">
        <f>6.1119 * CHOOSE(CONTROL!$C$22, $C$13, 100%, $E$13)</f>
        <v>6.1119000000000003</v>
      </c>
      <c r="D407" s="67">
        <f>6.1146 * CHOOSE(CONTROL!$C$22, $C$13, 100%, $E$13)</f>
        <v>6.1146000000000003</v>
      </c>
      <c r="E407" s="68">
        <f>7.4374 * CHOOSE(CONTROL!$C$22, $C$13, 100%, $E$13)</f>
        <v>7.4374000000000002</v>
      </c>
      <c r="F407" s="68">
        <f>7.4374 * CHOOSE(CONTROL!$C$22, $C$13, 100%, $E$13)</f>
        <v>7.4374000000000002</v>
      </c>
      <c r="G407" s="68">
        <f>7.4406 * CHOOSE(CONTROL!$C$22, $C$13, 100%, $E$13)</f>
        <v>7.4405999999999999</v>
      </c>
      <c r="H407" s="68">
        <f>11.756* CHOOSE(CONTROL!$C$22, $C$13, 100%, $E$13)</f>
        <v>11.756</v>
      </c>
      <c r="I407" s="68">
        <f>11.7592 * CHOOSE(CONTROL!$C$22, $C$13, 100%, $E$13)</f>
        <v>11.7592</v>
      </c>
      <c r="J407" s="68">
        <f>7.4374 * CHOOSE(CONTROL!$C$22, $C$13, 100%, $E$13)</f>
        <v>7.4374000000000002</v>
      </c>
      <c r="K407" s="68">
        <f>7.4406 * CHOOSE(CONTROL!$C$22, $C$13, 100%, $E$13)</f>
        <v>7.4405999999999999</v>
      </c>
    </row>
    <row r="408" spans="1:11" ht="15">
      <c r="A408" s="13">
        <v>53540</v>
      </c>
      <c r="B408" s="67">
        <f>6.1186 * CHOOSE(CONTROL!$C$22, $C$13, 100%, $E$13)</f>
        <v>6.1185999999999998</v>
      </c>
      <c r="C408" s="67">
        <f>6.1186 * CHOOSE(CONTROL!$C$22, $C$13, 100%, $E$13)</f>
        <v>6.1185999999999998</v>
      </c>
      <c r="D408" s="67">
        <f>6.1212 * CHOOSE(CONTROL!$C$22, $C$13, 100%, $E$13)</f>
        <v>6.1212</v>
      </c>
      <c r="E408" s="68">
        <f>7.3314 * CHOOSE(CONTROL!$C$22, $C$13, 100%, $E$13)</f>
        <v>7.3314000000000004</v>
      </c>
      <c r="F408" s="68">
        <f>7.3314 * CHOOSE(CONTROL!$C$22, $C$13, 100%, $E$13)</f>
        <v>7.3314000000000004</v>
      </c>
      <c r="G408" s="68">
        <f>7.3346 * CHOOSE(CONTROL!$C$22, $C$13, 100%, $E$13)</f>
        <v>7.3346</v>
      </c>
      <c r="H408" s="68">
        <f>11.7805* CHOOSE(CONTROL!$C$22, $C$13, 100%, $E$13)</f>
        <v>11.7805</v>
      </c>
      <c r="I408" s="68">
        <f>11.7837 * CHOOSE(CONTROL!$C$22, $C$13, 100%, $E$13)</f>
        <v>11.7837</v>
      </c>
      <c r="J408" s="68">
        <f>7.3314 * CHOOSE(CONTROL!$C$22, $C$13, 100%, $E$13)</f>
        <v>7.3314000000000004</v>
      </c>
      <c r="K408" s="68">
        <f>7.3346 * CHOOSE(CONTROL!$C$22, $C$13, 100%, $E$13)</f>
        <v>7.3346</v>
      </c>
    </row>
    <row r="409" spans="1:11" ht="15">
      <c r="A409" s="13">
        <v>53571</v>
      </c>
      <c r="B409" s="67">
        <f>6.1156 * CHOOSE(CONTROL!$C$22, $C$13, 100%, $E$13)</f>
        <v>6.1155999999999997</v>
      </c>
      <c r="C409" s="67">
        <f>6.1156 * CHOOSE(CONTROL!$C$22, $C$13, 100%, $E$13)</f>
        <v>6.1155999999999997</v>
      </c>
      <c r="D409" s="67">
        <f>6.1182 * CHOOSE(CONTROL!$C$22, $C$13, 100%, $E$13)</f>
        <v>6.1181999999999999</v>
      </c>
      <c r="E409" s="68">
        <f>7.317 * CHOOSE(CONTROL!$C$22, $C$13, 100%, $E$13)</f>
        <v>7.3170000000000002</v>
      </c>
      <c r="F409" s="68">
        <f>7.317 * CHOOSE(CONTROL!$C$22, $C$13, 100%, $E$13)</f>
        <v>7.3170000000000002</v>
      </c>
      <c r="G409" s="68">
        <f>7.3202 * CHOOSE(CONTROL!$C$22, $C$13, 100%, $E$13)</f>
        <v>7.3201999999999998</v>
      </c>
      <c r="H409" s="68">
        <f>11.805* CHOOSE(CONTROL!$C$22, $C$13, 100%, $E$13)</f>
        <v>11.805</v>
      </c>
      <c r="I409" s="68">
        <f>11.8083 * CHOOSE(CONTROL!$C$22, $C$13, 100%, $E$13)</f>
        <v>11.808299999999999</v>
      </c>
      <c r="J409" s="68">
        <f>7.317 * CHOOSE(CONTROL!$C$22, $C$13, 100%, $E$13)</f>
        <v>7.3170000000000002</v>
      </c>
      <c r="K409" s="68">
        <f>7.3202 * CHOOSE(CONTROL!$C$22, $C$13, 100%, $E$13)</f>
        <v>7.3201999999999998</v>
      </c>
    </row>
    <row r="410" spans="1:11" ht="15">
      <c r="A410" s="13">
        <v>53601</v>
      </c>
      <c r="B410" s="67">
        <f>6.1176 * CHOOSE(CONTROL!$C$22, $C$13, 100%, $E$13)</f>
        <v>6.1176000000000004</v>
      </c>
      <c r="C410" s="67">
        <f>6.1176 * CHOOSE(CONTROL!$C$22, $C$13, 100%, $E$13)</f>
        <v>6.1176000000000004</v>
      </c>
      <c r="D410" s="67">
        <f>6.1186 * CHOOSE(CONTROL!$C$22, $C$13, 100%, $E$13)</f>
        <v>6.1185999999999998</v>
      </c>
      <c r="E410" s="68">
        <f>7.3527 * CHOOSE(CONTROL!$C$22, $C$13, 100%, $E$13)</f>
        <v>7.3526999999999996</v>
      </c>
      <c r="F410" s="68">
        <f>7.3527 * CHOOSE(CONTROL!$C$22, $C$13, 100%, $E$13)</f>
        <v>7.3526999999999996</v>
      </c>
      <c r="G410" s="68">
        <f>7.354 * CHOOSE(CONTROL!$C$22, $C$13, 100%, $E$13)</f>
        <v>7.3540000000000001</v>
      </c>
      <c r="H410" s="68">
        <f>11.8296* CHOOSE(CONTROL!$C$22, $C$13, 100%, $E$13)</f>
        <v>11.829599999999999</v>
      </c>
      <c r="I410" s="68">
        <f>11.8309 * CHOOSE(CONTROL!$C$22, $C$13, 100%, $E$13)</f>
        <v>11.8309</v>
      </c>
      <c r="J410" s="68">
        <f>7.3527 * CHOOSE(CONTROL!$C$22, $C$13, 100%, $E$13)</f>
        <v>7.3526999999999996</v>
      </c>
      <c r="K410" s="68">
        <f>7.354 * CHOOSE(CONTROL!$C$22, $C$13, 100%, $E$13)</f>
        <v>7.3540000000000001</v>
      </c>
    </row>
    <row r="411" spans="1:11" ht="15">
      <c r="A411" s="13">
        <v>53632</v>
      </c>
      <c r="B411" s="67">
        <f>6.1207 * CHOOSE(CONTROL!$C$22, $C$13, 100%, $E$13)</f>
        <v>6.1207000000000003</v>
      </c>
      <c r="C411" s="67">
        <f>6.1207 * CHOOSE(CONTROL!$C$22, $C$13, 100%, $E$13)</f>
        <v>6.1207000000000003</v>
      </c>
      <c r="D411" s="67">
        <f>6.1217 * CHOOSE(CONTROL!$C$22, $C$13, 100%, $E$13)</f>
        <v>6.1216999999999997</v>
      </c>
      <c r="E411" s="68">
        <f>7.3794 * CHOOSE(CONTROL!$C$22, $C$13, 100%, $E$13)</f>
        <v>7.3794000000000004</v>
      </c>
      <c r="F411" s="68">
        <f>7.3794 * CHOOSE(CONTROL!$C$22, $C$13, 100%, $E$13)</f>
        <v>7.3794000000000004</v>
      </c>
      <c r="G411" s="68">
        <f>7.3807 * CHOOSE(CONTROL!$C$22, $C$13, 100%, $E$13)</f>
        <v>7.3807</v>
      </c>
      <c r="H411" s="68">
        <f>11.8543* CHOOSE(CONTROL!$C$22, $C$13, 100%, $E$13)</f>
        <v>11.8543</v>
      </c>
      <c r="I411" s="68">
        <f>11.8555 * CHOOSE(CONTROL!$C$22, $C$13, 100%, $E$13)</f>
        <v>11.855499999999999</v>
      </c>
      <c r="J411" s="68">
        <f>7.3794 * CHOOSE(CONTROL!$C$22, $C$13, 100%, $E$13)</f>
        <v>7.3794000000000004</v>
      </c>
      <c r="K411" s="68">
        <f>7.3807 * CHOOSE(CONTROL!$C$22, $C$13, 100%, $E$13)</f>
        <v>7.3807</v>
      </c>
    </row>
    <row r="412" spans="1:11" ht="15">
      <c r="A412" s="13">
        <v>53662</v>
      </c>
      <c r="B412" s="67">
        <f>6.1207 * CHOOSE(CONTROL!$C$22, $C$13, 100%, $E$13)</f>
        <v>6.1207000000000003</v>
      </c>
      <c r="C412" s="67">
        <f>6.1207 * CHOOSE(CONTROL!$C$22, $C$13, 100%, $E$13)</f>
        <v>6.1207000000000003</v>
      </c>
      <c r="D412" s="67">
        <f>6.1217 * CHOOSE(CONTROL!$C$22, $C$13, 100%, $E$13)</f>
        <v>6.1216999999999997</v>
      </c>
      <c r="E412" s="68">
        <f>7.318 * CHOOSE(CONTROL!$C$22, $C$13, 100%, $E$13)</f>
        <v>7.3179999999999996</v>
      </c>
      <c r="F412" s="68">
        <f>7.318 * CHOOSE(CONTROL!$C$22, $C$13, 100%, $E$13)</f>
        <v>7.3179999999999996</v>
      </c>
      <c r="G412" s="68">
        <f>7.3192 * CHOOSE(CONTROL!$C$22, $C$13, 100%, $E$13)</f>
        <v>7.3192000000000004</v>
      </c>
      <c r="H412" s="68">
        <f>11.879* CHOOSE(CONTROL!$C$22, $C$13, 100%, $E$13)</f>
        <v>11.879</v>
      </c>
      <c r="I412" s="68">
        <f>11.8802 * CHOOSE(CONTROL!$C$22, $C$13, 100%, $E$13)</f>
        <v>11.8802</v>
      </c>
      <c r="J412" s="68">
        <f>7.318 * CHOOSE(CONTROL!$C$22, $C$13, 100%, $E$13)</f>
        <v>7.3179999999999996</v>
      </c>
      <c r="K412" s="68">
        <f>7.3192 * CHOOSE(CONTROL!$C$22, $C$13, 100%, $E$13)</f>
        <v>7.3192000000000004</v>
      </c>
    </row>
    <row r="413" spans="1:11" ht="15">
      <c r="A413" s="13">
        <v>53693</v>
      </c>
      <c r="B413" s="67">
        <f>6.1742 * CHOOSE(CONTROL!$C$22, $C$13, 100%, $E$13)</f>
        <v>6.1741999999999999</v>
      </c>
      <c r="C413" s="67">
        <f>6.1742 * CHOOSE(CONTROL!$C$22, $C$13, 100%, $E$13)</f>
        <v>6.1741999999999999</v>
      </c>
      <c r="D413" s="67">
        <f>6.1752 * CHOOSE(CONTROL!$C$22, $C$13, 100%, $E$13)</f>
        <v>6.1752000000000002</v>
      </c>
      <c r="E413" s="68">
        <f>7.4222 * CHOOSE(CONTROL!$C$22, $C$13, 100%, $E$13)</f>
        <v>7.4222000000000001</v>
      </c>
      <c r="F413" s="68">
        <f>7.4222 * CHOOSE(CONTROL!$C$22, $C$13, 100%, $E$13)</f>
        <v>7.4222000000000001</v>
      </c>
      <c r="G413" s="68">
        <f>7.4235 * CHOOSE(CONTROL!$C$22, $C$13, 100%, $E$13)</f>
        <v>7.4234999999999998</v>
      </c>
      <c r="H413" s="68">
        <f>11.9037* CHOOSE(CONTROL!$C$22, $C$13, 100%, $E$13)</f>
        <v>11.903700000000001</v>
      </c>
      <c r="I413" s="68">
        <f>11.905 * CHOOSE(CONTROL!$C$22, $C$13, 100%, $E$13)</f>
        <v>11.904999999999999</v>
      </c>
      <c r="J413" s="68">
        <f>7.4222 * CHOOSE(CONTROL!$C$22, $C$13, 100%, $E$13)</f>
        <v>7.4222000000000001</v>
      </c>
      <c r="K413" s="68">
        <f>7.4235 * CHOOSE(CONTROL!$C$22, $C$13, 100%, $E$13)</f>
        <v>7.4234999999999998</v>
      </c>
    </row>
    <row r="414" spans="1:11" ht="15">
      <c r="A414" s="13">
        <v>53724</v>
      </c>
      <c r="B414" s="67">
        <f>6.1712 * CHOOSE(CONTROL!$C$22, $C$13, 100%, $E$13)</f>
        <v>6.1711999999999998</v>
      </c>
      <c r="C414" s="67">
        <f>6.1712 * CHOOSE(CONTROL!$C$22, $C$13, 100%, $E$13)</f>
        <v>6.1711999999999998</v>
      </c>
      <c r="D414" s="67">
        <f>6.1722 * CHOOSE(CONTROL!$C$22, $C$13, 100%, $E$13)</f>
        <v>6.1722000000000001</v>
      </c>
      <c r="E414" s="68">
        <f>7.3006 * CHOOSE(CONTROL!$C$22, $C$13, 100%, $E$13)</f>
        <v>7.3006000000000002</v>
      </c>
      <c r="F414" s="68">
        <f>7.3006 * CHOOSE(CONTROL!$C$22, $C$13, 100%, $E$13)</f>
        <v>7.3006000000000002</v>
      </c>
      <c r="G414" s="68">
        <f>7.3019 * CHOOSE(CONTROL!$C$22, $C$13, 100%, $E$13)</f>
        <v>7.3018999999999998</v>
      </c>
      <c r="H414" s="68">
        <f>11.9285* CHOOSE(CONTROL!$C$22, $C$13, 100%, $E$13)</f>
        <v>11.9285</v>
      </c>
      <c r="I414" s="68">
        <f>11.9298 * CHOOSE(CONTROL!$C$22, $C$13, 100%, $E$13)</f>
        <v>11.9298</v>
      </c>
      <c r="J414" s="68">
        <f>7.3006 * CHOOSE(CONTROL!$C$22, $C$13, 100%, $E$13)</f>
        <v>7.3006000000000002</v>
      </c>
      <c r="K414" s="68">
        <f>7.3019 * CHOOSE(CONTROL!$C$22, $C$13, 100%, $E$13)</f>
        <v>7.3018999999999998</v>
      </c>
    </row>
    <row r="415" spans="1:11" ht="15">
      <c r="A415" s="13">
        <v>53752</v>
      </c>
      <c r="B415" s="67">
        <f>6.1681 * CHOOSE(CONTROL!$C$22, $C$13, 100%, $E$13)</f>
        <v>6.1680999999999999</v>
      </c>
      <c r="C415" s="67">
        <f>6.1681 * CHOOSE(CONTROL!$C$22, $C$13, 100%, $E$13)</f>
        <v>6.1680999999999999</v>
      </c>
      <c r="D415" s="67">
        <f>6.1691 * CHOOSE(CONTROL!$C$22, $C$13, 100%, $E$13)</f>
        <v>6.1691000000000003</v>
      </c>
      <c r="E415" s="68">
        <f>7.3927 * CHOOSE(CONTROL!$C$22, $C$13, 100%, $E$13)</f>
        <v>7.3926999999999996</v>
      </c>
      <c r="F415" s="68">
        <f>7.3927 * CHOOSE(CONTROL!$C$22, $C$13, 100%, $E$13)</f>
        <v>7.3926999999999996</v>
      </c>
      <c r="G415" s="68">
        <f>7.394 * CHOOSE(CONTROL!$C$22, $C$13, 100%, $E$13)</f>
        <v>7.3940000000000001</v>
      </c>
      <c r="H415" s="68">
        <f>11.9533* CHOOSE(CONTROL!$C$22, $C$13, 100%, $E$13)</f>
        <v>11.9533</v>
      </c>
      <c r="I415" s="68">
        <f>11.9546 * CHOOSE(CONTROL!$C$22, $C$13, 100%, $E$13)</f>
        <v>11.954599999999999</v>
      </c>
      <c r="J415" s="68">
        <f>7.3927 * CHOOSE(CONTROL!$C$22, $C$13, 100%, $E$13)</f>
        <v>7.3926999999999996</v>
      </c>
      <c r="K415" s="68">
        <f>7.394 * CHOOSE(CONTROL!$C$22, $C$13, 100%, $E$13)</f>
        <v>7.3940000000000001</v>
      </c>
    </row>
    <row r="416" spans="1:11" ht="15">
      <c r="A416" s="13">
        <v>53783</v>
      </c>
      <c r="B416" s="67">
        <f>6.1677 * CHOOSE(CONTROL!$C$22, $C$13, 100%, $E$13)</f>
        <v>6.1677</v>
      </c>
      <c r="C416" s="67">
        <f>6.1677 * CHOOSE(CONTROL!$C$22, $C$13, 100%, $E$13)</f>
        <v>6.1677</v>
      </c>
      <c r="D416" s="67">
        <f>6.1686 * CHOOSE(CONTROL!$C$22, $C$13, 100%, $E$13)</f>
        <v>6.1685999999999996</v>
      </c>
      <c r="E416" s="68">
        <f>7.4896 * CHOOSE(CONTROL!$C$22, $C$13, 100%, $E$13)</f>
        <v>7.4896000000000003</v>
      </c>
      <c r="F416" s="68">
        <f>7.4896 * CHOOSE(CONTROL!$C$22, $C$13, 100%, $E$13)</f>
        <v>7.4896000000000003</v>
      </c>
      <c r="G416" s="68">
        <f>7.4908 * CHOOSE(CONTROL!$C$22, $C$13, 100%, $E$13)</f>
        <v>7.4908000000000001</v>
      </c>
      <c r="H416" s="68">
        <f>11.9783* CHOOSE(CONTROL!$C$22, $C$13, 100%, $E$13)</f>
        <v>11.978300000000001</v>
      </c>
      <c r="I416" s="68">
        <f>11.9795 * CHOOSE(CONTROL!$C$22, $C$13, 100%, $E$13)</f>
        <v>11.9795</v>
      </c>
      <c r="J416" s="68">
        <f>7.4896 * CHOOSE(CONTROL!$C$22, $C$13, 100%, $E$13)</f>
        <v>7.4896000000000003</v>
      </c>
      <c r="K416" s="68">
        <f>7.4908 * CHOOSE(CONTROL!$C$22, $C$13, 100%, $E$13)</f>
        <v>7.4908000000000001</v>
      </c>
    </row>
    <row r="417" spans="1:11" ht="15">
      <c r="A417" s="13">
        <v>53813</v>
      </c>
      <c r="B417" s="67">
        <f>6.1677 * CHOOSE(CONTROL!$C$22, $C$13, 100%, $E$13)</f>
        <v>6.1677</v>
      </c>
      <c r="C417" s="67">
        <f>6.1677 * CHOOSE(CONTROL!$C$22, $C$13, 100%, $E$13)</f>
        <v>6.1677</v>
      </c>
      <c r="D417" s="67">
        <f>6.1703 * CHOOSE(CONTROL!$C$22, $C$13, 100%, $E$13)</f>
        <v>6.1703000000000001</v>
      </c>
      <c r="E417" s="68">
        <f>7.5275 * CHOOSE(CONTROL!$C$22, $C$13, 100%, $E$13)</f>
        <v>7.5274999999999999</v>
      </c>
      <c r="F417" s="68">
        <f>7.5275 * CHOOSE(CONTROL!$C$22, $C$13, 100%, $E$13)</f>
        <v>7.5274999999999999</v>
      </c>
      <c r="G417" s="68">
        <f>7.5307 * CHOOSE(CONTROL!$C$22, $C$13, 100%, $E$13)</f>
        <v>7.5307000000000004</v>
      </c>
      <c r="H417" s="68">
        <f>12.0032* CHOOSE(CONTROL!$C$22, $C$13, 100%, $E$13)</f>
        <v>12.0032</v>
      </c>
      <c r="I417" s="68">
        <f>12.0065 * CHOOSE(CONTROL!$C$22, $C$13, 100%, $E$13)</f>
        <v>12.006500000000001</v>
      </c>
      <c r="J417" s="68">
        <f>7.5275 * CHOOSE(CONTROL!$C$22, $C$13, 100%, $E$13)</f>
        <v>7.5274999999999999</v>
      </c>
      <c r="K417" s="68">
        <f>7.5307 * CHOOSE(CONTROL!$C$22, $C$13, 100%, $E$13)</f>
        <v>7.5307000000000004</v>
      </c>
    </row>
    <row r="418" spans="1:11" ht="15">
      <c r="A418" s="13">
        <v>53844</v>
      </c>
      <c r="B418" s="67">
        <f>6.1737 * CHOOSE(CONTROL!$C$22, $C$13, 100%, $E$13)</f>
        <v>6.1737000000000002</v>
      </c>
      <c r="C418" s="67">
        <f>6.1737 * CHOOSE(CONTROL!$C$22, $C$13, 100%, $E$13)</f>
        <v>6.1737000000000002</v>
      </c>
      <c r="D418" s="67">
        <f>6.1764 * CHOOSE(CONTROL!$C$22, $C$13, 100%, $E$13)</f>
        <v>6.1764000000000001</v>
      </c>
      <c r="E418" s="68">
        <f>7.4938 * CHOOSE(CONTROL!$C$22, $C$13, 100%, $E$13)</f>
        <v>7.4938000000000002</v>
      </c>
      <c r="F418" s="68">
        <f>7.4938 * CHOOSE(CONTROL!$C$22, $C$13, 100%, $E$13)</f>
        <v>7.4938000000000002</v>
      </c>
      <c r="G418" s="68">
        <f>7.497 * CHOOSE(CONTROL!$C$22, $C$13, 100%, $E$13)</f>
        <v>7.4969999999999999</v>
      </c>
      <c r="H418" s="68">
        <f>12.0282* CHOOSE(CONTROL!$C$22, $C$13, 100%, $E$13)</f>
        <v>12.0282</v>
      </c>
      <c r="I418" s="68">
        <f>12.0315 * CHOOSE(CONTROL!$C$22, $C$13, 100%, $E$13)</f>
        <v>12.031499999999999</v>
      </c>
      <c r="J418" s="68">
        <f>7.4938 * CHOOSE(CONTROL!$C$22, $C$13, 100%, $E$13)</f>
        <v>7.4938000000000002</v>
      </c>
      <c r="K418" s="68">
        <f>7.497 * CHOOSE(CONTROL!$C$22, $C$13, 100%, $E$13)</f>
        <v>7.4969999999999999</v>
      </c>
    </row>
    <row r="419" spans="1:11" ht="15">
      <c r="A419" s="13">
        <v>53874</v>
      </c>
      <c r="B419" s="67">
        <f>6.273 * CHOOSE(CONTROL!$C$22, $C$13, 100%, $E$13)</f>
        <v>6.2729999999999997</v>
      </c>
      <c r="C419" s="67">
        <f>6.273 * CHOOSE(CONTROL!$C$22, $C$13, 100%, $E$13)</f>
        <v>6.2729999999999997</v>
      </c>
      <c r="D419" s="67">
        <f>6.2757 * CHOOSE(CONTROL!$C$22, $C$13, 100%, $E$13)</f>
        <v>6.2756999999999996</v>
      </c>
      <c r="E419" s="68">
        <f>7.6192 * CHOOSE(CONTROL!$C$22, $C$13, 100%, $E$13)</f>
        <v>7.6192000000000002</v>
      </c>
      <c r="F419" s="68">
        <f>7.6192 * CHOOSE(CONTROL!$C$22, $C$13, 100%, $E$13)</f>
        <v>7.6192000000000002</v>
      </c>
      <c r="G419" s="68">
        <f>7.6224 * CHOOSE(CONTROL!$C$22, $C$13, 100%, $E$13)</f>
        <v>7.6223999999999998</v>
      </c>
      <c r="H419" s="68">
        <f>12.0533* CHOOSE(CONTROL!$C$22, $C$13, 100%, $E$13)</f>
        <v>12.0533</v>
      </c>
      <c r="I419" s="68">
        <f>12.0565 * CHOOSE(CONTROL!$C$22, $C$13, 100%, $E$13)</f>
        <v>12.0565</v>
      </c>
      <c r="J419" s="68">
        <f>7.6192 * CHOOSE(CONTROL!$C$22, $C$13, 100%, $E$13)</f>
        <v>7.6192000000000002</v>
      </c>
      <c r="K419" s="68">
        <f>7.6224 * CHOOSE(CONTROL!$C$22, $C$13, 100%, $E$13)</f>
        <v>7.6223999999999998</v>
      </c>
    </row>
    <row r="420" spans="1:11" ht="15">
      <c r="A420" s="13">
        <v>53905</v>
      </c>
      <c r="B420" s="67">
        <f>6.2797 * CHOOSE(CONTROL!$C$22, $C$13, 100%, $E$13)</f>
        <v>6.2797000000000001</v>
      </c>
      <c r="C420" s="67">
        <f>6.2797 * CHOOSE(CONTROL!$C$22, $C$13, 100%, $E$13)</f>
        <v>6.2797000000000001</v>
      </c>
      <c r="D420" s="67">
        <f>6.2824 * CHOOSE(CONTROL!$C$22, $C$13, 100%, $E$13)</f>
        <v>6.2824</v>
      </c>
      <c r="E420" s="68">
        <f>7.5101 * CHOOSE(CONTROL!$C$22, $C$13, 100%, $E$13)</f>
        <v>7.5101000000000004</v>
      </c>
      <c r="F420" s="68">
        <f>7.5101 * CHOOSE(CONTROL!$C$22, $C$13, 100%, $E$13)</f>
        <v>7.5101000000000004</v>
      </c>
      <c r="G420" s="68">
        <f>7.5133 * CHOOSE(CONTROL!$C$22, $C$13, 100%, $E$13)</f>
        <v>7.5133000000000001</v>
      </c>
      <c r="H420" s="68">
        <f>12.0784* CHOOSE(CONTROL!$C$22, $C$13, 100%, $E$13)</f>
        <v>12.0784</v>
      </c>
      <c r="I420" s="68">
        <f>12.0816 * CHOOSE(CONTROL!$C$22, $C$13, 100%, $E$13)</f>
        <v>12.0816</v>
      </c>
      <c r="J420" s="68">
        <f>7.5101 * CHOOSE(CONTROL!$C$22, $C$13, 100%, $E$13)</f>
        <v>7.5101000000000004</v>
      </c>
      <c r="K420" s="68">
        <f>7.5133 * CHOOSE(CONTROL!$C$22, $C$13, 100%, $E$13)</f>
        <v>7.5133000000000001</v>
      </c>
    </row>
    <row r="421" spans="1:11" ht="15">
      <c r="A421" s="13">
        <v>53936</v>
      </c>
      <c r="B421" s="67">
        <f>6.2767 * CHOOSE(CONTROL!$C$22, $C$13, 100%, $E$13)</f>
        <v>6.2766999999999999</v>
      </c>
      <c r="C421" s="67">
        <f>6.2767 * CHOOSE(CONTROL!$C$22, $C$13, 100%, $E$13)</f>
        <v>6.2766999999999999</v>
      </c>
      <c r="D421" s="67">
        <f>6.2793 * CHOOSE(CONTROL!$C$22, $C$13, 100%, $E$13)</f>
        <v>6.2793000000000001</v>
      </c>
      <c r="E421" s="68">
        <f>7.4953 * CHOOSE(CONTROL!$C$22, $C$13, 100%, $E$13)</f>
        <v>7.4953000000000003</v>
      </c>
      <c r="F421" s="68">
        <f>7.4953 * CHOOSE(CONTROL!$C$22, $C$13, 100%, $E$13)</f>
        <v>7.4953000000000003</v>
      </c>
      <c r="G421" s="68">
        <f>7.4986 * CHOOSE(CONTROL!$C$22, $C$13, 100%, $E$13)</f>
        <v>7.4985999999999997</v>
      </c>
      <c r="H421" s="68">
        <f>12.1035* CHOOSE(CONTROL!$C$22, $C$13, 100%, $E$13)</f>
        <v>12.1035</v>
      </c>
      <c r="I421" s="68">
        <f>12.1068 * CHOOSE(CONTROL!$C$22, $C$13, 100%, $E$13)</f>
        <v>12.1068</v>
      </c>
      <c r="J421" s="68">
        <f>7.4953 * CHOOSE(CONTROL!$C$22, $C$13, 100%, $E$13)</f>
        <v>7.4953000000000003</v>
      </c>
      <c r="K421" s="68">
        <f>7.4986 * CHOOSE(CONTROL!$C$22, $C$13, 100%, $E$13)</f>
        <v>7.4985999999999997</v>
      </c>
    </row>
    <row r="422" spans="1:11" ht="15">
      <c r="A422" s="13">
        <v>53966</v>
      </c>
      <c r="B422" s="67">
        <f>6.2793 * CHOOSE(CONTROL!$C$22, $C$13, 100%, $E$13)</f>
        <v>6.2793000000000001</v>
      </c>
      <c r="C422" s="67">
        <f>6.2793 * CHOOSE(CONTROL!$C$22, $C$13, 100%, $E$13)</f>
        <v>6.2793000000000001</v>
      </c>
      <c r="D422" s="67">
        <f>6.2803 * CHOOSE(CONTROL!$C$22, $C$13, 100%, $E$13)</f>
        <v>6.2803000000000004</v>
      </c>
      <c r="E422" s="68">
        <f>7.5325 * CHOOSE(CONTROL!$C$22, $C$13, 100%, $E$13)</f>
        <v>7.5324999999999998</v>
      </c>
      <c r="F422" s="68">
        <f>7.5325 * CHOOSE(CONTROL!$C$22, $C$13, 100%, $E$13)</f>
        <v>7.5324999999999998</v>
      </c>
      <c r="G422" s="68">
        <f>7.5337 * CHOOSE(CONTROL!$C$22, $C$13, 100%, $E$13)</f>
        <v>7.5336999999999996</v>
      </c>
      <c r="H422" s="68">
        <f>12.1288* CHOOSE(CONTROL!$C$22, $C$13, 100%, $E$13)</f>
        <v>12.1288</v>
      </c>
      <c r="I422" s="68">
        <f>12.13 * CHOOSE(CONTROL!$C$22, $C$13, 100%, $E$13)</f>
        <v>12.13</v>
      </c>
      <c r="J422" s="68">
        <f>7.5325 * CHOOSE(CONTROL!$C$22, $C$13, 100%, $E$13)</f>
        <v>7.5324999999999998</v>
      </c>
      <c r="K422" s="68">
        <f>7.5337 * CHOOSE(CONTROL!$C$22, $C$13, 100%, $E$13)</f>
        <v>7.5336999999999996</v>
      </c>
    </row>
    <row r="423" spans="1:11" ht="15">
      <c r="A423" s="13">
        <v>53997</v>
      </c>
      <c r="B423" s="67">
        <f>6.2823 * CHOOSE(CONTROL!$C$22, $C$13, 100%, $E$13)</f>
        <v>6.2823000000000002</v>
      </c>
      <c r="C423" s="67">
        <f>6.2823 * CHOOSE(CONTROL!$C$22, $C$13, 100%, $E$13)</f>
        <v>6.2823000000000002</v>
      </c>
      <c r="D423" s="67">
        <f>6.2833 * CHOOSE(CONTROL!$C$22, $C$13, 100%, $E$13)</f>
        <v>6.2832999999999997</v>
      </c>
      <c r="E423" s="68">
        <f>7.5599 * CHOOSE(CONTROL!$C$22, $C$13, 100%, $E$13)</f>
        <v>7.5598999999999998</v>
      </c>
      <c r="F423" s="68">
        <f>7.5599 * CHOOSE(CONTROL!$C$22, $C$13, 100%, $E$13)</f>
        <v>7.5598999999999998</v>
      </c>
      <c r="G423" s="68">
        <f>7.5611 * CHOOSE(CONTROL!$C$22, $C$13, 100%, $E$13)</f>
        <v>7.5610999999999997</v>
      </c>
      <c r="H423" s="68">
        <f>12.154* CHOOSE(CONTROL!$C$22, $C$13, 100%, $E$13)</f>
        <v>12.154</v>
      </c>
      <c r="I423" s="68">
        <f>12.1553 * CHOOSE(CONTROL!$C$22, $C$13, 100%, $E$13)</f>
        <v>12.1553</v>
      </c>
      <c r="J423" s="68">
        <f>7.5599 * CHOOSE(CONTROL!$C$22, $C$13, 100%, $E$13)</f>
        <v>7.5598999999999998</v>
      </c>
      <c r="K423" s="68">
        <f>7.5611 * CHOOSE(CONTROL!$C$22, $C$13, 100%, $E$13)</f>
        <v>7.5610999999999997</v>
      </c>
    </row>
    <row r="424" spans="1:11" ht="15">
      <c r="A424" s="13">
        <v>54027</v>
      </c>
      <c r="B424" s="67">
        <f>6.2823 * CHOOSE(CONTROL!$C$22, $C$13, 100%, $E$13)</f>
        <v>6.2823000000000002</v>
      </c>
      <c r="C424" s="67">
        <f>6.2823 * CHOOSE(CONTROL!$C$22, $C$13, 100%, $E$13)</f>
        <v>6.2823000000000002</v>
      </c>
      <c r="D424" s="67">
        <f>6.2833 * CHOOSE(CONTROL!$C$22, $C$13, 100%, $E$13)</f>
        <v>6.2832999999999997</v>
      </c>
      <c r="E424" s="68">
        <f>7.4967 * CHOOSE(CONTROL!$C$22, $C$13, 100%, $E$13)</f>
        <v>7.4966999999999997</v>
      </c>
      <c r="F424" s="68">
        <f>7.4967 * CHOOSE(CONTROL!$C$22, $C$13, 100%, $E$13)</f>
        <v>7.4966999999999997</v>
      </c>
      <c r="G424" s="68">
        <f>7.4979 * CHOOSE(CONTROL!$C$22, $C$13, 100%, $E$13)</f>
        <v>7.4978999999999996</v>
      </c>
      <c r="H424" s="68">
        <f>12.1794* CHOOSE(CONTROL!$C$22, $C$13, 100%, $E$13)</f>
        <v>12.179399999999999</v>
      </c>
      <c r="I424" s="68">
        <f>12.1806 * CHOOSE(CONTROL!$C$22, $C$13, 100%, $E$13)</f>
        <v>12.1806</v>
      </c>
      <c r="J424" s="68">
        <f>7.4967 * CHOOSE(CONTROL!$C$22, $C$13, 100%, $E$13)</f>
        <v>7.4966999999999997</v>
      </c>
      <c r="K424" s="68">
        <f>7.4979 * CHOOSE(CONTROL!$C$22, $C$13, 100%, $E$13)</f>
        <v>7.4978999999999996</v>
      </c>
    </row>
    <row r="425" spans="1:11" ht="15">
      <c r="A425" s="13">
        <v>54058</v>
      </c>
      <c r="B425" s="67">
        <f>6.3372 * CHOOSE(CONTROL!$C$22, $C$13, 100%, $E$13)</f>
        <v>6.3372000000000002</v>
      </c>
      <c r="C425" s="67">
        <f>6.3372 * CHOOSE(CONTROL!$C$22, $C$13, 100%, $E$13)</f>
        <v>6.3372000000000002</v>
      </c>
      <c r="D425" s="67">
        <f>6.3381 * CHOOSE(CONTROL!$C$22, $C$13, 100%, $E$13)</f>
        <v>6.3380999999999998</v>
      </c>
      <c r="E425" s="68">
        <f>7.6035 * CHOOSE(CONTROL!$C$22, $C$13, 100%, $E$13)</f>
        <v>7.6035000000000004</v>
      </c>
      <c r="F425" s="68">
        <f>7.6035 * CHOOSE(CONTROL!$C$22, $C$13, 100%, $E$13)</f>
        <v>7.6035000000000004</v>
      </c>
      <c r="G425" s="68">
        <f>7.6048 * CHOOSE(CONTROL!$C$22, $C$13, 100%, $E$13)</f>
        <v>7.6048</v>
      </c>
      <c r="H425" s="68">
        <f>12.2047* CHOOSE(CONTROL!$C$22, $C$13, 100%, $E$13)</f>
        <v>12.204700000000001</v>
      </c>
      <c r="I425" s="68">
        <f>12.206 * CHOOSE(CONTROL!$C$22, $C$13, 100%, $E$13)</f>
        <v>12.206</v>
      </c>
      <c r="J425" s="68">
        <f>7.6035 * CHOOSE(CONTROL!$C$22, $C$13, 100%, $E$13)</f>
        <v>7.6035000000000004</v>
      </c>
      <c r="K425" s="68">
        <f>7.6048 * CHOOSE(CONTROL!$C$22, $C$13, 100%, $E$13)</f>
        <v>7.6048</v>
      </c>
    </row>
    <row r="426" spans="1:11" ht="15">
      <c r="A426" s="13">
        <v>54089</v>
      </c>
      <c r="B426" s="67">
        <f>6.3341 * CHOOSE(CONTROL!$C$22, $C$13, 100%, $E$13)</f>
        <v>6.3341000000000003</v>
      </c>
      <c r="C426" s="67">
        <f>6.3341 * CHOOSE(CONTROL!$C$22, $C$13, 100%, $E$13)</f>
        <v>6.3341000000000003</v>
      </c>
      <c r="D426" s="67">
        <f>6.3351 * CHOOSE(CONTROL!$C$22, $C$13, 100%, $E$13)</f>
        <v>6.3350999999999997</v>
      </c>
      <c r="E426" s="68">
        <f>7.4786 * CHOOSE(CONTROL!$C$22, $C$13, 100%, $E$13)</f>
        <v>7.4786000000000001</v>
      </c>
      <c r="F426" s="68">
        <f>7.4786 * CHOOSE(CONTROL!$C$22, $C$13, 100%, $E$13)</f>
        <v>7.4786000000000001</v>
      </c>
      <c r="G426" s="68">
        <f>7.4799 * CHOOSE(CONTROL!$C$22, $C$13, 100%, $E$13)</f>
        <v>7.4798999999999998</v>
      </c>
      <c r="H426" s="68">
        <f>12.2302* CHOOSE(CONTROL!$C$22, $C$13, 100%, $E$13)</f>
        <v>12.2302</v>
      </c>
      <c r="I426" s="68">
        <f>12.2314 * CHOOSE(CONTROL!$C$22, $C$13, 100%, $E$13)</f>
        <v>12.231400000000001</v>
      </c>
      <c r="J426" s="68">
        <f>7.4786 * CHOOSE(CONTROL!$C$22, $C$13, 100%, $E$13)</f>
        <v>7.4786000000000001</v>
      </c>
      <c r="K426" s="68">
        <f>7.4799 * CHOOSE(CONTROL!$C$22, $C$13, 100%, $E$13)</f>
        <v>7.4798999999999998</v>
      </c>
    </row>
    <row r="427" spans="1:11" ht="15">
      <c r="A427" s="13">
        <v>54118</v>
      </c>
      <c r="B427" s="67">
        <f>6.3311 * CHOOSE(CONTROL!$C$22, $C$13, 100%, $E$13)</f>
        <v>6.3311000000000002</v>
      </c>
      <c r="C427" s="67">
        <f>6.3311 * CHOOSE(CONTROL!$C$22, $C$13, 100%, $E$13)</f>
        <v>6.3311000000000002</v>
      </c>
      <c r="D427" s="67">
        <f>6.3321 * CHOOSE(CONTROL!$C$22, $C$13, 100%, $E$13)</f>
        <v>6.3320999999999996</v>
      </c>
      <c r="E427" s="68">
        <f>7.5733 * CHOOSE(CONTROL!$C$22, $C$13, 100%, $E$13)</f>
        <v>7.5732999999999997</v>
      </c>
      <c r="F427" s="68">
        <f>7.5733 * CHOOSE(CONTROL!$C$22, $C$13, 100%, $E$13)</f>
        <v>7.5732999999999997</v>
      </c>
      <c r="G427" s="68">
        <f>7.5746 * CHOOSE(CONTROL!$C$22, $C$13, 100%, $E$13)</f>
        <v>7.5746000000000002</v>
      </c>
      <c r="H427" s="68">
        <f>12.2556* CHOOSE(CONTROL!$C$22, $C$13, 100%, $E$13)</f>
        <v>12.255599999999999</v>
      </c>
      <c r="I427" s="68">
        <f>12.2569 * CHOOSE(CONTROL!$C$22, $C$13, 100%, $E$13)</f>
        <v>12.2569</v>
      </c>
      <c r="J427" s="68">
        <f>7.5733 * CHOOSE(CONTROL!$C$22, $C$13, 100%, $E$13)</f>
        <v>7.5732999999999997</v>
      </c>
      <c r="K427" s="68">
        <f>7.5746 * CHOOSE(CONTROL!$C$22, $C$13, 100%, $E$13)</f>
        <v>7.5746000000000002</v>
      </c>
    </row>
    <row r="428" spans="1:11" ht="15">
      <c r="A428" s="13">
        <v>54149</v>
      </c>
      <c r="B428" s="67">
        <f>6.3307 * CHOOSE(CONTROL!$C$22, $C$13, 100%, $E$13)</f>
        <v>6.3307000000000002</v>
      </c>
      <c r="C428" s="67">
        <f>6.3307 * CHOOSE(CONTROL!$C$22, $C$13, 100%, $E$13)</f>
        <v>6.3307000000000002</v>
      </c>
      <c r="D428" s="67">
        <f>6.3317 * CHOOSE(CONTROL!$C$22, $C$13, 100%, $E$13)</f>
        <v>6.3316999999999997</v>
      </c>
      <c r="E428" s="68">
        <f>7.673 * CHOOSE(CONTROL!$C$22, $C$13, 100%, $E$13)</f>
        <v>7.673</v>
      </c>
      <c r="F428" s="68">
        <f>7.673 * CHOOSE(CONTROL!$C$22, $C$13, 100%, $E$13)</f>
        <v>7.673</v>
      </c>
      <c r="G428" s="68">
        <f>7.6743 * CHOOSE(CONTROL!$C$22, $C$13, 100%, $E$13)</f>
        <v>7.6742999999999997</v>
      </c>
      <c r="H428" s="68">
        <f>12.2812* CHOOSE(CONTROL!$C$22, $C$13, 100%, $E$13)</f>
        <v>12.2812</v>
      </c>
      <c r="I428" s="68">
        <f>12.2824 * CHOOSE(CONTROL!$C$22, $C$13, 100%, $E$13)</f>
        <v>12.282400000000001</v>
      </c>
      <c r="J428" s="68">
        <f>7.673 * CHOOSE(CONTROL!$C$22, $C$13, 100%, $E$13)</f>
        <v>7.673</v>
      </c>
      <c r="K428" s="68">
        <f>7.6743 * CHOOSE(CONTROL!$C$22, $C$13, 100%, $E$13)</f>
        <v>7.6742999999999997</v>
      </c>
    </row>
    <row r="429" spans="1:11" ht="15">
      <c r="A429" s="13">
        <v>54179</v>
      </c>
      <c r="B429" s="67">
        <f>6.3307 * CHOOSE(CONTROL!$C$22, $C$13, 100%, $E$13)</f>
        <v>6.3307000000000002</v>
      </c>
      <c r="C429" s="67">
        <f>6.3307 * CHOOSE(CONTROL!$C$22, $C$13, 100%, $E$13)</f>
        <v>6.3307000000000002</v>
      </c>
      <c r="D429" s="67">
        <f>6.3334 * CHOOSE(CONTROL!$C$22, $C$13, 100%, $E$13)</f>
        <v>6.3334000000000001</v>
      </c>
      <c r="E429" s="68">
        <f>7.712 * CHOOSE(CONTROL!$C$22, $C$13, 100%, $E$13)</f>
        <v>7.7119999999999997</v>
      </c>
      <c r="F429" s="68">
        <f>7.712 * CHOOSE(CONTROL!$C$22, $C$13, 100%, $E$13)</f>
        <v>7.7119999999999997</v>
      </c>
      <c r="G429" s="68">
        <f>7.7153 * CHOOSE(CONTROL!$C$22, $C$13, 100%, $E$13)</f>
        <v>7.7153</v>
      </c>
      <c r="H429" s="68">
        <f>12.3067* CHOOSE(CONTROL!$C$22, $C$13, 100%, $E$13)</f>
        <v>12.306699999999999</v>
      </c>
      <c r="I429" s="68">
        <f>12.31 * CHOOSE(CONTROL!$C$22, $C$13, 100%, $E$13)</f>
        <v>12.31</v>
      </c>
      <c r="J429" s="68">
        <f>7.712 * CHOOSE(CONTROL!$C$22, $C$13, 100%, $E$13)</f>
        <v>7.7119999999999997</v>
      </c>
      <c r="K429" s="68">
        <f>7.7153 * CHOOSE(CONTROL!$C$22, $C$13, 100%, $E$13)</f>
        <v>7.7153</v>
      </c>
    </row>
    <row r="430" spans="1:11" ht="15">
      <c r="A430" s="13">
        <v>54210</v>
      </c>
      <c r="B430" s="67">
        <f>6.3368 * CHOOSE(CONTROL!$C$22, $C$13, 100%, $E$13)</f>
        <v>6.3368000000000002</v>
      </c>
      <c r="C430" s="67">
        <f>6.3368 * CHOOSE(CONTROL!$C$22, $C$13, 100%, $E$13)</f>
        <v>6.3368000000000002</v>
      </c>
      <c r="D430" s="67">
        <f>6.3394 * CHOOSE(CONTROL!$C$22, $C$13, 100%, $E$13)</f>
        <v>6.3394000000000004</v>
      </c>
      <c r="E430" s="68">
        <f>7.6773 * CHOOSE(CONTROL!$C$22, $C$13, 100%, $E$13)</f>
        <v>7.6772999999999998</v>
      </c>
      <c r="F430" s="68">
        <f>7.6773 * CHOOSE(CONTROL!$C$22, $C$13, 100%, $E$13)</f>
        <v>7.6772999999999998</v>
      </c>
      <c r="G430" s="68">
        <f>7.6805 * CHOOSE(CONTROL!$C$22, $C$13, 100%, $E$13)</f>
        <v>7.6805000000000003</v>
      </c>
      <c r="H430" s="68">
        <f>12.3324* CHOOSE(CONTROL!$C$22, $C$13, 100%, $E$13)</f>
        <v>12.3324</v>
      </c>
      <c r="I430" s="68">
        <f>12.3356 * CHOOSE(CONTROL!$C$22, $C$13, 100%, $E$13)</f>
        <v>12.335599999999999</v>
      </c>
      <c r="J430" s="68">
        <f>7.6773 * CHOOSE(CONTROL!$C$22, $C$13, 100%, $E$13)</f>
        <v>7.6772999999999998</v>
      </c>
      <c r="K430" s="68">
        <f>7.6805 * CHOOSE(CONTROL!$C$22, $C$13, 100%, $E$13)</f>
        <v>7.6805000000000003</v>
      </c>
    </row>
    <row r="431" spans="1:11" ht="15">
      <c r="A431" s="13">
        <v>54240</v>
      </c>
      <c r="B431" s="67">
        <f>6.4385 * CHOOSE(CONTROL!$C$22, $C$13, 100%, $E$13)</f>
        <v>6.4385000000000003</v>
      </c>
      <c r="C431" s="67">
        <f>6.4385 * CHOOSE(CONTROL!$C$22, $C$13, 100%, $E$13)</f>
        <v>6.4385000000000003</v>
      </c>
      <c r="D431" s="67">
        <f>6.4411 * CHOOSE(CONTROL!$C$22, $C$13, 100%, $E$13)</f>
        <v>6.4410999999999996</v>
      </c>
      <c r="E431" s="68">
        <f>7.8054 * CHOOSE(CONTROL!$C$22, $C$13, 100%, $E$13)</f>
        <v>7.8053999999999997</v>
      </c>
      <c r="F431" s="68">
        <f>7.8054 * CHOOSE(CONTROL!$C$22, $C$13, 100%, $E$13)</f>
        <v>7.8053999999999997</v>
      </c>
      <c r="G431" s="68">
        <f>7.8087 * CHOOSE(CONTROL!$C$22, $C$13, 100%, $E$13)</f>
        <v>7.8087</v>
      </c>
      <c r="H431" s="68">
        <f>12.3581* CHOOSE(CONTROL!$C$22, $C$13, 100%, $E$13)</f>
        <v>12.3581</v>
      </c>
      <c r="I431" s="68">
        <f>12.3613 * CHOOSE(CONTROL!$C$22, $C$13, 100%, $E$13)</f>
        <v>12.3613</v>
      </c>
      <c r="J431" s="68">
        <f>7.8054 * CHOOSE(CONTROL!$C$22, $C$13, 100%, $E$13)</f>
        <v>7.8053999999999997</v>
      </c>
      <c r="K431" s="68">
        <f>7.8087 * CHOOSE(CONTROL!$C$22, $C$13, 100%, $E$13)</f>
        <v>7.8087</v>
      </c>
    </row>
    <row r="432" spans="1:11" ht="15">
      <c r="A432" s="13">
        <v>54271</v>
      </c>
      <c r="B432" s="67">
        <f>6.4451 * CHOOSE(CONTROL!$C$22, $C$13, 100%, $E$13)</f>
        <v>6.4451000000000001</v>
      </c>
      <c r="C432" s="67">
        <f>6.4451 * CHOOSE(CONTROL!$C$22, $C$13, 100%, $E$13)</f>
        <v>6.4451000000000001</v>
      </c>
      <c r="D432" s="67">
        <f>6.4478 * CHOOSE(CONTROL!$C$22, $C$13, 100%, $E$13)</f>
        <v>6.4478</v>
      </c>
      <c r="E432" s="68">
        <f>7.6932 * CHOOSE(CONTROL!$C$22, $C$13, 100%, $E$13)</f>
        <v>7.6932</v>
      </c>
      <c r="F432" s="68">
        <f>7.6932 * CHOOSE(CONTROL!$C$22, $C$13, 100%, $E$13)</f>
        <v>7.6932</v>
      </c>
      <c r="G432" s="68">
        <f>7.6964 * CHOOSE(CONTROL!$C$22, $C$13, 100%, $E$13)</f>
        <v>7.6963999999999997</v>
      </c>
      <c r="H432" s="68">
        <f>12.3838* CHOOSE(CONTROL!$C$22, $C$13, 100%, $E$13)</f>
        <v>12.383800000000001</v>
      </c>
      <c r="I432" s="68">
        <f>12.3871 * CHOOSE(CONTROL!$C$22, $C$13, 100%, $E$13)</f>
        <v>12.3871</v>
      </c>
      <c r="J432" s="68">
        <f>7.6932 * CHOOSE(CONTROL!$C$22, $C$13, 100%, $E$13)</f>
        <v>7.6932</v>
      </c>
      <c r="K432" s="68">
        <f>7.6964 * CHOOSE(CONTROL!$C$22, $C$13, 100%, $E$13)</f>
        <v>7.6963999999999997</v>
      </c>
    </row>
    <row r="433" spans="1:11" ht="15">
      <c r="A433" s="13">
        <v>54302</v>
      </c>
      <c r="B433" s="67">
        <f>6.4421 * CHOOSE(CONTROL!$C$22, $C$13, 100%, $E$13)</f>
        <v>6.4420999999999999</v>
      </c>
      <c r="C433" s="67">
        <f>6.4421 * CHOOSE(CONTROL!$C$22, $C$13, 100%, $E$13)</f>
        <v>6.4420999999999999</v>
      </c>
      <c r="D433" s="67">
        <f>6.4447 * CHOOSE(CONTROL!$C$22, $C$13, 100%, $E$13)</f>
        <v>6.4447000000000001</v>
      </c>
      <c r="E433" s="68">
        <f>7.678 * CHOOSE(CONTROL!$C$22, $C$13, 100%, $E$13)</f>
        <v>7.6779999999999999</v>
      </c>
      <c r="F433" s="68">
        <f>7.678 * CHOOSE(CONTROL!$C$22, $C$13, 100%, $E$13)</f>
        <v>7.6779999999999999</v>
      </c>
      <c r="G433" s="68">
        <f>7.6813 * CHOOSE(CONTROL!$C$22, $C$13, 100%, $E$13)</f>
        <v>7.6813000000000002</v>
      </c>
      <c r="H433" s="68">
        <f>12.4096* CHOOSE(CONTROL!$C$22, $C$13, 100%, $E$13)</f>
        <v>12.409599999999999</v>
      </c>
      <c r="I433" s="68">
        <f>12.4129 * CHOOSE(CONTROL!$C$22, $C$13, 100%, $E$13)</f>
        <v>12.4129</v>
      </c>
      <c r="J433" s="68">
        <f>7.678 * CHOOSE(CONTROL!$C$22, $C$13, 100%, $E$13)</f>
        <v>7.6779999999999999</v>
      </c>
      <c r="K433" s="68">
        <f>7.6813 * CHOOSE(CONTROL!$C$22, $C$13, 100%, $E$13)</f>
        <v>7.6813000000000002</v>
      </c>
    </row>
    <row r="434" spans="1:11" ht="15">
      <c r="A434" s="13">
        <v>54332</v>
      </c>
      <c r="B434" s="67">
        <f>6.4452 * CHOOSE(CONTROL!$C$22, $C$13, 100%, $E$13)</f>
        <v>6.4451999999999998</v>
      </c>
      <c r="C434" s="67">
        <f>6.4452 * CHOOSE(CONTROL!$C$22, $C$13, 100%, $E$13)</f>
        <v>6.4451999999999998</v>
      </c>
      <c r="D434" s="67">
        <f>6.4462 * CHOOSE(CONTROL!$C$22, $C$13, 100%, $E$13)</f>
        <v>6.4462000000000002</v>
      </c>
      <c r="E434" s="68">
        <f>7.7166 * CHOOSE(CONTROL!$C$22, $C$13, 100%, $E$13)</f>
        <v>7.7165999999999997</v>
      </c>
      <c r="F434" s="68">
        <f>7.7166 * CHOOSE(CONTROL!$C$22, $C$13, 100%, $E$13)</f>
        <v>7.7165999999999997</v>
      </c>
      <c r="G434" s="68">
        <f>7.7179 * CHOOSE(CONTROL!$C$22, $C$13, 100%, $E$13)</f>
        <v>7.7179000000000002</v>
      </c>
      <c r="H434" s="68">
        <f>12.4355* CHOOSE(CONTROL!$C$22, $C$13, 100%, $E$13)</f>
        <v>12.435499999999999</v>
      </c>
      <c r="I434" s="68">
        <f>12.4368 * CHOOSE(CONTROL!$C$22, $C$13, 100%, $E$13)</f>
        <v>12.4368</v>
      </c>
      <c r="J434" s="68">
        <f>7.7166 * CHOOSE(CONTROL!$C$22, $C$13, 100%, $E$13)</f>
        <v>7.7165999999999997</v>
      </c>
      <c r="K434" s="68">
        <f>7.7179 * CHOOSE(CONTROL!$C$22, $C$13, 100%, $E$13)</f>
        <v>7.7179000000000002</v>
      </c>
    </row>
    <row r="435" spans="1:11" ht="15">
      <c r="A435" s="13">
        <v>54363</v>
      </c>
      <c r="B435" s="67">
        <f>6.4483 * CHOOSE(CONTROL!$C$22, $C$13, 100%, $E$13)</f>
        <v>6.4482999999999997</v>
      </c>
      <c r="C435" s="67">
        <f>6.4483 * CHOOSE(CONTROL!$C$22, $C$13, 100%, $E$13)</f>
        <v>6.4482999999999997</v>
      </c>
      <c r="D435" s="67">
        <f>6.4493 * CHOOSE(CONTROL!$C$22, $C$13, 100%, $E$13)</f>
        <v>6.4493</v>
      </c>
      <c r="E435" s="68">
        <f>7.7447 * CHOOSE(CONTROL!$C$22, $C$13, 100%, $E$13)</f>
        <v>7.7446999999999999</v>
      </c>
      <c r="F435" s="68">
        <f>7.7447 * CHOOSE(CONTROL!$C$22, $C$13, 100%, $E$13)</f>
        <v>7.7446999999999999</v>
      </c>
      <c r="G435" s="68">
        <f>7.746 * CHOOSE(CONTROL!$C$22, $C$13, 100%, $E$13)</f>
        <v>7.7460000000000004</v>
      </c>
      <c r="H435" s="68">
        <f>12.4614* CHOOSE(CONTROL!$C$22, $C$13, 100%, $E$13)</f>
        <v>12.461399999999999</v>
      </c>
      <c r="I435" s="68">
        <f>12.4627 * CHOOSE(CONTROL!$C$22, $C$13, 100%, $E$13)</f>
        <v>12.4627</v>
      </c>
      <c r="J435" s="68">
        <f>7.7447 * CHOOSE(CONTROL!$C$22, $C$13, 100%, $E$13)</f>
        <v>7.7446999999999999</v>
      </c>
      <c r="K435" s="68">
        <f>7.746 * CHOOSE(CONTROL!$C$22, $C$13, 100%, $E$13)</f>
        <v>7.7460000000000004</v>
      </c>
    </row>
    <row r="436" spans="1:11" ht="15">
      <c r="A436" s="13">
        <v>54393</v>
      </c>
      <c r="B436" s="67">
        <f>6.4483 * CHOOSE(CONTROL!$C$22, $C$13, 100%, $E$13)</f>
        <v>6.4482999999999997</v>
      </c>
      <c r="C436" s="67">
        <f>6.4483 * CHOOSE(CONTROL!$C$22, $C$13, 100%, $E$13)</f>
        <v>6.4482999999999997</v>
      </c>
      <c r="D436" s="67">
        <f>6.4493 * CHOOSE(CONTROL!$C$22, $C$13, 100%, $E$13)</f>
        <v>6.4493</v>
      </c>
      <c r="E436" s="68">
        <f>7.6797 * CHOOSE(CONTROL!$C$22, $C$13, 100%, $E$13)</f>
        <v>7.6797000000000004</v>
      </c>
      <c r="F436" s="68">
        <f>7.6797 * CHOOSE(CONTROL!$C$22, $C$13, 100%, $E$13)</f>
        <v>7.6797000000000004</v>
      </c>
      <c r="G436" s="68">
        <f>7.681 * CHOOSE(CONTROL!$C$22, $C$13, 100%, $E$13)</f>
        <v>7.681</v>
      </c>
      <c r="H436" s="68">
        <f>12.4873* CHOOSE(CONTROL!$C$22, $C$13, 100%, $E$13)</f>
        <v>12.487299999999999</v>
      </c>
      <c r="I436" s="68">
        <f>12.4886 * CHOOSE(CONTROL!$C$22, $C$13, 100%, $E$13)</f>
        <v>12.4886</v>
      </c>
      <c r="J436" s="68">
        <f>7.6797 * CHOOSE(CONTROL!$C$22, $C$13, 100%, $E$13)</f>
        <v>7.6797000000000004</v>
      </c>
      <c r="K436" s="68">
        <f>7.681 * CHOOSE(CONTROL!$C$22, $C$13, 100%, $E$13)</f>
        <v>7.681</v>
      </c>
    </row>
    <row r="437" spans="1:11" ht="15">
      <c r="A437" s="13">
        <v>54424</v>
      </c>
      <c r="B437" s="67">
        <f>6.5044 * CHOOSE(CONTROL!$C$22, $C$13, 100%, $E$13)</f>
        <v>6.5044000000000004</v>
      </c>
      <c r="C437" s="67">
        <f>6.5044 * CHOOSE(CONTROL!$C$22, $C$13, 100%, $E$13)</f>
        <v>6.5044000000000004</v>
      </c>
      <c r="D437" s="67">
        <f>6.5054 * CHOOSE(CONTROL!$C$22, $C$13, 100%, $E$13)</f>
        <v>6.5053999999999998</v>
      </c>
      <c r="E437" s="68">
        <f>7.7893 * CHOOSE(CONTROL!$C$22, $C$13, 100%, $E$13)</f>
        <v>7.7892999999999999</v>
      </c>
      <c r="F437" s="68">
        <f>7.7893 * CHOOSE(CONTROL!$C$22, $C$13, 100%, $E$13)</f>
        <v>7.7892999999999999</v>
      </c>
      <c r="G437" s="68">
        <f>7.7906 * CHOOSE(CONTROL!$C$22, $C$13, 100%, $E$13)</f>
        <v>7.7906000000000004</v>
      </c>
      <c r="H437" s="68">
        <f>12.5134* CHOOSE(CONTROL!$C$22, $C$13, 100%, $E$13)</f>
        <v>12.513400000000001</v>
      </c>
      <c r="I437" s="68">
        <f>12.5146 * CHOOSE(CONTROL!$C$22, $C$13, 100%, $E$13)</f>
        <v>12.5146</v>
      </c>
      <c r="J437" s="68">
        <f>7.7893 * CHOOSE(CONTROL!$C$22, $C$13, 100%, $E$13)</f>
        <v>7.7892999999999999</v>
      </c>
      <c r="K437" s="68">
        <f>7.7906 * CHOOSE(CONTROL!$C$22, $C$13, 100%, $E$13)</f>
        <v>7.7906000000000004</v>
      </c>
    </row>
    <row r="438" spans="1:11" ht="15">
      <c r="A438" s="13">
        <v>54455</v>
      </c>
      <c r="B438" s="67">
        <f>6.5014 * CHOOSE(CONTROL!$C$22, $C$13, 100%, $E$13)</f>
        <v>6.5014000000000003</v>
      </c>
      <c r="C438" s="67">
        <f>6.5014 * CHOOSE(CONTROL!$C$22, $C$13, 100%, $E$13)</f>
        <v>6.5014000000000003</v>
      </c>
      <c r="D438" s="67">
        <f>6.5024 * CHOOSE(CONTROL!$C$22, $C$13, 100%, $E$13)</f>
        <v>6.5023999999999997</v>
      </c>
      <c r="E438" s="68">
        <f>7.661 * CHOOSE(CONTROL!$C$22, $C$13, 100%, $E$13)</f>
        <v>7.6609999999999996</v>
      </c>
      <c r="F438" s="68">
        <f>7.661 * CHOOSE(CONTROL!$C$22, $C$13, 100%, $E$13)</f>
        <v>7.6609999999999996</v>
      </c>
      <c r="G438" s="68">
        <f>7.6623 * CHOOSE(CONTROL!$C$22, $C$13, 100%, $E$13)</f>
        <v>7.6623000000000001</v>
      </c>
      <c r="H438" s="68">
        <f>12.5394* CHOOSE(CONTROL!$C$22, $C$13, 100%, $E$13)</f>
        <v>12.539400000000001</v>
      </c>
      <c r="I438" s="68">
        <f>12.5407 * CHOOSE(CONTROL!$C$22, $C$13, 100%, $E$13)</f>
        <v>12.540699999999999</v>
      </c>
      <c r="J438" s="68">
        <f>7.661 * CHOOSE(CONTROL!$C$22, $C$13, 100%, $E$13)</f>
        <v>7.6609999999999996</v>
      </c>
      <c r="K438" s="68">
        <f>7.6623 * CHOOSE(CONTROL!$C$22, $C$13, 100%, $E$13)</f>
        <v>7.6623000000000001</v>
      </c>
    </row>
    <row r="439" spans="1:11" ht="15">
      <c r="A439" s="13">
        <v>54483</v>
      </c>
      <c r="B439" s="67">
        <f>6.4984 * CHOOSE(CONTROL!$C$22, $C$13, 100%, $E$13)</f>
        <v>6.4984000000000002</v>
      </c>
      <c r="C439" s="67">
        <f>6.4984 * CHOOSE(CONTROL!$C$22, $C$13, 100%, $E$13)</f>
        <v>6.4984000000000002</v>
      </c>
      <c r="D439" s="67">
        <f>6.4993 * CHOOSE(CONTROL!$C$22, $C$13, 100%, $E$13)</f>
        <v>6.4992999999999999</v>
      </c>
      <c r="E439" s="68">
        <f>7.7584 * CHOOSE(CONTROL!$C$22, $C$13, 100%, $E$13)</f>
        <v>7.7584</v>
      </c>
      <c r="F439" s="68">
        <f>7.7584 * CHOOSE(CONTROL!$C$22, $C$13, 100%, $E$13)</f>
        <v>7.7584</v>
      </c>
      <c r="G439" s="68">
        <f>7.7597 * CHOOSE(CONTROL!$C$22, $C$13, 100%, $E$13)</f>
        <v>7.7596999999999996</v>
      </c>
      <c r="H439" s="68">
        <f>12.5656* CHOOSE(CONTROL!$C$22, $C$13, 100%, $E$13)</f>
        <v>12.5656</v>
      </c>
      <c r="I439" s="68">
        <f>12.5668 * CHOOSE(CONTROL!$C$22, $C$13, 100%, $E$13)</f>
        <v>12.566800000000001</v>
      </c>
      <c r="J439" s="68">
        <f>7.7584 * CHOOSE(CONTROL!$C$22, $C$13, 100%, $E$13)</f>
        <v>7.7584</v>
      </c>
      <c r="K439" s="68">
        <f>7.7597 * CHOOSE(CONTROL!$C$22, $C$13, 100%, $E$13)</f>
        <v>7.7596999999999996</v>
      </c>
    </row>
    <row r="440" spans="1:11" ht="15">
      <c r="A440" s="13">
        <v>54514</v>
      </c>
      <c r="B440" s="67">
        <f>6.4982 * CHOOSE(CONTROL!$C$22, $C$13, 100%, $E$13)</f>
        <v>6.4981999999999998</v>
      </c>
      <c r="C440" s="67">
        <f>6.4982 * CHOOSE(CONTROL!$C$22, $C$13, 100%, $E$13)</f>
        <v>6.4981999999999998</v>
      </c>
      <c r="D440" s="67">
        <f>6.4991 * CHOOSE(CONTROL!$C$22, $C$13, 100%, $E$13)</f>
        <v>6.4991000000000003</v>
      </c>
      <c r="E440" s="68">
        <f>7.861 * CHOOSE(CONTROL!$C$22, $C$13, 100%, $E$13)</f>
        <v>7.8609999999999998</v>
      </c>
      <c r="F440" s="68">
        <f>7.861 * CHOOSE(CONTROL!$C$22, $C$13, 100%, $E$13)</f>
        <v>7.8609999999999998</v>
      </c>
      <c r="G440" s="68">
        <f>7.8623 * CHOOSE(CONTROL!$C$22, $C$13, 100%, $E$13)</f>
        <v>7.8623000000000003</v>
      </c>
      <c r="H440" s="68">
        <f>12.5917* CHOOSE(CONTROL!$C$22, $C$13, 100%, $E$13)</f>
        <v>12.591699999999999</v>
      </c>
      <c r="I440" s="68">
        <f>12.593 * CHOOSE(CONTROL!$C$22, $C$13, 100%, $E$13)</f>
        <v>12.593</v>
      </c>
      <c r="J440" s="68">
        <f>7.861 * CHOOSE(CONTROL!$C$22, $C$13, 100%, $E$13)</f>
        <v>7.8609999999999998</v>
      </c>
      <c r="K440" s="68">
        <f>7.8623 * CHOOSE(CONTROL!$C$22, $C$13, 100%, $E$13)</f>
        <v>7.8623000000000003</v>
      </c>
    </row>
    <row r="441" spans="1:11" ht="15">
      <c r="A441" s="13">
        <v>54544</v>
      </c>
      <c r="B441" s="67">
        <f>6.4982 * CHOOSE(CONTROL!$C$22, $C$13, 100%, $E$13)</f>
        <v>6.4981999999999998</v>
      </c>
      <c r="C441" s="67">
        <f>6.4982 * CHOOSE(CONTROL!$C$22, $C$13, 100%, $E$13)</f>
        <v>6.4981999999999998</v>
      </c>
      <c r="D441" s="67">
        <f>6.5008 * CHOOSE(CONTROL!$C$22, $C$13, 100%, $E$13)</f>
        <v>6.5007999999999999</v>
      </c>
      <c r="E441" s="68">
        <f>7.9011 * CHOOSE(CONTROL!$C$22, $C$13, 100%, $E$13)</f>
        <v>7.9010999999999996</v>
      </c>
      <c r="F441" s="68">
        <f>7.9011 * CHOOSE(CONTROL!$C$22, $C$13, 100%, $E$13)</f>
        <v>7.9010999999999996</v>
      </c>
      <c r="G441" s="68">
        <f>7.9044 * CHOOSE(CONTROL!$C$22, $C$13, 100%, $E$13)</f>
        <v>7.9043999999999999</v>
      </c>
      <c r="H441" s="68">
        <f>12.618* CHOOSE(CONTROL!$C$22, $C$13, 100%, $E$13)</f>
        <v>12.618</v>
      </c>
      <c r="I441" s="68">
        <f>12.6212 * CHOOSE(CONTROL!$C$22, $C$13, 100%, $E$13)</f>
        <v>12.6212</v>
      </c>
      <c r="J441" s="68">
        <f>7.9011 * CHOOSE(CONTROL!$C$22, $C$13, 100%, $E$13)</f>
        <v>7.9010999999999996</v>
      </c>
      <c r="K441" s="68">
        <f>7.9044 * CHOOSE(CONTROL!$C$22, $C$13, 100%, $E$13)</f>
        <v>7.9043999999999999</v>
      </c>
    </row>
    <row r="442" spans="1:11" ht="15">
      <c r="A442" s="13">
        <v>54575</v>
      </c>
      <c r="B442" s="67">
        <f>6.5042 * CHOOSE(CONTROL!$C$22, $C$13, 100%, $E$13)</f>
        <v>6.5042</v>
      </c>
      <c r="C442" s="67">
        <f>6.5042 * CHOOSE(CONTROL!$C$22, $C$13, 100%, $E$13)</f>
        <v>6.5042</v>
      </c>
      <c r="D442" s="67">
        <f>6.5069 * CHOOSE(CONTROL!$C$22, $C$13, 100%, $E$13)</f>
        <v>6.5068999999999999</v>
      </c>
      <c r="E442" s="68">
        <f>7.8653 * CHOOSE(CONTROL!$C$22, $C$13, 100%, $E$13)</f>
        <v>7.8653000000000004</v>
      </c>
      <c r="F442" s="68">
        <f>7.8653 * CHOOSE(CONTROL!$C$22, $C$13, 100%, $E$13)</f>
        <v>7.8653000000000004</v>
      </c>
      <c r="G442" s="68">
        <f>7.8685 * CHOOSE(CONTROL!$C$22, $C$13, 100%, $E$13)</f>
        <v>7.8685</v>
      </c>
      <c r="H442" s="68">
        <f>12.6443* CHOOSE(CONTROL!$C$22, $C$13, 100%, $E$13)</f>
        <v>12.644299999999999</v>
      </c>
      <c r="I442" s="68">
        <f>12.6475 * CHOOSE(CONTROL!$C$22, $C$13, 100%, $E$13)</f>
        <v>12.647500000000001</v>
      </c>
      <c r="J442" s="68">
        <f>7.8653 * CHOOSE(CONTROL!$C$22, $C$13, 100%, $E$13)</f>
        <v>7.8653000000000004</v>
      </c>
      <c r="K442" s="68">
        <f>7.8685 * CHOOSE(CONTROL!$C$22, $C$13, 100%, $E$13)</f>
        <v>7.8685</v>
      </c>
    </row>
    <row r="443" spans="1:11" ht="15">
      <c r="A443" s="13">
        <v>54605</v>
      </c>
      <c r="B443" s="67">
        <f>6.6083 * CHOOSE(CONTROL!$C$22, $C$13, 100%, $E$13)</f>
        <v>6.6082999999999998</v>
      </c>
      <c r="C443" s="67">
        <f>6.6083 * CHOOSE(CONTROL!$C$22, $C$13, 100%, $E$13)</f>
        <v>6.6082999999999998</v>
      </c>
      <c r="D443" s="67">
        <f>6.6109 * CHOOSE(CONTROL!$C$22, $C$13, 100%, $E$13)</f>
        <v>6.6109</v>
      </c>
      <c r="E443" s="68">
        <f>7.9963 * CHOOSE(CONTROL!$C$22, $C$13, 100%, $E$13)</f>
        <v>7.9962999999999997</v>
      </c>
      <c r="F443" s="68">
        <f>7.9963 * CHOOSE(CONTROL!$C$22, $C$13, 100%, $E$13)</f>
        <v>7.9962999999999997</v>
      </c>
      <c r="G443" s="68">
        <f>7.9996 * CHOOSE(CONTROL!$C$22, $C$13, 100%, $E$13)</f>
        <v>7.9996</v>
      </c>
      <c r="H443" s="68">
        <f>12.6706* CHOOSE(CONTROL!$C$22, $C$13, 100%, $E$13)</f>
        <v>12.6706</v>
      </c>
      <c r="I443" s="68">
        <f>12.6739 * CHOOSE(CONTROL!$C$22, $C$13, 100%, $E$13)</f>
        <v>12.6739</v>
      </c>
      <c r="J443" s="68">
        <f>7.9963 * CHOOSE(CONTROL!$C$22, $C$13, 100%, $E$13)</f>
        <v>7.9962999999999997</v>
      </c>
      <c r="K443" s="68">
        <f>7.9996 * CHOOSE(CONTROL!$C$22, $C$13, 100%, $E$13)</f>
        <v>7.9996</v>
      </c>
    </row>
    <row r="444" spans="1:11" ht="15">
      <c r="A444" s="13">
        <v>54636</v>
      </c>
      <c r="B444" s="67">
        <f>6.615 * CHOOSE(CONTROL!$C$22, $C$13, 100%, $E$13)</f>
        <v>6.6150000000000002</v>
      </c>
      <c r="C444" s="67">
        <f>6.615 * CHOOSE(CONTROL!$C$22, $C$13, 100%, $E$13)</f>
        <v>6.6150000000000002</v>
      </c>
      <c r="D444" s="67">
        <f>6.6176 * CHOOSE(CONTROL!$C$22, $C$13, 100%, $E$13)</f>
        <v>6.6176000000000004</v>
      </c>
      <c r="E444" s="68">
        <f>7.8807 * CHOOSE(CONTROL!$C$22, $C$13, 100%, $E$13)</f>
        <v>7.8807</v>
      </c>
      <c r="F444" s="68">
        <f>7.8807 * CHOOSE(CONTROL!$C$22, $C$13, 100%, $E$13)</f>
        <v>7.8807</v>
      </c>
      <c r="G444" s="68">
        <f>7.884 * CHOOSE(CONTROL!$C$22, $C$13, 100%, $E$13)</f>
        <v>7.8840000000000003</v>
      </c>
      <c r="H444" s="68">
        <f>12.697* CHOOSE(CONTROL!$C$22, $C$13, 100%, $E$13)</f>
        <v>12.696999999999999</v>
      </c>
      <c r="I444" s="68">
        <f>12.7002 * CHOOSE(CONTROL!$C$22, $C$13, 100%, $E$13)</f>
        <v>12.700200000000001</v>
      </c>
      <c r="J444" s="68">
        <f>7.8807 * CHOOSE(CONTROL!$C$22, $C$13, 100%, $E$13)</f>
        <v>7.8807</v>
      </c>
      <c r="K444" s="68">
        <f>7.884 * CHOOSE(CONTROL!$C$22, $C$13, 100%, $E$13)</f>
        <v>7.8840000000000003</v>
      </c>
    </row>
    <row r="445" spans="1:11" ht="15">
      <c r="A445" s="13">
        <v>54667</v>
      </c>
      <c r="B445" s="67">
        <f>6.6119 * CHOOSE(CONTROL!$C$22, $C$13, 100%, $E$13)</f>
        <v>6.6119000000000003</v>
      </c>
      <c r="C445" s="67">
        <f>6.6119 * CHOOSE(CONTROL!$C$22, $C$13, 100%, $E$13)</f>
        <v>6.6119000000000003</v>
      </c>
      <c r="D445" s="67">
        <f>6.6145 * CHOOSE(CONTROL!$C$22, $C$13, 100%, $E$13)</f>
        <v>6.6144999999999996</v>
      </c>
      <c r="E445" s="68">
        <f>7.8653 * CHOOSE(CONTROL!$C$22, $C$13, 100%, $E$13)</f>
        <v>7.8653000000000004</v>
      </c>
      <c r="F445" s="68">
        <f>7.8653 * CHOOSE(CONTROL!$C$22, $C$13, 100%, $E$13)</f>
        <v>7.8653000000000004</v>
      </c>
      <c r="G445" s="68">
        <f>7.8685 * CHOOSE(CONTROL!$C$22, $C$13, 100%, $E$13)</f>
        <v>7.8685</v>
      </c>
      <c r="H445" s="68">
        <f>12.7234* CHOOSE(CONTROL!$C$22, $C$13, 100%, $E$13)</f>
        <v>12.7234</v>
      </c>
      <c r="I445" s="68">
        <f>12.7267 * CHOOSE(CONTROL!$C$22, $C$13, 100%, $E$13)</f>
        <v>12.726699999999999</v>
      </c>
      <c r="J445" s="68">
        <f>7.8653 * CHOOSE(CONTROL!$C$22, $C$13, 100%, $E$13)</f>
        <v>7.8653000000000004</v>
      </c>
      <c r="K445" s="68">
        <f>7.8685 * CHOOSE(CONTROL!$C$22, $C$13, 100%, $E$13)</f>
        <v>7.8685</v>
      </c>
    </row>
    <row r="446" spans="1:11" ht="15">
      <c r="A446" s="13">
        <v>54697</v>
      </c>
      <c r="B446" s="67">
        <f>6.6156 * CHOOSE(CONTROL!$C$22, $C$13, 100%, $E$13)</f>
        <v>6.6155999999999997</v>
      </c>
      <c r="C446" s="67">
        <f>6.6156 * CHOOSE(CONTROL!$C$22, $C$13, 100%, $E$13)</f>
        <v>6.6155999999999997</v>
      </c>
      <c r="D446" s="67">
        <f>6.6166 * CHOOSE(CONTROL!$C$22, $C$13, 100%, $E$13)</f>
        <v>6.6166</v>
      </c>
      <c r="E446" s="68">
        <f>7.9053 * CHOOSE(CONTROL!$C$22, $C$13, 100%, $E$13)</f>
        <v>7.9053000000000004</v>
      </c>
      <c r="F446" s="68">
        <f>7.9053 * CHOOSE(CONTROL!$C$22, $C$13, 100%, $E$13)</f>
        <v>7.9053000000000004</v>
      </c>
      <c r="G446" s="68">
        <f>7.9066 * CHOOSE(CONTROL!$C$22, $C$13, 100%, $E$13)</f>
        <v>7.9066000000000001</v>
      </c>
      <c r="H446" s="68">
        <f>12.75* CHOOSE(CONTROL!$C$22, $C$13, 100%, $E$13)</f>
        <v>12.75</v>
      </c>
      <c r="I446" s="68">
        <f>12.7512 * CHOOSE(CONTROL!$C$22, $C$13, 100%, $E$13)</f>
        <v>12.751200000000001</v>
      </c>
      <c r="J446" s="68">
        <f>7.9053 * CHOOSE(CONTROL!$C$22, $C$13, 100%, $E$13)</f>
        <v>7.9053000000000004</v>
      </c>
      <c r="K446" s="68">
        <f>7.9066 * CHOOSE(CONTROL!$C$22, $C$13, 100%, $E$13)</f>
        <v>7.9066000000000001</v>
      </c>
    </row>
    <row r="447" spans="1:11" ht="15">
      <c r="A447" s="13">
        <v>54728</v>
      </c>
      <c r="B447" s="67">
        <f>6.6186 * CHOOSE(CONTROL!$C$22, $C$13, 100%, $E$13)</f>
        <v>6.6185999999999998</v>
      </c>
      <c r="C447" s="67">
        <f>6.6186 * CHOOSE(CONTROL!$C$22, $C$13, 100%, $E$13)</f>
        <v>6.6185999999999998</v>
      </c>
      <c r="D447" s="67">
        <f>6.6196 * CHOOSE(CONTROL!$C$22, $C$13, 100%, $E$13)</f>
        <v>6.6196000000000002</v>
      </c>
      <c r="E447" s="68">
        <f>7.9341 * CHOOSE(CONTROL!$C$22, $C$13, 100%, $E$13)</f>
        <v>7.9340999999999999</v>
      </c>
      <c r="F447" s="68">
        <f>7.9341 * CHOOSE(CONTROL!$C$22, $C$13, 100%, $E$13)</f>
        <v>7.9340999999999999</v>
      </c>
      <c r="G447" s="68">
        <f>7.9354 * CHOOSE(CONTROL!$C$22, $C$13, 100%, $E$13)</f>
        <v>7.9353999999999996</v>
      </c>
      <c r="H447" s="68">
        <f>12.7765* CHOOSE(CONTROL!$C$22, $C$13, 100%, $E$13)</f>
        <v>12.7765</v>
      </c>
      <c r="I447" s="68">
        <f>12.7778 * CHOOSE(CONTROL!$C$22, $C$13, 100%, $E$13)</f>
        <v>12.777799999999999</v>
      </c>
      <c r="J447" s="68">
        <f>7.9341 * CHOOSE(CONTROL!$C$22, $C$13, 100%, $E$13)</f>
        <v>7.9340999999999999</v>
      </c>
      <c r="K447" s="68">
        <f>7.9354 * CHOOSE(CONTROL!$C$22, $C$13, 100%, $E$13)</f>
        <v>7.9353999999999996</v>
      </c>
    </row>
    <row r="448" spans="1:11" ht="15">
      <c r="A448" s="13">
        <v>54758</v>
      </c>
      <c r="B448" s="67">
        <f>6.6186 * CHOOSE(CONTROL!$C$22, $C$13, 100%, $E$13)</f>
        <v>6.6185999999999998</v>
      </c>
      <c r="C448" s="67">
        <f>6.6186 * CHOOSE(CONTROL!$C$22, $C$13, 100%, $E$13)</f>
        <v>6.6185999999999998</v>
      </c>
      <c r="D448" s="67">
        <f>6.6196 * CHOOSE(CONTROL!$C$22, $C$13, 100%, $E$13)</f>
        <v>6.6196000000000002</v>
      </c>
      <c r="E448" s="68">
        <f>7.8673 * CHOOSE(CONTROL!$C$22, $C$13, 100%, $E$13)</f>
        <v>7.8673000000000002</v>
      </c>
      <c r="F448" s="68">
        <f>7.8673 * CHOOSE(CONTROL!$C$22, $C$13, 100%, $E$13)</f>
        <v>7.8673000000000002</v>
      </c>
      <c r="G448" s="68">
        <f>7.8686 * CHOOSE(CONTROL!$C$22, $C$13, 100%, $E$13)</f>
        <v>7.8685999999999998</v>
      </c>
      <c r="H448" s="68">
        <f>12.8031* CHOOSE(CONTROL!$C$22, $C$13, 100%, $E$13)</f>
        <v>12.803100000000001</v>
      </c>
      <c r="I448" s="68">
        <f>12.8044 * CHOOSE(CONTROL!$C$22, $C$13, 100%, $E$13)</f>
        <v>12.804399999999999</v>
      </c>
      <c r="J448" s="68">
        <f>7.8673 * CHOOSE(CONTROL!$C$22, $C$13, 100%, $E$13)</f>
        <v>7.8673000000000002</v>
      </c>
      <c r="K448" s="68">
        <f>7.8686 * CHOOSE(CONTROL!$C$22, $C$13, 100%, $E$13)</f>
        <v>7.8685999999999998</v>
      </c>
    </row>
    <row r="449" spans="1:11" ht="15">
      <c r="A449" s="13">
        <v>54789</v>
      </c>
      <c r="B449" s="67">
        <f>6.6762 * CHOOSE(CONTROL!$C$22, $C$13, 100%, $E$13)</f>
        <v>6.6761999999999997</v>
      </c>
      <c r="C449" s="67">
        <f>6.6762 * CHOOSE(CONTROL!$C$22, $C$13, 100%, $E$13)</f>
        <v>6.6761999999999997</v>
      </c>
      <c r="D449" s="67">
        <f>6.6772 * CHOOSE(CONTROL!$C$22, $C$13, 100%, $E$13)</f>
        <v>6.6772</v>
      </c>
      <c r="E449" s="68">
        <f>7.9797 * CHOOSE(CONTROL!$C$22, $C$13, 100%, $E$13)</f>
        <v>7.9797000000000002</v>
      </c>
      <c r="F449" s="68">
        <f>7.9797 * CHOOSE(CONTROL!$C$22, $C$13, 100%, $E$13)</f>
        <v>7.9797000000000002</v>
      </c>
      <c r="G449" s="68">
        <f>7.981 * CHOOSE(CONTROL!$C$22, $C$13, 100%, $E$13)</f>
        <v>7.9809999999999999</v>
      </c>
      <c r="H449" s="68">
        <f>12.8298* CHOOSE(CONTROL!$C$22, $C$13, 100%, $E$13)</f>
        <v>12.829800000000001</v>
      </c>
      <c r="I449" s="68">
        <f>12.8311 * CHOOSE(CONTROL!$C$22, $C$13, 100%, $E$13)</f>
        <v>12.831099999999999</v>
      </c>
      <c r="J449" s="68">
        <f>7.9797 * CHOOSE(CONTROL!$C$22, $C$13, 100%, $E$13)</f>
        <v>7.9797000000000002</v>
      </c>
      <c r="K449" s="68">
        <f>7.981 * CHOOSE(CONTROL!$C$22, $C$13, 100%, $E$13)</f>
        <v>7.9809999999999999</v>
      </c>
    </row>
    <row r="450" spans="1:11" ht="15">
      <c r="A450" s="13">
        <v>54820</v>
      </c>
      <c r="B450" s="67">
        <f>6.6731 * CHOOSE(CONTROL!$C$22, $C$13, 100%, $E$13)</f>
        <v>6.6730999999999998</v>
      </c>
      <c r="C450" s="67">
        <f>6.6731 * CHOOSE(CONTROL!$C$22, $C$13, 100%, $E$13)</f>
        <v>6.6730999999999998</v>
      </c>
      <c r="D450" s="67">
        <f>6.6741 * CHOOSE(CONTROL!$C$22, $C$13, 100%, $E$13)</f>
        <v>6.6741000000000001</v>
      </c>
      <c r="E450" s="68">
        <f>7.8478 * CHOOSE(CONTROL!$C$22, $C$13, 100%, $E$13)</f>
        <v>7.8478000000000003</v>
      </c>
      <c r="F450" s="68">
        <f>7.8478 * CHOOSE(CONTROL!$C$22, $C$13, 100%, $E$13)</f>
        <v>7.8478000000000003</v>
      </c>
      <c r="G450" s="68">
        <f>7.8491 * CHOOSE(CONTROL!$C$22, $C$13, 100%, $E$13)</f>
        <v>7.8491</v>
      </c>
      <c r="H450" s="68">
        <f>12.8565* CHOOSE(CONTROL!$C$22, $C$13, 100%, $E$13)</f>
        <v>12.8565</v>
      </c>
      <c r="I450" s="68">
        <f>12.8578 * CHOOSE(CONTROL!$C$22, $C$13, 100%, $E$13)</f>
        <v>12.857799999999999</v>
      </c>
      <c r="J450" s="68">
        <f>7.8478 * CHOOSE(CONTROL!$C$22, $C$13, 100%, $E$13)</f>
        <v>7.8478000000000003</v>
      </c>
      <c r="K450" s="68">
        <f>7.8491 * CHOOSE(CONTROL!$C$22, $C$13, 100%, $E$13)</f>
        <v>7.8491</v>
      </c>
    </row>
    <row r="451" spans="1:11" ht="15">
      <c r="A451" s="13">
        <v>54848</v>
      </c>
      <c r="B451" s="67">
        <f>6.6701 * CHOOSE(CONTROL!$C$22, $C$13, 100%, $E$13)</f>
        <v>6.6700999999999997</v>
      </c>
      <c r="C451" s="67">
        <f>6.6701 * CHOOSE(CONTROL!$C$22, $C$13, 100%, $E$13)</f>
        <v>6.6700999999999997</v>
      </c>
      <c r="D451" s="67">
        <f>6.6711 * CHOOSE(CONTROL!$C$22, $C$13, 100%, $E$13)</f>
        <v>6.6711</v>
      </c>
      <c r="E451" s="68">
        <f>7.948 * CHOOSE(CONTROL!$C$22, $C$13, 100%, $E$13)</f>
        <v>7.9480000000000004</v>
      </c>
      <c r="F451" s="68">
        <f>7.948 * CHOOSE(CONTROL!$C$22, $C$13, 100%, $E$13)</f>
        <v>7.9480000000000004</v>
      </c>
      <c r="G451" s="68">
        <f>7.9493 * CHOOSE(CONTROL!$C$22, $C$13, 100%, $E$13)</f>
        <v>7.9493</v>
      </c>
      <c r="H451" s="68">
        <f>12.8833* CHOOSE(CONTROL!$C$22, $C$13, 100%, $E$13)</f>
        <v>12.8833</v>
      </c>
      <c r="I451" s="68">
        <f>12.8846 * CHOOSE(CONTROL!$C$22, $C$13, 100%, $E$13)</f>
        <v>12.884600000000001</v>
      </c>
      <c r="J451" s="68">
        <f>7.948 * CHOOSE(CONTROL!$C$22, $C$13, 100%, $E$13)</f>
        <v>7.9480000000000004</v>
      </c>
      <c r="K451" s="68">
        <f>7.9493 * CHOOSE(CONTROL!$C$22, $C$13, 100%, $E$13)</f>
        <v>7.9493</v>
      </c>
    </row>
    <row r="452" spans="1:11" ht="15">
      <c r="A452" s="13">
        <v>54879</v>
      </c>
      <c r="B452" s="67">
        <f>6.67 * CHOOSE(CONTROL!$C$22, $C$13, 100%, $E$13)</f>
        <v>6.67</v>
      </c>
      <c r="C452" s="67">
        <f>6.67 * CHOOSE(CONTROL!$C$22, $C$13, 100%, $E$13)</f>
        <v>6.67</v>
      </c>
      <c r="D452" s="67">
        <f>6.671 * CHOOSE(CONTROL!$C$22, $C$13, 100%, $E$13)</f>
        <v>6.6710000000000003</v>
      </c>
      <c r="E452" s="68">
        <f>8.0536 * CHOOSE(CONTROL!$C$22, $C$13, 100%, $E$13)</f>
        <v>8.0535999999999994</v>
      </c>
      <c r="F452" s="68">
        <f>8.0536 * CHOOSE(CONTROL!$C$22, $C$13, 100%, $E$13)</f>
        <v>8.0535999999999994</v>
      </c>
      <c r="G452" s="68">
        <f>8.0549 * CHOOSE(CONTROL!$C$22, $C$13, 100%, $E$13)</f>
        <v>8.0548999999999999</v>
      </c>
      <c r="H452" s="68">
        <f>12.9102* CHOOSE(CONTROL!$C$22, $C$13, 100%, $E$13)</f>
        <v>12.9102</v>
      </c>
      <c r="I452" s="68">
        <f>12.9114 * CHOOSE(CONTROL!$C$22, $C$13, 100%, $E$13)</f>
        <v>12.9114</v>
      </c>
      <c r="J452" s="68">
        <f>8.0536 * CHOOSE(CONTROL!$C$22, $C$13, 100%, $E$13)</f>
        <v>8.0535999999999994</v>
      </c>
      <c r="K452" s="68">
        <f>8.0549 * CHOOSE(CONTROL!$C$22, $C$13, 100%, $E$13)</f>
        <v>8.0548999999999999</v>
      </c>
    </row>
    <row r="453" spans="1:11" ht="15">
      <c r="A453" s="13">
        <v>54909</v>
      </c>
      <c r="B453" s="67">
        <f>6.67 * CHOOSE(CONTROL!$C$22, $C$13, 100%, $E$13)</f>
        <v>6.67</v>
      </c>
      <c r="C453" s="67">
        <f>6.67 * CHOOSE(CONTROL!$C$22, $C$13, 100%, $E$13)</f>
        <v>6.67</v>
      </c>
      <c r="D453" s="67">
        <f>6.6727 * CHOOSE(CONTROL!$C$22, $C$13, 100%, $E$13)</f>
        <v>6.6726999999999999</v>
      </c>
      <c r="E453" s="68">
        <f>8.0948 * CHOOSE(CONTROL!$C$22, $C$13, 100%, $E$13)</f>
        <v>8.0947999999999993</v>
      </c>
      <c r="F453" s="68">
        <f>8.0948 * CHOOSE(CONTROL!$C$22, $C$13, 100%, $E$13)</f>
        <v>8.0947999999999993</v>
      </c>
      <c r="G453" s="68">
        <f>8.0981 * CHOOSE(CONTROL!$C$22, $C$13, 100%, $E$13)</f>
        <v>8.0981000000000005</v>
      </c>
      <c r="H453" s="68">
        <f>12.9371* CHOOSE(CONTROL!$C$22, $C$13, 100%, $E$13)</f>
        <v>12.937099999999999</v>
      </c>
      <c r="I453" s="68">
        <f>12.9403 * CHOOSE(CONTROL!$C$22, $C$13, 100%, $E$13)</f>
        <v>12.940300000000001</v>
      </c>
      <c r="J453" s="68">
        <f>8.0948 * CHOOSE(CONTROL!$C$22, $C$13, 100%, $E$13)</f>
        <v>8.0947999999999993</v>
      </c>
      <c r="K453" s="68">
        <f>8.0981 * CHOOSE(CONTROL!$C$22, $C$13, 100%, $E$13)</f>
        <v>8.0981000000000005</v>
      </c>
    </row>
    <row r="454" spans="1:11" ht="15">
      <c r="A454" s="13">
        <v>54940</v>
      </c>
      <c r="B454" s="67">
        <f>6.6761 * CHOOSE(CONTROL!$C$22, $C$13, 100%, $E$13)</f>
        <v>6.6760999999999999</v>
      </c>
      <c r="C454" s="67">
        <f>6.6761 * CHOOSE(CONTROL!$C$22, $C$13, 100%, $E$13)</f>
        <v>6.6760999999999999</v>
      </c>
      <c r="D454" s="67">
        <f>6.6787 * CHOOSE(CONTROL!$C$22, $C$13, 100%, $E$13)</f>
        <v>6.6787000000000001</v>
      </c>
      <c r="E454" s="68">
        <f>8.0579 * CHOOSE(CONTROL!$C$22, $C$13, 100%, $E$13)</f>
        <v>8.0579000000000001</v>
      </c>
      <c r="F454" s="68">
        <f>8.0579 * CHOOSE(CONTROL!$C$22, $C$13, 100%, $E$13)</f>
        <v>8.0579000000000001</v>
      </c>
      <c r="G454" s="68">
        <f>8.0611 * CHOOSE(CONTROL!$C$22, $C$13, 100%, $E$13)</f>
        <v>8.0610999999999997</v>
      </c>
      <c r="H454" s="68">
        <f>12.964* CHOOSE(CONTROL!$C$22, $C$13, 100%, $E$13)</f>
        <v>12.964</v>
      </c>
      <c r="I454" s="68">
        <f>12.9673 * CHOOSE(CONTROL!$C$22, $C$13, 100%, $E$13)</f>
        <v>12.9673</v>
      </c>
      <c r="J454" s="68">
        <f>8.0579 * CHOOSE(CONTROL!$C$22, $C$13, 100%, $E$13)</f>
        <v>8.0579000000000001</v>
      </c>
      <c r="K454" s="68">
        <f>8.0611 * CHOOSE(CONTROL!$C$22, $C$13, 100%, $E$13)</f>
        <v>8.0610999999999997</v>
      </c>
    </row>
    <row r="455" spans="1:11" ht="15">
      <c r="A455" s="13">
        <v>54970</v>
      </c>
      <c r="B455" s="67">
        <f>6.7826 * CHOOSE(CONTROL!$C$22, $C$13, 100%, $E$13)</f>
        <v>6.7826000000000004</v>
      </c>
      <c r="C455" s="67">
        <f>6.7826 * CHOOSE(CONTROL!$C$22, $C$13, 100%, $E$13)</f>
        <v>6.7826000000000004</v>
      </c>
      <c r="D455" s="67">
        <f>6.7852 * CHOOSE(CONTROL!$C$22, $C$13, 100%, $E$13)</f>
        <v>6.7851999999999997</v>
      </c>
      <c r="E455" s="68">
        <f>8.1919 * CHOOSE(CONTROL!$C$22, $C$13, 100%, $E$13)</f>
        <v>8.1919000000000004</v>
      </c>
      <c r="F455" s="68">
        <f>8.1919 * CHOOSE(CONTROL!$C$22, $C$13, 100%, $E$13)</f>
        <v>8.1919000000000004</v>
      </c>
      <c r="G455" s="68">
        <f>8.1951 * CHOOSE(CONTROL!$C$22, $C$13, 100%, $E$13)</f>
        <v>8.1951000000000001</v>
      </c>
      <c r="H455" s="68">
        <f>12.991* CHOOSE(CONTROL!$C$22, $C$13, 100%, $E$13)</f>
        <v>12.991</v>
      </c>
      <c r="I455" s="68">
        <f>12.9943 * CHOOSE(CONTROL!$C$22, $C$13, 100%, $E$13)</f>
        <v>12.994300000000001</v>
      </c>
      <c r="J455" s="68">
        <f>8.1919 * CHOOSE(CONTROL!$C$22, $C$13, 100%, $E$13)</f>
        <v>8.1919000000000004</v>
      </c>
      <c r="K455" s="68">
        <f>8.1951 * CHOOSE(CONTROL!$C$22, $C$13, 100%, $E$13)</f>
        <v>8.1951000000000001</v>
      </c>
    </row>
    <row r="456" spans="1:11" ht="15">
      <c r="A456" s="13">
        <v>55001</v>
      </c>
      <c r="B456" s="67">
        <f>6.7893 * CHOOSE(CONTROL!$C$22, $C$13, 100%, $E$13)</f>
        <v>6.7892999999999999</v>
      </c>
      <c r="C456" s="67">
        <f>6.7893 * CHOOSE(CONTROL!$C$22, $C$13, 100%, $E$13)</f>
        <v>6.7892999999999999</v>
      </c>
      <c r="D456" s="67">
        <f>6.7919 * CHOOSE(CONTROL!$C$22, $C$13, 100%, $E$13)</f>
        <v>6.7919</v>
      </c>
      <c r="E456" s="68">
        <f>8.0729 * CHOOSE(CONTROL!$C$22, $C$13, 100%, $E$13)</f>
        <v>8.0729000000000006</v>
      </c>
      <c r="F456" s="68">
        <f>8.0729 * CHOOSE(CONTROL!$C$22, $C$13, 100%, $E$13)</f>
        <v>8.0729000000000006</v>
      </c>
      <c r="G456" s="68">
        <f>8.0762 * CHOOSE(CONTROL!$C$22, $C$13, 100%, $E$13)</f>
        <v>8.0762</v>
      </c>
      <c r="H456" s="68">
        <f>13.0181* CHOOSE(CONTROL!$C$22, $C$13, 100%, $E$13)</f>
        <v>13.0181</v>
      </c>
      <c r="I456" s="68">
        <f>13.0213 * CHOOSE(CONTROL!$C$22, $C$13, 100%, $E$13)</f>
        <v>13.0213</v>
      </c>
      <c r="J456" s="68">
        <f>8.0729 * CHOOSE(CONTROL!$C$22, $C$13, 100%, $E$13)</f>
        <v>8.0729000000000006</v>
      </c>
      <c r="K456" s="68">
        <f>8.0762 * CHOOSE(CONTROL!$C$22, $C$13, 100%, $E$13)</f>
        <v>8.0762</v>
      </c>
    </row>
    <row r="457" spans="1:11" ht="15">
      <c r="A457" s="13">
        <v>55032</v>
      </c>
      <c r="B457" s="67">
        <f>6.7863 * CHOOSE(CONTROL!$C$22, $C$13, 100%, $E$13)</f>
        <v>6.7862999999999998</v>
      </c>
      <c r="C457" s="67">
        <f>6.7863 * CHOOSE(CONTROL!$C$22, $C$13, 100%, $E$13)</f>
        <v>6.7862999999999998</v>
      </c>
      <c r="D457" s="67">
        <f>6.7889 * CHOOSE(CONTROL!$C$22, $C$13, 100%, $E$13)</f>
        <v>6.7888999999999999</v>
      </c>
      <c r="E457" s="68">
        <f>8.0571 * CHOOSE(CONTROL!$C$22, $C$13, 100%, $E$13)</f>
        <v>8.0571000000000002</v>
      </c>
      <c r="F457" s="68">
        <f>8.0571 * CHOOSE(CONTROL!$C$22, $C$13, 100%, $E$13)</f>
        <v>8.0571000000000002</v>
      </c>
      <c r="G457" s="68">
        <f>8.0603 * CHOOSE(CONTROL!$C$22, $C$13, 100%, $E$13)</f>
        <v>8.0602999999999998</v>
      </c>
      <c r="H457" s="68">
        <f>13.0452* CHOOSE(CONTROL!$C$22, $C$13, 100%, $E$13)</f>
        <v>13.045199999999999</v>
      </c>
      <c r="I457" s="68">
        <f>13.0485 * CHOOSE(CONTROL!$C$22, $C$13, 100%, $E$13)</f>
        <v>13.048500000000001</v>
      </c>
      <c r="J457" s="68">
        <f>8.0571 * CHOOSE(CONTROL!$C$22, $C$13, 100%, $E$13)</f>
        <v>8.0571000000000002</v>
      </c>
      <c r="K457" s="68">
        <f>8.0603 * CHOOSE(CONTROL!$C$22, $C$13, 100%, $E$13)</f>
        <v>8.0602999999999998</v>
      </c>
    </row>
    <row r="458" spans="1:11" ht="15">
      <c r="A458" s="13">
        <v>55062</v>
      </c>
      <c r="B458" s="67">
        <f>6.7905 * CHOOSE(CONTROL!$C$22, $C$13, 100%, $E$13)</f>
        <v>6.7904999999999998</v>
      </c>
      <c r="C458" s="67">
        <f>6.7905 * CHOOSE(CONTROL!$C$22, $C$13, 100%, $E$13)</f>
        <v>6.7904999999999998</v>
      </c>
      <c r="D458" s="67">
        <f>6.7915 * CHOOSE(CONTROL!$C$22, $C$13, 100%, $E$13)</f>
        <v>6.7915000000000001</v>
      </c>
      <c r="E458" s="68">
        <f>8.0986 * CHOOSE(CONTROL!$C$22, $C$13, 100%, $E$13)</f>
        <v>8.0985999999999994</v>
      </c>
      <c r="F458" s="68">
        <f>8.0986 * CHOOSE(CONTROL!$C$22, $C$13, 100%, $E$13)</f>
        <v>8.0985999999999994</v>
      </c>
      <c r="G458" s="68">
        <f>8.0999 * CHOOSE(CONTROL!$C$22, $C$13, 100%, $E$13)</f>
        <v>8.0998999999999999</v>
      </c>
      <c r="H458" s="68">
        <f>13.0724* CHOOSE(CONTROL!$C$22, $C$13, 100%, $E$13)</f>
        <v>13.0724</v>
      </c>
      <c r="I458" s="68">
        <f>13.0737 * CHOOSE(CONTROL!$C$22, $C$13, 100%, $E$13)</f>
        <v>13.073700000000001</v>
      </c>
      <c r="J458" s="68">
        <f>8.0986 * CHOOSE(CONTROL!$C$22, $C$13, 100%, $E$13)</f>
        <v>8.0985999999999994</v>
      </c>
      <c r="K458" s="68">
        <f>8.0999 * CHOOSE(CONTROL!$C$22, $C$13, 100%, $E$13)</f>
        <v>8.0998999999999999</v>
      </c>
    </row>
    <row r="459" spans="1:11" ht="15">
      <c r="A459" s="13">
        <v>55093</v>
      </c>
      <c r="B459" s="67">
        <f>6.7936 * CHOOSE(CONTROL!$C$22, $C$13, 100%, $E$13)</f>
        <v>6.7935999999999996</v>
      </c>
      <c r="C459" s="67">
        <f>6.7936 * CHOOSE(CONTROL!$C$22, $C$13, 100%, $E$13)</f>
        <v>6.7935999999999996</v>
      </c>
      <c r="D459" s="67">
        <f>6.7945 * CHOOSE(CONTROL!$C$22, $C$13, 100%, $E$13)</f>
        <v>6.7945000000000002</v>
      </c>
      <c r="E459" s="68">
        <f>8.1282 * CHOOSE(CONTROL!$C$22, $C$13, 100%, $E$13)</f>
        <v>8.1281999999999996</v>
      </c>
      <c r="F459" s="68">
        <f>8.1282 * CHOOSE(CONTROL!$C$22, $C$13, 100%, $E$13)</f>
        <v>8.1281999999999996</v>
      </c>
      <c r="G459" s="68">
        <f>8.1294 * CHOOSE(CONTROL!$C$22, $C$13, 100%, $E$13)</f>
        <v>8.1294000000000004</v>
      </c>
      <c r="H459" s="68">
        <f>13.0996* CHOOSE(CONTROL!$C$22, $C$13, 100%, $E$13)</f>
        <v>13.099600000000001</v>
      </c>
      <c r="I459" s="68">
        <f>13.1009 * CHOOSE(CONTROL!$C$22, $C$13, 100%, $E$13)</f>
        <v>13.100899999999999</v>
      </c>
      <c r="J459" s="68">
        <f>8.1282 * CHOOSE(CONTROL!$C$22, $C$13, 100%, $E$13)</f>
        <v>8.1281999999999996</v>
      </c>
      <c r="K459" s="68">
        <f>8.1294 * CHOOSE(CONTROL!$C$22, $C$13, 100%, $E$13)</f>
        <v>8.1294000000000004</v>
      </c>
    </row>
    <row r="460" spans="1:11" ht="15">
      <c r="A460" s="13">
        <v>55123</v>
      </c>
      <c r="B460" s="67">
        <f>6.7936 * CHOOSE(CONTROL!$C$22, $C$13, 100%, $E$13)</f>
        <v>6.7935999999999996</v>
      </c>
      <c r="C460" s="67">
        <f>6.7936 * CHOOSE(CONTROL!$C$22, $C$13, 100%, $E$13)</f>
        <v>6.7935999999999996</v>
      </c>
      <c r="D460" s="67">
        <f>6.7945 * CHOOSE(CONTROL!$C$22, $C$13, 100%, $E$13)</f>
        <v>6.7945000000000002</v>
      </c>
      <c r="E460" s="68">
        <f>8.0595 * CHOOSE(CONTROL!$C$22, $C$13, 100%, $E$13)</f>
        <v>8.0594999999999999</v>
      </c>
      <c r="F460" s="68">
        <f>8.0595 * CHOOSE(CONTROL!$C$22, $C$13, 100%, $E$13)</f>
        <v>8.0594999999999999</v>
      </c>
      <c r="G460" s="68">
        <f>8.0608 * CHOOSE(CONTROL!$C$22, $C$13, 100%, $E$13)</f>
        <v>8.0608000000000004</v>
      </c>
      <c r="H460" s="68">
        <f>13.1269* CHOOSE(CONTROL!$C$22, $C$13, 100%, $E$13)</f>
        <v>13.126899999999999</v>
      </c>
      <c r="I460" s="68">
        <f>13.1282 * CHOOSE(CONTROL!$C$22, $C$13, 100%, $E$13)</f>
        <v>13.1282</v>
      </c>
      <c r="J460" s="68">
        <f>8.0595 * CHOOSE(CONTROL!$C$22, $C$13, 100%, $E$13)</f>
        <v>8.0594999999999999</v>
      </c>
      <c r="K460" s="68">
        <f>8.0608 * CHOOSE(CONTROL!$C$22, $C$13, 100%, $E$13)</f>
        <v>8.0608000000000004</v>
      </c>
    </row>
    <row r="461" spans="1:11" ht="15">
      <c r="A461" s="13">
        <v>55154</v>
      </c>
      <c r="B461" s="67">
        <f>6.8525 * CHOOSE(CONTROL!$C$22, $C$13, 100%, $E$13)</f>
        <v>6.8525</v>
      </c>
      <c r="C461" s="67">
        <f>6.8525 * CHOOSE(CONTROL!$C$22, $C$13, 100%, $E$13)</f>
        <v>6.8525</v>
      </c>
      <c r="D461" s="67">
        <f>6.8535 * CHOOSE(CONTROL!$C$22, $C$13, 100%, $E$13)</f>
        <v>6.8535000000000004</v>
      </c>
      <c r="E461" s="68">
        <f>8.1748 * CHOOSE(CONTROL!$C$22, $C$13, 100%, $E$13)</f>
        <v>8.1747999999999994</v>
      </c>
      <c r="F461" s="68">
        <f>8.1748 * CHOOSE(CONTROL!$C$22, $C$13, 100%, $E$13)</f>
        <v>8.1747999999999994</v>
      </c>
      <c r="G461" s="68">
        <f>8.176 * CHOOSE(CONTROL!$C$22, $C$13, 100%, $E$13)</f>
        <v>8.1760000000000002</v>
      </c>
      <c r="H461" s="68">
        <f>13.1543* CHOOSE(CONTROL!$C$22, $C$13, 100%, $E$13)</f>
        <v>13.154299999999999</v>
      </c>
      <c r="I461" s="68">
        <f>13.1555 * CHOOSE(CONTROL!$C$22, $C$13, 100%, $E$13)</f>
        <v>13.1555</v>
      </c>
      <c r="J461" s="68">
        <f>8.1748 * CHOOSE(CONTROL!$C$22, $C$13, 100%, $E$13)</f>
        <v>8.1747999999999994</v>
      </c>
      <c r="K461" s="68">
        <f>8.176 * CHOOSE(CONTROL!$C$22, $C$13, 100%, $E$13)</f>
        <v>8.1760000000000002</v>
      </c>
    </row>
    <row r="462" spans="1:11" ht="15">
      <c r="A462" s="13">
        <v>55185</v>
      </c>
      <c r="B462" s="67">
        <f>6.8495 * CHOOSE(CONTROL!$C$22, $C$13, 100%, $E$13)</f>
        <v>6.8494999999999999</v>
      </c>
      <c r="C462" s="67">
        <f>6.8495 * CHOOSE(CONTROL!$C$22, $C$13, 100%, $E$13)</f>
        <v>6.8494999999999999</v>
      </c>
      <c r="D462" s="67">
        <f>6.8504 * CHOOSE(CONTROL!$C$22, $C$13, 100%, $E$13)</f>
        <v>6.8503999999999996</v>
      </c>
      <c r="E462" s="68">
        <f>8.0392 * CHOOSE(CONTROL!$C$22, $C$13, 100%, $E$13)</f>
        <v>8.0391999999999992</v>
      </c>
      <c r="F462" s="68">
        <f>8.0392 * CHOOSE(CONTROL!$C$22, $C$13, 100%, $E$13)</f>
        <v>8.0391999999999992</v>
      </c>
      <c r="G462" s="68">
        <f>8.0405 * CHOOSE(CONTROL!$C$22, $C$13, 100%, $E$13)</f>
        <v>8.0404999999999998</v>
      </c>
      <c r="H462" s="68">
        <f>13.1817* CHOOSE(CONTROL!$C$22, $C$13, 100%, $E$13)</f>
        <v>13.181699999999999</v>
      </c>
      <c r="I462" s="68">
        <f>13.1829 * CHOOSE(CONTROL!$C$22, $C$13, 100%, $E$13)</f>
        <v>13.1829</v>
      </c>
      <c r="J462" s="68">
        <f>8.0392 * CHOOSE(CONTROL!$C$22, $C$13, 100%, $E$13)</f>
        <v>8.0391999999999992</v>
      </c>
      <c r="K462" s="68">
        <f>8.0405 * CHOOSE(CONTROL!$C$22, $C$13, 100%, $E$13)</f>
        <v>8.0404999999999998</v>
      </c>
    </row>
    <row r="463" spans="1:11" ht="15">
      <c r="A463" s="13">
        <v>55213</v>
      </c>
      <c r="B463" s="67">
        <f>6.8464 * CHOOSE(CONTROL!$C$22, $C$13, 100%, $E$13)</f>
        <v>6.8464</v>
      </c>
      <c r="C463" s="67">
        <f>6.8464 * CHOOSE(CONTROL!$C$22, $C$13, 100%, $E$13)</f>
        <v>6.8464</v>
      </c>
      <c r="D463" s="67">
        <f>6.8474 * CHOOSE(CONTROL!$C$22, $C$13, 100%, $E$13)</f>
        <v>6.8474000000000004</v>
      </c>
      <c r="E463" s="68">
        <f>8.1423 * CHOOSE(CONTROL!$C$22, $C$13, 100%, $E$13)</f>
        <v>8.1423000000000005</v>
      </c>
      <c r="F463" s="68">
        <f>8.1423 * CHOOSE(CONTROL!$C$22, $C$13, 100%, $E$13)</f>
        <v>8.1423000000000005</v>
      </c>
      <c r="G463" s="68">
        <f>8.1436 * CHOOSE(CONTROL!$C$22, $C$13, 100%, $E$13)</f>
        <v>8.1435999999999993</v>
      </c>
      <c r="H463" s="68">
        <f>13.2091* CHOOSE(CONTROL!$C$22, $C$13, 100%, $E$13)</f>
        <v>13.209099999999999</v>
      </c>
      <c r="I463" s="68">
        <f>13.2104 * CHOOSE(CONTROL!$C$22, $C$13, 100%, $E$13)</f>
        <v>13.2104</v>
      </c>
      <c r="J463" s="68">
        <f>8.1423 * CHOOSE(CONTROL!$C$22, $C$13, 100%, $E$13)</f>
        <v>8.1423000000000005</v>
      </c>
      <c r="K463" s="68">
        <f>8.1436 * CHOOSE(CONTROL!$C$22, $C$13, 100%, $E$13)</f>
        <v>8.1435999999999993</v>
      </c>
    </row>
    <row r="464" spans="1:11" ht="15">
      <c r="A464" s="13">
        <v>55244</v>
      </c>
      <c r="B464" s="67">
        <f>6.8465 * CHOOSE(CONTROL!$C$22, $C$13, 100%, $E$13)</f>
        <v>6.8464999999999998</v>
      </c>
      <c r="C464" s="67">
        <f>6.8465 * CHOOSE(CONTROL!$C$22, $C$13, 100%, $E$13)</f>
        <v>6.8464999999999998</v>
      </c>
      <c r="D464" s="67">
        <f>6.8475 * CHOOSE(CONTROL!$C$22, $C$13, 100%, $E$13)</f>
        <v>6.8475000000000001</v>
      </c>
      <c r="E464" s="68">
        <f>8.251 * CHOOSE(CONTROL!$C$22, $C$13, 100%, $E$13)</f>
        <v>8.2509999999999994</v>
      </c>
      <c r="F464" s="68">
        <f>8.251 * CHOOSE(CONTROL!$C$22, $C$13, 100%, $E$13)</f>
        <v>8.2509999999999994</v>
      </c>
      <c r="G464" s="68">
        <f>8.2523 * CHOOSE(CONTROL!$C$22, $C$13, 100%, $E$13)</f>
        <v>8.2523</v>
      </c>
      <c r="H464" s="68">
        <f>13.2366* CHOOSE(CONTROL!$C$22, $C$13, 100%, $E$13)</f>
        <v>13.236599999999999</v>
      </c>
      <c r="I464" s="68">
        <f>13.2379 * CHOOSE(CONTROL!$C$22, $C$13, 100%, $E$13)</f>
        <v>13.2379</v>
      </c>
      <c r="J464" s="68">
        <f>8.251 * CHOOSE(CONTROL!$C$22, $C$13, 100%, $E$13)</f>
        <v>8.2509999999999994</v>
      </c>
      <c r="K464" s="68">
        <f>8.2523 * CHOOSE(CONTROL!$C$22, $C$13, 100%, $E$13)</f>
        <v>8.2523</v>
      </c>
    </row>
    <row r="465" spans="1:11" ht="15">
      <c r="A465" s="13">
        <v>55274</v>
      </c>
      <c r="B465" s="67">
        <f>6.8465 * CHOOSE(CONTROL!$C$22, $C$13, 100%, $E$13)</f>
        <v>6.8464999999999998</v>
      </c>
      <c r="C465" s="67">
        <f>6.8465 * CHOOSE(CONTROL!$C$22, $C$13, 100%, $E$13)</f>
        <v>6.8464999999999998</v>
      </c>
      <c r="D465" s="67">
        <f>6.8491 * CHOOSE(CONTROL!$C$22, $C$13, 100%, $E$13)</f>
        <v>6.8491</v>
      </c>
      <c r="E465" s="68">
        <f>8.2934 * CHOOSE(CONTROL!$C$22, $C$13, 100%, $E$13)</f>
        <v>8.2934000000000001</v>
      </c>
      <c r="F465" s="68">
        <f>8.2934 * CHOOSE(CONTROL!$C$22, $C$13, 100%, $E$13)</f>
        <v>8.2934000000000001</v>
      </c>
      <c r="G465" s="68">
        <f>8.2966 * CHOOSE(CONTROL!$C$22, $C$13, 100%, $E$13)</f>
        <v>8.2965999999999998</v>
      </c>
      <c r="H465" s="68">
        <f>13.2642* CHOOSE(CONTROL!$C$22, $C$13, 100%, $E$13)</f>
        <v>13.264200000000001</v>
      </c>
      <c r="I465" s="68">
        <f>13.2675 * CHOOSE(CONTROL!$C$22, $C$13, 100%, $E$13)</f>
        <v>13.2675</v>
      </c>
      <c r="J465" s="68">
        <f>8.2934 * CHOOSE(CONTROL!$C$22, $C$13, 100%, $E$13)</f>
        <v>8.2934000000000001</v>
      </c>
      <c r="K465" s="68">
        <f>8.2966 * CHOOSE(CONTROL!$C$22, $C$13, 100%, $E$13)</f>
        <v>8.2965999999999998</v>
      </c>
    </row>
    <row r="466" spans="1:11" ht="15">
      <c r="A466" s="13">
        <v>55305</v>
      </c>
      <c r="B466" s="67">
        <f>6.8526 * CHOOSE(CONTROL!$C$22, $C$13, 100%, $E$13)</f>
        <v>6.8525999999999998</v>
      </c>
      <c r="C466" s="67">
        <f>6.8526 * CHOOSE(CONTROL!$C$22, $C$13, 100%, $E$13)</f>
        <v>6.8525999999999998</v>
      </c>
      <c r="D466" s="67">
        <f>6.8552 * CHOOSE(CONTROL!$C$22, $C$13, 100%, $E$13)</f>
        <v>6.8552</v>
      </c>
      <c r="E466" s="68">
        <f>8.2552 * CHOOSE(CONTROL!$C$22, $C$13, 100%, $E$13)</f>
        <v>8.2552000000000003</v>
      </c>
      <c r="F466" s="68">
        <f>8.2552 * CHOOSE(CONTROL!$C$22, $C$13, 100%, $E$13)</f>
        <v>8.2552000000000003</v>
      </c>
      <c r="G466" s="68">
        <f>8.2585 * CHOOSE(CONTROL!$C$22, $C$13, 100%, $E$13)</f>
        <v>8.2584999999999997</v>
      </c>
      <c r="H466" s="68">
        <f>13.2918* CHOOSE(CONTROL!$C$22, $C$13, 100%, $E$13)</f>
        <v>13.2918</v>
      </c>
      <c r="I466" s="68">
        <f>13.2951 * CHOOSE(CONTROL!$C$22, $C$13, 100%, $E$13)</f>
        <v>13.2951</v>
      </c>
      <c r="J466" s="68">
        <f>8.2552 * CHOOSE(CONTROL!$C$22, $C$13, 100%, $E$13)</f>
        <v>8.2552000000000003</v>
      </c>
      <c r="K466" s="68">
        <f>8.2585 * CHOOSE(CONTROL!$C$22, $C$13, 100%, $E$13)</f>
        <v>8.2584999999999997</v>
      </c>
    </row>
    <row r="467" spans="1:11" ht="15">
      <c r="A467" s="13">
        <v>55335</v>
      </c>
      <c r="B467" s="67">
        <f>6.9616 * CHOOSE(CONTROL!$C$22, $C$13, 100%, $E$13)</f>
        <v>6.9615999999999998</v>
      </c>
      <c r="C467" s="67">
        <f>6.9616 * CHOOSE(CONTROL!$C$22, $C$13, 100%, $E$13)</f>
        <v>6.9615999999999998</v>
      </c>
      <c r="D467" s="67">
        <f>6.9642 * CHOOSE(CONTROL!$C$22, $C$13, 100%, $E$13)</f>
        <v>6.9641999999999999</v>
      </c>
      <c r="E467" s="68">
        <f>8.3922 * CHOOSE(CONTROL!$C$22, $C$13, 100%, $E$13)</f>
        <v>8.3922000000000008</v>
      </c>
      <c r="F467" s="68">
        <f>8.3922 * CHOOSE(CONTROL!$C$22, $C$13, 100%, $E$13)</f>
        <v>8.3922000000000008</v>
      </c>
      <c r="G467" s="68">
        <f>8.3955 * CHOOSE(CONTROL!$C$22, $C$13, 100%, $E$13)</f>
        <v>8.3955000000000002</v>
      </c>
      <c r="H467" s="68">
        <f>13.3195* CHOOSE(CONTROL!$C$22, $C$13, 100%, $E$13)</f>
        <v>13.3195</v>
      </c>
      <c r="I467" s="68">
        <f>13.3228 * CHOOSE(CONTROL!$C$22, $C$13, 100%, $E$13)</f>
        <v>13.322800000000001</v>
      </c>
      <c r="J467" s="68">
        <f>8.3922 * CHOOSE(CONTROL!$C$22, $C$13, 100%, $E$13)</f>
        <v>8.3922000000000008</v>
      </c>
      <c r="K467" s="68">
        <f>8.3955 * CHOOSE(CONTROL!$C$22, $C$13, 100%, $E$13)</f>
        <v>8.3955000000000002</v>
      </c>
    </row>
    <row r="468" spans="1:11" ht="15">
      <c r="A468" s="13">
        <v>55366</v>
      </c>
      <c r="B468" s="67">
        <f>6.9683 * CHOOSE(CONTROL!$C$22, $C$13, 100%, $E$13)</f>
        <v>6.9683000000000002</v>
      </c>
      <c r="C468" s="67">
        <f>6.9683 * CHOOSE(CONTROL!$C$22, $C$13, 100%, $E$13)</f>
        <v>6.9683000000000002</v>
      </c>
      <c r="D468" s="67">
        <f>6.9709 * CHOOSE(CONTROL!$C$22, $C$13, 100%, $E$13)</f>
        <v>6.9709000000000003</v>
      </c>
      <c r="E468" s="68">
        <f>8.2698 * CHOOSE(CONTROL!$C$22, $C$13, 100%, $E$13)</f>
        <v>8.2698</v>
      </c>
      <c r="F468" s="68">
        <f>8.2698 * CHOOSE(CONTROL!$C$22, $C$13, 100%, $E$13)</f>
        <v>8.2698</v>
      </c>
      <c r="G468" s="68">
        <f>8.273 * CHOOSE(CONTROL!$C$22, $C$13, 100%, $E$13)</f>
        <v>8.2729999999999997</v>
      </c>
      <c r="H468" s="68">
        <f>13.3473* CHOOSE(CONTROL!$C$22, $C$13, 100%, $E$13)</f>
        <v>13.347300000000001</v>
      </c>
      <c r="I468" s="68">
        <f>13.3505 * CHOOSE(CONTROL!$C$22, $C$13, 100%, $E$13)</f>
        <v>13.3505</v>
      </c>
      <c r="J468" s="68">
        <f>8.2698 * CHOOSE(CONTROL!$C$22, $C$13, 100%, $E$13)</f>
        <v>8.2698</v>
      </c>
      <c r="K468" s="68">
        <f>8.273 * CHOOSE(CONTROL!$C$22, $C$13, 100%, $E$13)</f>
        <v>8.2729999999999997</v>
      </c>
    </row>
    <row r="469" spans="1:11" ht="15">
      <c r="A469" s="13">
        <v>55397</v>
      </c>
      <c r="B469" s="67">
        <f>6.9653 * CHOOSE(CONTROL!$C$22, $C$13, 100%, $E$13)</f>
        <v>6.9653</v>
      </c>
      <c r="C469" s="67">
        <f>6.9653 * CHOOSE(CONTROL!$C$22, $C$13, 100%, $E$13)</f>
        <v>6.9653</v>
      </c>
      <c r="D469" s="67">
        <f>6.9679 * CHOOSE(CONTROL!$C$22, $C$13, 100%, $E$13)</f>
        <v>6.9679000000000002</v>
      </c>
      <c r="E469" s="68">
        <f>8.2536 * CHOOSE(CONTROL!$C$22, $C$13, 100%, $E$13)</f>
        <v>8.2536000000000005</v>
      </c>
      <c r="F469" s="68">
        <f>8.2536 * CHOOSE(CONTROL!$C$22, $C$13, 100%, $E$13)</f>
        <v>8.2536000000000005</v>
      </c>
      <c r="G469" s="68">
        <f>8.2568 * CHOOSE(CONTROL!$C$22, $C$13, 100%, $E$13)</f>
        <v>8.2568000000000001</v>
      </c>
      <c r="H469" s="68">
        <f>13.3751* CHOOSE(CONTROL!$C$22, $C$13, 100%, $E$13)</f>
        <v>13.3751</v>
      </c>
      <c r="I469" s="68">
        <f>13.3783 * CHOOSE(CONTROL!$C$22, $C$13, 100%, $E$13)</f>
        <v>13.378299999999999</v>
      </c>
      <c r="J469" s="68">
        <f>8.2536 * CHOOSE(CONTROL!$C$22, $C$13, 100%, $E$13)</f>
        <v>8.2536000000000005</v>
      </c>
      <c r="K469" s="68">
        <f>8.2568 * CHOOSE(CONTROL!$C$22, $C$13, 100%, $E$13)</f>
        <v>8.2568000000000001</v>
      </c>
    </row>
    <row r="470" spans="1:11" ht="15">
      <c r="A470" s="13">
        <v>55427</v>
      </c>
      <c r="B470" s="67">
        <f>6.9701 * CHOOSE(CONTROL!$C$22, $C$13, 100%, $E$13)</f>
        <v>6.9701000000000004</v>
      </c>
      <c r="C470" s="67">
        <f>6.9701 * CHOOSE(CONTROL!$C$22, $C$13, 100%, $E$13)</f>
        <v>6.9701000000000004</v>
      </c>
      <c r="D470" s="67">
        <f>6.9711 * CHOOSE(CONTROL!$C$22, $C$13, 100%, $E$13)</f>
        <v>6.9710999999999999</v>
      </c>
      <c r="E470" s="68">
        <f>8.2966 * CHOOSE(CONTROL!$C$22, $C$13, 100%, $E$13)</f>
        <v>8.2965999999999998</v>
      </c>
      <c r="F470" s="68">
        <f>8.2966 * CHOOSE(CONTROL!$C$22, $C$13, 100%, $E$13)</f>
        <v>8.2965999999999998</v>
      </c>
      <c r="G470" s="68">
        <f>8.2979 * CHOOSE(CONTROL!$C$22, $C$13, 100%, $E$13)</f>
        <v>8.2979000000000003</v>
      </c>
      <c r="H470" s="68">
        <f>13.403* CHOOSE(CONTROL!$C$22, $C$13, 100%, $E$13)</f>
        <v>13.403</v>
      </c>
      <c r="I470" s="68">
        <f>13.4042 * CHOOSE(CONTROL!$C$22, $C$13, 100%, $E$13)</f>
        <v>13.404199999999999</v>
      </c>
      <c r="J470" s="68">
        <f>8.2966 * CHOOSE(CONTROL!$C$22, $C$13, 100%, $E$13)</f>
        <v>8.2965999999999998</v>
      </c>
      <c r="K470" s="68">
        <f>8.2979 * CHOOSE(CONTROL!$C$22, $C$13, 100%, $E$13)</f>
        <v>8.2979000000000003</v>
      </c>
    </row>
    <row r="471" spans="1:11" ht="15">
      <c r="A471" s="13">
        <v>55458</v>
      </c>
      <c r="B471" s="67">
        <f>6.9731 * CHOOSE(CONTROL!$C$22, $C$13, 100%, $E$13)</f>
        <v>6.9730999999999996</v>
      </c>
      <c r="C471" s="67">
        <f>6.9731 * CHOOSE(CONTROL!$C$22, $C$13, 100%, $E$13)</f>
        <v>6.9730999999999996</v>
      </c>
      <c r="D471" s="67">
        <f>6.9741 * CHOOSE(CONTROL!$C$22, $C$13, 100%, $E$13)</f>
        <v>6.9741</v>
      </c>
      <c r="E471" s="68">
        <f>8.327 * CHOOSE(CONTROL!$C$22, $C$13, 100%, $E$13)</f>
        <v>8.327</v>
      </c>
      <c r="F471" s="68">
        <f>8.327 * CHOOSE(CONTROL!$C$22, $C$13, 100%, $E$13)</f>
        <v>8.327</v>
      </c>
      <c r="G471" s="68">
        <f>8.3283 * CHOOSE(CONTROL!$C$22, $C$13, 100%, $E$13)</f>
        <v>8.3283000000000005</v>
      </c>
      <c r="H471" s="68">
        <f>13.4309* CHOOSE(CONTROL!$C$22, $C$13, 100%, $E$13)</f>
        <v>13.430899999999999</v>
      </c>
      <c r="I471" s="68">
        <f>13.4322 * CHOOSE(CONTROL!$C$22, $C$13, 100%, $E$13)</f>
        <v>13.4322</v>
      </c>
      <c r="J471" s="68">
        <f>8.327 * CHOOSE(CONTROL!$C$22, $C$13, 100%, $E$13)</f>
        <v>8.327</v>
      </c>
      <c r="K471" s="68">
        <f>8.3283 * CHOOSE(CONTROL!$C$22, $C$13, 100%, $E$13)</f>
        <v>8.3283000000000005</v>
      </c>
    </row>
    <row r="472" spans="1:11" ht="15">
      <c r="A472" s="13">
        <v>55488</v>
      </c>
      <c r="B472" s="67">
        <f>6.9731 * CHOOSE(CONTROL!$C$22, $C$13, 100%, $E$13)</f>
        <v>6.9730999999999996</v>
      </c>
      <c r="C472" s="67">
        <f>6.9731 * CHOOSE(CONTROL!$C$22, $C$13, 100%, $E$13)</f>
        <v>6.9730999999999996</v>
      </c>
      <c r="D472" s="67">
        <f>6.9741 * CHOOSE(CONTROL!$C$22, $C$13, 100%, $E$13)</f>
        <v>6.9741</v>
      </c>
      <c r="E472" s="68">
        <f>8.2564 * CHOOSE(CONTROL!$C$22, $C$13, 100%, $E$13)</f>
        <v>8.2563999999999993</v>
      </c>
      <c r="F472" s="68">
        <f>8.2564 * CHOOSE(CONTROL!$C$22, $C$13, 100%, $E$13)</f>
        <v>8.2563999999999993</v>
      </c>
      <c r="G472" s="68">
        <f>8.2577 * CHOOSE(CONTROL!$C$22, $C$13, 100%, $E$13)</f>
        <v>8.2576999999999998</v>
      </c>
      <c r="H472" s="68">
        <f>13.4589* CHOOSE(CONTROL!$C$22, $C$13, 100%, $E$13)</f>
        <v>13.4589</v>
      </c>
      <c r="I472" s="68">
        <f>13.4601 * CHOOSE(CONTROL!$C$22, $C$13, 100%, $E$13)</f>
        <v>13.460100000000001</v>
      </c>
      <c r="J472" s="68">
        <f>8.2564 * CHOOSE(CONTROL!$C$22, $C$13, 100%, $E$13)</f>
        <v>8.2563999999999993</v>
      </c>
      <c r="K472" s="68">
        <f>8.2577 * CHOOSE(CONTROL!$C$22, $C$13, 100%, $E$13)</f>
        <v>8.2576999999999998</v>
      </c>
    </row>
    <row r="473" spans="1:11" ht="15">
      <c r="A473" s="13">
        <v>55519</v>
      </c>
      <c r="B473" s="67">
        <f>7.0335 * CHOOSE(CONTROL!$C$22, $C$13, 100%, $E$13)</f>
        <v>7.0335000000000001</v>
      </c>
      <c r="C473" s="67">
        <f>7.0335 * CHOOSE(CONTROL!$C$22, $C$13, 100%, $E$13)</f>
        <v>7.0335000000000001</v>
      </c>
      <c r="D473" s="67">
        <f>7.0345 * CHOOSE(CONTROL!$C$22, $C$13, 100%, $E$13)</f>
        <v>7.0345000000000004</v>
      </c>
      <c r="E473" s="68">
        <f>8.3746 * CHOOSE(CONTROL!$C$22, $C$13, 100%, $E$13)</f>
        <v>8.3745999999999992</v>
      </c>
      <c r="F473" s="68">
        <f>8.3746 * CHOOSE(CONTROL!$C$22, $C$13, 100%, $E$13)</f>
        <v>8.3745999999999992</v>
      </c>
      <c r="G473" s="68">
        <f>8.3759 * CHOOSE(CONTROL!$C$22, $C$13, 100%, $E$13)</f>
        <v>8.3758999999999997</v>
      </c>
      <c r="H473" s="68">
        <f>13.4869* CHOOSE(CONTROL!$C$22, $C$13, 100%, $E$13)</f>
        <v>13.4869</v>
      </c>
      <c r="I473" s="68">
        <f>13.4882 * CHOOSE(CONTROL!$C$22, $C$13, 100%, $E$13)</f>
        <v>13.488200000000001</v>
      </c>
      <c r="J473" s="68">
        <f>8.3746 * CHOOSE(CONTROL!$C$22, $C$13, 100%, $E$13)</f>
        <v>8.3745999999999992</v>
      </c>
      <c r="K473" s="68">
        <f>8.3759 * CHOOSE(CONTROL!$C$22, $C$13, 100%, $E$13)</f>
        <v>8.3758999999999997</v>
      </c>
    </row>
    <row r="474" spans="1:11" ht="15">
      <c r="A474" s="13">
        <v>55550</v>
      </c>
      <c r="B474" s="67">
        <f>7.0305 * CHOOSE(CONTROL!$C$22, $C$13, 100%, $E$13)</f>
        <v>7.0305</v>
      </c>
      <c r="C474" s="67">
        <f>7.0305 * CHOOSE(CONTROL!$C$22, $C$13, 100%, $E$13)</f>
        <v>7.0305</v>
      </c>
      <c r="D474" s="67">
        <f>7.0315 * CHOOSE(CONTROL!$C$22, $C$13, 100%, $E$13)</f>
        <v>7.0315000000000003</v>
      </c>
      <c r="E474" s="68">
        <f>8.2353 * CHOOSE(CONTROL!$C$22, $C$13, 100%, $E$13)</f>
        <v>8.2353000000000005</v>
      </c>
      <c r="F474" s="68">
        <f>8.2353 * CHOOSE(CONTROL!$C$22, $C$13, 100%, $E$13)</f>
        <v>8.2353000000000005</v>
      </c>
      <c r="G474" s="68">
        <f>8.2366 * CHOOSE(CONTROL!$C$22, $C$13, 100%, $E$13)</f>
        <v>8.2365999999999993</v>
      </c>
      <c r="H474" s="68">
        <f>13.515* CHOOSE(CONTROL!$C$22, $C$13, 100%, $E$13)</f>
        <v>13.515000000000001</v>
      </c>
      <c r="I474" s="68">
        <f>13.5163 * CHOOSE(CONTROL!$C$22, $C$13, 100%, $E$13)</f>
        <v>13.516299999999999</v>
      </c>
      <c r="J474" s="68">
        <f>8.2353 * CHOOSE(CONTROL!$C$22, $C$13, 100%, $E$13)</f>
        <v>8.2353000000000005</v>
      </c>
      <c r="K474" s="68">
        <f>8.2366 * CHOOSE(CONTROL!$C$22, $C$13, 100%, $E$13)</f>
        <v>8.2365999999999993</v>
      </c>
    </row>
    <row r="475" spans="1:11" ht="15">
      <c r="A475" s="13">
        <v>55579</v>
      </c>
      <c r="B475" s="67">
        <f>7.0274 * CHOOSE(CONTROL!$C$22, $C$13, 100%, $E$13)</f>
        <v>7.0274000000000001</v>
      </c>
      <c r="C475" s="67">
        <f>7.0274 * CHOOSE(CONTROL!$C$22, $C$13, 100%, $E$13)</f>
        <v>7.0274000000000001</v>
      </c>
      <c r="D475" s="67">
        <f>7.0284 * CHOOSE(CONTROL!$C$22, $C$13, 100%, $E$13)</f>
        <v>7.0284000000000004</v>
      </c>
      <c r="E475" s="68">
        <f>8.3413 * CHOOSE(CONTROL!$C$22, $C$13, 100%, $E$13)</f>
        <v>8.3413000000000004</v>
      </c>
      <c r="F475" s="68">
        <f>8.3413 * CHOOSE(CONTROL!$C$22, $C$13, 100%, $E$13)</f>
        <v>8.3413000000000004</v>
      </c>
      <c r="G475" s="68">
        <f>8.3426 * CHOOSE(CONTROL!$C$22, $C$13, 100%, $E$13)</f>
        <v>8.3425999999999991</v>
      </c>
      <c r="H475" s="68">
        <f>13.5432* CHOOSE(CONTROL!$C$22, $C$13, 100%, $E$13)</f>
        <v>13.543200000000001</v>
      </c>
      <c r="I475" s="68">
        <f>13.5444 * CHOOSE(CONTROL!$C$22, $C$13, 100%, $E$13)</f>
        <v>13.5444</v>
      </c>
      <c r="J475" s="68">
        <f>8.3413 * CHOOSE(CONTROL!$C$22, $C$13, 100%, $E$13)</f>
        <v>8.3413000000000004</v>
      </c>
      <c r="K475" s="68">
        <f>8.3426 * CHOOSE(CONTROL!$C$22, $C$13, 100%, $E$13)</f>
        <v>8.3425999999999991</v>
      </c>
    </row>
    <row r="476" spans="1:11" ht="15">
      <c r="A476" s="13">
        <v>55610</v>
      </c>
      <c r="B476" s="67">
        <f>7.0277 * CHOOSE(CONTROL!$C$22, $C$13, 100%, $E$13)</f>
        <v>7.0277000000000003</v>
      </c>
      <c r="C476" s="67">
        <f>7.0277 * CHOOSE(CONTROL!$C$22, $C$13, 100%, $E$13)</f>
        <v>7.0277000000000003</v>
      </c>
      <c r="D476" s="67">
        <f>7.0287 * CHOOSE(CONTROL!$C$22, $C$13, 100%, $E$13)</f>
        <v>7.0286999999999997</v>
      </c>
      <c r="E476" s="68">
        <f>8.4532 * CHOOSE(CONTROL!$C$22, $C$13, 100%, $E$13)</f>
        <v>8.4532000000000007</v>
      </c>
      <c r="F476" s="68">
        <f>8.4532 * CHOOSE(CONTROL!$C$22, $C$13, 100%, $E$13)</f>
        <v>8.4532000000000007</v>
      </c>
      <c r="G476" s="68">
        <f>8.4545 * CHOOSE(CONTROL!$C$22, $C$13, 100%, $E$13)</f>
        <v>8.4544999999999995</v>
      </c>
      <c r="H476" s="68">
        <f>13.5714* CHOOSE(CONTROL!$C$22, $C$13, 100%, $E$13)</f>
        <v>13.571400000000001</v>
      </c>
      <c r="I476" s="68">
        <f>13.5727 * CHOOSE(CONTROL!$C$22, $C$13, 100%, $E$13)</f>
        <v>13.572699999999999</v>
      </c>
      <c r="J476" s="68">
        <f>8.4532 * CHOOSE(CONTROL!$C$22, $C$13, 100%, $E$13)</f>
        <v>8.4532000000000007</v>
      </c>
      <c r="K476" s="68">
        <f>8.4545 * CHOOSE(CONTROL!$C$22, $C$13, 100%, $E$13)</f>
        <v>8.4544999999999995</v>
      </c>
    </row>
    <row r="477" spans="1:11" ht="15">
      <c r="A477" s="13">
        <v>55640</v>
      </c>
      <c r="B477" s="67">
        <f>7.0277 * CHOOSE(CONTROL!$C$22, $C$13, 100%, $E$13)</f>
        <v>7.0277000000000003</v>
      </c>
      <c r="C477" s="67">
        <f>7.0277 * CHOOSE(CONTROL!$C$22, $C$13, 100%, $E$13)</f>
        <v>7.0277000000000003</v>
      </c>
      <c r="D477" s="67">
        <f>7.0303 * CHOOSE(CONTROL!$C$22, $C$13, 100%, $E$13)</f>
        <v>7.0303000000000004</v>
      </c>
      <c r="E477" s="68">
        <f>8.4967 * CHOOSE(CONTROL!$C$22, $C$13, 100%, $E$13)</f>
        <v>8.4967000000000006</v>
      </c>
      <c r="F477" s="68">
        <f>8.4967 * CHOOSE(CONTROL!$C$22, $C$13, 100%, $E$13)</f>
        <v>8.4967000000000006</v>
      </c>
      <c r="G477" s="68">
        <f>8.5 * CHOOSE(CONTROL!$C$22, $C$13, 100%, $E$13)</f>
        <v>8.5</v>
      </c>
      <c r="H477" s="68">
        <f>13.5996* CHOOSE(CONTROL!$C$22, $C$13, 100%, $E$13)</f>
        <v>13.599600000000001</v>
      </c>
      <c r="I477" s="68">
        <f>13.6029 * CHOOSE(CONTROL!$C$22, $C$13, 100%, $E$13)</f>
        <v>13.6029</v>
      </c>
      <c r="J477" s="68">
        <f>8.4967 * CHOOSE(CONTROL!$C$22, $C$13, 100%, $E$13)</f>
        <v>8.4967000000000006</v>
      </c>
      <c r="K477" s="68">
        <f>8.5 * CHOOSE(CONTROL!$C$22, $C$13, 100%, $E$13)</f>
        <v>8.5</v>
      </c>
    </row>
    <row r="478" spans="1:11" ht="15">
      <c r="A478" s="13">
        <v>55671</v>
      </c>
      <c r="B478" s="67">
        <f>7.0338 * CHOOSE(CONTROL!$C$22, $C$13, 100%, $E$13)</f>
        <v>7.0338000000000003</v>
      </c>
      <c r="C478" s="67">
        <f>7.0338 * CHOOSE(CONTROL!$C$22, $C$13, 100%, $E$13)</f>
        <v>7.0338000000000003</v>
      </c>
      <c r="D478" s="67">
        <f>7.0364 * CHOOSE(CONTROL!$C$22, $C$13, 100%, $E$13)</f>
        <v>7.0364000000000004</v>
      </c>
      <c r="E478" s="68">
        <f>8.4574 * CHOOSE(CONTROL!$C$22, $C$13, 100%, $E$13)</f>
        <v>8.4573999999999998</v>
      </c>
      <c r="F478" s="68">
        <f>8.4574 * CHOOSE(CONTROL!$C$22, $C$13, 100%, $E$13)</f>
        <v>8.4573999999999998</v>
      </c>
      <c r="G478" s="68">
        <f>8.4607 * CHOOSE(CONTROL!$C$22, $C$13, 100%, $E$13)</f>
        <v>8.4606999999999992</v>
      </c>
      <c r="H478" s="68">
        <f>13.628* CHOOSE(CONTROL!$C$22, $C$13, 100%, $E$13)</f>
        <v>13.628</v>
      </c>
      <c r="I478" s="68">
        <f>13.6312 * CHOOSE(CONTROL!$C$22, $C$13, 100%, $E$13)</f>
        <v>13.6312</v>
      </c>
      <c r="J478" s="68">
        <f>8.4574 * CHOOSE(CONTROL!$C$22, $C$13, 100%, $E$13)</f>
        <v>8.4573999999999998</v>
      </c>
      <c r="K478" s="68">
        <f>8.4607 * CHOOSE(CONTROL!$C$22, $C$13, 100%, $E$13)</f>
        <v>8.4606999999999992</v>
      </c>
    </row>
    <row r="479" spans="1:11" ht="15">
      <c r="A479" s="13">
        <v>55701</v>
      </c>
      <c r="B479" s="67">
        <f>7.1454 * CHOOSE(CONTROL!$C$22, $C$13, 100%, $E$13)</f>
        <v>7.1454000000000004</v>
      </c>
      <c r="C479" s="67">
        <f>7.1454 * CHOOSE(CONTROL!$C$22, $C$13, 100%, $E$13)</f>
        <v>7.1454000000000004</v>
      </c>
      <c r="D479" s="67">
        <f>7.148 * CHOOSE(CONTROL!$C$22, $C$13, 100%, $E$13)</f>
        <v>7.1479999999999997</v>
      </c>
      <c r="E479" s="68">
        <f>8.5975 * CHOOSE(CONTROL!$C$22, $C$13, 100%, $E$13)</f>
        <v>8.5975000000000001</v>
      </c>
      <c r="F479" s="68">
        <f>8.5975 * CHOOSE(CONTROL!$C$22, $C$13, 100%, $E$13)</f>
        <v>8.5975000000000001</v>
      </c>
      <c r="G479" s="68">
        <f>8.6007 * CHOOSE(CONTROL!$C$22, $C$13, 100%, $E$13)</f>
        <v>8.6006999999999998</v>
      </c>
      <c r="H479" s="68">
        <f>13.6564* CHOOSE(CONTROL!$C$22, $C$13, 100%, $E$13)</f>
        <v>13.6564</v>
      </c>
      <c r="I479" s="68">
        <f>13.6596 * CHOOSE(CONTROL!$C$22, $C$13, 100%, $E$13)</f>
        <v>13.659599999999999</v>
      </c>
      <c r="J479" s="68">
        <f>8.5975 * CHOOSE(CONTROL!$C$22, $C$13, 100%, $E$13)</f>
        <v>8.5975000000000001</v>
      </c>
      <c r="K479" s="68">
        <f>8.6007 * CHOOSE(CONTROL!$C$22, $C$13, 100%, $E$13)</f>
        <v>8.6006999999999998</v>
      </c>
    </row>
    <row r="480" spans="1:11" ht="15">
      <c r="A480" s="13">
        <v>55732</v>
      </c>
      <c r="B480" s="67">
        <f>7.1521 * CHOOSE(CONTROL!$C$22, $C$13, 100%, $E$13)</f>
        <v>7.1520999999999999</v>
      </c>
      <c r="C480" s="67">
        <f>7.1521 * CHOOSE(CONTROL!$C$22, $C$13, 100%, $E$13)</f>
        <v>7.1520999999999999</v>
      </c>
      <c r="D480" s="67">
        <f>7.1547 * CHOOSE(CONTROL!$C$22, $C$13, 100%, $E$13)</f>
        <v>7.1547000000000001</v>
      </c>
      <c r="E480" s="68">
        <f>8.4715 * CHOOSE(CONTROL!$C$22, $C$13, 100%, $E$13)</f>
        <v>8.4715000000000007</v>
      </c>
      <c r="F480" s="68">
        <f>8.4715 * CHOOSE(CONTROL!$C$22, $C$13, 100%, $E$13)</f>
        <v>8.4715000000000007</v>
      </c>
      <c r="G480" s="68">
        <f>8.4748 * CHOOSE(CONTROL!$C$22, $C$13, 100%, $E$13)</f>
        <v>8.4748000000000001</v>
      </c>
      <c r="H480" s="68">
        <f>13.6848* CHOOSE(CONTROL!$C$22, $C$13, 100%, $E$13)</f>
        <v>13.684799999999999</v>
      </c>
      <c r="I480" s="68">
        <f>13.6881 * CHOOSE(CONTROL!$C$22, $C$13, 100%, $E$13)</f>
        <v>13.6881</v>
      </c>
      <c r="J480" s="68">
        <f>8.4715 * CHOOSE(CONTROL!$C$22, $C$13, 100%, $E$13)</f>
        <v>8.4715000000000007</v>
      </c>
      <c r="K480" s="68">
        <f>8.4748 * CHOOSE(CONTROL!$C$22, $C$13, 100%, $E$13)</f>
        <v>8.4748000000000001</v>
      </c>
    </row>
    <row r="481" spans="1:11" ht="15">
      <c r="A481" s="13">
        <v>55763</v>
      </c>
      <c r="B481" s="67">
        <f>7.149 * CHOOSE(CONTROL!$C$22, $C$13, 100%, $E$13)</f>
        <v>7.149</v>
      </c>
      <c r="C481" s="67">
        <f>7.149 * CHOOSE(CONTROL!$C$22, $C$13, 100%, $E$13)</f>
        <v>7.149</v>
      </c>
      <c r="D481" s="67">
        <f>7.1516 * CHOOSE(CONTROL!$C$22, $C$13, 100%, $E$13)</f>
        <v>7.1516000000000002</v>
      </c>
      <c r="E481" s="68">
        <f>8.4549 * CHOOSE(CONTROL!$C$22, $C$13, 100%, $E$13)</f>
        <v>8.4549000000000003</v>
      </c>
      <c r="F481" s="68">
        <f>8.4549 * CHOOSE(CONTROL!$C$22, $C$13, 100%, $E$13)</f>
        <v>8.4549000000000003</v>
      </c>
      <c r="G481" s="68">
        <f>8.4581 * CHOOSE(CONTROL!$C$22, $C$13, 100%, $E$13)</f>
        <v>8.4581</v>
      </c>
      <c r="H481" s="68">
        <f>13.7133* CHOOSE(CONTROL!$C$22, $C$13, 100%, $E$13)</f>
        <v>13.7133</v>
      </c>
      <c r="I481" s="68">
        <f>13.7166 * CHOOSE(CONTROL!$C$22, $C$13, 100%, $E$13)</f>
        <v>13.7166</v>
      </c>
      <c r="J481" s="68">
        <f>8.4549 * CHOOSE(CONTROL!$C$22, $C$13, 100%, $E$13)</f>
        <v>8.4549000000000003</v>
      </c>
      <c r="K481" s="68">
        <f>8.4581 * CHOOSE(CONTROL!$C$22, $C$13, 100%, $E$13)</f>
        <v>8.4581</v>
      </c>
    </row>
    <row r="482" spans="1:11" ht="15">
      <c r="A482" s="13">
        <v>55793</v>
      </c>
      <c r="B482" s="67">
        <f>7.1545 * CHOOSE(CONTROL!$C$22, $C$13, 100%, $E$13)</f>
        <v>7.1544999999999996</v>
      </c>
      <c r="C482" s="67">
        <f>7.1545 * CHOOSE(CONTROL!$C$22, $C$13, 100%, $E$13)</f>
        <v>7.1544999999999996</v>
      </c>
      <c r="D482" s="67">
        <f>7.1554 * CHOOSE(CONTROL!$C$22, $C$13, 100%, $E$13)</f>
        <v>7.1554000000000002</v>
      </c>
      <c r="E482" s="68">
        <f>8.4995 * CHOOSE(CONTROL!$C$22, $C$13, 100%, $E$13)</f>
        <v>8.4994999999999994</v>
      </c>
      <c r="F482" s="68">
        <f>8.4995 * CHOOSE(CONTROL!$C$22, $C$13, 100%, $E$13)</f>
        <v>8.4994999999999994</v>
      </c>
      <c r="G482" s="68">
        <f>8.5008 * CHOOSE(CONTROL!$C$22, $C$13, 100%, $E$13)</f>
        <v>8.5007999999999999</v>
      </c>
      <c r="H482" s="68">
        <f>13.7419* CHOOSE(CONTROL!$C$22, $C$13, 100%, $E$13)</f>
        <v>13.741899999999999</v>
      </c>
      <c r="I482" s="68">
        <f>13.7432 * CHOOSE(CONTROL!$C$22, $C$13, 100%, $E$13)</f>
        <v>13.7432</v>
      </c>
      <c r="J482" s="68">
        <f>8.4995 * CHOOSE(CONTROL!$C$22, $C$13, 100%, $E$13)</f>
        <v>8.4994999999999994</v>
      </c>
      <c r="K482" s="68">
        <f>8.5008 * CHOOSE(CONTROL!$C$22, $C$13, 100%, $E$13)</f>
        <v>8.5007999999999999</v>
      </c>
    </row>
    <row r="483" spans="1:11" ht="15">
      <c r="A483" s="13">
        <v>55824</v>
      </c>
      <c r="B483" s="67">
        <f>7.1575 * CHOOSE(CONTROL!$C$22, $C$13, 100%, $E$13)</f>
        <v>7.1574999999999998</v>
      </c>
      <c r="C483" s="67">
        <f>7.1575 * CHOOSE(CONTROL!$C$22, $C$13, 100%, $E$13)</f>
        <v>7.1574999999999998</v>
      </c>
      <c r="D483" s="67">
        <f>7.1585 * CHOOSE(CONTROL!$C$22, $C$13, 100%, $E$13)</f>
        <v>7.1585000000000001</v>
      </c>
      <c r="E483" s="68">
        <f>8.5307 * CHOOSE(CONTROL!$C$22, $C$13, 100%, $E$13)</f>
        <v>8.5306999999999995</v>
      </c>
      <c r="F483" s="68">
        <f>8.5307 * CHOOSE(CONTROL!$C$22, $C$13, 100%, $E$13)</f>
        <v>8.5306999999999995</v>
      </c>
      <c r="G483" s="68">
        <f>8.532 * CHOOSE(CONTROL!$C$22, $C$13, 100%, $E$13)</f>
        <v>8.532</v>
      </c>
      <c r="H483" s="68">
        <f>13.7705* CHOOSE(CONTROL!$C$22, $C$13, 100%, $E$13)</f>
        <v>13.7705</v>
      </c>
      <c r="I483" s="68">
        <f>13.7718 * CHOOSE(CONTROL!$C$22, $C$13, 100%, $E$13)</f>
        <v>13.771800000000001</v>
      </c>
      <c r="J483" s="68">
        <f>8.5307 * CHOOSE(CONTROL!$C$22, $C$13, 100%, $E$13)</f>
        <v>8.5306999999999995</v>
      </c>
      <c r="K483" s="68">
        <f>8.532 * CHOOSE(CONTROL!$C$22, $C$13, 100%, $E$13)</f>
        <v>8.532</v>
      </c>
    </row>
    <row r="484" spans="1:11" ht="15">
      <c r="A484" s="13">
        <v>55854</v>
      </c>
      <c r="B484" s="67">
        <f>7.1575 * CHOOSE(CONTROL!$C$22, $C$13, 100%, $E$13)</f>
        <v>7.1574999999999998</v>
      </c>
      <c r="C484" s="67">
        <f>7.1575 * CHOOSE(CONTROL!$C$22, $C$13, 100%, $E$13)</f>
        <v>7.1574999999999998</v>
      </c>
      <c r="D484" s="67">
        <f>7.1585 * CHOOSE(CONTROL!$C$22, $C$13, 100%, $E$13)</f>
        <v>7.1585000000000001</v>
      </c>
      <c r="E484" s="68">
        <f>8.4581 * CHOOSE(CONTROL!$C$22, $C$13, 100%, $E$13)</f>
        <v>8.4581</v>
      </c>
      <c r="F484" s="68">
        <f>8.4581 * CHOOSE(CONTROL!$C$22, $C$13, 100%, $E$13)</f>
        <v>8.4581</v>
      </c>
      <c r="G484" s="68">
        <f>8.4594 * CHOOSE(CONTROL!$C$22, $C$13, 100%, $E$13)</f>
        <v>8.4594000000000005</v>
      </c>
      <c r="H484" s="68">
        <f>13.7992* CHOOSE(CONTROL!$C$22, $C$13, 100%, $E$13)</f>
        <v>13.799200000000001</v>
      </c>
      <c r="I484" s="68">
        <f>13.8005 * CHOOSE(CONTROL!$C$22, $C$13, 100%, $E$13)</f>
        <v>13.8005</v>
      </c>
      <c r="J484" s="68">
        <f>8.4581 * CHOOSE(CONTROL!$C$22, $C$13, 100%, $E$13)</f>
        <v>8.4581</v>
      </c>
      <c r="K484" s="68">
        <f>8.4594 * CHOOSE(CONTROL!$C$22, $C$13, 100%, $E$13)</f>
        <v>8.4594000000000005</v>
      </c>
    </row>
    <row r="485" spans="1:11" ht="15">
      <c r="A485" s="13">
        <v>55885</v>
      </c>
      <c r="B485" s="67">
        <f>7.2193 * CHOOSE(CONTROL!$C$22, $C$13, 100%, $E$13)</f>
        <v>7.2192999999999996</v>
      </c>
      <c r="C485" s="67">
        <f>7.2193 * CHOOSE(CONTROL!$C$22, $C$13, 100%, $E$13)</f>
        <v>7.2192999999999996</v>
      </c>
      <c r="D485" s="67">
        <f>7.2203 * CHOOSE(CONTROL!$C$22, $C$13, 100%, $E$13)</f>
        <v>7.2202999999999999</v>
      </c>
      <c r="E485" s="68">
        <f>8.5793 * CHOOSE(CONTROL!$C$22, $C$13, 100%, $E$13)</f>
        <v>8.5792999999999999</v>
      </c>
      <c r="F485" s="68">
        <f>8.5793 * CHOOSE(CONTROL!$C$22, $C$13, 100%, $E$13)</f>
        <v>8.5792999999999999</v>
      </c>
      <c r="G485" s="68">
        <f>8.5806 * CHOOSE(CONTROL!$C$22, $C$13, 100%, $E$13)</f>
        <v>8.5806000000000004</v>
      </c>
      <c r="H485" s="68">
        <f>13.828* CHOOSE(CONTROL!$C$22, $C$13, 100%, $E$13)</f>
        <v>13.827999999999999</v>
      </c>
      <c r="I485" s="68">
        <f>13.8293 * CHOOSE(CONTROL!$C$22, $C$13, 100%, $E$13)</f>
        <v>13.8293</v>
      </c>
      <c r="J485" s="68">
        <f>8.5793 * CHOOSE(CONTROL!$C$22, $C$13, 100%, $E$13)</f>
        <v>8.5792999999999999</v>
      </c>
      <c r="K485" s="68">
        <f>8.5806 * CHOOSE(CONTROL!$C$22, $C$13, 100%, $E$13)</f>
        <v>8.5806000000000004</v>
      </c>
    </row>
    <row r="486" spans="1:11" ht="15">
      <c r="A486" s="13">
        <v>55916</v>
      </c>
      <c r="B486" s="67">
        <f>7.2163 * CHOOSE(CONTROL!$C$22, $C$13, 100%, $E$13)</f>
        <v>7.2163000000000004</v>
      </c>
      <c r="C486" s="67">
        <f>7.2163 * CHOOSE(CONTROL!$C$22, $C$13, 100%, $E$13)</f>
        <v>7.2163000000000004</v>
      </c>
      <c r="D486" s="67">
        <f>7.2173 * CHOOSE(CONTROL!$C$22, $C$13, 100%, $E$13)</f>
        <v>7.2172999999999998</v>
      </c>
      <c r="E486" s="68">
        <f>8.4362 * CHOOSE(CONTROL!$C$22, $C$13, 100%, $E$13)</f>
        <v>8.4361999999999995</v>
      </c>
      <c r="F486" s="68">
        <f>8.4362 * CHOOSE(CONTROL!$C$22, $C$13, 100%, $E$13)</f>
        <v>8.4361999999999995</v>
      </c>
      <c r="G486" s="68">
        <f>8.4375 * CHOOSE(CONTROL!$C$22, $C$13, 100%, $E$13)</f>
        <v>8.4375</v>
      </c>
      <c r="H486" s="68">
        <f>13.8568* CHOOSE(CONTROL!$C$22, $C$13, 100%, $E$13)</f>
        <v>13.8568</v>
      </c>
      <c r="I486" s="68">
        <f>13.8581 * CHOOSE(CONTROL!$C$22, $C$13, 100%, $E$13)</f>
        <v>13.8581</v>
      </c>
      <c r="J486" s="68">
        <f>8.4362 * CHOOSE(CONTROL!$C$22, $C$13, 100%, $E$13)</f>
        <v>8.4361999999999995</v>
      </c>
      <c r="K486" s="68">
        <f>8.4375 * CHOOSE(CONTROL!$C$22, $C$13, 100%, $E$13)</f>
        <v>8.4375</v>
      </c>
    </row>
    <row r="487" spans="1:11" ht="15">
      <c r="A487" s="13">
        <v>55944</v>
      </c>
      <c r="B487" s="67">
        <f>7.2133 * CHOOSE(CONTROL!$C$22, $C$13, 100%, $E$13)</f>
        <v>7.2133000000000003</v>
      </c>
      <c r="C487" s="67">
        <f>7.2133 * CHOOSE(CONTROL!$C$22, $C$13, 100%, $E$13)</f>
        <v>7.2133000000000003</v>
      </c>
      <c r="D487" s="67">
        <f>7.2143 * CHOOSE(CONTROL!$C$22, $C$13, 100%, $E$13)</f>
        <v>7.2142999999999997</v>
      </c>
      <c r="E487" s="68">
        <f>8.5452 * CHOOSE(CONTROL!$C$22, $C$13, 100%, $E$13)</f>
        <v>8.5451999999999995</v>
      </c>
      <c r="F487" s="68">
        <f>8.5452 * CHOOSE(CONTROL!$C$22, $C$13, 100%, $E$13)</f>
        <v>8.5451999999999995</v>
      </c>
      <c r="G487" s="68">
        <f>8.5465 * CHOOSE(CONTROL!$C$22, $C$13, 100%, $E$13)</f>
        <v>8.5465</v>
      </c>
      <c r="H487" s="68">
        <f>13.8856* CHOOSE(CONTROL!$C$22, $C$13, 100%, $E$13)</f>
        <v>13.8856</v>
      </c>
      <c r="I487" s="68">
        <f>13.8869 * CHOOSE(CONTROL!$C$22, $C$13, 100%, $E$13)</f>
        <v>13.886900000000001</v>
      </c>
      <c r="J487" s="68">
        <f>8.5452 * CHOOSE(CONTROL!$C$22, $C$13, 100%, $E$13)</f>
        <v>8.5451999999999995</v>
      </c>
      <c r="K487" s="68">
        <f>8.5465 * CHOOSE(CONTROL!$C$22, $C$13, 100%, $E$13)</f>
        <v>8.5465</v>
      </c>
    </row>
    <row r="488" spans="1:11" ht="15">
      <c r="A488" s="13">
        <v>55975</v>
      </c>
      <c r="B488" s="67">
        <f>7.2137 * CHOOSE(CONTROL!$C$22, $C$13, 100%, $E$13)</f>
        <v>7.2137000000000002</v>
      </c>
      <c r="C488" s="67">
        <f>7.2137 * CHOOSE(CONTROL!$C$22, $C$13, 100%, $E$13)</f>
        <v>7.2137000000000002</v>
      </c>
      <c r="D488" s="67">
        <f>7.2147 * CHOOSE(CONTROL!$C$22, $C$13, 100%, $E$13)</f>
        <v>7.2146999999999997</v>
      </c>
      <c r="E488" s="68">
        <f>8.6604 * CHOOSE(CONTROL!$C$22, $C$13, 100%, $E$13)</f>
        <v>8.6603999999999992</v>
      </c>
      <c r="F488" s="68">
        <f>8.6604 * CHOOSE(CONTROL!$C$22, $C$13, 100%, $E$13)</f>
        <v>8.6603999999999992</v>
      </c>
      <c r="G488" s="68">
        <f>8.6617 * CHOOSE(CONTROL!$C$22, $C$13, 100%, $E$13)</f>
        <v>8.6616999999999997</v>
      </c>
      <c r="H488" s="68">
        <f>13.9146* CHOOSE(CONTROL!$C$22, $C$13, 100%, $E$13)</f>
        <v>13.9146</v>
      </c>
      <c r="I488" s="68">
        <f>13.9159 * CHOOSE(CONTROL!$C$22, $C$13, 100%, $E$13)</f>
        <v>13.915900000000001</v>
      </c>
      <c r="J488" s="68">
        <f>8.6604 * CHOOSE(CONTROL!$C$22, $C$13, 100%, $E$13)</f>
        <v>8.6603999999999992</v>
      </c>
      <c r="K488" s="68">
        <f>8.6617 * CHOOSE(CONTROL!$C$22, $C$13, 100%, $E$13)</f>
        <v>8.6616999999999997</v>
      </c>
    </row>
    <row r="489" spans="1:11" ht="15">
      <c r="A489" s="13">
        <v>56005</v>
      </c>
      <c r="B489" s="67">
        <f>7.2137 * CHOOSE(CONTROL!$C$22, $C$13, 100%, $E$13)</f>
        <v>7.2137000000000002</v>
      </c>
      <c r="C489" s="67">
        <f>7.2137 * CHOOSE(CONTROL!$C$22, $C$13, 100%, $E$13)</f>
        <v>7.2137000000000002</v>
      </c>
      <c r="D489" s="67">
        <f>7.2163 * CHOOSE(CONTROL!$C$22, $C$13, 100%, $E$13)</f>
        <v>7.2163000000000004</v>
      </c>
      <c r="E489" s="68">
        <f>8.7051 * CHOOSE(CONTROL!$C$22, $C$13, 100%, $E$13)</f>
        <v>8.7050999999999998</v>
      </c>
      <c r="F489" s="68">
        <f>8.7051 * CHOOSE(CONTROL!$C$22, $C$13, 100%, $E$13)</f>
        <v>8.7050999999999998</v>
      </c>
      <c r="G489" s="68">
        <f>8.7084 * CHOOSE(CONTROL!$C$22, $C$13, 100%, $E$13)</f>
        <v>8.7083999999999993</v>
      </c>
      <c r="H489" s="68">
        <f>13.9436* CHOOSE(CONTROL!$C$22, $C$13, 100%, $E$13)</f>
        <v>13.9436</v>
      </c>
      <c r="I489" s="68">
        <f>13.9468 * CHOOSE(CONTROL!$C$22, $C$13, 100%, $E$13)</f>
        <v>13.9468</v>
      </c>
      <c r="J489" s="68">
        <f>8.7051 * CHOOSE(CONTROL!$C$22, $C$13, 100%, $E$13)</f>
        <v>8.7050999999999998</v>
      </c>
      <c r="K489" s="68">
        <f>8.7084 * CHOOSE(CONTROL!$C$22, $C$13, 100%, $E$13)</f>
        <v>8.7083999999999993</v>
      </c>
    </row>
    <row r="490" spans="1:11" ht="15">
      <c r="A490" s="13">
        <v>56036</v>
      </c>
      <c r="B490" s="67">
        <f>7.2198 * CHOOSE(CONTROL!$C$22, $C$13, 100%, $E$13)</f>
        <v>7.2198000000000002</v>
      </c>
      <c r="C490" s="67">
        <f>7.2198 * CHOOSE(CONTROL!$C$22, $C$13, 100%, $E$13)</f>
        <v>7.2198000000000002</v>
      </c>
      <c r="D490" s="67">
        <f>7.2224 * CHOOSE(CONTROL!$C$22, $C$13, 100%, $E$13)</f>
        <v>7.2224000000000004</v>
      </c>
      <c r="E490" s="68">
        <f>8.6646 * CHOOSE(CONTROL!$C$22, $C$13, 100%, $E$13)</f>
        <v>8.6646000000000001</v>
      </c>
      <c r="F490" s="68">
        <f>8.6646 * CHOOSE(CONTROL!$C$22, $C$13, 100%, $E$13)</f>
        <v>8.6646000000000001</v>
      </c>
      <c r="G490" s="68">
        <f>8.6679 * CHOOSE(CONTROL!$C$22, $C$13, 100%, $E$13)</f>
        <v>8.6678999999999995</v>
      </c>
      <c r="H490" s="68">
        <f>13.9726* CHOOSE(CONTROL!$C$22, $C$13, 100%, $E$13)</f>
        <v>13.9726</v>
      </c>
      <c r="I490" s="68">
        <f>13.9759 * CHOOSE(CONTROL!$C$22, $C$13, 100%, $E$13)</f>
        <v>13.975899999999999</v>
      </c>
      <c r="J490" s="68">
        <f>8.6646 * CHOOSE(CONTROL!$C$22, $C$13, 100%, $E$13)</f>
        <v>8.6646000000000001</v>
      </c>
      <c r="K490" s="68">
        <f>8.6679 * CHOOSE(CONTROL!$C$22, $C$13, 100%, $E$13)</f>
        <v>8.6678999999999995</v>
      </c>
    </row>
    <row r="491" spans="1:11" ht="15">
      <c r="A491" s="13">
        <v>56066</v>
      </c>
      <c r="B491" s="67">
        <f>7.334 * CHOOSE(CONTROL!$C$22, $C$13, 100%, $E$13)</f>
        <v>7.3339999999999996</v>
      </c>
      <c r="C491" s="67">
        <f>7.334 * CHOOSE(CONTROL!$C$22, $C$13, 100%, $E$13)</f>
        <v>7.3339999999999996</v>
      </c>
      <c r="D491" s="67">
        <f>7.3367 * CHOOSE(CONTROL!$C$22, $C$13, 100%, $E$13)</f>
        <v>7.3367000000000004</v>
      </c>
      <c r="E491" s="68">
        <f>8.8078 * CHOOSE(CONTROL!$C$22, $C$13, 100%, $E$13)</f>
        <v>8.8078000000000003</v>
      </c>
      <c r="F491" s="68">
        <f>8.8078 * CHOOSE(CONTROL!$C$22, $C$13, 100%, $E$13)</f>
        <v>8.8078000000000003</v>
      </c>
      <c r="G491" s="68">
        <f>8.8111 * CHOOSE(CONTROL!$C$22, $C$13, 100%, $E$13)</f>
        <v>8.8110999999999997</v>
      </c>
      <c r="H491" s="68">
        <f>14.0017* CHOOSE(CONTROL!$C$22, $C$13, 100%, $E$13)</f>
        <v>14.0017</v>
      </c>
      <c r="I491" s="68">
        <f>14.005 * CHOOSE(CONTROL!$C$22, $C$13, 100%, $E$13)</f>
        <v>14.005000000000001</v>
      </c>
      <c r="J491" s="68">
        <f>8.8078 * CHOOSE(CONTROL!$C$22, $C$13, 100%, $E$13)</f>
        <v>8.8078000000000003</v>
      </c>
      <c r="K491" s="68">
        <f>8.8111 * CHOOSE(CONTROL!$C$22, $C$13, 100%, $E$13)</f>
        <v>8.8110999999999997</v>
      </c>
    </row>
    <row r="492" spans="1:11" ht="15">
      <c r="A492" s="13">
        <v>56097</v>
      </c>
      <c r="B492" s="67">
        <f>7.3407 * CHOOSE(CONTROL!$C$22, $C$13, 100%, $E$13)</f>
        <v>7.3407</v>
      </c>
      <c r="C492" s="67">
        <f>7.3407 * CHOOSE(CONTROL!$C$22, $C$13, 100%, $E$13)</f>
        <v>7.3407</v>
      </c>
      <c r="D492" s="67">
        <f>7.3433 * CHOOSE(CONTROL!$C$22, $C$13, 100%, $E$13)</f>
        <v>7.3433000000000002</v>
      </c>
      <c r="E492" s="68">
        <f>8.6782 * CHOOSE(CONTROL!$C$22, $C$13, 100%, $E$13)</f>
        <v>8.6782000000000004</v>
      </c>
      <c r="F492" s="68">
        <f>8.6782 * CHOOSE(CONTROL!$C$22, $C$13, 100%, $E$13)</f>
        <v>8.6782000000000004</v>
      </c>
      <c r="G492" s="68">
        <f>8.6814 * CHOOSE(CONTROL!$C$22, $C$13, 100%, $E$13)</f>
        <v>8.6814</v>
      </c>
      <c r="H492" s="68">
        <f>14.0309* CHOOSE(CONTROL!$C$22, $C$13, 100%, $E$13)</f>
        <v>14.030900000000001</v>
      </c>
      <c r="I492" s="68">
        <f>14.0341 * CHOOSE(CONTROL!$C$22, $C$13, 100%, $E$13)</f>
        <v>14.0341</v>
      </c>
      <c r="J492" s="68">
        <f>8.6782 * CHOOSE(CONTROL!$C$22, $C$13, 100%, $E$13)</f>
        <v>8.6782000000000004</v>
      </c>
      <c r="K492" s="68">
        <f>8.6814 * CHOOSE(CONTROL!$C$22, $C$13, 100%, $E$13)</f>
        <v>8.6814</v>
      </c>
    </row>
    <row r="493" spans="1:11" ht="15">
      <c r="A493" s="13">
        <v>56128</v>
      </c>
      <c r="B493" s="67">
        <f>7.3377 * CHOOSE(CONTROL!$C$22, $C$13, 100%, $E$13)</f>
        <v>7.3376999999999999</v>
      </c>
      <c r="C493" s="67">
        <f>7.3377 * CHOOSE(CONTROL!$C$22, $C$13, 100%, $E$13)</f>
        <v>7.3376999999999999</v>
      </c>
      <c r="D493" s="67">
        <f>7.3403 * CHOOSE(CONTROL!$C$22, $C$13, 100%, $E$13)</f>
        <v>7.3403</v>
      </c>
      <c r="E493" s="68">
        <f>8.6611 * CHOOSE(CONTROL!$C$22, $C$13, 100%, $E$13)</f>
        <v>8.6610999999999994</v>
      </c>
      <c r="F493" s="68">
        <f>8.6611 * CHOOSE(CONTROL!$C$22, $C$13, 100%, $E$13)</f>
        <v>8.6610999999999994</v>
      </c>
      <c r="G493" s="68">
        <f>8.6644 * CHOOSE(CONTROL!$C$22, $C$13, 100%, $E$13)</f>
        <v>8.6644000000000005</v>
      </c>
      <c r="H493" s="68">
        <f>14.0601* CHOOSE(CONTROL!$C$22, $C$13, 100%, $E$13)</f>
        <v>14.0601</v>
      </c>
      <c r="I493" s="68">
        <f>14.0634 * CHOOSE(CONTROL!$C$22, $C$13, 100%, $E$13)</f>
        <v>14.0634</v>
      </c>
      <c r="J493" s="68">
        <f>8.6611 * CHOOSE(CONTROL!$C$22, $C$13, 100%, $E$13)</f>
        <v>8.6610999999999994</v>
      </c>
      <c r="K493" s="68">
        <f>8.6644 * CHOOSE(CONTROL!$C$22, $C$13, 100%, $E$13)</f>
        <v>8.6644000000000005</v>
      </c>
    </row>
    <row r="494" spans="1:11" ht="15">
      <c r="A494" s="13">
        <v>56158</v>
      </c>
      <c r="B494" s="67">
        <f>7.3437 * CHOOSE(CONTROL!$C$22, $C$13, 100%, $E$13)</f>
        <v>7.3437000000000001</v>
      </c>
      <c r="C494" s="67">
        <f>7.3437 * CHOOSE(CONTROL!$C$22, $C$13, 100%, $E$13)</f>
        <v>7.3437000000000001</v>
      </c>
      <c r="D494" s="67">
        <f>7.3447 * CHOOSE(CONTROL!$C$22, $C$13, 100%, $E$13)</f>
        <v>7.3446999999999996</v>
      </c>
      <c r="E494" s="68">
        <f>8.7074 * CHOOSE(CONTROL!$C$22, $C$13, 100%, $E$13)</f>
        <v>8.7073999999999998</v>
      </c>
      <c r="F494" s="68">
        <f>8.7074 * CHOOSE(CONTROL!$C$22, $C$13, 100%, $E$13)</f>
        <v>8.7073999999999998</v>
      </c>
      <c r="G494" s="68">
        <f>8.7087 * CHOOSE(CONTROL!$C$22, $C$13, 100%, $E$13)</f>
        <v>8.7087000000000003</v>
      </c>
      <c r="H494" s="68">
        <f>14.0894* CHOOSE(CONTROL!$C$22, $C$13, 100%, $E$13)</f>
        <v>14.089399999999999</v>
      </c>
      <c r="I494" s="68">
        <f>14.0907 * CHOOSE(CONTROL!$C$22, $C$13, 100%, $E$13)</f>
        <v>14.0907</v>
      </c>
      <c r="J494" s="68">
        <f>8.7074 * CHOOSE(CONTROL!$C$22, $C$13, 100%, $E$13)</f>
        <v>8.7073999999999998</v>
      </c>
      <c r="K494" s="68">
        <f>8.7087 * CHOOSE(CONTROL!$C$22, $C$13, 100%, $E$13)</f>
        <v>8.7087000000000003</v>
      </c>
    </row>
    <row r="495" spans="1:11" ht="15">
      <c r="A495" s="13">
        <v>56189</v>
      </c>
      <c r="B495" s="67">
        <f>7.3468 * CHOOSE(CONTROL!$C$22, $C$13, 100%, $E$13)</f>
        <v>7.3468</v>
      </c>
      <c r="C495" s="67">
        <f>7.3468 * CHOOSE(CONTROL!$C$22, $C$13, 100%, $E$13)</f>
        <v>7.3468</v>
      </c>
      <c r="D495" s="67">
        <f>7.3478 * CHOOSE(CONTROL!$C$22, $C$13, 100%, $E$13)</f>
        <v>7.3478000000000003</v>
      </c>
      <c r="E495" s="68">
        <f>8.7394 * CHOOSE(CONTROL!$C$22, $C$13, 100%, $E$13)</f>
        <v>8.7393999999999998</v>
      </c>
      <c r="F495" s="68">
        <f>8.7394 * CHOOSE(CONTROL!$C$22, $C$13, 100%, $E$13)</f>
        <v>8.7393999999999998</v>
      </c>
      <c r="G495" s="68">
        <f>8.7407 * CHOOSE(CONTROL!$C$22, $C$13, 100%, $E$13)</f>
        <v>8.7407000000000004</v>
      </c>
      <c r="H495" s="68">
        <f>14.1188* CHOOSE(CONTROL!$C$22, $C$13, 100%, $E$13)</f>
        <v>14.1188</v>
      </c>
      <c r="I495" s="68">
        <f>14.12 * CHOOSE(CONTROL!$C$22, $C$13, 100%, $E$13)</f>
        <v>14.12</v>
      </c>
      <c r="J495" s="68">
        <f>8.7394 * CHOOSE(CONTROL!$C$22, $C$13, 100%, $E$13)</f>
        <v>8.7393999999999998</v>
      </c>
      <c r="K495" s="68">
        <f>8.7407 * CHOOSE(CONTROL!$C$22, $C$13, 100%, $E$13)</f>
        <v>8.7407000000000004</v>
      </c>
    </row>
    <row r="496" spans="1:11" ht="15">
      <c r="A496" s="13">
        <v>56219</v>
      </c>
      <c r="B496" s="67">
        <f>7.3468 * CHOOSE(CONTROL!$C$22, $C$13, 100%, $E$13)</f>
        <v>7.3468</v>
      </c>
      <c r="C496" s="67">
        <f>7.3468 * CHOOSE(CONTROL!$C$22, $C$13, 100%, $E$13)</f>
        <v>7.3468</v>
      </c>
      <c r="D496" s="67">
        <f>7.3478 * CHOOSE(CONTROL!$C$22, $C$13, 100%, $E$13)</f>
        <v>7.3478000000000003</v>
      </c>
      <c r="E496" s="68">
        <f>8.6648 * CHOOSE(CONTROL!$C$22, $C$13, 100%, $E$13)</f>
        <v>8.6647999999999996</v>
      </c>
      <c r="F496" s="68">
        <f>8.6648 * CHOOSE(CONTROL!$C$22, $C$13, 100%, $E$13)</f>
        <v>8.6647999999999996</v>
      </c>
      <c r="G496" s="68">
        <f>8.666 * CHOOSE(CONTROL!$C$22, $C$13, 100%, $E$13)</f>
        <v>8.6660000000000004</v>
      </c>
      <c r="H496" s="68">
        <f>14.1482* CHOOSE(CONTROL!$C$22, $C$13, 100%, $E$13)</f>
        <v>14.148199999999999</v>
      </c>
      <c r="I496" s="68">
        <f>14.1495 * CHOOSE(CONTROL!$C$22, $C$13, 100%, $E$13)</f>
        <v>14.1495</v>
      </c>
      <c r="J496" s="68">
        <f>8.6648 * CHOOSE(CONTROL!$C$22, $C$13, 100%, $E$13)</f>
        <v>8.6647999999999996</v>
      </c>
      <c r="K496" s="68">
        <f>8.666 * CHOOSE(CONTROL!$C$22, $C$13, 100%, $E$13)</f>
        <v>8.6660000000000004</v>
      </c>
    </row>
    <row r="497" spans="1:11" ht="15">
      <c r="A497" s="13">
        <v>56250</v>
      </c>
      <c r="B497" s="67">
        <f>7.4101 * CHOOSE(CONTROL!$C$22, $C$13, 100%, $E$13)</f>
        <v>7.4100999999999999</v>
      </c>
      <c r="C497" s="67">
        <f>7.4101 * CHOOSE(CONTROL!$C$22, $C$13, 100%, $E$13)</f>
        <v>7.4100999999999999</v>
      </c>
      <c r="D497" s="67">
        <f>7.4111 * CHOOSE(CONTROL!$C$22, $C$13, 100%, $E$13)</f>
        <v>7.4111000000000002</v>
      </c>
      <c r="E497" s="68">
        <f>8.7891 * CHOOSE(CONTROL!$C$22, $C$13, 100%, $E$13)</f>
        <v>8.7890999999999995</v>
      </c>
      <c r="F497" s="68">
        <f>8.7891 * CHOOSE(CONTROL!$C$22, $C$13, 100%, $E$13)</f>
        <v>8.7890999999999995</v>
      </c>
      <c r="G497" s="68">
        <f>8.7904 * CHOOSE(CONTROL!$C$22, $C$13, 100%, $E$13)</f>
        <v>8.7904</v>
      </c>
      <c r="H497" s="68">
        <f>14.1777* CHOOSE(CONTROL!$C$22, $C$13, 100%, $E$13)</f>
        <v>14.1777</v>
      </c>
      <c r="I497" s="68">
        <f>14.1789 * CHOOSE(CONTROL!$C$22, $C$13, 100%, $E$13)</f>
        <v>14.178900000000001</v>
      </c>
      <c r="J497" s="68">
        <f>8.7891 * CHOOSE(CONTROL!$C$22, $C$13, 100%, $E$13)</f>
        <v>8.7890999999999995</v>
      </c>
      <c r="K497" s="68">
        <f>8.7904 * CHOOSE(CONTROL!$C$22, $C$13, 100%, $E$13)</f>
        <v>8.7904</v>
      </c>
    </row>
    <row r="498" spans="1:11" ht="15">
      <c r="A498" s="13">
        <v>56281</v>
      </c>
      <c r="B498" s="67">
        <f>7.4071 * CHOOSE(CONTROL!$C$22, $C$13, 100%, $E$13)</f>
        <v>7.4070999999999998</v>
      </c>
      <c r="C498" s="67">
        <f>7.4071 * CHOOSE(CONTROL!$C$22, $C$13, 100%, $E$13)</f>
        <v>7.4070999999999998</v>
      </c>
      <c r="D498" s="67">
        <f>7.4081 * CHOOSE(CONTROL!$C$22, $C$13, 100%, $E$13)</f>
        <v>7.4081000000000001</v>
      </c>
      <c r="E498" s="68">
        <f>8.642 * CHOOSE(CONTROL!$C$22, $C$13, 100%, $E$13)</f>
        <v>8.6419999999999995</v>
      </c>
      <c r="F498" s="68">
        <f>8.642 * CHOOSE(CONTROL!$C$22, $C$13, 100%, $E$13)</f>
        <v>8.6419999999999995</v>
      </c>
      <c r="G498" s="68">
        <f>8.6433 * CHOOSE(CONTROL!$C$22, $C$13, 100%, $E$13)</f>
        <v>8.6433</v>
      </c>
      <c r="H498" s="68">
        <f>14.2072* CHOOSE(CONTROL!$C$22, $C$13, 100%, $E$13)</f>
        <v>14.2072</v>
      </c>
      <c r="I498" s="68">
        <f>14.2085 * CHOOSE(CONTROL!$C$22, $C$13, 100%, $E$13)</f>
        <v>14.208500000000001</v>
      </c>
      <c r="J498" s="68">
        <f>8.642 * CHOOSE(CONTROL!$C$22, $C$13, 100%, $E$13)</f>
        <v>8.6419999999999995</v>
      </c>
      <c r="K498" s="68">
        <f>8.6433 * CHOOSE(CONTROL!$C$22, $C$13, 100%, $E$13)</f>
        <v>8.6433</v>
      </c>
    </row>
    <row r="499" spans="1:11" ht="15">
      <c r="A499" s="13">
        <v>56309</v>
      </c>
      <c r="B499" s="67">
        <f>7.4041 * CHOOSE(CONTROL!$C$22, $C$13, 100%, $E$13)</f>
        <v>7.4040999999999997</v>
      </c>
      <c r="C499" s="67">
        <f>7.4041 * CHOOSE(CONTROL!$C$22, $C$13, 100%, $E$13)</f>
        <v>7.4040999999999997</v>
      </c>
      <c r="D499" s="67">
        <f>7.405 * CHOOSE(CONTROL!$C$22, $C$13, 100%, $E$13)</f>
        <v>7.4050000000000002</v>
      </c>
      <c r="E499" s="68">
        <f>8.7542 * CHOOSE(CONTROL!$C$22, $C$13, 100%, $E$13)</f>
        <v>8.7542000000000009</v>
      </c>
      <c r="F499" s="68">
        <f>8.7542 * CHOOSE(CONTROL!$C$22, $C$13, 100%, $E$13)</f>
        <v>8.7542000000000009</v>
      </c>
      <c r="G499" s="68">
        <f>8.7554 * CHOOSE(CONTROL!$C$22, $C$13, 100%, $E$13)</f>
        <v>8.7553999999999998</v>
      </c>
      <c r="H499" s="68">
        <f>14.2368* CHOOSE(CONTROL!$C$22, $C$13, 100%, $E$13)</f>
        <v>14.236800000000001</v>
      </c>
      <c r="I499" s="68">
        <f>14.2381 * CHOOSE(CONTROL!$C$22, $C$13, 100%, $E$13)</f>
        <v>14.238099999999999</v>
      </c>
      <c r="J499" s="68">
        <f>8.7542 * CHOOSE(CONTROL!$C$22, $C$13, 100%, $E$13)</f>
        <v>8.7542000000000009</v>
      </c>
      <c r="K499" s="68">
        <f>8.7554 * CHOOSE(CONTROL!$C$22, $C$13, 100%, $E$13)</f>
        <v>8.7553999999999998</v>
      </c>
    </row>
    <row r="500" spans="1:11" ht="15">
      <c r="A500" s="13">
        <v>56340</v>
      </c>
      <c r="B500" s="67">
        <f>7.4046 * CHOOSE(CONTROL!$C$22, $C$13, 100%, $E$13)</f>
        <v>7.4046000000000003</v>
      </c>
      <c r="C500" s="67">
        <f>7.4046 * CHOOSE(CONTROL!$C$22, $C$13, 100%, $E$13)</f>
        <v>7.4046000000000003</v>
      </c>
      <c r="D500" s="67">
        <f>7.4056 * CHOOSE(CONTROL!$C$22, $C$13, 100%, $E$13)</f>
        <v>7.4055999999999997</v>
      </c>
      <c r="E500" s="68">
        <f>8.8727 * CHOOSE(CONTROL!$C$22, $C$13, 100%, $E$13)</f>
        <v>8.8727</v>
      </c>
      <c r="F500" s="68">
        <f>8.8727 * CHOOSE(CONTROL!$C$22, $C$13, 100%, $E$13)</f>
        <v>8.8727</v>
      </c>
      <c r="G500" s="68">
        <f>8.8739 * CHOOSE(CONTROL!$C$22, $C$13, 100%, $E$13)</f>
        <v>8.8739000000000008</v>
      </c>
      <c r="H500" s="68">
        <f>14.2664* CHOOSE(CONTROL!$C$22, $C$13, 100%, $E$13)</f>
        <v>14.266400000000001</v>
      </c>
      <c r="I500" s="68">
        <f>14.2677 * CHOOSE(CONTROL!$C$22, $C$13, 100%, $E$13)</f>
        <v>14.2677</v>
      </c>
      <c r="J500" s="68">
        <f>8.8727 * CHOOSE(CONTROL!$C$22, $C$13, 100%, $E$13)</f>
        <v>8.8727</v>
      </c>
      <c r="K500" s="68">
        <f>8.8739 * CHOOSE(CONTROL!$C$22, $C$13, 100%, $E$13)</f>
        <v>8.8739000000000008</v>
      </c>
    </row>
    <row r="501" spans="1:11" ht="15">
      <c r="A501" s="13">
        <v>56370</v>
      </c>
      <c r="B501" s="67">
        <f>7.4046 * CHOOSE(CONTROL!$C$22, $C$13, 100%, $E$13)</f>
        <v>7.4046000000000003</v>
      </c>
      <c r="C501" s="67">
        <f>7.4046 * CHOOSE(CONTROL!$C$22, $C$13, 100%, $E$13)</f>
        <v>7.4046000000000003</v>
      </c>
      <c r="D501" s="67">
        <f>7.4072 * CHOOSE(CONTROL!$C$22, $C$13, 100%, $E$13)</f>
        <v>7.4071999999999996</v>
      </c>
      <c r="E501" s="68">
        <f>8.9187 * CHOOSE(CONTROL!$C$22, $C$13, 100%, $E$13)</f>
        <v>8.9186999999999994</v>
      </c>
      <c r="F501" s="68">
        <f>8.9187 * CHOOSE(CONTROL!$C$22, $C$13, 100%, $E$13)</f>
        <v>8.9186999999999994</v>
      </c>
      <c r="G501" s="68">
        <f>8.9219 * CHOOSE(CONTROL!$C$22, $C$13, 100%, $E$13)</f>
        <v>8.9219000000000008</v>
      </c>
      <c r="H501" s="68">
        <f>14.2962* CHOOSE(CONTROL!$C$22, $C$13, 100%, $E$13)</f>
        <v>14.296200000000001</v>
      </c>
      <c r="I501" s="68">
        <f>14.2994 * CHOOSE(CONTROL!$C$22, $C$13, 100%, $E$13)</f>
        <v>14.2994</v>
      </c>
      <c r="J501" s="68">
        <f>8.9187 * CHOOSE(CONTROL!$C$22, $C$13, 100%, $E$13)</f>
        <v>8.9186999999999994</v>
      </c>
      <c r="K501" s="68">
        <f>8.9219 * CHOOSE(CONTROL!$C$22, $C$13, 100%, $E$13)</f>
        <v>8.9219000000000008</v>
      </c>
    </row>
    <row r="502" spans="1:11" ht="15">
      <c r="A502" s="13">
        <v>56401</v>
      </c>
      <c r="B502" s="67">
        <f>7.4107 * CHOOSE(CONTROL!$C$22, $C$13, 100%, $E$13)</f>
        <v>7.4107000000000003</v>
      </c>
      <c r="C502" s="67">
        <f>7.4107 * CHOOSE(CONTROL!$C$22, $C$13, 100%, $E$13)</f>
        <v>7.4107000000000003</v>
      </c>
      <c r="D502" s="67">
        <f>7.4133 * CHOOSE(CONTROL!$C$22, $C$13, 100%, $E$13)</f>
        <v>7.4132999999999996</v>
      </c>
      <c r="E502" s="68">
        <f>8.8769 * CHOOSE(CONTROL!$C$22, $C$13, 100%, $E$13)</f>
        <v>8.8768999999999991</v>
      </c>
      <c r="F502" s="68">
        <f>8.8769 * CHOOSE(CONTROL!$C$22, $C$13, 100%, $E$13)</f>
        <v>8.8768999999999991</v>
      </c>
      <c r="G502" s="68">
        <f>8.8801 * CHOOSE(CONTROL!$C$22, $C$13, 100%, $E$13)</f>
        <v>8.8801000000000005</v>
      </c>
      <c r="H502" s="68">
        <f>14.326* CHOOSE(CONTROL!$C$22, $C$13, 100%, $E$13)</f>
        <v>14.326000000000001</v>
      </c>
      <c r="I502" s="68">
        <f>14.3292 * CHOOSE(CONTROL!$C$22, $C$13, 100%, $E$13)</f>
        <v>14.3292</v>
      </c>
      <c r="J502" s="68">
        <f>8.8769 * CHOOSE(CONTROL!$C$22, $C$13, 100%, $E$13)</f>
        <v>8.8768999999999991</v>
      </c>
      <c r="K502" s="68">
        <f>8.8801 * CHOOSE(CONTROL!$C$22, $C$13, 100%, $E$13)</f>
        <v>8.8801000000000005</v>
      </c>
    </row>
    <row r="503" spans="1:11" ht="15">
      <c r="A503" s="13">
        <v>56431</v>
      </c>
      <c r="B503" s="67">
        <f>7.5277 * CHOOSE(CONTROL!$C$22, $C$13, 100%, $E$13)</f>
        <v>7.5277000000000003</v>
      </c>
      <c r="C503" s="67">
        <f>7.5277 * CHOOSE(CONTROL!$C$22, $C$13, 100%, $E$13)</f>
        <v>7.5277000000000003</v>
      </c>
      <c r="D503" s="67">
        <f>7.5304 * CHOOSE(CONTROL!$C$22, $C$13, 100%, $E$13)</f>
        <v>7.5304000000000002</v>
      </c>
      <c r="E503" s="68">
        <f>9.0233 * CHOOSE(CONTROL!$C$22, $C$13, 100%, $E$13)</f>
        <v>9.0233000000000008</v>
      </c>
      <c r="F503" s="68">
        <f>9.0233 * CHOOSE(CONTROL!$C$22, $C$13, 100%, $E$13)</f>
        <v>9.0233000000000008</v>
      </c>
      <c r="G503" s="68">
        <f>9.0266 * CHOOSE(CONTROL!$C$22, $C$13, 100%, $E$13)</f>
        <v>9.0266000000000002</v>
      </c>
      <c r="H503" s="68">
        <f>14.3558* CHOOSE(CONTROL!$C$22, $C$13, 100%, $E$13)</f>
        <v>14.3558</v>
      </c>
      <c r="I503" s="68">
        <f>14.3591 * CHOOSE(CONTROL!$C$22, $C$13, 100%, $E$13)</f>
        <v>14.3591</v>
      </c>
      <c r="J503" s="68">
        <f>9.0233 * CHOOSE(CONTROL!$C$22, $C$13, 100%, $E$13)</f>
        <v>9.0233000000000008</v>
      </c>
      <c r="K503" s="68">
        <f>9.0266 * CHOOSE(CONTROL!$C$22, $C$13, 100%, $E$13)</f>
        <v>9.0266000000000002</v>
      </c>
    </row>
    <row r="504" spans="1:11" ht="15">
      <c r="A504" s="13">
        <v>56462</v>
      </c>
      <c r="B504" s="67">
        <f>7.5344 * CHOOSE(CONTROL!$C$22, $C$13, 100%, $E$13)</f>
        <v>7.5343999999999998</v>
      </c>
      <c r="C504" s="67">
        <f>7.5344 * CHOOSE(CONTROL!$C$22, $C$13, 100%, $E$13)</f>
        <v>7.5343999999999998</v>
      </c>
      <c r="D504" s="67">
        <f>7.537 * CHOOSE(CONTROL!$C$22, $C$13, 100%, $E$13)</f>
        <v>7.5369999999999999</v>
      </c>
      <c r="E504" s="68">
        <f>8.8899 * CHOOSE(CONTROL!$C$22, $C$13, 100%, $E$13)</f>
        <v>8.8899000000000008</v>
      </c>
      <c r="F504" s="68">
        <f>8.8899 * CHOOSE(CONTROL!$C$22, $C$13, 100%, $E$13)</f>
        <v>8.8899000000000008</v>
      </c>
      <c r="G504" s="68">
        <f>8.8932 * CHOOSE(CONTROL!$C$22, $C$13, 100%, $E$13)</f>
        <v>8.8932000000000002</v>
      </c>
      <c r="H504" s="68">
        <f>14.3857* CHOOSE(CONTROL!$C$22, $C$13, 100%, $E$13)</f>
        <v>14.3857</v>
      </c>
      <c r="I504" s="68">
        <f>14.389 * CHOOSE(CONTROL!$C$22, $C$13, 100%, $E$13)</f>
        <v>14.388999999999999</v>
      </c>
      <c r="J504" s="68">
        <f>8.8899 * CHOOSE(CONTROL!$C$22, $C$13, 100%, $E$13)</f>
        <v>8.8899000000000008</v>
      </c>
      <c r="K504" s="68">
        <f>8.8932 * CHOOSE(CONTROL!$C$22, $C$13, 100%, $E$13)</f>
        <v>8.8932000000000002</v>
      </c>
    </row>
    <row r="505" spans="1:11" ht="15">
      <c r="A505" s="13">
        <v>56493</v>
      </c>
      <c r="B505" s="67">
        <f>7.5314 * CHOOSE(CONTROL!$C$22, $C$13, 100%, $E$13)</f>
        <v>7.5313999999999997</v>
      </c>
      <c r="C505" s="67">
        <f>7.5314 * CHOOSE(CONTROL!$C$22, $C$13, 100%, $E$13)</f>
        <v>7.5313999999999997</v>
      </c>
      <c r="D505" s="67">
        <f>7.534 * CHOOSE(CONTROL!$C$22, $C$13, 100%, $E$13)</f>
        <v>7.5339999999999998</v>
      </c>
      <c r="E505" s="68">
        <f>8.8725 * CHOOSE(CONTROL!$C$22, $C$13, 100%, $E$13)</f>
        <v>8.8725000000000005</v>
      </c>
      <c r="F505" s="68">
        <f>8.8725 * CHOOSE(CONTROL!$C$22, $C$13, 100%, $E$13)</f>
        <v>8.8725000000000005</v>
      </c>
      <c r="G505" s="68">
        <f>8.8757 * CHOOSE(CONTROL!$C$22, $C$13, 100%, $E$13)</f>
        <v>8.8757000000000001</v>
      </c>
      <c r="H505" s="68">
        <f>14.4157* CHOOSE(CONTROL!$C$22, $C$13, 100%, $E$13)</f>
        <v>14.415699999999999</v>
      </c>
      <c r="I505" s="68">
        <f>14.4189 * CHOOSE(CONTROL!$C$22, $C$13, 100%, $E$13)</f>
        <v>14.418900000000001</v>
      </c>
      <c r="J505" s="68">
        <f>8.8725 * CHOOSE(CONTROL!$C$22, $C$13, 100%, $E$13)</f>
        <v>8.8725000000000005</v>
      </c>
      <c r="K505" s="68">
        <f>8.8757 * CHOOSE(CONTROL!$C$22, $C$13, 100%, $E$13)</f>
        <v>8.8757000000000001</v>
      </c>
    </row>
    <row r="506" spans="1:11" ht="15">
      <c r="A506" s="13">
        <v>56523</v>
      </c>
      <c r="B506" s="67">
        <f>7.5381 * CHOOSE(CONTROL!$C$22, $C$13, 100%, $E$13)</f>
        <v>7.5381</v>
      </c>
      <c r="C506" s="67">
        <f>7.5381 * CHOOSE(CONTROL!$C$22, $C$13, 100%, $E$13)</f>
        <v>7.5381</v>
      </c>
      <c r="D506" s="67">
        <f>7.539 * CHOOSE(CONTROL!$C$22, $C$13, 100%, $E$13)</f>
        <v>7.5389999999999997</v>
      </c>
      <c r="E506" s="68">
        <f>8.9204 * CHOOSE(CONTROL!$C$22, $C$13, 100%, $E$13)</f>
        <v>8.9204000000000008</v>
      </c>
      <c r="F506" s="68">
        <f>8.9204 * CHOOSE(CONTROL!$C$22, $C$13, 100%, $E$13)</f>
        <v>8.9204000000000008</v>
      </c>
      <c r="G506" s="68">
        <f>8.9217 * CHOOSE(CONTROL!$C$22, $C$13, 100%, $E$13)</f>
        <v>8.9216999999999995</v>
      </c>
      <c r="H506" s="68">
        <f>14.4457* CHOOSE(CONTROL!$C$22, $C$13, 100%, $E$13)</f>
        <v>14.4457</v>
      </c>
      <c r="I506" s="68">
        <f>14.447 * CHOOSE(CONTROL!$C$22, $C$13, 100%, $E$13)</f>
        <v>14.446999999999999</v>
      </c>
      <c r="J506" s="68">
        <f>8.9204 * CHOOSE(CONTROL!$C$22, $C$13, 100%, $E$13)</f>
        <v>8.9204000000000008</v>
      </c>
      <c r="K506" s="68">
        <f>8.9217 * CHOOSE(CONTROL!$C$22, $C$13, 100%, $E$13)</f>
        <v>8.9216999999999995</v>
      </c>
    </row>
    <row r="507" spans="1:11" ht="15">
      <c r="A507" s="13">
        <v>56554</v>
      </c>
      <c r="B507" s="67">
        <f>7.5411 * CHOOSE(CONTROL!$C$22, $C$13, 100%, $E$13)</f>
        <v>7.5411000000000001</v>
      </c>
      <c r="C507" s="67">
        <f>7.5411 * CHOOSE(CONTROL!$C$22, $C$13, 100%, $E$13)</f>
        <v>7.5411000000000001</v>
      </c>
      <c r="D507" s="67">
        <f>7.5421 * CHOOSE(CONTROL!$C$22, $C$13, 100%, $E$13)</f>
        <v>7.5420999999999996</v>
      </c>
      <c r="E507" s="68">
        <f>8.9532 * CHOOSE(CONTROL!$C$22, $C$13, 100%, $E$13)</f>
        <v>8.9532000000000007</v>
      </c>
      <c r="F507" s="68">
        <f>8.9532 * CHOOSE(CONTROL!$C$22, $C$13, 100%, $E$13)</f>
        <v>8.9532000000000007</v>
      </c>
      <c r="G507" s="68">
        <f>8.9545 * CHOOSE(CONTROL!$C$22, $C$13, 100%, $E$13)</f>
        <v>8.9544999999999995</v>
      </c>
      <c r="H507" s="68">
        <f>14.4758* CHOOSE(CONTROL!$C$22, $C$13, 100%, $E$13)</f>
        <v>14.4758</v>
      </c>
      <c r="I507" s="68">
        <f>14.4771 * CHOOSE(CONTROL!$C$22, $C$13, 100%, $E$13)</f>
        <v>14.4771</v>
      </c>
      <c r="J507" s="68">
        <f>8.9532 * CHOOSE(CONTROL!$C$22, $C$13, 100%, $E$13)</f>
        <v>8.9532000000000007</v>
      </c>
      <c r="K507" s="68">
        <f>8.9545 * CHOOSE(CONTROL!$C$22, $C$13, 100%, $E$13)</f>
        <v>8.9544999999999995</v>
      </c>
    </row>
    <row r="508" spans="1:11" ht="15">
      <c r="A508" s="13">
        <v>56584</v>
      </c>
      <c r="B508" s="67">
        <f>7.5411 * CHOOSE(CONTROL!$C$22, $C$13, 100%, $E$13)</f>
        <v>7.5411000000000001</v>
      </c>
      <c r="C508" s="67">
        <f>7.5411 * CHOOSE(CONTROL!$C$22, $C$13, 100%, $E$13)</f>
        <v>7.5411000000000001</v>
      </c>
      <c r="D508" s="67">
        <f>7.5421 * CHOOSE(CONTROL!$C$22, $C$13, 100%, $E$13)</f>
        <v>7.5420999999999996</v>
      </c>
      <c r="E508" s="68">
        <f>8.8765 * CHOOSE(CONTROL!$C$22, $C$13, 100%, $E$13)</f>
        <v>8.8765000000000001</v>
      </c>
      <c r="F508" s="68">
        <f>8.8765 * CHOOSE(CONTROL!$C$22, $C$13, 100%, $E$13)</f>
        <v>8.8765000000000001</v>
      </c>
      <c r="G508" s="68">
        <f>8.8778 * CHOOSE(CONTROL!$C$22, $C$13, 100%, $E$13)</f>
        <v>8.8778000000000006</v>
      </c>
      <c r="H508" s="68">
        <f>14.506* CHOOSE(CONTROL!$C$22, $C$13, 100%, $E$13)</f>
        <v>14.506</v>
      </c>
      <c r="I508" s="68">
        <f>14.5072 * CHOOSE(CONTROL!$C$22, $C$13, 100%, $E$13)</f>
        <v>14.507199999999999</v>
      </c>
      <c r="J508" s="68">
        <f>8.8765 * CHOOSE(CONTROL!$C$22, $C$13, 100%, $E$13)</f>
        <v>8.8765000000000001</v>
      </c>
      <c r="K508" s="68">
        <f>8.8778 * CHOOSE(CONTROL!$C$22, $C$13, 100%, $E$13)</f>
        <v>8.8778000000000006</v>
      </c>
    </row>
    <row r="509" spans="1:11" ht="15">
      <c r="A509" s="13">
        <v>56615</v>
      </c>
      <c r="B509" s="67">
        <f>7.606 * CHOOSE(CONTROL!$C$22, $C$13, 100%, $E$13)</f>
        <v>7.6059999999999999</v>
      </c>
      <c r="C509" s="67">
        <f>7.606 * CHOOSE(CONTROL!$C$22, $C$13, 100%, $E$13)</f>
        <v>7.6059999999999999</v>
      </c>
      <c r="D509" s="67">
        <f>7.607 * CHOOSE(CONTROL!$C$22, $C$13, 100%, $E$13)</f>
        <v>7.6070000000000002</v>
      </c>
      <c r="E509" s="68">
        <f>9.004 * CHOOSE(CONTROL!$C$22, $C$13, 100%, $E$13)</f>
        <v>9.0039999999999996</v>
      </c>
      <c r="F509" s="68">
        <f>9.004 * CHOOSE(CONTROL!$C$22, $C$13, 100%, $E$13)</f>
        <v>9.0039999999999996</v>
      </c>
      <c r="G509" s="68">
        <f>9.0053 * CHOOSE(CONTROL!$C$22, $C$13, 100%, $E$13)</f>
        <v>9.0053000000000001</v>
      </c>
      <c r="H509" s="68">
        <f>14.5362* CHOOSE(CONTROL!$C$22, $C$13, 100%, $E$13)</f>
        <v>14.536199999999999</v>
      </c>
      <c r="I509" s="68">
        <f>14.5375 * CHOOSE(CONTROL!$C$22, $C$13, 100%, $E$13)</f>
        <v>14.5375</v>
      </c>
      <c r="J509" s="68">
        <f>9.004 * CHOOSE(CONTROL!$C$22, $C$13, 100%, $E$13)</f>
        <v>9.0039999999999996</v>
      </c>
      <c r="K509" s="68">
        <f>9.0053 * CHOOSE(CONTROL!$C$22, $C$13, 100%, $E$13)</f>
        <v>9.0053000000000001</v>
      </c>
    </row>
    <row r="510" spans="1:11" ht="15">
      <c r="A510" s="13">
        <v>56646</v>
      </c>
      <c r="B510" s="67">
        <f>7.603 * CHOOSE(CONTROL!$C$22, $C$13, 100%, $E$13)</f>
        <v>7.6029999999999998</v>
      </c>
      <c r="C510" s="67">
        <f>7.603 * CHOOSE(CONTROL!$C$22, $C$13, 100%, $E$13)</f>
        <v>7.6029999999999998</v>
      </c>
      <c r="D510" s="67">
        <f>7.604 * CHOOSE(CONTROL!$C$22, $C$13, 100%, $E$13)</f>
        <v>7.6040000000000001</v>
      </c>
      <c r="E510" s="68">
        <f>8.8528 * CHOOSE(CONTROL!$C$22, $C$13, 100%, $E$13)</f>
        <v>8.8528000000000002</v>
      </c>
      <c r="F510" s="68">
        <f>8.8528 * CHOOSE(CONTROL!$C$22, $C$13, 100%, $E$13)</f>
        <v>8.8528000000000002</v>
      </c>
      <c r="G510" s="68">
        <f>8.8541 * CHOOSE(CONTROL!$C$22, $C$13, 100%, $E$13)</f>
        <v>8.8541000000000007</v>
      </c>
      <c r="H510" s="68">
        <f>14.5665* CHOOSE(CONTROL!$C$22, $C$13, 100%, $E$13)</f>
        <v>14.5665</v>
      </c>
      <c r="I510" s="68">
        <f>14.5678 * CHOOSE(CONTROL!$C$22, $C$13, 100%, $E$13)</f>
        <v>14.5678</v>
      </c>
      <c r="J510" s="68">
        <f>8.8528 * CHOOSE(CONTROL!$C$22, $C$13, 100%, $E$13)</f>
        <v>8.8528000000000002</v>
      </c>
      <c r="K510" s="68">
        <f>8.8541 * CHOOSE(CONTROL!$C$22, $C$13, 100%, $E$13)</f>
        <v>8.8541000000000007</v>
      </c>
    </row>
    <row r="511" spans="1:11" ht="15">
      <c r="A511" s="13">
        <v>56674</v>
      </c>
      <c r="B511" s="67">
        <f>7.6 * CHOOSE(CONTROL!$C$22, $C$13, 100%, $E$13)</f>
        <v>7.6</v>
      </c>
      <c r="C511" s="67">
        <f>7.6 * CHOOSE(CONTROL!$C$22, $C$13, 100%, $E$13)</f>
        <v>7.6</v>
      </c>
      <c r="D511" s="67">
        <f>7.6009 * CHOOSE(CONTROL!$C$22, $C$13, 100%, $E$13)</f>
        <v>7.6009000000000002</v>
      </c>
      <c r="E511" s="68">
        <f>8.9682 * CHOOSE(CONTROL!$C$22, $C$13, 100%, $E$13)</f>
        <v>8.9681999999999995</v>
      </c>
      <c r="F511" s="68">
        <f>8.9682 * CHOOSE(CONTROL!$C$22, $C$13, 100%, $E$13)</f>
        <v>8.9681999999999995</v>
      </c>
      <c r="G511" s="68">
        <f>8.9695 * CHOOSE(CONTROL!$C$22, $C$13, 100%, $E$13)</f>
        <v>8.9695</v>
      </c>
      <c r="H511" s="68">
        <f>14.5968* CHOOSE(CONTROL!$C$22, $C$13, 100%, $E$13)</f>
        <v>14.5968</v>
      </c>
      <c r="I511" s="68">
        <f>14.5981 * CHOOSE(CONTROL!$C$22, $C$13, 100%, $E$13)</f>
        <v>14.598100000000001</v>
      </c>
      <c r="J511" s="68">
        <f>8.9682 * CHOOSE(CONTROL!$C$22, $C$13, 100%, $E$13)</f>
        <v>8.9681999999999995</v>
      </c>
      <c r="K511" s="68">
        <f>8.9695 * CHOOSE(CONTROL!$C$22, $C$13, 100%, $E$13)</f>
        <v>8.9695</v>
      </c>
    </row>
    <row r="512" spans="1:11" ht="15">
      <c r="A512" s="13">
        <v>56705</v>
      </c>
      <c r="B512" s="67">
        <f>7.6007 * CHOOSE(CONTROL!$C$22, $C$13, 100%, $E$13)</f>
        <v>7.6006999999999998</v>
      </c>
      <c r="C512" s="67">
        <f>7.6007 * CHOOSE(CONTROL!$C$22, $C$13, 100%, $E$13)</f>
        <v>7.6006999999999998</v>
      </c>
      <c r="D512" s="67">
        <f>7.6017 * CHOOSE(CONTROL!$C$22, $C$13, 100%, $E$13)</f>
        <v>7.6017000000000001</v>
      </c>
      <c r="E512" s="68">
        <f>9.0901 * CHOOSE(CONTROL!$C$22, $C$13, 100%, $E$13)</f>
        <v>9.0900999999999996</v>
      </c>
      <c r="F512" s="68">
        <f>9.0901 * CHOOSE(CONTROL!$C$22, $C$13, 100%, $E$13)</f>
        <v>9.0900999999999996</v>
      </c>
      <c r="G512" s="68">
        <f>9.0914 * CHOOSE(CONTROL!$C$22, $C$13, 100%, $E$13)</f>
        <v>9.0914000000000001</v>
      </c>
      <c r="H512" s="68">
        <f>14.6272* CHOOSE(CONTROL!$C$22, $C$13, 100%, $E$13)</f>
        <v>14.6272</v>
      </c>
      <c r="I512" s="68">
        <f>14.6285 * CHOOSE(CONTROL!$C$22, $C$13, 100%, $E$13)</f>
        <v>14.628500000000001</v>
      </c>
      <c r="J512" s="68">
        <f>9.0901 * CHOOSE(CONTROL!$C$22, $C$13, 100%, $E$13)</f>
        <v>9.0900999999999996</v>
      </c>
      <c r="K512" s="68">
        <f>9.0914 * CHOOSE(CONTROL!$C$22, $C$13, 100%, $E$13)</f>
        <v>9.0914000000000001</v>
      </c>
    </row>
    <row r="513" spans="1:11" ht="15">
      <c r="A513" s="13">
        <v>56735</v>
      </c>
      <c r="B513" s="67">
        <f>7.6007 * CHOOSE(CONTROL!$C$22, $C$13, 100%, $E$13)</f>
        <v>7.6006999999999998</v>
      </c>
      <c r="C513" s="67">
        <f>7.6007 * CHOOSE(CONTROL!$C$22, $C$13, 100%, $E$13)</f>
        <v>7.6006999999999998</v>
      </c>
      <c r="D513" s="67">
        <f>7.6033 * CHOOSE(CONTROL!$C$22, $C$13, 100%, $E$13)</f>
        <v>7.6032999999999999</v>
      </c>
      <c r="E513" s="68">
        <f>9.1375 * CHOOSE(CONTROL!$C$22, $C$13, 100%, $E$13)</f>
        <v>9.1374999999999993</v>
      </c>
      <c r="F513" s="68">
        <f>9.1375 * CHOOSE(CONTROL!$C$22, $C$13, 100%, $E$13)</f>
        <v>9.1374999999999993</v>
      </c>
      <c r="G513" s="68">
        <f>9.1407 * CHOOSE(CONTROL!$C$22, $C$13, 100%, $E$13)</f>
        <v>9.1407000000000007</v>
      </c>
      <c r="H513" s="68">
        <f>14.6577* CHOOSE(CONTROL!$C$22, $C$13, 100%, $E$13)</f>
        <v>14.6577</v>
      </c>
      <c r="I513" s="68">
        <f>14.661 * CHOOSE(CONTROL!$C$22, $C$13, 100%, $E$13)</f>
        <v>14.661</v>
      </c>
      <c r="J513" s="68">
        <f>9.1375 * CHOOSE(CONTROL!$C$22, $C$13, 100%, $E$13)</f>
        <v>9.1374999999999993</v>
      </c>
      <c r="K513" s="68">
        <f>9.1407 * CHOOSE(CONTROL!$C$22, $C$13, 100%, $E$13)</f>
        <v>9.1407000000000007</v>
      </c>
    </row>
    <row r="514" spans="1:11" ht="15">
      <c r="A514" s="13">
        <v>56766</v>
      </c>
      <c r="B514" s="67">
        <f>7.6068 * CHOOSE(CONTROL!$C$22, $C$13, 100%, $E$13)</f>
        <v>7.6067999999999998</v>
      </c>
      <c r="C514" s="67">
        <f>7.6068 * CHOOSE(CONTROL!$C$22, $C$13, 100%, $E$13)</f>
        <v>7.6067999999999998</v>
      </c>
      <c r="D514" s="67">
        <f>7.6094 * CHOOSE(CONTROL!$C$22, $C$13, 100%, $E$13)</f>
        <v>7.6093999999999999</v>
      </c>
      <c r="E514" s="68">
        <f>9.0944 * CHOOSE(CONTROL!$C$22, $C$13, 100%, $E$13)</f>
        <v>9.0944000000000003</v>
      </c>
      <c r="F514" s="68">
        <f>9.0944 * CHOOSE(CONTROL!$C$22, $C$13, 100%, $E$13)</f>
        <v>9.0944000000000003</v>
      </c>
      <c r="G514" s="68">
        <f>9.0976 * CHOOSE(CONTROL!$C$22, $C$13, 100%, $E$13)</f>
        <v>9.0975999999999999</v>
      </c>
      <c r="H514" s="68">
        <f>14.6882* CHOOSE(CONTROL!$C$22, $C$13, 100%, $E$13)</f>
        <v>14.6882</v>
      </c>
      <c r="I514" s="68">
        <f>14.6915 * CHOOSE(CONTROL!$C$22, $C$13, 100%, $E$13)</f>
        <v>14.6915</v>
      </c>
      <c r="J514" s="68">
        <f>9.0944 * CHOOSE(CONTROL!$C$22, $C$13, 100%, $E$13)</f>
        <v>9.0944000000000003</v>
      </c>
      <c r="K514" s="68">
        <f>9.0976 * CHOOSE(CONTROL!$C$22, $C$13, 100%, $E$13)</f>
        <v>9.0975999999999999</v>
      </c>
    </row>
    <row r="515" spans="1:11" ht="15">
      <c r="A515" s="13">
        <v>56796</v>
      </c>
      <c r="B515" s="67">
        <f>7.7266 * CHOOSE(CONTROL!$C$22, $C$13, 100%, $E$13)</f>
        <v>7.7266000000000004</v>
      </c>
      <c r="C515" s="67">
        <f>7.7266 * CHOOSE(CONTROL!$C$22, $C$13, 100%, $E$13)</f>
        <v>7.7266000000000004</v>
      </c>
      <c r="D515" s="67">
        <f>7.7292 * CHOOSE(CONTROL!$C$22, $C$13, 100%, $E$13)</f>
        <v>7.7291999999999996</v>
      </c>
      <c r="E515" s="68">
        <f>9.2441 * CHOOSE(CONTROL!$C$22, $C$13, 100%, $E$13)</f>
        <v>9.2440999999999995</v>
      </c>
      <c r="F515" s="68">
        <f>9.2441 * CHOOSE(CONTROL!$C$22, $C$13, 100%, $E$13)</f>
        <v>9.2440999999999995</v>
      </c>
      <c r="G515" s="68">
        <f>9.2474 * CHOOSE(CONTROL!$C$22, $C$13, 100%, $E$13)</f>
        <v>9.2474000000000007</v>
      </c>
      <c r="H515" s="68">
        <f>14.7188* CHOOSE(CONTROL!$C$22, $C$13, 100%, $E$13)</f>
        <v>14.7188</v>
      </c>
      <c r="I515" s="68">
        <f>14.7221 * CHOOSE(CONTROL!$C$22, $C$13, 100%, $E$13)</f>
        <v>14.722099999999999</v>
      </c>
      <c r="J515" s="68">
        <f>9.2441 * CHOOSE(CONTROL!$C$22, $C$13, 100%, $E$13)</f>
        <v>9.2440999999999995</v>
      </c>
      <c r="K515" s="68">
        <f>9.2474 * CHOOSE(CONTROL!$C$22, $C$13, 100%, $E$13)</f>
        <v>9.2474000000000007</v>
      </c>
    </row>
    <row r="516" spans="1:11" ht="15">
      <c r="A516" s="13">
        <v>56827</v>
      </c>
      <c r="B516" s="67">
        <f>7.7333 * CHOOSE(CONTROL!$C$22, $C$13, 100%, $E$13)</f>
        <v>7.7332999999999998</v>
      </c>
      <c r="C516" s="67">
        <f>7.7333 * CHOOSE(CONTROL!$C$22, $C$13, 100%, $E$13)</f>
        <v>7.7332999999999998</v>
      </c>
      <c r="D516" s="67">
        <f>7.7359 * CHOOSE(CONTROL!$C$22, $C$13, 100%, $E$13)</f>
        <v>7.7359</v>
      </c>
      <c r="E516" s="68">
        <f>9.1068 * CHOOSE(CONTROL!$C$22, $C$13, 100%, $E$13)</f>
        <v>9.1067999999999998</v>
      </c>
      <c r="F516" s="68">
        <f>9.1068 * CHOOSE(CONTROL!$C$22, $C$13, 100%, $E$13)</f>
        <v>9.1067999999999998</v>
      </c>
      <c r="G516" s="68">
        <f>9.1101 * CHOOSE(CONTROL!$C$22, $C$13, 100%, $E$13)</f>
        <v>9.1100999999999992</v>
      </c>
      <c r="H516" s="68">
        <f>14.7495* CHOOSE(CONTROL!$C$22, $C$13, 100%, $E$13)</f>
        <v>14.749499999999999</v>
      </c>
      <c r="I516" s="68">
        <f>14.7528 * CHOOSE(CONTROL!$C$22, $C$13, 100%, $E$13)</f>
        <v>14.752800000000001</v>
      </c>
      <c r="J516" s="68">
        <f>9.1068 * CHOOSE(CONTROL!$C$22, $C$13, 100%, $E$13)</f>
        <v>9.1067999999999998</v>
      </c>
      <c r="K516" s="68">
        <f>9.1101 * CHOOSE(CONTROL!$C$22, $C$13, 100%, $E$13)</f>
        <v>9.1100999999999992</v>
      </c>
    </row>
    <row r="517" spans="1:11" ht="15">
      <c r="A517" s="13">
        <v>56858</v>
      </c>
      <c r="B517" s="67">
        <f>7.7303 * CHOOSE(CONTROL!$C$22, $C$13, 100%, $E$13)</f>
        <v>7.7302999999999997</v>
      </c>
      <c r="C517" s="67">
        <f>7.7303 * CHOOSE(CONTROL!$C$22, $C$13, 100%, $E$13)</f>
        <v>7.7302999999999997</v>
      </c>
      <c r="D517" s="67">
        <f>7.7329 * CHOOSE(CONTROL!$C$22, $C$13, 100%, $E$13)</f>
        <v>7.7328999999999999</v>
      </c>
      <c r="E517" s="68">
        <f>9.089 * CHOOSE(CONTROL!$C$22, $C$13, 100%, $E$13)</f>
        <v>9.0890000000000004</v>
      </c>
      <c r="F517" s="68">
        <f>9.089 * CHOOSE(CONTROL!$C$22, $C$13, 100%, $E$13)</f>
        <v>9.0890000000000004</v>
      </c>
      <c r="G517" s="68">
        <f>9.0922 * CHOOSE(CONTROL!$C$22, $C$13, 100%, $E$13)</f>
        <v>9.0922000000000001</v>
      </c>
      <c r="H517" s="68">
        <f>14.7802* CHOOSE(CONTROL!$C$22, $C$13, 100%, $E$13)</f>
        <v>14.780200000000001</v>
      </c>
      <c r="I517" s="68">
        <f>14.7835 * CHOOSE(CONTROL!$C$22, $C$13, 100%, $E$13)</f>
        <v>14.7835</v>
      </c>
      <c r="J517" s="68">
        <f>9.089 * CHOOSE(CONTROL!$C$22, $C$13, 100%, $E$13)</f>
        <v>9.0890000000000004</v>
      </c>
      <c r="K517" s="68">
        <f>9.0922 * CHOOSE(CONTROL!$C$22, $C$13, 100%, $E$13)</f>
        <v>9.0922000000000001</v>
      </c>
    </row>
    <row r="518" spans="1:11" ht="15">
      <c r="A518" s="13">
        <v>56888</v>
      </c>
      <c r="B518" s="67">
        <f>7.7376 * CHOOSE(CONTROL!$C$22, $C$13, 100%, $E$13)</f>
        <v>7.7375999999999996</v>
      </c>
      <c r="C518" s="67">
        <f>7.7376 * CHOOSE(CONTROL!$C$22, $C$13, 100%, $E$13)</f>
        <v>7.7375999999999996</v>
      </c>
      <c r="D518" s="67">
        <f>7.7386 * CHOOSE(CONTROL!$C$22, $C$13, 100%, $E$13)</f>
        <v>7.7385999999999999</v>
      </c>
      <c r="E518" s="68">
        <f>9.1386 * CHOOSE(CONTROL!$C$22, $C$13, 100%, $E$13)</f>
        <v>9.1386000000000003</v>
      </c>
      <c r="F518" s="68">
        <f>9.1386 * CHOOSE(CONTROL!$C$22, $C$13, 100%, $E$13)</f>
        <v>9.1386000000000003</v>
      </c>
      <c r="G518" s="68">
        <f>9.1399 * CHOOSE(CONTROL!$C$22, $C$13, 100%, $E$13)</f>
        <v>9.1399000000000008</v>
      </c>
      <c r="H518" s="68">
        <f>14.811* CHOOSE(CONTROL!$C$22, $C$13, 100%, $E$13)</f>
        <v>14.811</v>
      </c>
      <c r="I518" s="68">
        <f>14.8123 * CHOOSE(CONTROL!$C$22, $C$13, 100%, $E$13)</f>
        <v>14.8123</v>
      </c>
      <c r="J518" s="68">
        <f>9.1386 * CHOOSE(CONTROL!$C$22, $C$13, 100%, $E$13)</f>
        <v>9.1386000000000003</v>
      </c>
      <c r="K518" s="68">
        <f>9.1399 * CHOOSE(CONTROL!$C$22, $C$13, 100%, $E$13)</f>
        <v>9.1399000000000008</v>
      </c>
    </row>
    <row r="519" spans="1:11" ht="15">
      <c r="A519" s="13">
        <v>56919</v>
      </c>
      <c r="B519" s="67">
        <f>7.7406 * CHOOSE(CONTROL!$C$22, $C$13, 100%, $E$13)</f>
        <v>7.7405999999999997</v>
      </c>
      <c r="C519" s="67">
        <f>7.7406 * CHOOSE(CONTROL!$C$22, $C$13, 100%, $E$13)</f>
        <v>7.7405999999999997</v>
      </c>
      <c r="D519" s="67">
        <f>7.7416 * CHOOSE(CONTROL!$C$22, $C$13, 100%, $E$13)</f>
        <v>7.7416</v>
      </c>
      <c r="E519" s="68">
        <f>9.1723 * CHOOSE(CONTROL!$C$22, $C$13, 100%, $E$13)</f>
        <v>9.1722999999999999</v>
      </c>
      <c r="F519" s="68">
        <f>9.1723 * CHOOSE(CONTROL!$C$22, $C$13, 100%, $E$13)</f>
        <v>9.1722999999999999</v>
      </c>
      <c r="G519" s="68">
        <f>9.1736 * CHOOSE(CONTROL!$C$22, $C$13, 100%, $E$13)</f>
        <v>9.1736000000000004</v>
      </c>
      <c r="H519" s="68">
        <f>14.8419* CHOOSE(CONTROL!$C$22, $C$13, 100%, $E$13)</f>
        <v>14.841900000000001</v>
      </c>
      <c r="I519" s="68">
        <f>14.8432 * CHOOSE(CONTROL!$C$22, $C$13, 100%, $E$13)</f>
        <v>14.8432</v>
      </c>
      <c r="J519" s="68">
        <f>9.1723 * CHOOSE(CONTROL!$C$22, $C$13, 100%, $E$13)</f>
        <v>9.1722999999999999</v>
      </c>
      <c r="K519" s="68">
        <f>9.1736 * CHOOSE(CONTROL!$C$22, $C$13, 100%, $E$13)</f>
        <v>9.1736000000000004</v>
      </c>
    </row>
    <row r="520" spans="1:11" ht="15">
      <c r="A520" s="13">
        <v>56949</v>
      </c>
      <c r="B520" s="67">
        <f>7.7406 * CHOOSE(CONTROL!$C$22, $C$13, 100%, $E$13)</f>
        <v>7.7405999999999997</v>
      </c>
      <c r="C520" s="67">
        <f>7.7406 * CHOOSE(CONTROL!$C$22, $C$13, 100%, $E$13)</f>
        <v>7.7405999999999997</v>
      </c>
      <c r="D520" s="67">
        <f>7.7416 * CHOOSE(CONTROL!$C$22, $C$13, 100%, $E$13)</f>
        <v>7.7416</v>
      </c>
      <c r="E520" s="68">
        <f>9.0934 * CHOOSE(CONTROL!$C$22, $C$13, 100%, $E$13)</f>
        <v>9.0934000000000008</v>
      </c>
      <c r="F520" s="68">
        <f>9.0934 * CHOOSE(CONTROL!$C$22, $C$13, 100%, $E$13)</f>
        <v>9.0934000000000008</v>
      </c>
      <c r="G520" s="68">
        <f>9.0947 * CHOOSE(CONTROL!$C$22, $C$13, 100%, $E$13)</f>
        <v>9.0946999999999996</v>
      </c>
      <c r="H520" s="68">
        <f>14.8728* CHOOSE(CONTROL!$C$22, $C$13, 100%, $E$13)</f>
        <v>14.8728</v>
      </c>
      <c r="I520" s="68">
        <f>14.8741 * CHOOSE(CONTROL!$C$22, $C$13, 100%, $E$13)</f>
        <v>14.8741</v>
      </c>
      <c r="J520" s="68">
        <f>9.0934 * CHOOSE(CONTROL!$C$22, $C$13, 100%, $E$13)</f>
        <v>9.0934000000000008</v>
      </c>
      <c r="K520" s="68">
        <f>9.0947 * CHOOSE(CONTROL!$C$22, $C$13, 100%, $E$13)</f>
        <v>9.0946999999999996</v>
      </c>
    </row>
    <row r="521" spans="1:11" ht="15">
      <c r="A521" s="13">
        <v>56980</v>
      </c>
      <c r="B521" s="67">
        <f>7.8071 * CHOOSE(CONTROL!$C$22, $C$13, 100%, $E$13)</f>
        <v>7.8071000000000002</v>
      </c>
      <c r="C521" s="67">
        <f>7.8071 * CHOOSE(CONTROL!$C$22, $C$13, 100%, $E$13)</f>
        <v>7.8071000000000002</v>
      </c>
      <c r="D521" s="67">
        <f>7.8081 * CHOOSE(CONTROL!$C$22, $C$13, 100%, $E$13)</f>
        <v>7.8080999999999996</v>
      </c>
      <c r="E521" s="68">
        <f>9.2242 * CHOOSE(CONTROL!$C$22, $C$13, 100%, $E$13)</f>
        <v>9.2241999999999997</v>
      </c>
      <c r="F521" s="68">
        <f>9.2242 * CHOOSE(CONTROL!$C$22, $C$13, 100%, $E$13)</f>
        <v>9.2241999999999997</v>
      </c>
      <c r="G521" s="68">
        <f>9.2255 * CHOOSE(CONTROL!$C$22, $C$13, 100%, $E$13)</f>
        <v>9.2255000000000003</v>
      </c>
      <c r="H521" s="68">
        <f>14.9038* CHOOSE(CONTROL!$C$22, $C$13, 100%, $E$13)</f>
        <v>14.9038</v>
      </c>
      <c r="I521" s="68">
        <f>14.9051 * CHOOSE(CONTROL!$C$22, $C$13, 100%, $E$13)</f>
        <v>14.905099999999999</v>
      </c>
      <c r="J521" s="68">
        <f>9.2242 * CHOOSE(CONTROL!$C$22, $C$13, 100%, $E$13)</f>
        <v>9.2241999999999997</v>
      </c>
      <c r="K521" s="68">
        <f>9.2255 * CHOOSE(CONTROL!$C$22, $C$13, 100%, $E$13)</f>
        <v>9.2255000000000003</v>
      </c>
    </row>
    <row r="522" spans="1:11" ht="15">
      <c r="A522" s="13">
        <v>57011</v>
      </c>
      <c r="B522" s="67">
        <f>7.8041 * CHOOSE(CONTROL!$C$22, $C$13, 100%, $E$13)</f>
        <v>7.8041</v>
      </c>
      <c r="C522" s="67">
        <f>7.8041 * CHOOSE(CONTROL!$C$22, $C$13, 100%, $E$13)</f>
        <v>7.8041</v>
      </c>
      <c r="D522" s="67">
        <f>7.8051 * CHOOSE(CONTROL!$C$22, $C$13, 100%, $E$13)</f>
        <v>7.8051000000000004</v>
      </c>
      <c r="E522" s="68">
        <f>9.0688 * CHOOSE(CONTROL!$C$22, $C$13, 100%, $E$13)</f>
        <v>9.0687999999999995</v>
      </c>
      <c r="F522" s="68">
        <f>9.0688 * CHOOSE(CONTROL!$C$22, $C$13, 100%, $E$13)</f>
        <v>9.0687999999999995</v>
      </c>
      <c r="G522" s="68">
        <f>9.0701 * CHOOSE(CONTROL!$C$22, $C$13, 100%, $E$13)</f>
        <v>9.0701000000000001</v>
      </c>
      <c r="H522" s="68">
        <f>14.9348* CHOOSE(CONTROL!$C$22, $C$13, 100%, $E$13)</f>
        <v>14.934799999999999</v>
      </c>
      <c r="I522" s="68">
        <f>14.9361 * CHOOSE(CONTROL!$C$22, $C$13, 100%, $E$13)</f>
        <v>14.9361</v>
      </c>
      <c r="J522" s="68">
        <f>9.0688 * CHOOSE(CONTROL!$C$22, $C$13, 100%, $E$13)</f>
        <v>9.0687999999999995</v>
      </c>
      <c r="K522" s="68">
        <f>9.0701 * CHOOSE(CONTROL!$C$22, $C$13, 100%, $E$13)</f>
        <v>9.0701000000000001</v>
      </c>
    </row>
    <row r="523" spans="1:11" ht="15">
      <c r="A523" s="13">
        <v>57040</v>
      </c>
      <c r="B523" s="67">
        <f>7.8011 * CHOOSE(CONTROL!$C$22, $C$13, 100%, $E$13)</f>
        <v>7.8010999999999999</v>
      </c>
      <c r="C523" s="67">
        <f>7.8011 * CHOOSE(CONTROL!$C$22, $C$13, 100%, $E$13)</f>
        <v>7.8010999999999999</v>
      </c>
      <c r="D523" s="67">
        <f>7.802 * CHOOSE(CONTROL!$C$22, $C$13, 100%, $E$13)</f>
        <v>7.8019999999999996</v>
      </c>
      <c r="E523" s="68">
        <f>9.1875 * CHOOSE(CONTROL!$C$22, $C$13, 100%, $E$13)</f>
        <v>9.1875</v>
      </c>
      <c r="F523" s="68">
        <f>9.1875 * CHOOSE(CONTROL!$C$22, $C$13, 100%, $E$13)</f>
        <v>9.1875</v>
      </c>
      <c r="G523" s="68">
        <f>9.1888 * CHOOSE(CONTROL!$C$22, $C$13, 100%, $E$13)</f>
        <v>9.1888000000000005</v>
      </c>
      <c r="H523" s="68">
        <f>14.9659* CHOOSE(CONTROL!$C$22, $C$13, 100%, $E$13)</f>
        <v>14.9659</v>
      </c>
      <c r="I523" s="68">
        <f>14.9672 * CHOOSE(CONTROL!$C$22, $C$13, 100%, $E$13)</f>
        <v>14.9672</v>
      </c>
      <c r="J523" s="68">
        <f>9.1875 * CHOOSE(CONTROL!$C$22, $C$13, 100%, $E$13)</f>
        <v>9.1875</v>
      </c>
      <c r="K523" s="68">
        <f>9.1888 * CHOOSE(CONTROL!$C$22, $C$13, 100%, $E$13)</f>
        <v>9.1888000000000005</v>
      </c>
    </row>
    <row r="524" spans="1:11" ht="15">
      <c r="A524" s="13">
        <v>57071</v>
      </c>
      <c r="B524" s="67">
        <f>7.802 * CHOOSE(CONTROL!$C$22, $C$13, 100%, $E$13)</f>
        <v>7.8019999999999996</v>
      </c>
      <c r="C524" s="67">
        <f>7.802 * CHOOSE(CONTROL!$C$22, $C$13, 100%, $E$13)</f>
        <v>7.8019999999999996</v>
      </c>
      <c r="D524" s="67">
        <f>7.8029 * CHOOSE(CONTROL!$C$22, $C$13, 100%, $E$13)</f>
        <v>7.8029000000000002</v>
      </c>
      <c r="E524" s="68">
        <f>9.313 * CHOOSE(CONTROL!$C$22, $C$13, 100%, $E$13)</f>
        <v>9.3130000000000006</v>
      </c>
      <c r="F524" s="68">
        <f>9.313 * CHOOSE(CONTROL!$C$22, $C$13, 100%, $E$13)</f>
        <v>9.3130000000000006</v>
      </c>
      <c r="G524" s="68">
        <f>9.3143 * CHOOSE(CONTROL!$C$22, $C$13, 100%, $E$13)</f>
        <v>9.3142999999999994</v>
      </c>
      <c r="H524" s="68">
        <f>14.9971* CHOOSE(CONTROL!$C$22, $C$13, 100%, $E$13)</f>
        <v>14.9971</v>
      </c>
      <c r="I524" s="68">
        <f>14.9984 * CHOOSE(CONTROL!$C$22, $C$13, 100%, $E$13)</f>
        <v>14.9984</v>
      </c>
      <c r="J524" s="68">
        <f>9.313 * CHOOSE(CONTROL!$C$22, $C$13, 100%, $E$13)</f>
        <v>9.3130000000000006</v>
      </c>
      <c r="K524" s="68">
        <f>9.3143 * CHOOSE(CONTROL!$C$22, $C$13, 100%, $E$13)</f>
        <v>9.3142999999999994</v>
      </c>
    </row>
    <row r="525" spans="1:11" ht="15">
      <c r="A525" s="13">
        <v>57101</v>
      </c>
      <c r="B525" s="67">
        <f>7.802 * CHOOSE(CONTROL!$C$22, $C$13, 100%, $E$13)</f>
        <v>7.8019999999999996</v>
      </c>
      <c r="C525" s="67">
        <f>7.802 * CHOOSE(CONTROL!$C$22, $C$13, 100%, $E$13)</f>
        <v>7.8019999999999996</v>
      </c>
      <c r="D525" s="67">
        <f>7.8046 * CHOOSE(CONTROL!$C$22, $C$13, 100%, $E$13)</f>
        <v>7.8045999999999998</v>
      </c>
      <c r="E525" s="68">
        <f>9.3616 * CHOOSE(CONTROL!$C$22, $C$13, 100%, $E$13)</f>
        <v>9.3615999999999993</v>
      </c>
      <c r="F525" s="68">
        <f>9.3616 * CHOOSE(CONTROL!$C$22, $C$13, 100%, $E$13)</f>
        <v>9.3615999999999993</v>
      </c>
      <c r="G525" s="68">
        <f>9.3649 * CHOOSE(CONTROL!$C$22, $C$13, 100%, $E$13)</f>
        <v>9.3649000000000004</v>
      </c>
      <c r="H525" s="68">
        <f>15.0284* CHOOSE(CONTROL!$C$22, $C$13, 100%, $E$13)</f>
        <v>15.0284</v>
      </c>
      <c r="I525" s="68">
        <f>15.0316 * CHOOSE(CONTROL!$C$22, $C$13, 100%, $E$13)</f>
        <v>15.031599999999999</v>
      </c>
      <c r="J525" s="68">
        <f>9.3616 * CHOOSE(CONTROL!$C$22, $C$13, 100%, $E$13)</f>
        <v>9.3615999999999993</v>
      </c>
      <c r="K525" s="68">
        <f>9.3649 * CHOOSE(CONTROL!$C$22, $C$13, 100%, $E$13)</f>
        <v>9.3649000000000004</v>
      </c>
    </row>
    <row r="526" spans="1:11" ht="15">
      <c r="A526" s="13">
        <v>57132</v>
      </c>
      <c r="B526" s="67">
        <f>7.808 * CHOOSE(CONTROL!$C$22, $C$13, 100%, $E$13)</f>
        <v>7.8079999999999998</v>
      </c>
      <c r="C526" s="67">
        <f>7.808 * CHOOSE(CONTROL!$C$22, $C$13, 100%, $E$13)</f>
        <v>7.8079999999999998</v>
      </c>
      <c r="D526" s="67">
        <f>7.8107 * CHOOSE(CONTROL!$C$22, $C$13, 100%, $E$13)</f>
        <v>7.8106999999999998</v>
      </c>
      <c r="E526" s="68">
        <f>9.3172 * CHOOSE(CONTROL!$C$22, $C$13, 100%, $E$13)</f>
        <v>9.3171999999999997</v>
      </c>
      <c r="F526" s="68">
        <f>9.3172 * CHOOSE(CONTROL!$C$22, $C$13, 100%, $E$13)</f>
        <v>9.3171999999999997</v>
      </c>
      <c r="G526" s="68">
        <f>9.3205 * CHOOSE(CONTROL!$C$22, $C$13, 100%, $E$13)</f>
        <v>9.3204999999999991</v>
      </c>
      <c r="H526" s="68">
        <f>15.0597* CHOOSE(CONTROL!$C$22, $C$13, 100%, $E$13)</f>
        <v>15.059699999999999</v>
      </c>
      <c r="I526" s="68">
        <f>15.0629 * CHOOSE(CONTROL!$C$22, $C$13, 100%, $E$13)</f>
        <v>15.062900000000001</v>
      </c>
      <c r="J526" s="68">
        <f>9.3172 * CHOOSE(CONTROL!$C$22, $C$13, 100%, $E$13)</f>
        <v>9.3171999999999997</v>
      </c>
      <c r="K526" s="68">
        <f>9.3205 * CHOOSE(CONTROL!$C$22, $C$13, 100%, $E$13)</f>
        <v>9.3204999999999991</v>
      </c>
    </row>
    <row r="527" spans="1:11" ht="15">
      <c r="A527" s="13">
        <v>57162</v>
      </c>
      <c r="B527" s="67">
        <f>7.9308 * CHOOSE(CONTROL!$C$22, $C$13, 100%, $E$13)</f>
        <v>7.9307999999999996</v>
      </c>
      <c r="C527" s="67">
        <f>7.9308 * CHOOSE(CONTROL!$C$22, $C$13, 100%, $E$13)</f>
        <v>7.9307999999999996</v>
      </c>
      <c r="D527" s="67">
        <f>7.9334 * CHOOSE(CONTROL!$C$22, $C$13, 100%, $E$13)</f>
        <v>7.9333999999999998</v>
      </c>
      <c r="E527" s="68">
        <f>9.4704 * CHOOSE(CONTROL!$C$22, $C$13, 100%, $E$13)</f>
        <v>9.4703999999999997</v>
      </c>
      <c r="F527" s="68">
        <f>9.4704 * CHOOSE(CONTROL!$C$22, $C$13, 100%, $E$13)</f>
        <v>9.4703999999999997</v>
      </c>
      <c r="G527" s="68">
        <f>9.4736 * CHOOSE(CONTROL!$C$22, $C$13, 100%, $E$13)</f>
        <v>9.4735999999999994</v>
      </c>
      <c r="H527" s="68">
        <f>15.0911* CHOOSE(CONTROL!$C$22, $C$13, 100%, $E$13)</f>
        <v>15.091100000000001</v>
      </c>
      <c r="I527" s="68">
        <f>15.0943 * CHOOSE(CONTROL!$C$22, $C$13, 100%, $E$13)</f>
        <v>15.0943</v>
      </c>
      <c r="J527" s="68">
        <f>9.4704 * CHOOSE(CONTROL!$C$22, $C$13, 100%, $E$13)</f>
        <v>9.4703999999999997</v>
      </c>
      <c r="K527" s="68">
        <f>9.4736 * CHOOSE(CONTROL!$C$22, $C$13, 100%, $E$13)</f>
        <v>9.4735999999999994</v>
      </c>
    </row>
    <row r="528" spans="1:11" ht="15">
      <c r="A528" s="13">
        <v>57193</v>
      </c>
      <c r="B528" s="67">
        <f>7.9375 * CHOOSE(CONTROL!$C$22, $C$13, 100%, $E$13)</f>
        <v>7.9375</v>
      </c>
      <c r="C528" s="67">
        <f>7.9375 * CHOOSE(CONTROL!$C$22, $C$13, 100%, $E$13)</f>
        <v>7.9375</v>
      </c>
      <c r="D528" s="67">
        <f>7.9401 * CHOOSE(CONTROL!$C$22, $C$13, 100%, $E$13)</f>
        <v>7.9401000000000002</v>
      </c>
      <c r="E528" s="68">
        <f>9.3291 * CHOOSE(CONTROL!$C$22, $C$13, 100%, $E$13)</f>
        <v>9.3291000000000004</v>
      </c>
      <c r="F528" s="68">
        <f>9.3291 * CHOOSE(CONTROL!$C$22, $C$13, 100%, $E$13)</f>
        <v>9.3291000000000004</v>
      </c>
      <c r="G528" s="68">
        <f>9.3324 * CHOOSE(CONTROL!$C$22, $C$13, 100%, $E$13)</f>
        <v>9.3323999999999998</v>
      </c>
      <c r="H528" s="68">
        <f>15.1225* CHOOSE(CONTROL!$C$22, $C$13, 100%, $E$13)</f>
        <v>15.1225</v>
      </c>
      <c r="I528" s="68">
        <f>15.1257 * CHOOSE(CONTROL!$C$22, $C$13, 100%, $E$13)</f>
        <v>15.1257</v>
      </c>
      <c r="J528" s="68">
        <f>9.3291 * CHOOSE(CONTROL!$C$22, $C$13, 100%, $E$13)</f>
        <v>9.3291000000000004</v>
      </c>
      <c r="K528" s="68">
        <f>9.3324 * CHOOSE(CONTROL!$C$22, $C$13, 100%, $E$13)</f>
        <v>9.3323999999999998</v>
      </c>
    </row>
    <row r="529" spans="1:11" ht="15">
      <c r="A529" s="13">
        <v>57224</v>
      </c>
      <c r="B529" s="67">
        <f>7.9344 * CHOOSE(CONTROL!$C$22, $C$13, 100%, $E$13)</f>
        <v>7.9344000000000001</v>
      </c>
      <c r="C529" s="67">
        <f>7.9344 * CHOOSE(CONTROL!$C$22, $C$13, 100%, $E$13)</f>
        <v>7.9344000000000001</v>
      </c>
      <c r="D529" s="67">
        <f>7.9371 * CHOOSE(CONTROL!$C$22, $C$13, 100%, $E$13)</f>
        <v>7.9371</v>
      </c>
      <c r="E529" s="68">
        <f>9.3108 * CHOOSE(CONTROL!$C$22, $C$13, 100%, $E$13)</f>
        <v>9.3108000000000004</v>
      </c>
      <c r="F529" s="68">
        <f>9.3108 * CHOOSE(CONTROL!$C$22, $C$13, 100%, $E$13)</f>
        <v>9.3108000000000004</v>
      </c>
      <c r="G529" s="68">
        <f>9.314 * CHOOSE(CONTROL!$C$22, $C$13, 100%, $E$13)</f>
        <v>9.3140000000000001</v>
      </c>
      <c r="H529" s="68">
        <f>15.154* CHOOSE(CONTROL!$C$22, $C$13, 100%, $E$13)</f>
        <v>15.154</v>
      </c>
      <c r="I529" s="68">
        <f>15.1573 * CHOOSE(CONTROL!$C$22, $C$13, 100%, $E$13)</f>
        <v>15.157299999999999</v>
      </c>
      <c r="J529" s="68">
        <f>9.3108 * CHOOSE(CONTROL!$C$22, $C$13, 100%, $E$13)</f>
        <v>9.3108000000000004</v>
      </c>
      <c r="K529" s="68">
        <f>9.314 * CHOOSE(CONTROL!$C$22, $C$13, 100%, $E$13)</f>
        <v>9.3140000000000001</v>
      </c>
    </row>
    <row r="530" spans="1:11" ht="15">
      <c r="A530" s="13">
        <v>57254</v>
      </c>
      <c r="B530" s="67">
        <f>7.9424 * CHOOSE(CONTROL!$C$22, $C$13, 100%, $E$13)</f>
        <v>7.9424000000000001</v>
      </c>
      <c r="C530" s="67">
        <f>7.9424 * CHOOSE(CONTROL!$C$22, $C$13, 100%, $E$13)</f>
        <v>7.9424000000000001</v>
      </c>
      <c r="D530" s="67">
        <f>7.9434 * CHOOSE(CONTROL!$C$22, $C$13, 100%, $E$13)</f>
        <v>7.9433999999999996</v>
      </c>
      <c r="E530" s="68">
        <f>9.3622 * CHOOSE(CONTROL!$C$22, $C$13, 100%, $E$13)</f>
        <v>9.3621999999999996</v>
      </c>
      <c r="F530" s="68">
        <f>9.3622 * CHOOSE(CONTROL!$C$22, $C$13, 100%, $E$13)</f>
        <v>9.3621999999999996</v>
      </c>
      <c r="G530" s="68">
        <f>9.3635 * CHOOSE(CONTROL!$C$22, $C$13, 100%, $E$13)</f>
        <v>9.3635000000000002</v>
      </c>
      <c r="H530" s="68">
        <f>15.1856* CHOOSE(CONTROL!$C$22, $C$13, 100%, $E$13)</f>
        <v>15.185600000000001</v>
      </c>
      <c r="I530" s="68">
        <f>15.1869 * CHOOSE(CONTROL!$C$22, $C$13, 100%, $E$13)</f>
        <v>15.1869</v>
      </c>
      <c r="J530" s="68">
        <f>9.3622 * CHOOSE(CONTROL!$C$22, $C$13, 100%, $E$13)</f>
        <v>9.3621999999999996</v>
      </c>
      <c r="K530" s="68">
        <f>9.3635 * CHOOSE(CONTROL!$C$22, $C$13, 100%, $E$13)</f>
        <v>9.3635000000000002</v>
      </c>
    </row>
    <row r="531" spans="1:11" ht="15">
      <c r="A531" s="13">
        <v>57285</v>
      </c>
      <c r="B531" s="67">
        <f>7.9454 * CHOOSE(CONTROL!$C$22, $C$13, 100%, $E$13)</f>
        <v>7.9454000000000002</v>
      </c>
      <c r="C531" s="67">
        <f>7.9454 * CHOOSE(CONTROL!$C$22, $C$13, 100%, $E$13)</f>
        <v>7.9454000000000002</v>
      </c>
      <c r="D531" s="67">
        <f>7.9464 * CHOOSE(CONTROL!$C$22, $C$13, 100%, $E$13)</f>
        <v>7.9463999999999997</v>
      </c>
      <c r="E531" s="68">
        <f>9.3968 * CHOOSE(CONTROL!$C$22, $C$13, 100%, $E$13)</f>
        <v>9.3968000000000007</v>
      </c>
      <c r="F531" s="68">
        <f>9.3968 * CHOOSE(CONTROL!$C$22, $C$13, 100%, $E$13)</f>
        <v>9.3968000000000007</v>
      </c>
      <c r="G531" s="68">
        <f>9.398 * CHOOSE(CONTROL!$C$22, $C$13, 100%, $E$13)</f>
        <v>9.3979999999999997</v>
      </c>
      <c r="H531" s="68">
        <f>15.2172* CHOOSE(CONTROL!$C$22, $C$13, 100%, $E$13)</f>
        <v>15.2172</v>
      </c>
      <c r="I531" s="68">
        <f>15.2185 * CHOOSE(CONTROL!$C$22, $C$13, 100%, $E$13)</f>
        <v>15.218500000000001</v>
      </c>
      <c r="J531" s="68">
        <f>9.3968 * CHOOSE(CONTROL!$C$22, $C$13, 100%, $E$13)</f>
        <v>9.3968000000000007</v>
      </c>
      <c r="K531" s="68">
        <f>9.398 * CHOOSE(CONTROL!$C$22, $C$13, 100%, $E$13)</f>
        <v>9.3979999999999997</v>
      </c>
    </row>
    <row r="532" spans="1:11" ht="15">
      <c r="A532" s="13">
        <v>57315</v>
      </c>
      <c r="B532" s="67">
        <f>7.9454 * CHOOSE(CONTROL!$C$22, $C$13, 100%, $E$13)</f>
        <v>7.9454000000000002</v>
      </c>
      <c r="C532" s="67">
        <f>7.9454 * CHOOSE(CONTROL!$C$22, $C$13, 100%, $E$13)</f>
        <v>7.9454000000000002</v>
      </c>
      <c r="D532" s="67">
        <f>7.9464 * CHOOSE(CONTROL!$C$22, $C$13, 100%, $E$13)</f>
        <v>7.9463999999999997</v>
      </c>
      <c r="E532" s="68">
        <f>9.3157 * CHOOSE(CONTROL!$C$22, $C$13, 100%, $E$13)</f>
        <v>9.3156999999999996</v>
      </c>
      <c r="F532" s="68">
        <f>9.3157 * CHOOSE(CONTROL!$C$22, $C$13, 100%, $E$13)</f>
        <v>9.3156999999999996</v>
      </c>
      <c r="G532" s="68">
        <f>9.317 * CHOOSE(CONTROL!$C$22, $C$13, 100%, $E$13)</f>
        <v>9.3170000000000002</v>
      </c>
      <c r="H532" s="68">
        <f>15.2489* CHOOSE(CONTROL!$C$22, $C$13, 100%, $E$13)</f>
        <v>15.248900000000001</v>
      </c>
      <c r="I532" s="68">
        <f>15.2502 * CHOOSE(CONTROL!$C$22, $C$13, 100%, $E$13)</f>
        <v>15.2502</v>
      </c>
      <c r="J532" s="68">
        <f>9.3157 * CHOOSE(CONTROL!$C$22, $C$13, 100%, $E$13)</f>
        <v>9.3156999999999996</v>
      </c>
      <c r="K532" s="68">
        <f>9.317 * CHOOSE(CONTROL!$C$22, $C$13, 100%, $E$13)</f>
        <v>9.3170000000000002</v>
      </c>
    </row>
    <row r="533" spans="1:11" ht="15">
      <c r="A533" s="13">
        <v>57346</v>
      </c>
      <c r="B533" s="67">
        <f>8.0136 * CHOOSE(CONTROL!$C$22, $C$13, 100%, $E$13)</f>
        <v>8.0136000000000003</v>
      </c>
      <c r="C533" s="67">
        <f>8.0136 * CHOOSE(CONTROL!$C$22, $C$13, 100%, $E$13)</f>
        <v>8.0136000000000003</v>
      </c>
      <c r="D533" s="67">
        <f>8.0146 * CHOOSE(CONTROL!$C$22, $C$13, 100%, $E$13)</f>
        <v>8.0145999999999997</v>
      </c>
      <c r="E533" s="68">
        <f>9.4498 * CHOOSE(CONTROL!$C$22, $C$13, 100%, $E$13)</f>
        <v>9.4497999999999998</v>
      </c>
      <c r="F533" s="68">
        <f>9.4498 * CHOOSE(CONTROL!$C$22, $C$13, 100%, $E$13)</f>
        <v>9.4497999999999998</v>
      </c>
      <c r="G533" s="68">
        <f>9.4511 * CHOOSE(CONTROL!$C$22, $C$13, 100%, $E$13)</f>
        <v>9.4511000000000003</v>
      </c>
      <c r="H533" s="68">
        <f>15.2807* CHOOSE(CONTROL!$C$22, $C$13, 100%, $E$13)</f>
        <v>15.2807</v>
      </c>
      <c r="I533" s="68">
        <f>15.282 * CHOOSE(CONTROL!$C$22, $C$13, 100%, $E$13)</f>
        <v>15.282</v>
      </c>
      <c r="J533" s="68">
        <f>9.4498 * CHOOSE(CONTROL!$C$22, $C$13, 100%, $E$13)</f>
        <v>9.4497999999999998</v>
      </c>
      <c r="K533" s="68">
        <f>9.4511 * CHOOSE(CONTROL!$C$22, $C$13, 100%, $E$13)</f>
        <v>9.4511000000000003</v>
      </c>
    </row>
    <row r="534" spans="1:11" ht="15">
      <c r="A534" s="13">
        <v>57377</v>
      </c>
      <c r="B534" s="67">
        <f>8.0106 * CHOOSE(CONTROL!$C$22, $C$13, 100%, $E$13)</f>
        <v>8.0106000000000002</v>
      </c>
      <c r="C534" s="67">
        <f>8.0106 * CHOOSE(CONTROL!$C$22, $C$13, 100%, $E$13)</f>
        <v>8.0106000000000002</v>
      </c>
      <c r="D534" s="67">
        <f>8.0116 * CHOOSE(CONTROL!$C$22, $C$13, 100%, $E$13)</f>
        <v>8.0115999999999996</v>
      </c>
      <c r="E534" s="68">
        <f>9.2901 * CHOOSE(CONTROL!$C$22, $C$13, 100%, $E$13)</f>
        <v>9.2901000000000007</v>
      </c>
      <c r="F534" s="68">
        <f>9.2901 * CHOOSE(CONTROL!$C$22, $C$13, 100%, $E$13)</f>
        <v>9.2901000000000007</v>
      </c>
      <c r="G534" s="68">
        <f>9.2914 * CHOOSE(CONTROL!$C$22, $C$13, 100%, $E$13)</f>
        <v>9.2913999999999994</v>
      </c>
      <c r="H534" s="68">
        <f>15.3125* CHOOSE(CONTROL!$C$22, $C$13, 100%, $E$13)</f>
        <v>15.3125</v>
      </c>
      <c r="I534" s="68">
        <f>15.3138 * CHOOSE(CONTROL!$C$22, $C$13, 100%, $E$13)</f>
        <v>15.313800000000001</v>
      </c>
      <c r="J534" s="68">
        <f>9.2901 * CHOOSE(CONTROL!$C$22, $C$13, 100%, $E$13)</f>
        <v>9.2901000000000007</v>
      </c>
      <c r="K534" s="68">
        <f>9.2914 * CHOOSE(CONTROL!$C$22, $C$13, 100%, $E$13)</f>
        <v>9.2913999999999994</v>
      </c>
    </row>
    <row r="535" spans="1:11" ht="15">
      <c r="A535" s="13">
        <v>57405</v>
      </c>
      <c r="B535" s="67">
        <f>8.0075 * CHOOSE(CONTROL!$C$22, $C$13, 100%, $E$13)</f>
        <v>8.0075000000000003</v>
      </c>
      <c r="C535" s="67">
        <f>8.0075 * CHOOSE(CONTROL!$C$22, $C$13, 100%, $E$13)</f>
        <v>8.0075000000000003</v>
      </c>
      <c r="D535" s="67">
        <f>8.0085 * CHOOSE(CONTROL!$C$22, $C$13, 100%, $E$13)</f>
        <v>8.0084999999999997</v>
      </c>
      <c r="E535" s="68">
        <f>9.4122 * CHOOSE(CONTROL!$C$22, $C$13, 100%, $E$13)</f>
        <v>9.4122000000000003</v>
      </c>
      <c r="F535" s="68">
        <f>9.4122 * CHOOSE(CONTROL!$C$22, $C$13, 100%, $E$13)</f>
        <v>9.4122000000000003</v>
      </c>
      <c r="G535" s="68">
        <f>9.4135 * CHOOSE(CONTROL!$C$22, $C$13, 100%, $E$13)</f>
        <v>9.4135000000000009</v>
      </c>
      <c r="H535" s="68">
        <f>15.3444* CHOOSE(CONTROL!$C$22, $C$13, 100%, $E$13)</f>
        <v>15.3444</v>
      </c>
      <c r="I535" s="68">
        <f>15.3457 * CHOOSE(CONTROL!$C$22, $C$13, 100%, $E$13)</f>
        <v>15.345700000000001</v>
      </c>
      <c r="J535" s="68">
        <f>9.4122 * CHOOSE(CONTROL!$C$22, $C$13, 100%, $E$13)</f>
        <v>9.4122000000000003</v>
      </c>
      <c r="K535" s="68">
        <f>9.4135 * CHOOSE(CONTROL!$C$22, $C$13, 100%, $E$13)</f>
        <v>9.4135000000000009</v>
      </c>
    </row>
    <row r="536" spans="1:11" ht="15">
      <c r="A536" s="13">
        <v>57436</v>
      </c>
      <c r="B536" s="67">
        <f>8.0086 * CHOOSE(CONTROL!$C$22, $C$13, 100%, $E$13)</f>
        <v>8.0085999999999995</v>
      </c>
      <c r="C536" s="67">
        <f>8.0086 * CHOOSE(CONTROL!$C$22, $C$13, 100%, $E$13)</f>
        <v>8.0085999999999995</v>
      </c>
      <c r="D536" s="67">
        <f>8.0096 * CHOOSE(CONTROL!$C$22, $C$13, 100%, $E$13)</f>
        <v>8.0096000000000007</v>
      </c>
      <c r="E536" s="68">
        <f>9.5413 * CHOOSE(CONTROL!$C$22, $C$13, 100%, $E$13)</f>
        <v>9.5412999999999997</v>
      </c>
      <c r="F536" s="68">
        <f>9.5413 * CHOOSE(CONTROL!$C$22, $C$13, 100%, $E$13)</f>
        <v>9.5412999999999997</v>
      </c>
      <c r="G536" s="68">
        <f>9.5426 * CHOOSE(CONTROL!$C$22, $C$13, 100%, $E$13)</f>
        <v>9.5426000000000002</v>
      </c>
      <c r="H536" s="68">
        <f>15.3764* CHOOSE(CONTROL!$C$22, $C$13, 100%, $E$13)</f>
        <v>15.3764</v>
      </c>
      <c r="I536" s="68">
        <f>15.3777 * CHOOSE(CONTROL!$C$22, $C$13, 100%, $E$13)</f>
        <v>15.377700000000001</v>
      </c>
      <c r="J536" s="68">
        <f>9.5413 * CHOOSE(CONTROL!$C$22, $C$13, 100%, $E$13)</f>
        <v>9.5412999999999997</v>
      </c>
      <c r="K536" s="68">
        <f>9.5426 * CHOOSE(CONTROL!$C$22, $C$13, 100%, $E$13)</f>
        <v>9.5426000000000002</v>
      </c>
    </row>
    <row r="537" spans="1:11" ht="15">
      <c r="A537" s="13">
        <v>57466</v>
      </c>
      <c r="B537" s="67">
        <f>8.0086 * CHOOSE(CONTROL!$C$22, $C$13, 100%, $E$13)</f>
        <v>8.0085999999999995</v>
      </c>
      <c r="C537" s="67">
        <f>8.0086 * CHOOSE(CONTROL!$C$22, $C$13, 100%, $E$13)</f>
        <v>8.0085999999999995</v>
      </c>
      <c r="D537" s="67">
        <f>8.0112 * CHOOSE(CONTROL!$C$22, $C$13, 100%, $E$13)</f>
        <v>8.0112000000000005</v>
      </c>
      <c r="E537" s="68">
        <f>9.5913 * CHOOSE(CONTROL!$C$22, $C$13, 100%, $E$13)</f>
        <v>9.5913000000000004</v>
      </c>
      <c r="F537" s="68">
        <f>9.5913 * CHOOSE(CONTROL!$C$22, $C$13, 100%, $E$13)</f>
        <v>9.5913000000000004</v>
      </c>
      <c r="G537" s="68">
        <f>9.5946 * CHOOSE(CONTROL!$C$22, $C$13, 100%, $E$13)</f>
        <v>9.5945999999999998</v>
      </c>
      <c r="H537" s="68">
        <f>15.4084* CHOOSE(CONTROL!$C$22, $C$13, 100%, $E$13)</f>
        <v>15.4084</v>
      </c>
      <c r="I537" s="68">
        <f>15.4117 * CHOOSE(CONTROL!$C$22, $C$13, 100%, $E$13)</f>
        <v>15.4117</v>
      </c>
      <c r="J537" s="68">
        <f>9.5913 * CHOOSE(CONTROL!$C$22, $C$13, 100%, $E$13)</f>
        <v>9.5913000000000004</v>
      </c>
      <c r="K537" s="68">
        <f>9.5946 * CHOOSE(CONTROL!$C$22, $C$13, 100%, $E$13)</f>
        <v>9.5945999999999998</v>
      </c>
    </row>
    <row r="538" spans="1:11" ht="15">
      <c r="A538" s="13">
        <v>57497</v>
      </c>
      <c r="B538" s="67">
        <f>8.0147 * CHOOSE(CONTROL!$C$22, $C$13, 100%, $E$13)</f>
        <v>8.0146999999999995</v>
      </c>
      <c r="C538" s="67">
        <f>8.0147 * CHOOSE(CONTROL!$C$22, $C$13, 100%, $E$13)</f>
        <v>8.0146999999999995</v>
      </c>
      <c r="D538" s="67">
        <f>8.0173 * CHOOSE(CONTROL!$C$22, $C$13, 100%, $E$13)</f>
        <v>8.0173000000000005</v>
      </c>
      <c r="E538" s="68">
        <f>9.5456 * CHOOSE(CONTROL!$C$22, $C$13, 100%, $E$13)</f>
        <v>9.5456000000000003</v>
      </c>
      <c r="F538" s="68">
        <f>9.5456 * CHOOSE(CONTROL!$C$22, $C$13, 100%, $E$13)</f>
        <v>9.5456000000000003</v>
      </c>
      <c r="G538" s="68">
        <f>9.5488 * CHOOSE(CONTROL!$C$22, $C$13, 100%, $E$13)</f>
        <v>9.5488</v>
      </c>
      <c r="H538" s="68">
        <f>15.4405* CHOOSE(CONTROL!$C$22, $C$13, 100%, $E$13)</f>
        <v>15.4405</v>
      </c>
      <c r="I538" s="68">
        <f>15.4438 * CHOOSE(CONTROL!$C$22, $C$13, 100%, $E$13)</f>
        <v>15.4438</v>
      </c>
      <c r="J538" s="68">
        <f>9.5456 * CHOOSE(CONTROL!$C$22, $C$13, 100%, $E$13)</f>
        <v>9.5456000000000003</v>
      </c>
      <c r="K538" s="68">
        <f>9.5488 * CHOOSE(CONTROL!$C$22, $C$13, 100%, $E$13)</f>
        <v>9.5488</v>
      </c>
    </row>
    <row r="539" spans="1:11" ht="15">
      <c r="A539" s="13">
        <v>57527</v>
      </c>
      <c r="B539" s="67">
        <f>8.1404 * CHOOSE(CONTROL!$C$22, $C$13, 100%, $E$13)</f>
        <v>8.1403999999999996</v>
      </c>
      <c r="C539" s="67">
        <f>8.1404 * CHOOSE(CONTROL!$C$22, $C$13, 100%, $E$13)</f>
        <v>8.1403999999999996</v>
      </c>
      <c r="D539" s="67">
        <f>8.143 * CHOOSE(CONTROL!$C$22, $C$13, 100%, $E$13)</f>
        <v>8.1430000000000007</v>
      </c>
      <c r="E539" s="68">
        <f>9.7022 * CHOOSE(CONTROL!$C$22, $C$13, 100%, $E$13)</f>
        <v>9.7021999999999995</v>
      </c>
      <c r="F539" s="68">
        <f>9.7022 * CHOOSE(CONTROL!$C$22, $C$13, 100%, $E$13)</f>
        <v>9.7021999999999995</v>
      </c>
      <c r="G539" s="68">
        <f>9.7054 * CHOOSE(CONTROL!$C$22, $C$13, 100%, $E$13)</f>
        <v>9.7053999999999991</v>
      </c>
      <c r="H539" s="68">
        <f>15.4727* CHOOSE(CONTROL!$C$22, $C$13, 100%, $E$13)</f>
        <v>15.4727</v>
      </c>
      <c r="I539" s="68">
        <f>15.4759 * CHOOSE(CONTROL!$C$22, $C$13, 100%, $E$13)</f>
        <v>15.475899999999999</v>
      </c>
      <c r="J539" s="68">
        <f>9.7022 * CHOOSE(CONTROL!$C$22, $C$13, 100%, $E$13)</f>
        <v>9.7021999999999995</v>
      </c>
      <c r="K539" s="68">
        <f>9.7054 * CHOOSE(CONTROL!$C$22, $C$13, 100%, $E$13)</f>
        <v>9.7053999999999991</v>
      </c>
    </row>
    <row r="540" spans="1:11" ht="15">
      <c r="A540" s="13">
        <v>57558</v>
      </c>
      <c r="B540" s="67">
        <f>8.1471 * CHOOSE(CONTROL!$C$22, $C$13, 100%, $E$13)</f>
        <v>8.1471</v>
      </c>
      <c r="C540" s="67">
        <f>8.1471 * CHOOSE(CONTROL!$C$22, $C$13, 100%, $E$13)</f>
        <v>8.1471</v>
      </c>
      <c r="D540" s="67">
        <f>8.1497 * CHOOSE(CONTROL!$C$22, $C$13, 100%, $E$13)</f>
        <v>8.1496999999999993</v>
      </c>
      <c r="E540" s="68">
        <f>9.5568 * CHOOSE(CONTROL!$C$22, $C$13, 100%, $E$13)</f>
        <v>9.5568000000000008</v>
      </c>
      <c r="F540" s="68">
        <f>9.5568 * CHOOSE(CONTROL!$C$22, $C$13, 100%, $E$13)</f>
        <v>9.5568000000000008</v>
      </c>
      <c r="G540" s="68">
        <f>9.5601 * CHOOSE(CONTROL!$C$22, $C$13, 100%, $E$13)</f>
        <v>9.5601000000000003</v>
      </c>
      <c r="H540" s="68">
        <f>15.5049* CHOOSE(CONTROL!$C$22, $C$13, 100%, $E$13)</f>
        <v>15.504899999999999</v>
      </c>
      <c r="I540" s="68">
        <f>15.5082 * CHOOSE(CONTROL!$C$22, $C$13, 100%, $E$13)</f>
        <v>15.5082</v>
      </c>
      <c r="J540" s="68">
        <f>9.5568 * CHOOSE(CONTROL!$C$22, $C$13, 100%, $E$13)</f>
        <v>9.5568000000000008</v>
      </c>
      <c r="K540" s="68">
        <f>9.5601 * CHOOSE(CONTROL!$C$22, $C$13, 100%, $E$13)</f>
        <v>9.5601000000000003</v>
      </c>
    </row>
    <row r="541" spans="1:11" ht="15">
      <c r="A541" s="13">
        <v>57589</v>
      </c>
      <c r="B541" s="67">
        <f>8.1441 * CHOOSE(CONTROL!$C$22, $C$13, 100%, $E$13)</f>
        <v>8.1440999999999999</v>
      </c>
      <c r="C541" s="67">
        <f>8.1441 * CHOOSE(CONTROL!$C$22, $C$13, 100%, $E$13)</f>
        <v>8.1440999999999999</v>
      </c>
      <c r="D541" s="67">
        <f>8.1467 * CHOOSE(CONTROL!$C$22, $C$13, 100%, $E$13)</f>
        <v>8.1466999999999992</v>
      </c>
      <c r="E541" s="68">
        <f>9.538 * CHOOSE(CONTROL!$C$22, $C$13, 100%, $E$13)</f>
        <v>9.5380000000000003</v>
      </c>
      <c r="F541" s="68">
        <f>9.538 * CHOOSE(CONTROL!$C$22, $C$13, 100%, $E$13)</f>
        <v>9.5380000000000003</v>
      </c>
      <c r="G541" s="68">
        <f>9.5413 * CHOOSE(CONTROL!$C$22, $C$13, 100%, $E$13)</f>
        <v>9.5412999999999997</v>
      </c>
      <c r="H541" s="68">
        <f>15.5372* CHOOSE(CONTROL!$C$22, $C$13, 100%, $E$13)</f>
        <v>15.5372</v>
      </c>
      <c r="I541" s="68">
        <f>15.5405 * CHOOSE(CONTROL!$C$22, $C$13, 100%, $E$13)</f>
        <v>15.5405</v>
      </c>
      <c r="J541" s="68">
        <f>9.538 * CHOOSE(CONTROL!$C$22, $C$13, 100%, $E$13)</f>
        <v>9.5380000000000003</v>
      </c>
      <c r="K541" s="68">
        <f>9.5413 * CHOOSE(CONTROL!$C$22, $C$13, 100%, $E$13)</f>
        <v>9.5412999999999997</v>
      </c>
    </row>
    <row r="542" spans="1:11" ht="15">
      <c r="A542" s="13">
        <v>57619</v>
      </c>
      <c r="B542" s="67">
        <f>8.1527 * CHOOSE(CONTROL!$C$22, $C$13, 100%, $E$13)</f>
        <v>8.1526999999999994</v>
      </c>
      <c r="C542" s="67">
        <f>8.1527 * CHOOSE(CONTROL!$C$22, $C$13, 100%, $E$13)</f>
        <v>8.1526999999999994</v>
      </c>
      <c r="D542" s="67">
        <f>8.1537 * CHOOSE(CONTROL!$C$22, $C$13, 100%, $E$13)</f>
        <v>8.1537000000000006</v>
      </c>
      <c r="E542" s="68">
        <f>9.5913 * CHOOSE(CONTROL!$C$22, $C$13, 100%, $E$13)</f>
        <v>9.5913000000000004</v>
      </c>
      <c r="F542" s="68">
        <f>9.5913 * CHOOSE(CONTROL!$C$22, $C$13, 100%, $E$13)</f>
        <v>9.5913000000000004</v>
      </c>
      <c r="G542" s="68">
        <f>9.5926 * CHOOSE(CONTROL!$C$22, $C$13, 100%, $E$13)</f>
        <v>9.5925999999999991</v>
      </c>
      <c r="H542" s="68">
        <f>15.5696* CHOOSE(CONTROL!$C$22, $C$13, 100%, $E$13)</f>
        <v>15.569599999999999</v>
      </c>
      <c r="I542" s="68">
        <f>15.5709 * CHOOSE(CONTROL!$C$22, $C$13, 100%, $E$13)</f>
        <v>15.5709</v>
      </c>
      <c r="J542" s="68">
        <f>9.5913 * CHOOSE(CONTROL!$C$22, $C$13, 100%, $E$13)</f>
        <v>9.5913000000000004</v>
      </c>
      <c r="K542" s="68">
        <f>9.5926 * CHOOSE(CONTROL!$C$22, $C$13, 100%, $E$13)</f>
        <v>9.5925999999999991</v>
      </c>
    </row>
    <row r="543" spans="1:11" ht="15">
      <c r="A543" s="13">
        <v>57650</v>
      </c>
      <c r="B543" s="67">
        <f>8.1558 * CHOOSE(CONTROL!$C$22, $C$13, 100%, $E$13)</f>
        <v>8.1557999999999993</v>
      </c>
      <c r="C543" s="67">
        <f>8.1558 * CHOOSE(CONTROL!$C$22, $C$13, 100%, $E$13)</f>
        <v>8.1557999999999993</v>
      </c>
      <c r="D543" s="67">
        <f>8.1567 * CHOOSE(CONTROL!$C$22, $C$13, 100%, $E$13)</f>
        <v>8.1567000000000007</v>
      </c>
      <c r="E543" s="68">
        <f>9.6267 * CHOOSE(CONTROL!$C$22, $C$13, 100%, $E$13)</f>
        <v>9.6266999999999996</v>
      </c>
      <c r="F543" s="68">
        <f>9.6267 * CHOOSE(CONTROL!$C$22, $C$13, 100%, $E$13)</f>
        <v>9.6266999999999996</v>
      </c>
      <c r="G543" s="68">
        <f>9.628 * CHOOSE(CONTROL!$C$22, $C$13, 100%, $E$13)</f>
        <v>9.6280000000000001</v>
      </c>
      <c r="H543" s="68">
        <f>15.602* CHOOSE(CONTROL!$C$22, $C$13, 100%, $E$13)</f>
        <v>15.602</v>
      </c>
      <c r="I543" s="68">
        <f>15.6033 * CHOOSE(CONTROL!$C$22, $C$13, 100%, $E$13)</f>
        <v>15.603300000000001</v>
      </c>
      <c r="J543" s="68">
        <f>9.6267 * CHOOSE(CONTROL!$C$22, $C$13, 100%, $E$13)</f>
        <v>9.6266999999999996</v>
      </c>
      <c r="K543" s="68">
        <f>9.628 * CHOOSE(CONTROL!$C$22, $C$13, 100%, $E$13)</f>
        <v>9.6280000000000001</v>
      </c>
    </row>
    <row r="544" spans="1:11" ht="15">
      <c r="A544" s="13">
        <v>57680</v>
      </c>
      <c r="B544" s="67">
        <f>8.1558 * CHOOSE(CONTROL!$C$22, $C$13, 100%, $E$13)</f>
        <v>8.1557999999999993</v>
      </c>
      <c r="C544" s="67">
        <f>8.1558 * CHOOSE(CONTROL!$C$22, $C$13, 100%, $E$13)</f>
        <v>8.1557999999999993</v>
      </c>
      <c r="D544" s="67">
        <f>8.1567 * CHOOSE(CONTROL!$C$22, $C$13, 100%, $E$13)</f>
        <v>8.1567000000000007</v>
      </c>
      <c r="E544" s="68">
        <f>9.5434 * CHOOSE(CONTROL!$C$22, $C$13, 100%, $E$13)</f>
        <v>9.5434000000000001</v>
      </c>
      <c r="F544" s="68">
        <f>9.5434 * CHOOSE(CONTROL!$C$22, $C$13, 100%, $E$13)</f>
        <v>9.5434000000000001</v>
      </c>
      <c r="G544" s="68">
        <f>9.5447 * CHOOSE(CONTROL!$C$22, $C$13, 100%, $E$13)</f>
        <v>9.5447000000000006</v>
      </c>
      <c r="H544" s="68">
        <f>15.6345* CHOOSE(CONTROL!$C$22, $C$13, 100%, $E$13)</f>
        <v>15.634499999999999</v>
      </c>
      <c r="I544" s="68">
        <f>15.6358 * CHOOSE(CONTROL!$C$22, $C$13, 100%, $E$13)</f>
        <v>15.6358</v>
      </c>
      <c r="J544" s="68">
        <f>9.5434 * CHOOSE(CONTROL!$C$22, $C$13, 100%, $E$13)</f>
        <v>9.5434000000000001</v>
      </c>
      <c r="K544" s="68">
        <f>9.5447 * CHOOSE(CONTROL!$C$22, $C$13, 100%, $E$13)</f>
        <v>9.5447000000000006</v>
      </c>
    </row>
    <row r="545" spans="1:11" ht="15">
      <c r="A545" s="13">
        <v>57711</v>
      </c>
      <c r="B545" s="67">
        <f>8.2256 * CHOOSE(CONTROL!$C$22, $C$13, 100%, $E$13)</f>
        <v>8.2256</v>
      </c>
      <c r="C545" s="67">
        <f>8.2256 * CHOOSE(CONTROL!$C$22, $C$13, 100%, $E$13)</f>
        <v>8.2256</v>
      </c>
      <c r="D545" s="67">
        <f>8.2266 * CHOOSE(CONTROL!$C$22, $C$13, 100%, $E$13)</f>
        <v>8.2265999999999995</v>
      </c>
      <c r="E545" s="68">
        <f>9.6809 * CHOOSE(CONTROL!$C$22, $C$13, 100%, $E$13)</f>
        <v>9.6808999999999994</v>
      </c>
      <c r="F545" s="68">
        <f>9.6809 * CHOOSE(CONTROL!$C$22, $C$13, 100%, $E$13)</f>
        <v>9.6808999999999994</v>
      </c>
      <c r="G545" s="68">
        <f>9.6822 * CHOOSE(CONTROL!$C$22, $C$13, 100%, $E$13)</f>
        <v>9.6821999999999999</v>
      </c>
      <c r="H545" s="68">
        <f>15.6671* CHOOSE(CONTROL!$C$22, $C$13, 100%, $E$13)</f>
        <v>15.6671</v>
      </c>
      <c r="I545" s="68">
        <f>15.6684 * CHOOSE(CONTROL!$C$22, $C$13, 100%, $E$13)</f>
        <v>15.6684</v>
      </c>
      <c r="J545" s="68">
        <f>9.6809 * CHOOSE(CONTROL!$C$22, $C$13, 100%, $E$13)</f>
        <v>9.6808999999999994</v>
      </c>
      <c r="K545" s="68">
        <f>9.6822 * CHOOSE(CONTROL!$C$22, $C$13, 100%, $E$13)</f>
        <v>9.6821999999999999</v>
      </c>
    </row>
    <row r="546" spans="1:11" ht="15">
      <c r="A546" s="13">
        <v>57742</v>
      </c>
      <c r="B546" s="67">
        <f>8.2226 * CHOOSE(CONTROL!$C$22, $C$13, 100%, $E$13)</f>
        <v>8.2225999999999999</v>
      </c>
      <c r="C546" s="67">
        <f>8.2226 * CHOOSE(CONTROL!$C$22, $C$13, 100%, $E$13)</f>
        <v>8.2225999999999999</v>
      </c>
      <c r="D546" s="67">
        <f>8.2236 * CHOOSE(CONTROL!$C$22, $C$13, 100%, $E$13)</f>
        <v>8.2235999999999994</v>
      </c>
      <c r="E546" s="68">
        <f>9.5169 * CHOOSE(CONTROL!$C$22, $C$13, 100%, $E$13)</f>
        <v>9.5168999999999997</v>
      </c>
      <c r="F546" s="68">
        <f>9.5169 * CHOOSE(CONTROL!$C$22, $C$13, 100%, $E$13)</f>
        <v>9.5168999999999997</v>
      </c>
      <c r="G546" s="68">
        <f>9.5182 * CHOOSE(CONTROL!$C$22, $C$13, 100%, $E$13)</f>
        <v>9.5182000000000002</v>
      </c>
      <c r="H546" s="68">
        <f>15.6997* CHOOSE(CONTROL!$C$22, $C$13, 100%, $E$13)</f>
        <v>15.6997</v>
      </c>
      <c r="I546" s="68">
        <f>15.701 * CHOOSE(CONTROL!$C$22, $C$13, 100%, $E$13)</f>
        <v>15.701000000000001</v>
      </c>
      <c r="J546" s="68">
        <f>9.5169 * CHOOSE(CONTROL!$C$22, $C$13, 100%, $E$13)</f>
        <v>9.5168999999999997</v>
      </c>
      <c r="K546" s="68">
        <f>9.5182 * CHOOSE(CONTROL!$C$22, $C$13, 100%, $E$13)</f>
        <v>9.5182000000000002</v>
      </c>
    </row>
    <row r="547" spans="1:11" ht="15">
      <c r="A547" s="13">
        <v>57770</v>
      </c>
      <c r="B547" s="67">
        <f>8.2195 * CHOOSE(CONTROL!$C$22, $C$13, 100%, $E$13)</f>
        <v>8.2195</v>
      </c>
      <c r="C547" s="67">
        <f>8.2195 * CHOOSE(CONTROL!$C$22, $C$13, 100%, $E$13)</f>
        <v>8.2195</v>
      </c>
      <c r="D547" s="67">
        <f>8.2205 * CHOOSE(CONTROL!$C$22, $C$13, 100%, $E$13)</f>
        <v>8.2204999999999995</v>
      </c>
      <c r="E547" s="68">
        <f>9.6424 * CHOOSE(CONTROL!$C$22, $C$13, 100%, $E$13)</f>
        <v>9.6424000000000003</v>
      </c>
      <c r="F547" s="68">
        <f>9.6424 * CHOOSE(CONTROL!$C$22, $C$13, 100%, $E$13)</f>
        <v>9.6424000000000003</v>
      </c>
      <c r="G547" s="68">
        <f>9.6437 * CHOOSE(CONTROL!$C$22, $C$13, 100%, $E$13)</f>
        <v>9.6437000000000008</v>
      </c>
      <c r="H547" s="68">
        <f>15.7324* CHOOSE(CONTROL!$C$22, $C$13, 100%, $E$13)</f>
        <v>15.7324</v>
      </c>
      <c r="I547" s="68">
        <f>15.7337 * CHOOSE(CONTROL!$C$22, $C$13, 100%, $E$13)</f>
        <v>15.733700000000001</v>
      </c>
      <c r="J547" s="68">
        <f>9.6424 * CHOOSE(CONTROL!$C$22, $C$13, 100%, $E$13)</f>
        <v>9.6424000000000003</v>
      </c>
      <c r="K547" s="68">
        <f>9.6437 * CHOOSE(CONTROL!$C$22, $C$13, 100%, $E$13)</f>
        <v>9.6437000000000008</v>
      </c>
    </row>
    <row r="548" spans="1:11" ht="15">
      <c r="A548" s="13">
        <v>57801</v>
      </c>
      <c r="B548" s="67">
        <f>8.2208 * CHOOSE(CONTROL!$C$22, $C$13, 100%, $E$13)</f>
        <v>8.2208000000000006</v>
      </c>
      <c r="C548" s="67">
        <f>8.2208 * CHOOSE(CONTROL!$C$22, $C$13, 100%, $E$13)</f>
        <v>8.2208000000000006</v>
      </c>
      <c r="D548" s="67">
        <f>8.2218 * CHOOSE(CONTROL!$C$22, $C$13, 100%, $E$13)</f>
        <v>8.2218</v>
      </c>
      <c r="E548" s="68">
        <f>9.7753 * CHOOSE(CONTROL!$C$22, $C$13, 100%, $E$13)</f>
        <v>9.7752999999999997</v>
      </c>
      <c r="F548" s="68">
        <f>9.7753 * CHOOSE(CONTROL!$C$22, $C$13, 100%, $E$13)</f>
        <v>9.7752999999999997</v>
      </c>
      <c r="G548" s="68">
        <f>9.7766 * CHOOSE(CONTROL!$C$22, $C$13, 100%, $E$13)</f>
        <v>9.7766000000000002</v>
      </c>
      <c r="H548" s="68">
        <f>15.7652* CHOOSE(CONTROL!$C$22, $C$13, 100%, $E$13)</f>
        <v>15.7652</v>
      </c>
      <c r="I548" s="68">
        <f>15.7665 * CHOOSE(CONTROL!$C$22, $C$13, 100%, $E$13)</f>
        <v>15.766500000000001</v>
      </c>
      <c r="J548" s="68">
        <f>9.7753 * CHOOSE(CONTROL!$C$22, $C$13, 100%, $E$13)</f>
        <v>9.7752999999999997</v>
      </c>
      <c r="K548" s="68">
        <f>9.7766 * CHOOSE(CONTROL!$C$22, $C$13, 100%, $E$13)</f>
        <v>9.7766000000000002</v>
      </c>
    </row>
    <row r="549" spans="1:11" ht="15">
      <c r="A549" s="13">
        <v>57831</v>
      </c>
      <c r="B549" s="67">
        <f>8.2208 * CHOOSE(CONTROL!$C$22, $C$13, 100%, $E$13)</f>
        <v>8.2208000000000006</v>
      </c>
      <c r="C549" s="67">
        <f>8.2208 * CHOOSE(CONTROL!$C$22, $C$13, 100%, $E$13)</f>
        <v>8.2208000000000006</v>
      </c>
      <c r="D549" s="67">
        <f>8.2234 * CHOOSE(CONTROL!$C$22, $C$13, 100%, $E$13)</f>
        <v>8.2233999999999998</v>
      </c>
      <c r="E549" s="68">
        <f>9.8267 * CHOOSE(CONTROL!$C$22, $C$13, 100%, $E$13)</f>
        <v>9.8267000000000007</v>
      </c>
      <c r="F549" s="68">
        <f>9.8267 * CHOOSE(CONTROL!$C$22, $C$13, 100%, $E$13)</f>
        <v>9.8267000000000007</v>
      </c>
      <c r="G549" s="68">
        <f>9.83 * CHOOSE(CONTROL!$C$22, $C$13, 100%, $E$13)</f>
        <v>9.83</v>
      </c>
      <c r="H549" s="68">
        <f>15.7981* CHOOSE(CONTROL!$C$22, $C$13, 100%, $E$13)</f>
        <v>15.7981</v>
      </c>
      <c r="I549" s="68">
        <f>15.8013 * CHOOSE(CONTROL!$C$22, $C$13, 100%, $E$13)</f>
        <v>15.801299999999999</v>
      </c>
      <c r="J549" s="68">
        <f>9.8267 * CHOOSE(CONTROL!$C$22, $C$13, 100%, $E$13)</f>
        <v>9.8267000000000007</v>
      </c>
      <c r="K549" s="68">
        <f>9.83 * CHOOSE(CONTROL!$C$22, $C$13, 100%, $E$13)</f>
        <v>9.83</v>
      </c>
    </row>
    <row r="550" spans="1:11" ht="15">
      <c r="A550" s="13">
        <v>57862</v>
      </c>
      <c r="B550" s="67">
        <f>8.2269 * CHOOSE(CONTROL!$C$22, $C$13, 100%, $E$13)</f>
        <v>8.2269000000000005</v>
      </c>
      <c r="C550" s="67">
        <f>8.2269 * CHOOSE(CONTROL!$C$22, $C$13, 100%, $E$13)</f>
        <v>8.2269000000000005</v>
      </c>
      <c r="D550" s="67">
        <f>8.2295 * CHOOSE(CONTROL!$C$22, $C$13, 100%, $E$13)</f>
        <v>8.2294999999999998</v>
      </c>
      <c r="E550" s="68">
        <f>9.7795 * CHOOSE(CONTROL!$C$22, $C$13, 100%, $E$13)</f>
        <v>9.7795000000000005</v>
      </c>
      <c r="F550" s="68">
        <f>9.7795 * CHOOSE(CONTROL!$C$22, $C$13, 100%, $E$13)</f>
        <v>9.7795000000000005</v>
      </c>
      <c r="G550" s="68">
        <f>9.7828 * CHOOSE(CONTROL!$C$22, $C$13, 100%, $E$13)</f>
        <v>9.7827999999999999</v>
      </c>
      <c r="H550" s="68">
        <f>15.831* CHOOSE(CONTROL!$C$22, $C$13, 100%, $E$13)</f>
        <v>15.831</v>
      </c>
      <c r="I550" s="68">
        <f>15.8342 * CHOOSE(CONTROL!$C$22, $C$13, 100%, $E$13)</f>
        <v>15.834199999999999</v>
      </c>
      <c r="J550" s="68">
        <f>9.7795 * CHOOSE(CONTROL!$C$22, $C$13, 100%, $E$13)</f>
        <v>9.7795000000000005</v>
      </c>
      <c r="K550" s="68">
        <f>9.7828 * CHOOSE(CONTROL!$C$22, $C$13, 100%, $E$13)</f>
        <v>9.7827999999999999</v>
      </c>
    </row>
    <row r="551" spans="1:11" ht="15">
      <c r="A551" s="13">
        <v>57892</v>
      </c>
      <c r="B551" s="67">
        <f>8.3557 * CHOOSE(CONTROL!$C$22, $C$13, 100%, $E$13)</f>
        <v>8.3557000000000006</v>
      </c>
      <c r="C551" s="67">
        <f>8.3557 * CHOOSE(CONTROL!$C$22, $C$13, 100%, $E$13)</f>
        <v>8.3557000000000006</v>
      </c>
      <c r="D551" s="67">
        <f>8.3583 * CHOOSE(CONTROL!$C$22, $C$13, 100%, $E$13)</f>
        <v>8.3582999999999998</v>
      </c>
      <c r="E551" s="68">
        <f>9.9397 * CHOOSE(CONTROL!$C$22, $C$13, 100%, $E$13)</f>
        <v>9.9397000000000002</v>
      </c>
      <c r="F551" s="68">
        <f>9.9397 * CHOOSE(CONTROL!$C$22, $C$13, 100%, $E$13)</f>
        <v>9.9397000000000002</v>
      </c>
      <c r="G551" s="68">
        <f>9.9429 * CHOOSE(CONTROL!$C$22, $C$13, 100%, $E$13)</f>
        <v>9.9428999999999998</v>
      </c>
      <c r="H551" s="68">
        <f>15.864* CHOOSE(CONTROL!$C$22, $C$13, 100%, $E$13)</f>
        <v>15.864000000000001</v>
      </c>
      <c r="I551" s="68">
        <f>15.8672 * CHOOSE(CONTROL!$C$22, $C$13, 100%, $E$13)</f>
        <v>15.8672</v>
      </c>
      <c r="J551" s="68">
        <f>9.9397 * CHOOSE(CONTROL!$C$22, $C$13, 100%, $E$13)</f>
        <v>9.9397000000000002</v>
      </c>
      <c r="K551" s="68">
        <f>9.9429 * CHOOSE(CONTROL!$C$22, $C$13, 100%, $E$13)</f>
        <v>9.9428999999999998</v>
      </c>
    </row>
    <row r="552" spans="1:11" ht="15">
      <c r="A552" s="13">
        <v>57923</v>
      </c>
      <c r="B552" s="67">
        <f>8.3623 * CHOOSE(CONTROL!$C$22, $C$13, 100%, $E$13)</f>
        <v>8.3622999999999994</v>
      </c>
      <c r="C552" s="67">
        <f>8.3623 * CHOOSE(CONTROL!$C$22, $C$13, 100%, $E$13)</f>
        <v>8.3622999999999994</v>
      </c>
      <c r="D552" s="67">
        <f>8.365 * CHOOSE(CONTROL!$C$22, $C$13, 100%, $E$13)</f>
        <v>8.3650000000000002</v>
      </c>
      <c r="E552" s="68">
        <f>9.7901 * CHOOSE(CONTROL!$C$22, $C$13, 100%, $E$13)</f>
        <v>9.7901000000000007</v>
      </c>
      <c r="F552" s="68">
        <f>9.7901 * CHOOSE(CONTROL!$C$22, $C$13, 100%, $E$13)</f>
        <v>9.7901000000000007</v>
      </c>
      <c r="G552" s="68">
        <f>9.7934 * CHOOSE(CONTROL!$C$22, $C$13, 100%, $E$13)</f>
        <v>9.7934000000000001</v>
      </c>
      <c r="H552" s="68">
        <f>15.897* CHOOSE(CONTROL!$C$22, $C$13, 100%, $E$13)</f>
        <v>15.897</v>
      </c>
      <c r="I552" s="68">
        <f>15.9003 * CHOOSE(CONTROL!$C$22, $C$13, 100%, $E$13)</f>
        <v>15.9003</v>
      </c>
      <c r="J552" s="68">
        <f>9.7901 * CHOOSE(CONTROL!$C$22, $C$13, 100%, $E$13)</f>
        <v>9.7901000000000007</v>
      </c>
      <c r="K552" s="68">
        <f>9.7934 * CHOOSE(CONTROL!$C$22, $C$13, 100%, $E$13)</f>
        <v>9.7934000000000001</v>
      </c>
    </row>
    <row r="553" spans="1:11" ht="15">
      <c r="A553" s="13">
        <v>57954</v>
      </c>
      <c r="B553" s="67">
        <f>8.3593 * CHOOSE(CONTROL!$C$22, $C$13, 100%, $E$13)</f>
        <v>8.3592999999999993</v>
      </c>
      <c r="C553" s="67">
        <f>8.3593 * CHOOSE(CONTROL!$C$22, $C$13, 100%, $E$13)</f>
        <v>8.3592999999999993</v>
      </c>
      <c r="D553" s="67">
        <f>8.3619 * CHOOSE(CONTROL!$C$22, $C$13, 100%, $E$13)</f>
        <v>8.3619000000000003</v>
      </c>
      <c r="E553" s="68">
        <f>9.7709 * CHOOSE(CONTROL!$C$22, $C$13, 100%, $E$13)</f>
        <v>9.7708999999999993</v>
      </c>
      <c r="F553" s="68">
        <f>9.7709 * CHOOSE(CONTROL!$C$22, $C$13, 100%, $E$13)</f>
        <v>9.7708999999999993</v>
      </c>
      <c r="G553" s="68">
        <f>9.7741 * CHOOSE(CONTROL!$C$22, $C$13, 100%, $E$13)</f>
        <v>9.7741000000000007</v>
      </c>
      <c r="H553" s="68">
        <f>15.9301* CHOOSE(CONTROL!$C$22, $C$13, 100%, $E$13)</f>
        <v>15.930099999999999</v>
      </c>
      <c r="I553" s="68">
        <f>15.9334 * CHOOSE(CONTROL!$C$22, $C$13, 100%, $E$13)</f>
        <v>15.933400000000001</v>
      </c>
      <c r="J553" s="68">
        <f>9.7709 * CHOOSE(CONTROL!$C$22, $C$13, 100%, $E$13)</f>
        <v>9.7708999999999993</v>
      </c>
      <c r="K553" s="68">
        <f>9.7741 * CHOOSE(CONTROL!$C$22, $C$13, 100%, $E$13)</f>
        <v>9.7741000000000007</v>
      </c>
    </row>
    <row r="554" spans="1:11" ht="15">
      <c r="A554" s="13">
        <v>57984</v>
      </c>
      <c r="B554" s="67">
        <f>8.3686 * CHOOSE(CONTROL!$C$22, $C$13, 100%, $E$13)</f>
        <v>8.3686000000000007</v>
      </c>
      <c r="C554" s="67">
        <f>8.3686 * CHOOSE(CONTROL!$C$22, $C$13, 100%, $E$13)</f>
        <v>8.3686000000000007</v>
      </c>
      <c r="D554" s="67">
        <f>8.3696 * CHOOSE(CONTROL!$C$22, $C$13, 100%, $E$13)</f>
        <v>8.3696000000000002</v>
      </c>
      <c r="E554" s="68">
        <f>9.826 * CHOOSE(CONTROL!$C$22, $C$13, 100%, $E$13)</f>
        <v>9.8260000000000005</v>
      </c>
      <c r="F554" s="68">
        <f>9.826 * CHOOSE(CONTROL!$C$22, $C$13, 100%, $E$13)</f>
        <v>9.8260000000000005</v>
      </c>
      <c r="G554" s="68">
        <f>9.8273 * CHOOSE(CONTROL!$C$22, $C$13, 100%, $E$13)</f>
        <v>9.8272999999999993</v>
      </c>
      <c r="H554" s="68">
        <f>15.9633* CHOOSE(CONTROL!$C$22, $C$13, 100%, $E$13)</f>
        <v>15.9633</v>
      </c>
      <c r="I554" s="68">
        <f>15.9646 * CHOOSE(CONTROL!$C$22, $C$13, 100%, $E$13)</f>
        <v>15.964600000000001</v>
      </c>
      <c r="J554" s="68">
        <f>9.826 * CHOOSE(CONTROL!$C$22, $C$13, 100%, $E$13)</f>
        <v>9.8260000000000005</v>
      </c>
      <c r="K554" s="68">
        <f>9.8273 * CHOOSE(CONTROL!$C$22, $C$13, 100%, $E$13)</f>
        <v>9.8272999999999993</v>
      </c>
    </row>
    <row r="555" spans="1:11" ht="15">
      <c r="A555" s="13">
        <v>58015</v>
      </c>
      <c r="B555" s="67">
        <f>8.3717 * CHOOSE(CONTROL!$C$22, $C$13, 100%, $E$13)</f>
        <v>8.3717000000000006</v>
      </c>
      <c r="C555" s="67">
        <f>8.3717 * CHOOSE(CONTROL!$C$22, $C$13, 100%, $E$13)</f>
        <v>8.3717000000000006</v>
      </c>
      <c r="D555" s="67">
        <f>8.3727 * CHOOSE(CONTROL!$C$22, $C$13, 100%, $E$13)</f>
        <v>8.3727</v>
      </c>
      <c r="E555" s="68">
        <f>9.8624 * CHOOSE(CONTROL!$C$22, $C$13, 100%, $E$13)</f>
        <v>9.8623999999999992</v>
      </c>
      <c r="F555" s="68">
        <f>9.8624 * CHOOSE(CONTROL!$C$22, $C$13, 100%, $E$13)</f>
        <v>9.8623999999999992</v>
      </c>
      <c r="G555" s="68">
        <f>9.8637 * CHOOSE(CONTROL!$C$22, $C$13, 100%, $E$13)</f>
        <v>9.8636999999999997</v>
      </c>
      <c r="H555" s="68">
        <f>15.9966* CHOOSE(CONTROL!$C$22, $C$13, 100%, $E$13)</f>
        <v>15.996600000000001</v>
      </c>
      <c r="I555" s="68">
        <f>15.9979 * CHOOSE(CONTROL!$C$22, $C$13, 100%, $E$13)</f>
        <v>15.9979</v>
      </c>
      <c r="J555" s="68">
        <f>9.8624 * CHOOSE(CONTROL!$C$22, $C$13, 100%, $E$13)</f>
        <v>9.8623999999999992</v>
      </c>
      <c r="K555" s="68">
        <f>9.8637 * CHOOSE(CONTROL!$C$22, $C$13, 100%, $E$13)</f>
        <v>9.8636999999999997</v>
      </c>
    </row>
    <row r="556" spans="1:11" ht="15">
      <c r="A556" s="13">
        <v>58045</v>
      </c>
      <c r="B556" s="67">
        <f>8.3717 * CHOOSE(CONTROL!$C$22, $C$13, 100%, $E$13)</f>
        <v>8.3717000000000006</v>
      </c>
      <c r="C556" s="67">
        <f>8.3717 * CHOOSE(CONTROL!$C$22, $C$13, 100%, $E$13)</f>
        <v>8.3717000000000006</v>
      </c>
      <c r="D556" s="67">
        <f>8.3727 * CHOOSE(CONTROL!$C$22, $C$13, 100%, $E$13)</f>
        <v>8.3727</v>
      </c>
      <c r="E556" s="68">
        <f>9.7767 * CHOOSE(CONTROL!$C$22, $C$13, 100%, $E$13)</f>
        <v>9.7766999999999999</v>
      </c>
      <c r="F556" s="68">
        <f>9.7767 * CHOOSE(CONTROL!$C$22, $C$13, 100%, $E$13)</f>
        <v>9.7766999999999999</v>
      </c>
      <c r="G556" s="68">
        <f>9.778 * CHOOSE(CONTROL!$C$22, $C$13, 100%, $E$13)</f>
        <v>9.7780000000000005</v>
      </c>
      <c r="H556" s="68">
        <f>16.0299* CHOOSE(CONTROL!$C$22, $C$13, 100%, $E$13)</f>
        <v>16.029900000000001</v>
      </c>
      <c r="I556" s="68">
        <f>16.0312 * CHOOSE(CONTROL!$C$22, $C$13, 100%, $E$13)</f>
        <v>16.031199999999998</v>
      </c>
      <c r="J556" s="68">
        <f>9.7767 * CHOOSE(CONTROL!$C$22, $C$13, 100%, $E$13)</f>
        <v>9.7766999999999999</v>
      </c>
      <c r="K556" s="68">
        <f>9.778 * CHOOSE(CONTROL!$C$22, $C$13, 100%, $E$13)</f>
        <v>9.7780000000000005</v>
      </c>
    </row>
    <row r="557" spans="1:11" ht="15">
      <c r="A557" s="13">
        <v>58076</v>
      </c>
      <c r="B557" s="67">
        <f>8.4433 * CHOOSE(CONTROL!$C$22, $C$13, 100%, $E$13)</f>
        <v>8.4433000000000007</v>
      </c>
      <c r="C557" s="67">
        <f>8.4433 * CHOOSE(CONTROL!$C$22, $C$13, 100%, $E$13)</f>
        <v>8.4433000000000007</v>
      </c>
      <c r="D557" s="67">
        <f>8.4443 * CHOOSE(CONTROL!$C$22, $C$13, 100%, $E$13)</f>
        <v>8.4443000000000001</v>
      </c>
      <c r="E557" s="68">
        <f>9.9178 * CHOOSE(CONTROL!$C$22, $C$13, 100%, $E$13)</f>
        <v>9.9177999999999997</v>
      </c>
      <c r="F557" s="68">
        <f>9.9178 * CHOOSE(CONTROL!$C$22, $C$13, 100%, $E$13)</f>
        <v>9.9177999999999997</v>
      </c>
      <c r="G557" s="68">
        <f>9.919 * CHOOSE(CONTROL!$C$22, $C$13, 100%, $E$13)</f>
        <v>9.9190000000000005</v>
      </c>
      <c r="H557" s="68">
        <f>16.0633* CHOOSE(CONTROL!$C$22, $C$13, 100%, $E$13)</f>
        <v>16.063300000000002</v>
      </c>
      <c r="I557" s="68">
        <f>16.0646 * CHOOSE(CONTROL!$C$22, $C$13, 100%, $E$13)</f>
        <v>16.064599999999999</v>
      </c>
      <c r="J557" s="68">
        <f>9.9178 * CHOOSE(CONTROL!$C$22, $C$13, 100%, $E$13)</f>
        <v>9.9177999999999997</v>
      </c>
      <c r="K557" s="68">
        <f>9.919 * CHOOSE(CONTROL!$C$22, $C$13, 100%, $E$13)</f>
        <v>9.9190000000000005</v>
      </c>
    </row>
    <row r="558" spans="1:11" ht="15">
      <c r="A558" s="13">
        <v>58107</v>
      </c>
      <c r="B558" s="67">
        <f>8.4402 * CHOOSE(CONTROL!$C$22, $C$13, 100%, $E$13)</f>
        <v>8.4402000000000008</v>
      </c>
      <c r="C558" s="67">
        <f>8.4402 * CHOOSE(CONTROL!$C$22, $C$13, 100%, $E$13)</f>
        <v>8.4402000000000008</v>
      </c>
      <c r="D558" s="67">
        <f>8.4412 * CHOOSE(CONTROL!$C$22, $C$13, 100%, $E$13)</f>
        <v>8.4412000000000003</v>
      </c>
      <c r="E558" s="68">
        <f>9.7492 * CHOOSE(CONTROL!$C$22, $C$13, 100%, $E$13)</f>
        <v>9.7492000000000001</v>
      </c>
      <c r="F558" s="68">
        <f>9.7492 * CHOOSE(CONTROL!$C$22, $C$13, 100%, $E$13)</f>
        <v>9.7492000000000001</v>
      </c>
      <c r="G558" s="68">
        <f>9.7504 * CHOOSE(CONTROL!$C$22, $C$13, 100%, $E$13)</f>
        <v>9.7504000000000008</v>
      </c>
      <c r="H558" s="68">
        <f>16.0968* CHOOSE(CONTROL!$C$22, $C$13, 100%, $E$13)</f>
        <v>16.096800000000002</v>
      </c>
      <c r="I558" s="68">
        <f>16.098 * CHOOSE(CONTROL!$C$22, $C$13, 100%, $E$13)</f>
        <v>16.097999999999999</v>
      </c>
      <c r="J558" s="68">
        <f>9.7492 * CHOOSE(CONTROL!$C$22, $C$13, 100%, $E$13)</f>
        <v>9.7492000000000001</v>
      </c>
      <c r="K558" s="68">
        <f>9.7504 * CHOOSE(CONTROL!$C$22, $C$13, 100%, $E$13)</f>
        <v>9.7504000000000008</v>
      </c>
    </row>
    <row r="559" spans="1:11" ht="15">
      <c r="A559" s="13">
        <v>58135</v>
      </c>
      <c r="B559" s="67">
        <f>8.4372 * CHOOSE(CONTROL!$C$22, $C$13, 100%, $E$13)</f>
        <v>8.4372000000000007</v>
      </c>
      <c r="C559" s="67">
        <f>8.4372 * CHOOSE(CONTROL!$C$22, $C$13, 100%, $E$13)</f>
        <v>8.4372000000000007</v>
      </c>
      <c r="D559" s="67">
        <f>8.4382 * CHOOSE(CONTROL!$C$22, $C$13, 100%, $E$13)</f>
        <v>8.4382000000000001</v>
      </c>
      <c r="E559" s="68">
        <f>9.8783 * CHOOSE(CONTROL!$C$22, $C$13, 100%, $E$13)</f>
        <v>9.8782999999999994</v>
      </c>
      <c r="F559" s="68">
        <f>9.8783 * CHOOSE(CONTROL!$C$22, $C$13, 100%, $E$13)</f>
        <v>9.8782999999999994</v>
      </c>
      <c r="G559" s="68">
        <f>9.8796 * CHOOSE(CONTROL!$C$22, $C$13, 100%, $E$13)</f>
        <v>9.8795999999999999</v>
      </c>
      <c r="H559" s="68">
        <f>16.1303* CHOOSE(CONTROL!$C$22, $C$13, 100%, $E$13)</f>
        <v>16.130299999999998</v>
      </c>
      <c r="I559" s="68">
        <f>16.1316 * CHOOSE(CONTROL!$C$22, $C$13, 100%, $E$13)</f>
        <v>16.131599999999999</v>
      </c>
      <c r="J559" s="68">
        <f>9.8783 * CHOOSE(CONTROL!$C$22, $C$13, 100%, $E$13)</f>
        <v>9.8782999999999994</v>
      </c>
      <c r="K559" s="68">
        <f>9.8796 * CHOOSE(CONTROL!$C$22, $C$13, 100%, $E$13)</f>
        <v>9.8795999999999999</v>
      </c>
    </row>
    <row r="560" spans="1:11" ht="15">
      <c r="A560" s="13">
        <v>58166</v>
      </c>
      <c r="B560" s="67">
        <f>8.4386 * CHOOSE(CONTROL!$C$22, $C$13, 100%, $E$13)</f>
        <v>8.4385999999999992</v>
      </c>
      <c r="C560" s="67">
        <f>8.4386 * CHOOSE(CONTROL!$C$22, $C$13, 100%, $E$13)</f>
        <v>8.4385999999999992</v>
      </c>
      <c r="D560" s="67">
        <f>8.4396 * CHOOSE(CONTROL!$C$22, $C$13, 100%, $E$13)</f>
        <v>8.4396000000000004</v>
      </c>
      <c r="E560" s="68">
        <f>10.015 * CHOOSE(CONTROL!$C$22, $C$13, 100%, $E$13)</f>
        <v>10.015000000000001</v>
      </c>
      <c r="F560" s="68">
        <f>10.015 * CHOOSE(CONTROL!$C$22, $C$13, 100%, $E$13)</f>
        <v>10.015000000000001</v>
      </c>
      <c r="G560" s="68">
        <f>10.0163 * CHOOSE(CONTROL!$C$22, $C$13, 100%, $E$13)</f>
        <v>10.016299999999999</v>
      </c>
      <c r="H560" s="68">
        <f>16.1639* CHOOSE(CONTROL!$C$22, $C$13, 100%, $E$13)</f>
        <v>16.163900000000002</v>
      </c>
      <c r="I560" s="68">
        <f>16.1652 * CHOOSE(CONTROL!$C$22, $C$13, 100%, $E$13)</f>
        <v>16.165199999999999</v>
      </c>
      <c r="J560" s="68">
        <f>10.015 * CHOOSE(CONTROL!$C$22, $C$13, 100%, $E$13)</f>
        <v>10.015000000000001</v>
      </c>
      <c r="K560" s="68">
        <f>10.0163 * CHOOSE(CONTROL!$C$22, $C$13, 100%, $E$13)</f>
        <v>10.016299999999999</v>
      </c>
    </row>
    <row r="561" spans="1:11" ht="15">
      <c r="A561" s="13">
        <v>58196</v>
      </c>
      <c r="B561" s="67">
        <f>8.4386 * CHOOSE(CONTROL!$C$22, $C$13, 100%, $E$13)</f>
        <v>8.4385999999999992</v>
      </c>
      <c r="C561" s="67">
        <f>8.4386 * CHOOSE(CONTROL!$C$22, $C$13, 100%, $E$13)</f>
        <v>8.4385999999999992</v>
      </c>
      <c r="D561" s="67">
        <f>8.4412 * CHOOSE(CONTROL!$C$22, $C$13, 100%, $E$13)</f>
        <v>8.4412000000000003</v>
      </c>
      <c r="E561" s="68">
        <f>10.0679 * CHOOSE(CONTROL!$C$22, $C$13, 100%, $E$13)</f>
        <v>10.0679</v>
      </c>
      <c r="F561" s="68">
        <f>10.0679 * CHOOSE(CONTROL!$C$22, $C$13, 100%, $E$13)</f>
        <v>10.0679</v>
      </c>
      <c r="G561" s="68">
        <f>10.0711 * CHOOSE(CONTROL!$C$22, $C$13, 100%, $E$13)</f>
        <v>10.071099999999999</v>
      </c>
      <c r="H561" s="68">
        <f>16.1976* CHOOSE(CONTROL!$C$22, $C$13, 100%, $E$13)</f>
        <v>16.197600000000001</v>
      </c>
      <c r="I561" s="68">
        <f>16.2008 * CHOOSE(CONTROL!$C$22, $C$13, 100%, $E$13)</f>
        <v>16.200800000000001</v>
      </c>
      <c r="J561" s="68">
        <f>10.0679 * CHOOSE(CONTROL!$C$22, $C$13, 100%, $E$13)</f>
        <v>10.0679</v>
      </c>
      <c r="K561" s="68">
        <f>10.0711 * CHOOSE(CONTROL!$C$22, $C$13, 100%, $E$13)</f>
        <v>10.071099999999999</v>
      </c>
    </row>
    <row r="562" spans="1:11" ht="15">
      <c r="A562" s="13">
        <v>58227</v>
      </c>
      <c r="B562" s="67">
        <f>8.4447 * CHOOSE(CONTROL!$C$22, $C$13, 100%, $E$13)</f>
        <v>8.4446999999999992</v>
      </c>
      <c r="C562" s="67">
        <f>8.4447 * CHOOSE(CONTROL!$C$22, $C$13, 100%, $E$13)</f>
        <v>8.4446999999999992</v>
      </c>
      <c r="D562" s="67">
        <f>8.4473 * CHOOSE(CONTROL!$C$22, $C$13, 100%, $E$13)</f>
        <v>8.4473000000000003</v>
      </c>
      <c r="E562" s="68">
        <f>10.0192 * CHOOSE(CONTROL!$C$22, $C$13, 100%, $E$13)</f>
        <v>10.0192</v>
      </c>
      <c r="F562" s="68">
        <f>10.0192 * CHOOSE(CONTROL!$C$22, $C$13, 100%, $E$13)</f>
        <v>10.0192</v>
      </c>
      <c r="G562" s="68">
        <f>10.0225 * CHOOSE(CONTROL!$C$22, $C$13, 100%, $E$13)</f>
        <v>10.022500000000001</v>
      </c>
      <c r="H562" s="68">
        <f>16.2313* CHOOSE(CONTROL!$C$22, $C$13, 100%, $E$13)</f>
        <v>16.231300000000001</v>
      </c>
      <c r="I562" s="68">
        <f>16.2346 * CHOOSE(CONTROL!$C$22, $C$13, 100%, $E$13)</f>
        <v>16.2346</v>
      </c>
      <c r="J562" s="68">
        <f>10.0192 * CHOOSE(CONTROL!$C$22, $C$13, 100%, $E$13)</f>
        <v>10.0192</v>
      </c>
      <c r="K562" s="68">
        <f>10.0225 * CHOOSE(CONTROL!$C$22, $C$13, 100%, $E$13)</f>
        <v>10.022500000000001</v>
      </c>
    </row>
    <row r="563" spans="1:11" ht="15">
      <c r="A563" s="13">
        <v>58257</v>
      </c>
      <c r="B563" s="67">
        <f>8.5766 * CHOOSE(CONTROL!$C$22, $C$13, 100%, $E$13)</f>
        <v>8.5765999999999991</v>
      </c>
      <c r="C563" s="67">
        <f>8.5766 * CHOOSE(CONTROL!$C$22, $C$13, 100%, $E$13)</f>
        <v>8.5765999999999991</v>
      </c>
      <c r="D563" s="67">
        <f>8.5793 * CHOOSE(CONTROL!$C$22, $C$13, 100%, $E$13)</f>
        <v>8.5792999999999999</v>
      </c>
      <c r="E563" s="68">
        <f>10.183 * CHOOSE(CONTROL!$C$22, $C$13, 100%, $E$13)</f>
        <v>10.183</v>
      </c>
      <c r="F563" s="68">
        <f>10.183 * CHOOSE(CONTROL!$C$22, $C$13, 100%, $E$13)</f>
        <v>10.183</v>
      </c>
      <c r="G563" s="68">
        <f>10.1863 * CHOOSE(CONTROL!$C$22, $C$13, 100%, $E$13)</f>
        <v>10.186299999999999</v>
      </c>
      <c r="H563" s="68">
        <f>16.2651* CHOOSE(CONTROL!$C$22, $C$13, 100%, $E$13)</f>
        <v>16.2651</v>
      </c>
      <c r="I563" s="68">
        <f>16.2684 * CHOOSE(CONTROL!$C$22, $C$13, 100%, $E$13)</f>
        <v>16.2684</v>
      </c>
      <c r="J563" s="68">
        <f>10.183 * CHOOSE(CONTROL!$C$22, $C$13, 100%, $E$13)</f>
        <v>10.183</v>
      </c>
      <c r="K563" s="68">
        <f>10.1863 * CHOOSE(CONTROL!$C$22, $C$13, 100%, $E$13)</f>
        <v>10.186299999999999</v>
      </c>
    </row>
    <row r="564" spans="1:11" ht="15">
      <c r="A564" s="13">
        <v>58288</v>
      </c>
      <c r="B564" s="67">
        <f>8.5833 * CHOOSE(CONTROL!$C$22, $C$13, 100%, $E$13)</f>
        <v>8.5832999999999995</v>
      </c>
      <c r="C564" s="67">
        <f>8.5833 * CHOOSE(CONTROL!$C$22, $C$13, 100%, $E$13)</f>
        <v>8.5832999999999995</v>
      </c>
      <c r="D564" s="67">
        <f>8.5859 * CHOOSE(CONTROL!$C$22, $C$13, 100%, $E$13)</f>
        <v>8.5859000000000005</v>
      </c>
      <c r="E564" s="68">
        <f>10.0291 * CHOOSE(CONTROL!$C$22, $C$13, 100%, $E$13)</f>
        <v>10.0291</v>
      </c>
      <c r="F564" s="68">
        <f>10.0291 * CHOOSE(CONTROL!$C$22, $C$13, 100%, $E$13)</f>
        <v>10.0291</v>
      </c>
      <c r="G564" s="68">
        <f>10.0324 * CHOOSE(CONTROL!$C$22, $C$13, 100%, $E$13)</f>
        <v>10.032400000000001</v>
      </c>
      <c r="H564" s="68">
        <f>16.299* CHOOSE(CONTROL!$C$22, $C$13, 100%, $E$13)</f>
        <v>16.298999999999999</v>
      </c>
      <c r="I564" s="68">
        <f>16.3023 * CHOOSE(CONTROL!$C$22, $C$13, 100%, $E$13)</f>
        <v>16.302299999999999</v>
      </c>
      <c r="J564" s="68">
        <f>10.0291 * CHOOSE(CONTROL!$C$22, $C$13, 100%, $E$13)</f>
        <v>10.0291</v>
      </c>
      <c r="K564" s="68">
        <f>10.0324 * CHOOSE(CONTROL!$C$22, $C$13, 100%, $E$13)</f>
        <v>10.032400000000001</v>
      </c>
    </row>
    <row r="565" spans="1:11" ht="15">
      <c r="A565" s="13">
        <v>58319</v>
      </c>
      <c r="B565" s="67">
        <f>8.5803 * CHOOSE(CONTROL!$C$22, $C$13, 100%, $E$13)</f>
        <v>8.5802999999999994</v>
      </c>
      <c r="C565" s="67">
        <f>8.5803 * CHOOSE(CONTROL!$C$22, $C$13, 100%, $E$13)</f>
        <v>8.5802999999999994</v>
      </c>
      <c r="D565" s="67">
        <f>8.5829 * CHOOSE(CONTROL!$C$22, $C$13, 100%, $E$13)</f>
        <v>8.5829000000000004</v>
      </c>
      <c r="E565" s="68">
        <f>10.0094 * CHOOSE(CONTROL!$C$22, $C$13, 100%, $E$13)</f>
        <v>10.009399999999999</v>
      </c>
      <c r="F565" s="68">
        <f>10.0094 * CHOOSE(CONTROL!$C$22, $C$13, 100%, $E$13)</f>
        <v>10.009399999999999</v>
      </c>
      <c r="G565" s="68">
        <f>10.0127 * CHOOSE(CONTROL!$C$22, $C$13, 100%, $E$13)</f>
        <v>10.012700000000001</v>
      </c>
      <c r="H565" s="68">
        <f>16.333* CHOOSE(CONTROL!$C$22, $C$13, 100%, $E$13)</f>
        <v>16.332999999999998</v>
      </c>
      <c r="I565" s="68">
        <f>16.3362 * CHOOSE(CONTROL!$C$22, $C$13, 100%, $E$13)</f>
        <v>16.336200000000002</v>
      </c>
      <c r="J565" s="68">
        <f>10.0094 * CHOOSE(CONTROL!$C$22, $C$13, 100%, $E$13)</f>
        <v>10.009399999999999</v>
      </c>
      <c r="K565" s="68">
        <f>10.0127 * CHOOSE(CONTROL!$C$22, $C$13, 100%, $E$13)</f>
        <v>10.012700000000001</v>
      </c>
    </row>
    <row r="566" spans="1:11" ht="15">
      <c r="A566" s="13">
        <v>58349</v>
      </c>
      <c r="B566" s="67">
        <f>8.5903 * CHOOSE(CONTROL!$C$22, $C$13, 100%, $E$13)</f>
        <v>8.5902999999999992</v>
      </c>
      <c r="C566" s="67">
        <f>8.5903 * CHOOSE(CONTROL!$C$22, $C$13, 100%, $E$13)</f>
        <v>8.5902999999999992</v>
      </c>
      <c r="D566" s="67">
        <f>8.5913 * CHOOSE(CONTROL!$C$22, $C$13, 100%, $E$13)</f>
        <v>8.5913000000000004</v>
      </c>
      <c r="E566" s="68">
        <f>10.0665 * CHOOSE(CONTROL!$C$22, $C$13, 100%, $E$13)</f>
        <v>10.0665</v>
      </c>
      <c r="F566" s="68">
        <f>10.0665 * CHOOSE(CONTROL!$C$22, $C$13, 100%, $E$13)</f>
        <v>10.0665</v>
      </c>
      <c r="G566" s="68">
        <f>10.0677 * CHOOSE(CONTROL!$C$22, $C$13, 100%, $E$13)</f>
        <v>10.0677</v>
      </c>
      <c r="H566" s="68">
        <f>16.367* CHOOSE(CONTROL!$C$22, $C$13, 100%, $E$13)</f>
        <v>16.367000000000001</v>
      </c>
      <c r="I566" s="68">
        <f>16.3683 * CHOOSE(CONTROL!$C$22, $C$13, 100%, $E$13)</f>
        <v>16.368300000000001</v>
      </c>
      <c r="J566" s="68">
        <f>10.0665 * CHOOSE(CONTROL!$C$22, $C$13, 100%, $E$13)</f>
        <v>10.0665</v>
      </c>
      <c r="K566" s="68">
        <f>10.0677 * CHOOSE(CONTROL!$C$22, $C$13, 100%, $E$13)</f>
        <v>10.0677</v>
      </c>
    </row>
    <row r="567" spans="1:11" ht="15">
      <c r="A567" s="13">
        <v>58380</v>
      </c>
      <c r="B567" s="67">
        <f>8.5934 * CHOOSE(CONTROL!$C$22, $C$13, 100%, $E$13)</f>
        <v>8.5934000000000008</v>
      </c>
      <c r="C567" s="67">
        <f>8.5934 * CHOOSE(CONTROL!$C$22, $C$13, 100%, $E$13)</f>
        <v>8.5934000000000008</v>
      </c>
      <c r="D567" s="67">
        <f>8.5943 * CHOOSE(CONTROL!$C$22, $C$13, 100%, $E$13)</f>
        <v>8.5943000000000005</v>
      </c>
      <c r="E567" s="68">
        <f>10.1038 * CHOOSE(CONTROL!$C$22, $C$13, 100%, $E$13)</f>
        <v>10.1038</v>
      </c>
      <c r="F567" s="68">
        <f>10.1038 * CHOOSE(CONTROL!$C$22, $C$13, 100%, $E$13)</f>
        <v>10.1038</v>
      </c>
      <c r="G567" s="68">
        <f>10.1051 * CHOOSE(CONTROL!$C$22, $C$13, 100%, $E$13)</f>
        <v>10.1051</v>
      </c>
      <c r="H567" s="68">
        <f>16.4011* CHOOSE(CONTROL!$C$22, $C$13, 100%, $E$13)</f>
        <v>16.4011</v>
      </c>
      <c r="I567" s="68">
        <f>16.4024 * CHOOSE(CONTROL!$C$22, $C$13, 100%, $E$13)</f>
        <v>16.4024</v>
      </c>
      <c r="J567" s="68">
        <f>10.1038 * CHOOSE(CONTROL!$C$22, $C$13, 100%, $E$13)</f>
        <v>10.1038</v>
      </c>
      <c r="K567" s="68">
        <f>10.1051 * CHOOSE(CONTROL!$C$22, $C$13, 100%, $E$13)</f>
        <v>10.1051</v>
      </c>
    </row>
    <row r="568" spans="1:11" ht="15">
      <c r="A568" s="13">
        <v>58410</v>
      </c>
      <c r="B568" s="67">
        <f>8.5934 * CHOOSE(CONTROL!$C$22, $C$13, 100%, $E$13)</f>
        <v>8.5934000000000008</v>
      </c>
      <c r="C568" s="67">
        <f>8.5934 * CHOOSE(CONTROL!$C$22, $C$13, 100%, $E$13)</f>
        <v>8.5934000000000008</v>
      </c>
      <c r="D568" s="67">
        <f>8.5943 * CHOOSE(CONTROL!$C$22, $C$13, 100%, $E$13)</f>
        <v>8.5943000000000005</v>
      </c>
      <c r="E568" s="68">
        <f>10.0157 * CHOOSE(CONTROL!$C$22, $C$13, 100%, $E$13)</f>
        <v>10.015700000000001</v>
      </c>
      <c r="F568" s="68">
        <f>10.0157 * CHOOSE(CONTROL!$C$22, $C$13, 100%, $E$13)</f>
        <v>10.015700000000001</v>
      </c>
      <c r="G568" s="68">
        <f>10.017 * CHOOSE(CONTROL!$C$22, $C$13, 100%, $E$13)</f>
        <v>10.016999999999999</v>
      </c>
      <c r="H568" s="68">
        <f>16.4353* CHOOSE(CONTROL!$C$22, $C$13, 100%, $E$13)</f>
        <v>16.435300000000002</v>
      </c>
      <c r="I568" s="68">
        <f>16.4366 * CHOOSE(CONTROL!$C$22, $C$13, 100%, $E$13)</f>
        <v>16.436599999999999</v>
      </c>
      <c r="J568" s="68">
        <f>10.0157 * CHOOSE(CONTROL!$C$22, $C$13, 100%, $E$13)</f>
        <v>10.015700000000001</v>
      </c>
      <c r="K568" s="68">
        <f>10.017 * CHOOSE(CONTROL!$C$22, $C$13, 100%, $E$13)</f>
        <v>10.016999999999999</v>
      </c>
    </row>
    <row r="569" spans="1:11" ht="15">
      <c r="A569" s="13">
        <v>58441</v>
      </c>
      <c r="B569" s="67">
        <f>8.6667 * CHOOSE(CONTROL!$C$22, $C$13, 100%, $E$13)</f>
        <v>8.6667000000000005</v>
      </c>
      <c r="C569" s="67">
        <f>8.6667 * CHOOSE(CONTROL!$C$22, $C$13, 100%, $E$13)</f>
        <v>8.6667000000000005</v>
      </c>
      <c r="D569" s="67">
        <f>8.6677 * CHOOSE(CONTROL!$C$22, $C$13, 100%, $E$13)</f>
        <v>8.6677</v>
      </c>
      <c r="E569" s="68">
        <f>10.1604 * CHOOSE(CONTROL!$C$22, $C$13, 100%, $E$13)</f>
        <v>10.160399999999999</v>
      </c>
      <c r="F569" s="68">
        <f>10.1604 * CHOOSE(CONTROL!$C$22, $C$13, 100%, $E$13)</f>
        <v>10.160399999999999</v>
      </c>
      <c r="G569" s="68">
        <f>10.1617 * CHOOSE(CONTROL!$C$22, $C$13, 100%, $E$13)</f>
        <v>10.1617</v>
      </c>
      <c r="H569" s="68">
        <f>16.4695* CHOOSE(CONTROL!$C$22, $C$13, 100%, $E$13)</f>
        <v>16.4695</v>
      </c>
      <c r="I569" s="68">
        <f>16.4708 * CHOOSE(CONTROL!$C$22, $C$13, 100%, $E$13)</f>
        <v>16.470800000000001</v>
      </c>
      <c r="J569" s="68">
        <f>10.1604 * CHOOSE(CONTROL!$C$22, $C$13, 100%, $E$13)</f>
        <v>10.160399999999999</v>
      </c>
      <c r="K569" s="68">
        <f>10.1617 * CHOOSE(CONTROL!$C$22, $C$13, 100%, $E$13)</f>
        <v>10.1617</v>
      </c>
    </row>
    <row r="570" spans="1:11" ht="15">
      <c r="A570" s="13">
        <v>58472</v>
      </c>
      <c r="B570" s="67">
        <f>8.6637 * CHOOSE(CONTROL!$C$22, $C$13, 100%, $E$13)</f>
        <v>8.6637000000000004</v>
      </c>
      <c r="C570" s="67">
        <f>8.6637 * CHOOSE(CONTROL!$C$22, $C$13, 100%, $E$13)</f>
        <v>8.6637000000000004</v>
      </c>
      <c r="D570" s="67">
        <f>8.6647 * CHOOSE(CONTROL!$C$22, $C$13, 100%, $E$13)</f>
        <v>8.6646999999999998</v>
      </c>
      <c r="E570" s="68">
        <f>9.9871 * CHOOSE(CONTROL!$C$22, $C$13, 100%, $E$13)</f>
        <v>9.9870999999999999</v>
      </c>
      <c r="F570" s="68">
        <f>9.9871 * CHOOSE(CONTROL!$C$22, $C$13, 100%, $E$13)</f>
        <v>9.9870999999999999</v>
      </c>
      <c r="G570" s="68">
        <f>9.9884 * CHOOSE(CONTROL!$C$22, $C$13, 100%, $E$13)</f>
        <v>9.9884000000000004</v>
      </c>
      <c r="H570" s="68">
        <f>16.5038* CHOOSE(CONTROL!$C$22, $C$13, 100%, $E$13)</f>
        <v>16.503799999999998</v>
      </c>
      <c r="I570" s="68">
        <f>16.5051 * CHOOSE(CONTROL!$C$22, $C$13, 100%, $E$13)</f>
        <v>16.505099999999999</v>
      </c>
      <c r="J570" s="68">
        <f>9.9871 * CHOOSE(CONTROL!$C$22, $C$13, 100%, $E$13)</f>
        <v>9.9870999999999999</v>
      </c>
      <c r="K570" s="68">
        <f>9.9884 * CHOOSE(CONTROL!$C$22, $C$13, 100%, $E$13)</f>
        <v>9.9884000000000004</v>
      </c>
    </row>
    <row r="571" spans="1:11" ht="15">
      <c r="A571" s="13">
        <v>58501</v>
      </c>
      <c r="B571" s="67">
        <f>8.6607 * CHOOSE(CONTROL!$C$22, $C$13, 100%, $E$13)</f>
        <v>8.6607000000000003</v>
      </c>
      <c r="C571" s="67">
        <f>8.6607 * CHOOSE(CONTROL!$C$22, $C$13, 100%, $E$13)</f>
        <v>8.6607000000000003</v>
      </c>
      <c r="D571" s="67">
        <f>8.6616 * CHOOSE(CONTROL!$C$22, $C$13, 100%, $E$13)</f>
        <v>8.6616</v>
      </c>
      <c r="E571" s="68">
        <f>10.1199 * CHOOSE(CONTROL!$C$22, $C$13, 100%, $E$13)</f>
        <v>10.119899999999999</v>
      </c>
      <c r="F571" s="68">
        <f>10.1199 * CHOOSE(CONTROL!$C$22, $C$13, 100%, $E$13)</f>
        <v>10.119899999999999</v>
      </c>
      <c r="G571" s="68">
        <f>10.1212 * CHOOSE(CONTROL!$C$22, $C$13, 100%, $E$13)</f>
        <v>10.1212</v>
      </c>
      <c r="H571" s="68">
        <f>16.5382* CHOOSE(CONTROL!$C$22, $C$13, 100%, $E$13)</f>
        <v>16.5382</v>
      </c>
      <c r="I571" s="68">
        <f>16.5395 * CHOOSE(CONTROL!$C$22, $C$13, 100%, $E$13)</f>
        <v>16.5395</v>
      </c>
      <c r="J571" s="68">
        <f>10.1199 * CHOOSE(CONTROL!$C$22, $C$13, 100%, $E$13)</f>
        <v>10.119899999999999</v>
      </c>
      <c r="K571" s="68">
        <f>10.1212 * CHOOSE(CONTROL!$C$22, $C$13, 100%, $E$13)</f>
        <v>10.1212</v>
      </c>
    </row>
    <row r="572" spans="1:11" ht="15">
      <c r="A572" s="13">
        <v>58532</v>
      </c>
      <c r="B572" s="67">
        <f>8.6623 * CHOOSE(CONTROL!$C$22, $C$13, 100%, $E$13)</f>
        <v>8.6623000000000001</v>
      </c>
      <c r="C572" s="67">
        <f>8.6623 * CHOOSE(CONTROL!$C$22, $C$13, 100%, $E$13)</f>
        <v>8.6623000000000001</v>
      </c>
      <c r="D572" s="67">
        <f>8.6633 * CHOOSE(CONTROL!$C$22, $C$13, 100%, $E$13)</f>
        <v>8.6632999999999996</v>
      </c>
      <c r="E572" s="68">
        <f>10.2606 * CHOOSE(CONTROL!$C$22, $C$13, 100%, $E$13)</f>
        <v>10.2606</v>
      </c>
      <c r="F572" s="68">
        <f>10.2606 * CHOOSE(CONTROL!$C$22, $C$13, 100%, $E$13)</f>
        <v>10.2606</v>
      </c>
      <c r="G572" s="68">
        <f>10.2619 * CHOOSE(CONTROL!$C$22, $C$13, 100%, $E$13)</f>
        <v>10.261900000000001</v>
      </c>
      <c r="H572" s="68">
        <f>16.5727* CHOOSE(CONTROL!$C$22, $C$13, 100%, $E$13)</f>
        <v>16.572700000000001</v>
      </c>
      <c r="I572" s="68">
        <f>16.5739 * CHOOSE(CONTROL!$C$22, $C$13, 100%, $E$13)</f>
        <v>16.573899999999998</v>
      </c>
      <c r="J572" s="68">
        <f>10.2606 * CHOOSE(CONTROL!$C$22, $C$13, 100%, $E$13)</f>
        <v>10.2606</v>
      </c>
      <c r="K572" s="68">
        <f>10.2619 * CHOOSE(CONTROL!$C$22, $C$13, 100%, $E$13)</f>
        <v>10.261900000000001</v>
      </c>
    </row>
    <row r="573" spans="1:11" ht="15">
      <c r="A573" s="13">
        <v>58562</v>
      </c>
      <c r="B573" s="67">
        <f>8.6623 * CHOOSE(CONTROL!$C$22, $C$13, 100%, $E$13)</f>
        <v>8.6623000000000001</v>
      </c>
      <c r="C573" s="67">
        <f>8.6623 * CHOOSE(CONTROL!$C$22, $C$13, 100%, $E$13)</f>
        <v>8.6623000000000001</v>
      </c>
      <c r="D573" s="67">
        <f>8.6649 * CHOOSE(CONTROL!$C$22, $C$13, 100%, $E$13)</f>
        <v>8.6648999999999994</v>
      </c>
      <c r="E573" s="68">
        <f>10.315 * CHOOSE(CONTROL!$C$22, $C$13, 100%, $E$13)</f>
        <v>10.315</v>
      </c>
      <c r="F573" s="68">
        <f>10.315 * CHOOSE(CONTROL!$C$22, $C$13, 100%, $E$13)</f>
        <v>10.315</v>
      </c>
      <c r="G573" s="68">
        <f>10.3182 * CHOOSE(CONTROL!$C$22, $C$13, 100%, $E$13)</f>
        <v>10.318199999999999</v>
      </c>
      <c r="H573" s="68">
        <f>16.6072* CHOOSE(CONTROL!$C$22, $C$13, 100%, $E$13)</f>
        <v>16.607199999999999</v>
      </c>
      <c r="I573" s="68">
        <f>16.6104 * CHOOSE(CONTROL!$C$22, $C$13, 100%, $E$13)</f>
        <v>16.610399999999998</v>
      </c>
      <c r="J573" s="68">
        <f>10.315 * CHOOSE(CONTROL!$C$22, $C$13, 100%, $E$13)</f>
        <v>10.315</v>
      </c>
      <c r="K573" s="68">
        <f>10.3182 * CHOOSE(CONTROL!$C$22, $C$13, 100%, $E$13)</f>
        <v>10.318199999999999</v>
      </c>
    </row>
    <row r="574" spans="1:11" ht="15">
      <c r="A574" s="13">
        <v>58593</v>
      </c>
      <c r="B574" s="67">
        <f>8.6684 * CHOOSE(CONTROL!$C$22, $C$13, 100%, $E$13)</f>
        <v>8.6684000000000001</v>
      </c>
      <c r="C574" s="67">
        <f>8.6684 * CHOOSE(CONTROL!$C$22, $C$13, 100%, $E$13)</f>
        <v>8.6684000000000001</v>
      </c>
      <c r="D574" s="67">
        <f>8.671 * CHOOSE(CONTROL!$C$22, $C$13, 100%, $E$13)</f>
        <v>8.6709999999999994</v>
      </c>
      <c r="E574" s="68">
        <f>10.2649 * CHOOSE(CONTROL!$C$22, $C$13, 100%, $E$13)</f>
        <v>10.264900000000001</v>
      </c>
      <c r="F574" s="68">
        <f>10.2649 * CHOOSE(CONTROL!$C$22, $C$13, 100%, $E$13)</f>
        <v>10.264900000000001</v>
      </c>
      <c r="G574" s="68">
        <f>10.2681 * CHOOSE(CONTROL!$C$22, $C$13, 100%, $E$13)</f>
        <v>10.2681</v>
      </c>
      <c r="H574" s="68">
        <f>16.6418* CHOOSE(CONTROL!$C$22, $C$13, 100%, $E$13)</f>
        <v>16.6418</v>
      </c>
      <c r="I574" s="68">
        <f>16.645 * CHOOSE(CONTROL!$C$22, $C$13, 100%, $E$13)</f>
        <v>16.645</v>
      </c>
      <c r="J574" s="68">
        <f>10.2649 * CHOOSE(CONTROL!$C$22, $C$13, 100%, $E$13)</f>
        <v>10.264900000000001</v>
      </c>
      <c r="K574" s="68">
        <f>10.2681 * CHOOSE(CONTROL!$C$22, $C$13, 100%, $E$13)</f>
        <v>10.2681</v>
      </c>
    </row>
    <row r="575" spans="1:11" ht="15">
      <c r="A575" s="13">
        <v>58623</v>
      </c>
      <c r="B575" s="67">
        <f>8.8035 * CHOOSE(CONTROL!$C$22, $C$13, 100%, $E$13)</f>
        <v>8.8034999999999997</v>
      </c>
      <c r="C575" s="67">
        <f>8.8035 * CHOOSE(CONTROL!$C$22, $C$13, 100%, $E$13)</f>
        <v>8.8034999999999997</v>
      </c>
      <c r="D575" s="67">
        <f>8.8061 * CHOOSE(CONTROL!$C$22, $C$13, 100%, $E$13)</f>
        <v>8.8061000000000007</v>
      </c>
      <c r="E575" s="68">
        <f>10.4324 * CHOOSE(CONTROL!$C$22, $C$13, 100%, $E$13)</f>
        <v>10.432399999999999</v>
      </c>
      <c r="F575" s="68">
        <f>10.4324 * CHOOSE(CONTROL!$C$22, $C$13, 100%, $E$13)</f>
        <v>10.432399999999999</v>
      </c>
      <c r="G575" s="68">
        <f>10.4356 * CHOOSE(CONTROL!$C$22, $C$13, 100%, $E$13)</f>
        <v>10.435600000000001</v>
      </c>
      <c r="H575" s="68">
        <f>16.6765* CHOOSE(CONTROL!$C$22, $C$13, 100%, $E$13)</f>
        <v>16.676500000000001</v>
      </c>
      <c r="I575" s="68">
        <f>16.6797 * CHOOSE(CONTROL!$C$22, $C$13, 100%, $E$13)</f>
        <v>16.6797</v>
      </c>
      <c r="J575" s="68">
        <f>10.4324 * CHOOSE(CONTROL!$C$22, $C$13, 100%, $E$13)</f>
        <v>10.432399999999999</v>
      </c>
      <c r="K575" s="68">
        <f>10.4356 * CHOOSE(CONTROL!$C$22, $C$13, 100%, $E$13)</f>
        <v>10.435600000000001</v>
      </c>
    </row>
    <row r="576" spans="1:11" ht="15">
      <c r="A576" s="13">
        <v>58654</v>
      </c>
      <c r="B576" s="67">
        <f>8.8102 * CHOOSE(CONTROL!$C$22, $C$13, 100%, $E$13)</f>
        <v>8.8102</v>
      </c>
      <c r="C576" s="67">
        <f>8.8102 * CHOOSE(CONTROL!$C$22, $C$13, 100%, $E$13)</f>
        <v>8.8102</v>
      </c>
      <c r="D576" s="67">
        <f>8.8128 * CHOOSE(CONTROL!$C$22, $C$13, 100%, $E$13)</f>
        <v>8.8127999999999993</v>
      </c>
      <c r="E576" s="68">
        <f>10.274 * CHOOSE(CONTROL!$C$22, $C$13, 100%, $E$13)</f>
        <v>10.273999999999999</v>
      </c>
      <c r="F576" s="68">
        <f>10.274 * CHOOSE(CONTROL!$C$22, $C$13, 100%, $E$13)</f>
        <v>10.273999999999999</v>
      </c>
      <c r="G576" s="68">
        <f>10.2773 * CHOOSE(CONTROL!$C$22, $C$13, 100%, $E$13)</f>
        <v>10.2773</v>
      </c>
      <c r="H576" s="68">
        <f>16.7112* CHOOSE(CONTROL!$C$22, $C$13, 100%, $E$13)</f>
        <v>16.711200000000002</v>
      </c>
      <c r="I576" s="68">
        <f>16.7145 * CHOOSE(CONTROL!$C$22, $C$13, 100%, $E$13)</f>
        <v>16.714500000000001</v>
      </c>
      <c r="J576" s="68">
        <f>10.274 * CHOOSE(CONTROL!$C$22, $C$13, 100%, $E$13)</f>
        <v>10.273999999999999</v>
      </c>
      <c r="K576" s="68">
        <f>10.2773 * CHOOSE(CONTROL!$C$22, $C$13, 100%, $E$13)</f>
        <v>10.2773</v>
      </c>
    </row>
    <row r="577" spans="1:11" ht="15">
      <c r="A577" s="13">
        <v>58685</v>
      </c>
      <c r="B577" s="67">
        <f>8.8072 * CHOOSE(CONTROL!$C$22, $C$13, 100%, $E$13)</f>
        <v>8.8071999999999999</v>
      </c>
      <c r="C577" s="67">
        <f>8.8072 * CHOOSE(CONTROL!$C$22, $C$13, 100%, $E$13)</f>
        <v>8.8071999999999999</v>
      </c>
      <c r="D577" s="67">
        <f>8.8098 * CHOOSE(CONTROL!$C$22, $C$13, 100%, $E$13)</f>
        <v>8.8097999999999992</v>
      </c>
      <c r="E577" s="68">
        <f>10.2538 * CHOOSE(CONTROL!$C$22, $C$13, 100%, $E$13)</f>
        <v>10.2538</v>
      </c>
      <c r="F577" s="68">
        <f>10.2538 * CHOOSE(CONTROL!$C$22, $C$13, 100%, $E$13)</f>
        <v>10.2538</v>
      </c>
      <c r="G577" s="68">
        <f>10.2571 * CHOOSE(CONTROL!$C$22, $C$13, 100%, $E$13)</f>
        <v>10.257099999999999</v>
      </c>
      <c r="H577" s="68">
        <f>16.746* CHOOSE(CONTROL!$C$22, $C$13, 100%, $E$13)</f>
        <v>16.745999999999999</v>
      </c>
      <c r="I577" s="68">
        <f>16.7493 * CHOOSE(CONTROL!$C$22, $C$13, 100%, $E$13)</f>
        <v>16.749300000000002</v>
      </c>
      <c r="J577" s="68">
        <f>10.2538 * CHOOSE(CONTROL!$C$22, $C$13, 100%, $E$13)</f>
        <v>10.2538</v>
      </c>
      <c r="K577" s="68">
        <f>10.2571 * CHOOSE(CONTROL!$C$22, $C$13, 100%, $E$13)</f>
        <v>10.257099999999999</v>
      </c>
    </row>
    <row r="578" spans="1:11" ht="15">
      <c r="A578" s="13">
        <v>58715</v>
      </c>
      <c r="B578" s="67">
        <f>8.8179 * CHOOSE(CONTROL!$C$22, $C$13, 100%, $E$13)</f>
        <v>8.8178999999999998</v>
      </c>
      <c r="C578" s="67">
        <f>8.8179 * CHOOSE(CONTROL!$C$22, $C$13, 100%, $E$13)</f>
        <v>8.8178999999999998</v>
      </c>
      <c r="D578" s="67">
        <f>8.8189 * CHOOSE(CONTROL!$C$22, $C$13, 100%, $E$13)</f>
        <v>8.8188999999999993</v>
      </c>
      <c r="E578" s="68">
        <f>10.3128 * CHOOSE(CONTROL!$C$22, $C$13, 100%, $E$13)</f>
        <v>10.312799999999999</v>
      </c>
      <c r="F578" s="68">
        <f>10.3128 * CHOOSE(CONTROL!$C$22, $C$13, 100%, $E$13)</f>
        <v>10.312799999999999</v>
      </c>
      <c r="G578" s="68">
        <f>10.3141 * CHOOSE(CONTROL!$C$22, $C$13, 100%, $E$13)</f>
        <v>10.3141</v>
      </c>
      <c r="H578" s="68">
        <f>16.7809* CHOOSE(CONTROL!$C$22, $C$13, 100%, $E$13)</f>
        <v>16.780899999999999</v>
      </c>
      <c r="I578" s="68">
        <f>16.7822 * CHOOSE(CONTROL!$C$22, $C$13, 100%, $E$13)</f>
        <v>16.7822</v>
      </c>
      <c r="J578" s="68">
        <f>10.3128 * CHOOSE(CONTROL!$C$22, $C$13, 100%, $E$13)</f>
        <v>10.312799999999999</v>
      </c>
      <c r="K578" s="68">
        <f>10.3141 * CHOOSE(CONTROL!$C$22, $C$13, 100%, $E$13)</f>
        <v>10.3141</v>
      </c>
    </row>
    <row r="579" spans="1:11" ht="15">
      <c r="A579" s="13">
        <v>58746</v>
      </c>
      <c r="B579" s="67">
        <f>8.821 * CHOOSE(CONTROL!$C$22, $C$13, 100%, $E$13)</f>
        <v>8.8209999999999997</v>
      </c>
      <c r="C579" s="67">
        <f>8.821 * CHOOSE(CONTROL!$C$22, $C$13, 100%, $E$13)</f>
        <v>8.8209999999999997</v>
      </c>
      <c r="D579" s="67">
        <f>8.822 * CHOOSE(CONTROL!$C$22, $C$13, 100%, $E$13)</f>
        <v>8.8219999999999992</v>
      </c>
      <c r="E579" s="68">
        <f>10.3512 * CHOOSE(CONTROL!$C$22, $C$13, 100%, $E$13)</f>
        <v>10.3512</v>
      </c>
      <c r="F579" s="68">
        <f>10.3512 * CHOOSE(CONTROL!$C$22, $C$13, 100%, $E$13)</f>
        <v>10.3512</v>
      </c>
      <c r="G579" s="68">
        <f>10.3525 * CHOOSE(CONTROL!$C$22, $C$13, 100%, $E$13)</f>
        <v>10.352499999999999</v>
      </c>
      <c r="H579" s="68">
        <f>16.8159* CHOOSE(CONTROL!$C$22, $C$13, 100%, $E$13)</f>
        <v>16.815899999999999</v>
      </c>
      <c r="I579" s="68">
        <f>16.8171 * CHOOSE(CONTROL!$C$22, $C$13, 100%, $E$13)</f>
        <v>16.8171</v>
      </c>
      <c r="J579" s="68">
        <f>10.3512 * CHOOSE(CONTROL!$C$22, $C$13, 100%, $E$13)</f>
        <v>10.3512</v>
      </c>
      <c r="K579" s="68">
        <f>10.3525 * CHOOSE(CONTROL!$C$22, $C$13, 100%, $E$13)</f>
        <v>10.352499999999999</v>
      </c>
    </row>
    <row r="580" spans="1:11" ht="15">
      <c r="A580" s="13">
        <v>58776</v>
      </c>
      <c r="B580" s="67">
        <f>8.821 * CHOOSE(CONTROL!$C$22, $C$13, 100%, $E$13)</f>
        <v>8.8209999999999997</v>
      </c>
      <c r="C580" s="67">
        <f>8.821 * CHOOSE(CONTROL!$C$22, $C$13, 100%, $E$13)</f>
        <v>8.8209999999999997</v>
      </c>
      <c r="D580" s="67">
        <f>8.822 * CHOOSE(CONTROL!$C$22, $C$13, 100%, $E$13)</f>
        <v>8.8219999999999992</v>
      </c>
      <c r="E580" s="68">
        <f>10.2606 * CHOOSE(CONTROL!$C$22, $C$13, 100%, $E$13)</f>
        <v>10.2606</v>
      </c>
      <c r="F580" s="68">
        <f>10.2606 * CHOOSE(CONTROL!$C$22, $C$13, 100%, $E$13)</f>
        <v>10.2606</v>
      </c>
      <c r="G580" s="68">
        <f>10.2619 * CHOOSE(CONTROL!$C$22, $C$13, 100%, $E$13)</f>
        <v>10.261900000000001</v>
      </c>
      <c r="H580" s="68">
        <f>16.8509* CHOOSE(CONTROL!$C$22, $C$13, 100%, $E$13)</f>
        <v>16.850899999999999</v>
      </c>
      <c r="I580" s="68">
        <f>16.8522 * CHOOSE(CONTROL!$C$22, $C$13, 100%, $E$13)</f>
        <v>16.8522</v>
      </c>
      <c r="J580" s="68">
        <f>10.2606 * CHOOSE(CONTROL!$C$22, $C$13, 100%, $E$13)</f>
        <v>10.2606</v>
      </c>
      <c r="K580" s="68">
        <f>10.2619 * CHOOSE(CONTROL!$C$22, $C$13, 100%, $E$13)</f>
        <v>10.261900000000001</v>
      </c>
    </row>
    <row r="581" spans="1:11" ht="15">
      <c r="A581" s="13">
        <v>58807</v>
      </c>
      <c r="B581" s="67">
        <f>8.8962 * CHOOSE(CONTROL!$C$22, $C$13, 100%, $E$13)</f>
        <v>8.8962000000000003</v>
      </c>
      <c r="C581" s="67">
        <f>8.8962 * CHOOSE(CONTROL!$C$22, $C$13, 100%, $E$13)</f>
        <v>8.8962000000000003</v>
      </c>
      <c r="D581" s="67">
        <f>8.8972 * CHOOSE(CONTROL!$C$22, $C$13, 100%, $E$13)</f>
        <v>8.8971999999999998</v>
      </c>
      <c r="E581" s="68">
        <f>10.409 * CHOOSE(CONTROL!$C$22, $C$13, 100%, $E$13)</f>
        <v>10.409000000000001</v>
      </c>
      <c r="F581" s="68">
        <f>10.409 * CHOOSE(CONTROL!$C$22, $C$13, 100%, $E$13)</f>
        <v>10.409000000000001</v>
      </c>
      <c r="G581" s="68">
        <f>10.4103 * CHOOSE(CONTROL!$C$22, $C$13, 100%, $E$13)</f>
        <v>10.410299999999999</v>
      </c>
      <c r="H581" s="68">
        <f>16.886* CHOOSE(CONTROL!$C$22, $C$13, 100%, $E$13)</f>
        <v>16.885999999999999</v>
      </c>
      <c r="I581" s="68">
        <f>16.8873 * CHOOSE(CONTROL!$C$22, $C$13, 100%, $E$13)</f>
        <v>16.8873</v>
      </c>
      <c r="J581" s="68">
        <f>10.409 * CHOOSE(CONTROL!$C$22, $C$13, 100%, $E$13)</f>
        <v>10.409000000000001</v>
      </c>
      <c r="K581" s="68">
        <f>10.4103 * CHOOSE(CONTROL!$C$22, $C$13, 100%, $E$13)</f>
        <v>10.410299999999999</v>
      </c>
    </row>
    <row r="582" spans="1:11" ht="15">
      <c r="A582" s="13">
        <v>58838</v>
      </c>
      <c r="B582" s="67">
        <f>8.8931 * CHOOSE(CONTROL!$C$22, $C$13, 100%, $E$13)</f>
        <v>8.8931000000000004</v>
      </c>
      <c r="C582" s="67">
        <f>8.8931 * CHOOSE(CONTROL!$C$22, $C$13, 100%, $E$13)</f>
        <v>8.8931000000000004</v>
      </c>
      <c r="D582" s="67">
        <f>8.8941 * CHOOSE(CONTROL!$C$22, $C$13, 100%, $E$13)</f>
        <v>8.8940999999999999</v>
      </c>
      <c r="E582" s="68">
        <f>10.2309 * CHOOSE(CONTROL!$C$22, $C$13, 100%, $E$13)</f>
        <v>10.2309</v>
      </c>
      <c r="F582" s="68">
        <f>10.2309 * CHOOSE(CONTROL!$C$22, $C$13, 100%, $E$13)</f>
        <v>10.2309</v>
      </c>
      <c r="G582" s="68">
        <f>10.2322 * CHOOSE(CONTROL!$C$22, $C$13, 100%, $E$13)</f>
        <v>10.232200000000001</v>
      </c>
      <c r="H582" s="68">
        <f>16.9212* CHOOSE(CONTROL!$C$22, $C$13, 100%, $E$13)</f>
        <v>16.921199999999999</v>
      </c>
      <c r="I582" s="68">
        <f>16.9225 * CHOOSE(CONTROL!$C$22, $C$13, 100%, $E$13)</f>
        <v>16.922499999999999</v>
      </c>
      <c r="J582" s="68">
        <f>10.2309 * CHOOSE(CONTROL!$C$22, $C$13, 100%, $E$13)</f>
        <v>10.2309</v>
      </c>
      <c r="K582" s="68">
        <f>10.2322 * CHOOSE(CONTROL!$C$22, $C$13, 100%, $E$13)</f>
        <v>10.232200000000001</v>
      </c>
    </row>
    <row r="583" spans="1:11" ht="15">
      <c r="A583" s="13">
        <v>58866</v>
      </c>
      <c r="B583" s="67">
        <f>8.8901 * CHOOSE(CONTROL!$C$22, $C$13, 100%, $E$13)</f>
        <v>8.8901000000000003</v>
      </c>
      <c r="C583" s="67">
        <f>8.8901 * CHOOSE(CONTROL!$C$22, $C$13, 100%, $E$13)</f>
        <v>8.8901000000000003</v>
      </c>
      <c r="D583" s="67">
        <f>8.8911 * CHOOSE(CONTROL!$C$22, $C$13, 100%, $E$13)</f>
        <v>8.8910999999999998</v>
      </c>
      <c r="E583" s="68">
        <f>10.3675 * CHOOSE(CONTROL!$C$22, $C$13, 100%, $E$13)</f>
        <v>10.3675</v>
      </c>
      <c r="F583" s="68">
        <f>10.3675 * CHOOSE(CONTROL!$C$22, $C$13, 100%, $E$13)</f>
        <v>10.3675</v>
      </c>
      <c r="G583" s="68">
        <f>10.3688 * CHOOSE(CONTROL!$C$22, $C$13, 100%, $E$13)</f>
        <v>10.3688</v>
      </c>
      <c r="H583" s="68">
        <f>16.9564* CHOOSE(CONTROL!$C$22, $C$13, 100%, $E$13)</f>
        <v>16.956399999999999</v>
      </c>
      <c r="I583" s="68">
        <f>16.9577 * CHOOSE(CONTROL!$C$22, $C$13, 100%, $E$13)</f>
        <v>16.957699999999999</v>
      </c>
      <c r="J583" s="68">
        <f>10.3675 * CHOOSE(CONTROL!$C$22, $C$13, 100%, $E$13)</f>
        <v>10.3675</v>
      </c>
      <c r="K583" s="68">
        <f>10.3688 * CHOOSE(CONTROL!$C$22, $C$13, 100%, $E$13)</f>
        <v>10.3688</v>
      </c>
    </row>
    <row r="584" spans="1:11" ht="15">
      <c r="A584" s="13">
        <v>58897</v>
      </c>
      <c r="B584" s="67">
        <f>8.8919 * CHOOSE(CONTROL!$C$22, $C$13, 100%, $E$13)</f>
        <v>8.8918999999999997</v>
      </c>
      <c r="C584" s="67">
        <f>8.8919 * CHOOSE(CONTROL!$C$22, $C$13, 100%, $E$13)</f>
        <v>8.8918999999999997</v>
      </c>
      <c r="D584" s="67">
        <f>8.8929 * CHOOSE(CONTROL!$C$22, $C$13, 100%, $E$13)</f>
        <v>8.8928999999999991</v>
      </c>
      <c r="E584" s="68">
        <f>10.5123 * CHOOSE(CONTROL!$C$22, $C$13, 100%, $E$13)</f>
        <v>10.5123</v>
      </c>
      <c r="F584" s="68">
        <f>10.5123 * CHOOSE(CONTROL!$C$22, $C$13, 100%, $E$13)</f>
        <v>10.5123</v>
      </c>
      <c r="G584" s="68">
        <f>10.5136 * CHOOSE(CONTROL!$C$22, $C$13, 100%, $E$13)</f>
        <v>10.5136</v>
      </c>
      <c r="H584" s="68">
        <f>16.9918* CHOOSE(CONTROL!$C$22, $C$13, 100%, $E$13)</f>
        <v>16.991800000000001</v>
      </c>
      <c r="I584" s="68">
        <f>16.993 * CHOOSE(CONTROL!$C$22, $C$13, 100%, $E$13)</f>
        <v>16.992999999999999</v>
      </c>
      <c r="J584" s="68">
        <f>10.5123 * CHOOSE(CONTROL!$C$22, $C$13, 100%, $E$13)</f>
        <v>10.5123</v>
      </c>
      <c r="K584" s="68">
        <f>10.5136 * CHOOSE(CONTROL!$C$22, $C$13, 100%, $E$13)</f>
        <v>10.5136</v>
      </c>
    </row>
    <row r="585" spans="1:11" ht="15">
      <c r="A585" s="13">
        <v>58927</v>
      </c>
      <c r="B585" s="67">
        <f>8.8919 * CHOOSE(CONTROL!$C$22, $C$13, 100%, $E$13)</f>
        <v>8.8918999999999997</v>
      </c>
      <c r="C585" s="67">
        <f>8.8919 * CHOOSE(CONTROL!$C$22, $C$13, 100%, $E$13)</f>
        <v>8.8918999999999997</v>
      </c>
      <c r="D585" s="67">
        <f>8.8945 * CHOOSE(CONTROL!$C$22, $C$13, 100%, $E$13)</f>
        <v>8.8945000000000007</v>
      </c>
      <c r="E585" s="68">
        <f>10.5681 * CHOOSE(CONTROL!$C$22, $C$13, 100%, $E$13)</f>
        <v>10.568099999999999</v>
      </c>
      <c r="F585" s="68">
        <f>10.5681 * CHOOSE(CONTROL!$C$22, $C$13, 100%, $E$13)</f>
        <v>10.568099999999999</v>
      </c>
      <c r="G585" s="68">
        <f>10.5714 * CHOOSE(CONTROL!$C$22, $C$13, 100%, $E$13)</f>
        <v>10.571400000000001</v>
      </c>
      <c r="H585" s="68">
        <f>17.0272* CHOOSE(CONTROL!$C$22, $C$13, 100%, $E$13)</f>
        <v>17.027200000000001</v>
      </c>
      <c r="I585" s="68">
        <f>17.0304 * CHOOSE(CONTROL!$C$22, $C$13, 100%, $E$13)</f>
        <v>17.0304</v>
      </c>
      <c r="J585" s="68">
        <f>10.5681 * CHOOSE(CONTROL!$C$22, $C$13, 100%, $E$13)</f>
        <v>10.568099999999999</v>
      </c>
      <c r="K585" s="68">
        <f>10.5714 * CHOOSE(CONTROL!$C$22, $C$13, 100%, $E$13)</f>
        <v>10.571400000000001</v>
      </c>
    </row>
    <row r="586" spans="1:11" ht="15">
      <c r="A586" s="13">
        <v>58958</v>
      </c>
      <c r="B586" s="67">
        <f>8.898 * CHOOSE(CONTROL!$C$22, $C$13, 100%, $E$13)</f>
        <v>8.8979999999999997</v>
      </c>
      <c r="C586" s="67">
        <f>8.898 * CHOOSE(CONTROL!$C$22, $C$13, 100%, $E$13)</f>
        <v>8.8979999999999997</v>
      </c>
      <c r="D586" s="67">
        <f>8.9006 * CHOOSE(CONTROL!$C$22, $C$13, 100%, $E$13)</f>
        <v>8.9006000000000007</v>
      </c>
      <c r="E586" s="68">
        <f>10.5165 * CHOOSE(CONTROL!$C$22, $C$13, 100%, $E$13)</f>
        <v>10.516500000000001</v>
      </c>
      <c r="F586" s="68">
        <f>10.5165 * CHOOSE(CONTROL!$C$22, $C$13, 100%, $E$13)</f>
        <v>10.516500000000001</v>
      </c>
      <c r="G586" s="68">
        <f>10.5198 * CHOOSE(CONTROL!$C$22, $C$13, 100%, $E$13)</f>
        <v>10.5198</v>
      </c>
      <c r="H586" s="68">
        <f>17.0626* CHOOSE(CONTROL!$C$22, $C$13, 100%, $E$13)</f>
        <v>17.0626</v>
      </c>
      <c r="I586" s="68">
        <f>17.0659 * CHOOSE(CONTROL!$C$22, $C$13, 100%, $E$13)</f>
        <v>17.065899999999999</v>
      </c>
      <c r="J586" s="68">
        <f>10.5165 * CHOOSE(CONTROL!$C$22, $C$13, 100%, $E$13)</f>
        <v>10.516500000000001</v>
      </c>
      <c r="K586" s="68">
        <f>10.5198 * CHOOSE(CONTROL!$C$22, $C$13, 100%, $E$13)</f>
        <v>10.5198</v>
      </c>
    </row>
    <row r="587" spans="1:11" ht="15">
      <c r="A587" s="13">
        <v>58988</v>
      </c>
      <c r="B587" s="67">
        <f>9.0365 * CHOOSE(CONTROL!$C$22, $C$13, 100%, $E$13)</f>
        <v>9.0365000000000002</v>
      </c>
      <c r="C587" s="67">
        <f>9.0365 * CHOOSE(CONTROL!$C$22, $C$13, 100%, $E$13)</f>
        <v>9.0365000000000002</v>
      </c>
      <c r="D587" s="67">
        <f>9.0391 * CHOOSE(CONTROL!$C$22, $C$13, 100%, $E$13)</f>
        <v>9.0390999999999995</v>
      </c>
      <c r="E587" s="68">
        <f>10.6879 * CHOOSE(CONTROL!$C$22, $C$13, 100%, $E$13)</f>
        <v>10.687900000000001</v>
      </c>
      <c r="F587" s="68">
        <f>10.6879 * CHOOSE(CONTROL!$C$22, $C$13, 100%, $E$13)</f>
        <v>10.687900000000001</v>
      </c>
      <c r="G587" s="68">
        <f>10.6911 * CHOOSE(CONTROL!$C$22, $C$13, 100%, $E$13)</f>
        <v>10.6911</v>
      </c>
      <c r="H587" s="68">
        <f>17.0982* CHOOSE(CONTROL!$C$22, $C$13, 100%, $E$13)</f>
        <v>17.098199999999999</v>
      </c>
      <c r="I587" s="68">
        <f>17.1014 * CHOOSE(CONTROL!$C$22, $C$13, 100%, $E$13)</f>
        <v>17.101400000000002</v>
      </c>
      <c r="J587" s="68">
        <f>10.6879 * CHOOSE(CONTROL!$C$22, $C$13, 100%, $E$13)</f>
        <v>10.687900000000001</v>
      </c>
      <c r="K587" s="68">
        <f>10.6911 * CHOOSE(CONTROL!$C$22, $C$13, 100%, $E$13)</f>
        <v>10.6911</v>
      </c>
    </row>
    <row r="588" spans="1:11" ht="15">
      <c r="A588" s="13">
        <v>59019</v>
      </c>
      <c r="B588" s="67">
        <f>9.0432 * CHOOSE(CONTROL!$C$22, $C$13, 100%, $E$13)</f>
        <v>9.0432000000000006</v>
      </c>
      <c r="C588" s="67">
        <f>9.0432 * CHOOSE(CONTROL!$C$22, $C$13, 100%, $E$13)</f>
        <v>9.0432000000000006</v>
      </c>
      <c r="D588" s="67">
        <f>9.0458 * CHOOSE(CONTROL!$C$22, $C$13, 100%, $E$13)</f>
        <v>9.0457999999999998</v>
      </c>
      <c r="E588" s="68">
        <f>10.5249 * CHOOSE(CONTROL!$C$22, $C$13, 100%, $E$13)</f>
        <v>10.524900000000001</v>
      </c>
      <c r="F588" s="68">
        <f>10.5249 * CHOOSE(CONTROL!$C$22, $C$13, 100%, $E$13)</f>
        <v>10.524900000000001</v>
      </c>
      <c r="G588" s="68">
        <f>10.5282 * CHOOSE(CONTROL!$C$22, $C$13, 100%, $E$13)</f>
        <v>10.5282</v>
      </c>
      <c r="H588" s="68">
        <f>17.1338* CHOOSE(CONTROL!$C$22, $C$13, 100%, $E$13)</f>
        <v>17.133800000000001</v>
      </c>
      <c r="I588" s="68">
        <f>17.1371 * CHOOSE(CONTROL!$C$22, $C$13, 100%, $E$13)</f>
        <v>17.1371</v>
      </c>
      <c r="J588" s="68">
        <f>10.5249 * CHOOSE(CONTROL!$C$22, $C$13, 100%, $E$13)</f>
        <v>10.524900000000001</v>
      </c>
      <c r="K588" s="68">
        <f>10.5282 * CHOOSE(CONTROL!$C$22, $C$13, 100%, $E$13)</f>
        <v>10.5282</v>
      </c>
    </row>
    <row r="589" spans="1:11" ht="15">
      <c r="A589" s="13">
        <v>59050</v>
      </c>
      <c r="B589" s="67">
        <f>9.0401 * CHOOSE(CONTROL!$C$22, $C$13, 100%, $E$13)</f>
        <v>9.0401000000000007</v>
      </c>
      <c r="C589" s="67">
        <f>9.0401 * CHOOSE(CONTROL!$C$22, $C$13, 100%, $E$13)</f>
        <v>9.0401000000000007</v>
      </c>
      <c r="D589" s="67">
        <f>9.0427 * CHOOSE(CONTROL!$C$22, $C$13, 100%, $E$13)</f>
        <v>9.0427</v>
      </c>
      <c r="E589" s="68">
        <f>10.5042 * CHOOSE(CONTROL!$C$22, $C$13, 100%, $E$13)</f>
        <v>10.504200000000001</v>
      </c>
      <c r="F589" s="68">
        <f>10.5042 * CHOOSE(CONTROL!$C$22, $C$13, 100%, $E$13)</f>
        <v>10.504200000000001</v>
      </c>
      <c r="G589" s="68">
        <f>10.5075 * CHOOSE(CONTROL!$C$22, $C$13, 100%, $E$13)</f>
        <v>10.5075</v>
      </c>
      <c r="H589" s="68">
        <f>17.1695* CHOOSE(CONTROL!$C$22, $C$13, 100%, $E$13)</f>
        <v>17.169499999999999</v>
      </c>
      <c r="I589" s="68">
        <f>17.1728 * CHOOSE(CONTROL!$C$22, $C$13, 100%, $E$13)</f>
        <v>17.172799999999999</v>
      </c>
      <c r="J589" s="68">
        <f>10.5042 * CHOOSE(CONTROL!$C$22, $C$13, 100%, $E$13)</f>
        <v>10.504200000000001</v>
      </c>
      <c r="K589" s="68">
        <f>10.5075 * CHOOSE(CONTROL!$C$22, $C$13, 100%, $E$13)</f>
        <v>10.5075</v>
      </c>
    </row>
    <row r="590" spans="1:11" ht="15">
      <c r="A590" s="13">
        <v>59080</v>
      </c>
      <c r="B590" s="67">
        <f>9.0516 * CHOOSE(CONTROL!$C$22, $C$13, 100%, $E$13)</f>
        <v>9.0516000000000005</v>
      </c>
      <c r="C590" s="67">
        <f>9.0516 * CHOOSE(CONTROL!$C$22, $C$13, 100%, $E$13)</f>
        <v>9.0516000000000005</v>
      </c>
      <c r="D590" s="67">
        <f>9.0526 * CHOOSE(CONTROL!$C$22, $C$13, 100%, $E$13)</f>
        <v>9.0526</v>
      </c>
      <c r="E590" s="68">
        <f>10.5653 * CHOOSE(CONTROL!$C$22, $C$13, 100%, $E$13)</f>
        <v>10.565300000000001</v>
      </c>
      <c r="F590" s="68">
        <f>10.5653 * CHOOSE(CONTROL!$C$22, $C$13, 100%, $E$13)</f>
        <v>10.565300000000001</v>
      </c>
      <c r="G590" s="68">
        <f>10.5666 * CHOOSE(CONTROL!$C$22, $C$13, 100%, $E$13)</f>
        <v>10.566599999999999</v>
      </c>
      <c r="H590" s="68">
        <f>17.2053* CHOOSE(CONTROL!$C$22, $C$13, 100%, $E$13)</f>
        <v>17.205300000000001</v>
      </c>
      <c r="I590" s="68">
        <f>17.2066 * CHOOSE(CONTROL!$C$22, $C$13, 100%, $E$13)</f>
        <v>17.206600000000002</v>
      </c>
      <c r="J590" s="68">
        <f>10.5653 * CHOOSE(CONTROL!$C$22, $C$13, 100%, $E$13)</f>
        <v>10.565300000000001</v>
      </c>
      <c r="K590" s="68">
        <f>10.5666 * CHOOSE(CONTROL!$C$22, $C$13, 100%, $E$13)</f>
        <v>10.566599999999999</v>
      </c>
    </row>
    <row r="591" spans="1:11" ht="15">
      <c r="A591" s="13">
        <v>59111</v>
      </c>
      <c r="B591" s="67">
        <f>9.0547 * CHOOSE(CONTROL!$C$22, $C$13, 100%, $E$13)</f>
        <v>9.0547000000000004</v>
      </c>
      <c r="C591" s="67">
        <f>9.0547 * CHOOSE(CONTROL!$C$22, $C$13, 100%, $E$13)</f>
        <v>9.0547000000000004</v>
      </c>
      <c r="D591" s="67">
        <f>9.0556 * CHOOSE(CONTROL!$C$22, $C$13, 100%, $E$13)</f>
        <v>9.0556000000000001</v>
      </c>
      <c r="E591" s="68">
        <f>10.6046 * CHOOSE(CONTROL!$C$22, $C$13, 100%, $E$13)</f>
        <v>10.6046</v>
      </c>
      <c r="F591" s="68">
        <f>10.6046 * CHOOSE(CONTROL!$C$22, $C$13, 100%, $E$13)</f>
        <v>10.6046</v>
      </c>
      <c r="G591" s="68">
        <f>10.6059 * CHOOSE(CONTROL!$C$22, $C$13, 100%, $E$13)</f>
        <v>10.6059</v>
      </c>
      <c r="H591" s="68">
        <f>17.2411* CHOOSE(CONTROL!$C$22, $C$13, 100%, $E$13)</f>
        <v>17.241099999999999</v>
      </c>
      <c r="I591" s="68">
        <f>17.2424 * CHOOSE(CONTROL!$C$22, $C$13, 100%, $E$13)</f>
        <v>17.2424</v>
      </c>
      <c r="J591" s="68">
        <f>10.6046 * CHOOSE(CONTROL!$C$22, $C$13, 100%, $E$13)</f>
        <v>10.6046</v>
      </c>
      <c r="K591" s="68">
        <f>10.6059 * CHOOSE(CONTROL!$C$22, $C$13, 100%, $E$13)</f>
        <v>10.6059</v>
      </c>
    </row>
    <row r="592" spans="1:11" ht="15">
      <c r="A592" s="13">
        <v>59141</v>
      </c>
      <c r="B592" s="67">
        <f>9.0547 * CHOOSE(CONTROL!$C$22, $C$13, 100%, $E$13)</f>
        <v>9.0547000000000004</v>
      </c>
      <c r="C592" s="67">
        <f>9.0547 * CHOOSE(CONTROL!$C$22, $C$13, 100%, $E$13)</f>
        <v>9.0547000000000004</v>
      </c>
      <c r="D592" s="67">
        <f>9.0556 * CHOOSE(CONTROL!$C$22, $C$13, 100%, $E$13)</f>
        <v>9.0556000000000001</v>
      </c>
      <c r="E592" s="68">
        <f>10.5115 * CHOOSE(CONTROL!$C$22, $C$13, 100%, $E$13)</f>
        <v>10.5115</v>
      </c>
      <c r="F592" s="68">
        <f>10.5115 * CHOOSE(CONTROL!$C$22, $C$13, 100%, $E$13)</f>
        <v>10.5115</v>
      </c>
      <c r="G592" s="68">
        <f>10.5128 * CHOOSE(CONTROL!$C$22, $C$13, 100%, $E$13)</f>
        <v>10.5128</v>
      </c>
      <c r="H592" s="68">
        <f>17.277* CHOOSE(CONTROL!$C$22, $C$13, 100%, $E$13)</f>
        <v>17.277000000000001</v>
      </c>
      <c r="I592" s="68">
        <f>17.2783 * CHOOSE(CONTROL!$C$22, $C$13, 100%, $E$13)</f>
        <v>17.278300000000002</v>
      </c>
      <c r="J592" s="68">
        <f>10.5115 * CHOOSE(CONTROL!$C$22, $C$13, 100%, $E$13)</f>
        <v>10.5115</v>
      </c>
      <c r="K592" s="68">
        <f>10.5128 * CHOOSE(CONTROL!$C$22, $C$13, 100%, $E$13)</f>
        <v>10.5128</v>
      </c>
    </row>
    <row r="593" spans="1:11" ht="15">
      <c r="A593" s="13">
        <v>59172</v>
      </c>
      <c r="B593" s="67">
        <f>9.1318 * CHOOSE(CONTROL!$C$22, $C$13, 100%, $E$13)</f>
        <v>9.1318000000000001</v>
      </c>
      <c r="C593" s="67">
        <f>9.1318 * CHOOSE(CONTROL!$C$22, $C$13, 100%, $E$13)</f>
        <v>9.1318000000000001</v>
      </c>
      <c r="D593" s="67">
        <f>9.1327 * CHOOSE(CONTROL!$C$22, $C$13, 100%, $E$13)</f>
        <v>9.1326999999999998</v>
      </c>
      <c r="E593" s="68">
        <f>10.6637 * CHOOSE(CONTROL!$C$22, $C$13, 100%, $E$13)</f>
        <v>10.6637</v>
      </c>
      <c r="F593" s="68">
        <f>10.6637 * CHOOSE(CONTROL!$C$22, $C$13, 100%, $E$13)</f>
        <v>10.6637</v>
      </c>
      <c r="G593" s="68">
        <f>10.665 * CHOOSE(CONTROL!$C$22, $C$13, 100%, $E$13)</f>
        <v>10.664999999999999</v>
      </c>
      <c r="H593" s="68">
        <f>17.313* CHOOSE(CONTROL!$C$22, $C$13, 100%, $E$13)</f>
        <v>17.312999999999999</v>
      </c>
      <c r="I593" s="68">
        <f>17.3143 * CHOOSE(CONTROL!$C$22, $C$13, 100%, $E$13)</f>
        <v>17.314299999999999</v>
      </c>
      <c r="J593" s="68">
        <f>10.6637 * CHOOSE(CONTROL!$C$22, $C$13, 100%, $E$13)</f>
        <v>10.6637</v>
      </c>
      <c r="K593" s="68">
        <f>10.665 * CHOOSE(CONTROL!$C$22, $C$13, 100%, $E$13)</f>
        <v>10.664999999999999</v>
      </c>
    </row>
    <row r="594" spans="1:11" ht="15">
      <c r="A594" s="13">
        <v>59203</v>
      </c>
      <c r="B594" s="67">
        <f>9.1287 * CHOOSE(CONTROL!$C$22, $C$13, 100%, $E$13)</f>
        <v>9.1287000000000003</v>
      </c>
      <c r="C594" s="67">
        <f>9.1287 * CHOOSE(CONTROL!$C$22, $C$13, 100%, $E$13)</f>
        <v>9.1287000000000003</v>
      </c>
      <c r="D594" s="67">
        <f>9.1297 * CHOOSE(CONTROL!$C$22, $C$13, 100%, $E$13)</f>
        <v>9.1296999999999997</v>
      </c>
      <c r="E594" s="68">
        <f>10.4807 * CHOOSE(CONTROL!$C$22, $C$13, 100%, $E$13)</f>
        <v>10.480700000000001</v>
      </c>
      <c r="F594" s="68">
        <f>10.4807 * CHOOSE(CONTROL!$C$22, $C$13, 100%, $E$13)</f>
        <v>10.480700000000001</v>
      </c>
      <c r="G594" s="68">
        <f>10.482 * CHOOSE(CONTROL!$C$22, $C$13, 100%, $E$13)</f>
        <v>10.481999999999999</v>
      </c>
      <c r="H594" s="68">
        <f>17.3491* CHOOSE(CONTROL!$C$22, $C$13, 100%, $E$13)</f>
        <v>17.3491</v>
      </c>
      <c r="I594" s="68">
        <f>17.3504 * CHOOSE(CONTROL!$C$22, $C$13, 100%, $E$13)</f>
        <v>17.3504</v>
      </c>
      <c r="J594" s="68">
        <f>10.4807 * CHOOSE(CONTROL!$C$22, $C$13, 100%, $E$13)</f>
        <v>10.480700000000001</v>
      </c>
      <c r="K594" s="68">
        <f>10.482 * CHOOSE(CONTROL!$C$22, $C$13, 100%, $E$13)</f>
        <v>10.481999999999999</v>
      </c>
    </row>
    <row r="595" spans="1:11" ht="15">
      <c r="A595" s="13">
        <v>59231</v>
      </c>
      <c r="B595" s="67">
        <f>9.1257 * CHOOSE(CONTROL!$C$22, $C$13, 100%, $E$13)</f>
        <v>9.1257000000000001</v>
      </c>
      <c r="C595" s="67">
        <f>9.1257 * CHOOSE(CONTROL!$C$22, $C$13, 100%, $E$13)</f>
        <v>9.1257000000000001</v>
      </c>
      <c r="D595" s="67">
        <f>9.1267 * CHOOSE(CONTROL!$C$22, $C$13, 100%, $E$13)</f>
        <v>9.1266999999999996</v>
      </c>
      <c r="E595" s="68">
        <f>10.6212 * CHOOSE(CONTROL!$C$22, $C$13, 100%, $E$13)</f>
        <v>10.6212</v>
      </c>
      <c r="F595" s="68">
        <f>10.6212 * CHOOSE(CONTROL!$C$22, $C$13, 100%, $E$13)</f>
        <v>10.6212</v>
      </c>
      <c r="G595" s="68">
        <f>10.6225 * CHOOSE(CONTROL!$C$22, $C$13, 100%, $E$13)</f>
        <v>10.6225</v>
      </c>
      <c r="H595" s="68">
        <f>17.3852* CHOOSE(CONTROL!$C$22, $C$13, 100%, $E$13)</f>
        <v>17.385200000000001</v>
      </c>
      <c r="I595" s="68">
        <f>17.3865 * CHOOSE(CONTROL!$C$22, $C$13, 100%, $E$13)</f>
        <v>17.386500000000002</v>
      </c>
      <c r="J595" s="68">
        <f>10.6212 * CHOOSE(CONTROL!$C$22, $C$13, 100%, $E$13)</f>
        <v>10.6212</v>
      </c>
      <c r="K595" s="68">
        <f>10.6225 * CHOOSE(CONTROL!$C$22, $C$13, 100%, $E$13)</f>
        <v>10.6225</v>
      </c>
    </row>
    <row r="596" spans="1:11" ht="15">
      <c r="A596" s="13">
        <v>59262</v>
      </c>
      <c r="B596" s="67">
        <f>9.1277 * CHOOSE(CONTROL!$C$22, $C$13, 100%, $E$13)</f>
        <v>9.1277000000000008</v>
      </c>
      <c r="C596" s="67">
        <f>9.1277 * CHOOSE(CONTROL!$C$22, $C$13, 100%, $E$13)</f>
        <v>9.1277000000000008</v>
      </c>
      <c r="D596" s="67">
        <f>9.1287 * CHOOSE(CONTROL!$C$22, $C$13, 100%, $E$13)</f>
        <v>9.1287000000000003</v>
      </c>
      <c r="E596" s="68">
        <f>10.7701 * CHOOSE(CONTROL!$C$22, $C$13, 100%, $E$13)</f>
        <v>10.770099999999999</v>
      </c>
      <c r="F596" s="68">
        <f>10.7701 * CHOOSE(CONTROL!$C$22, $C$13, 100%, $E$13)</f>
        <v>10.770099999999999</v>
      </c>
      <c r="G596" s="68">
        <f>10.7714 * CHOOSE(CONTROL!$C$22, $C$13, 100%, $E$13)</f>
        <v>10.7714</v>
      </c>
      <c r="H596" s="68">
        <f>17.4215* CHOOSE(CONTROL!$C$22, $C$13, 100%, $E$13)</f>
        <v>17.421500000000002</v>
      </c>
      <c r="I596" s="68">
        <f>17.4227 * CHOOSE(CONTROL!$C$22, $C$13, 100%, $E$13)</f>
        <v>17.422699999999999</v>
      </c>
      <c r="J596" s="68">
        <f>10.7701 * CHOOSE(CONTROL!$C$22, $C$13, 100%, $E$13)</f>
        <v>10.770099999999999</v>
      </c>
      <c r="K596" s="68">
        <f>10.7714 * CHOOSE(CONTROL!$C$22, $C$13, 100%, $E$13)</f>
        <v>10.7714</v>
      </c>
    </row>
    <row r="597" spans="1:11" ht="15">
      <c r="A597" s="13">
        <v>59292</v>
      </c>
      <c r="B597" s="67">
        <f>9.1277 * CHOOSE(CONTROL!$C$22, $C$13, 100%, $E$13)</f>
        <v>9.1277000000000008</v>
      </c>
      <c r="C597" s="67">
        <f>9.1277 * CHOOSE(CONTROL!$C$22, $C$13, 100%, $E$13)</f>
        <v>9.1277000000000008</v>
      </c>
      <c r="D597" s="67">
        <f>9.1303 * CHOOSE(CONTROL!$C$22, $C$13, 100%, $E$13)</f>
        <v>9.1303000000000001</v>
      </c>
      <c r="E597" s="68">
        <f>10.8276 * CHOOSE(CONTROL!$C$22, $C$13, 100%, $E$13)</f>
        <v>10.8276</v>
      </c>
      <c r="F597" s="68">
        <f>10.8276 * CHOOSE(CONTROL!$C$22, $C$13, 100%, $E$13)</f>
        <v>10.8276</v>
      </c>
      <c r="G597" s="68">
        <f>10.8308 * CHOOSE(CONTROL!$C$22, $C$13, 100%, $E$13)</f>
        <v>10.8308</v>
      </c>
      <c r="H597" s="68">
        <f>17.4578* CHOOSE(CONTROL!$C$22, $C$13, 100%, $E$13)</f>
        <v>17.457799999999999</v>
      </c>
      <c r="I597" s="68">
        <f>17.461 * CHOOSE(CONTROL!$C$22, $C$13, 100%, $E$13)</f>
        <v>17.460999999999999</v>
      </c>
      <c r="J597" s="68">
        <f>10.8276 * CHOOSE(CONTROL!$C$22, $C$13, 100%, $E$13)</f>
        <v>10.8276</v>
      </c>
      <c r="K597" s="68">
        <f>10.8308 * CHOOSE(CONTROL!$C$22, $C$13, 100%, $E$13)</f>
        <v>10.8308</v>
      </c>
    </row>
    <row r="598" spans="1:11" ht="15">
      <c r="A598" s="13">
        <v>59323</v>
      </c>
      <c r="B598" s="67">
        <f>9.1337 * CHOOSE(CONTROL!$C$22, $C$13, 100%, $E$13)</f>
        <v>9.1336999999999993</v>
      </c>
      <c r="C598" s="67">
        <f>9.1337 * CHOOSE(CONTROL!$C$22, $C$13, 100%, $E$13)</f>
        <v>9.1336999999999993</v>
      </c>
      <c r="D598" s="67">
        <f>9.1364 * CHOOSE(CONTROL!$C$22, $C$13, 100%, $E$13)</f>
        <v>9.1364000000000001</v>
      </c>
      <c r="E598" s="68">
        <f>10.7744 * CHOOSE(CONTROL!$C$22, $C$13, 100%, $E$13)</f>
        <v>10.7744</v>
      </c>
      <c r="F598" s="68">
        <f>10.7744 * CHOOSE(CONTROL!$C$22, $C$13, 100%, $E$13)</f>
        <v>10.7744</v>
      </c>
      <c r="G598" s="68">
        <f>10.7776 * CHOOSE(CONTROL!$C$22, $C$13, 100%, $E$13)</f>
        <v>10.7776</v>
      </c>
      <c r="H598" s="68">
        <f>17.4941* CHOOSE(CONTROL!$C$22, $C$13, 100%, $E$13)</f>
        <v>17.4941</v>
      </c>
      <c r="I598" s="68">
        <f>17.4974 * CHOOSE(CONTROL!$C$22, $C$13, 100%, $E$13)</f>
        <v>17.497399999999999</v>
      </c>
      <c r="J598" s="68">
        <f>10.7744 * CHOOSE(CONTROL!$C$22, $C$13, 100%, $E$13)</f>
        <v>10.7744</v>
      </c>
      <c r="K598" s="68">
        <f>10.7776 * CHOOSE(CONTROL!$C$22, $C$13, 100%, $E$13)</f>
        <v>10.7776</v>
      </c>
    </row>
    <row r="599" spans="1:11" ht="15">
      <c r="A599" s="13">
        <v>59353</v>
      </c>
      <c r="B599" s="67">
        <f>9.2757 * CHOOSE(CONTROL!$C$22, $C$13, 100%, $E$13)</f>
        <v>9.2757000000000005</v>
      </c>
      <c r="C599" s="67">
        <f>9.2757 * CHOOSE(CONTROL!$C$22, $C$13, 100%, $E$13)</f>
        <v>9.2757000000000005</v>
      </c>
      <c r="D599" s="67">
        <f>9.2783 * CHOOSE(CONTROL!$C$22, $C$13, 100%, $E$13)</f>
        <v>9.2782999999999998</v>
      </c>
      <c r="E599" s="68">
        <f>10.9496 * CHOOSE(CONTROL!$C$22, $C$13, 100%, $E$13)</f>
        <v>10.9496</v>
      </c>
      <c r="F599" s="68">
        <f>10.9496 * CHOOSE(CONTROL!$C$22, $C$13, 100%, $E$13)</f>
        <v>10.9496</v>
      </c>
      <c r="G599" s="68">
        <f>10.9529 * CHOOSE(CONTROL!$C$22, $C$13, 100%, $E$13)</f>
        <v>10.9529</v>
      </c>
      <c r="H599" s="68">
        <f>17.5306* CHOOSE(CONTROL!$C$22, $C$13, 100%, $E$13)</f>
        <v>17.5306</v>
      </c>
      <c r="I599" s="68">
        <f>17.5338 * CHOOSE(CONTROL!$C$22, $C$13, 100%, $E$13)</f>
        <v>17.533799999999999</v>
      </c>
      <c r="J599" s="68">
        <f>10.9496 * CHOOSE(CONTROL!$C$22, $C$13, 100%, $E$13)</f>
        <v>10.9496</v>
      </c>
      <c r="K599" s="68">
        <f>10.9529 * CHOOSE(CONTROL!$C$22, $C$13, 100%, $E$13)</f>
        <v>10.9529</v>
      </c>
    </row>
    <row r="600" spans="1:11" ht="15">
      <c r="A600" s="13">
        <v>59384</v>
      </c>
      <c r="B600" s="67">
        <f>9.2823 * CHOOSE(CONTROL!$C$22, $C$13, 100%, $E$13)</f>
        <v>9.2822999999999993</v>
      </c>
      <c r="C600" s="67">
        <f>9.2823 * CHOOSE(CONTROL!$C$22, $C$13, 100%, $E$13)</f>
        <v>9.2822999999999993</v>
      </c>
      <c r="D600" s="67">
        <f>9.285 * CHOOSE(CONTROL!$C$22, $C$13, 100%, $E$13)</f>
        <v>9.2850000000000001</v>
      </c>
      <c r="E600" s="68">
        <f>10.782 * CHOOSE(CONTROL!$C$22, $C$13, 100%, $E$13)</f>
        <v>10.782</v>
      </c>
      <c r="F600" s="68">
        <f>10.782 * CHOOSE(CONTROL!$C$22, $C$13, 100%, $E$13)</f>
        <v>10.782</v>
      </c>
      <c r="G600" s="68">
        <f>10.7853 * CHOOSE(CONTROL!$C$22, $C$13, 100%, $E$13)</f>
        <v>10.785299999999999</v>
      </c>
      <c r="H600" s="68">
        <f>17.5671* CHOOSE(CONTROL!$C$22, $C$13, 100%, $E$13)</f>
        <v>17.5671</v>
      </c>
      <c r="I600" s="68">
        <f>17.5703 * CHOOSE(CONTROL!$C$22, $C$13, 100%, $E$13)</f>
        <v>17.5703</v>
      </c>
      <c r="J600" s="68">
        <f>10.782 * CHOOSE(CONTROL!$C$22, $C$13, 100%, $E$13)</f>
        <v>10.782</v>
      </c>
      <c r="K600" s="68">
        <f>10.7853 * CHOOSE(CONTROL!$C$22, $C$13, 100%, $E$13)</f>
        <v>10.785299999999999</v>
      </c>
    </row>
    <row r="601" spans="1:11" ht="15">
      <c r="A601" s="13">
        <v>59415</v>
      </c>
      <c r="B601" s="67">
        <f>9.2793 * CHOOSE(CONTROL!$C$22, $C$13, 100%, $E$13)</f>
        <v>9.2792999999999992</v>
      </c>
      <c r="C601" s="67">
        <f>9.2793 * CHOOSE(CONTROL!$C$22, $C$13, 100%, $E$13)</f>
        <v>9.2792999999999992</v>
      </c>
      <c r="D601" s="67">
        <f>9.2819 * CHOOSE(CONTROL!$C$22, $C$13, 100%, $E$13)</f>
        <v>9.2819000000000003</v>
      </c>
      <c r="E601" s="68">
        <f>10.7607 * CHOOSE(CONTROL!$C$22, $C$13, 100%, $E$13)</f>
        <v>10.7607</v>
      </c>
      <c r="F601" s="68">
        <f>10.7607 * CHOOSE(CONTROL!$C$22, $C$13, 100%, $E$13)</f>
        <v>10.7607</v>
      </c>
      <c r="G601" s="68">
        <f>10.764 * CHOOSE(CONTROL!$C$22, $C$13, 100%, $E$13)</f>
        <v>10.763999999999999</v>
      </c>
      <c r="H601" s="68">
        <f>17.6037* CHOOSE(CONTROL!$C$22, $C$13, 100%, $E$13)</f>
        <v>17.6037</v>
      </c>
      <c r="I601" s="68">
        <f>17.6069 * CHOOSE(CONTROL!$C$22, $C$13, 100%, $E$13)</f>
        <v>17.6069</v>
      </c>
      <c r="J601" s="68">
        <f>10.7607 * CHOOSE(CONTROL!$C$22, $C$13, 100%, $E$13)</f>
        <v>10.7607</v>
      </c>
      <c r="K601" s="68">
        <f>10.764 * CHOOSE(CONTROL!$C$22, $C$13, 100%, $E$13)</f>
        <v>10.763999999999999</v>
      </c>
    </row>
    <row r="602" spans="1:11" ht="15">
      <c r="A602" s="13">
        <v>59445</v>
      </c>
      <c r="B602" s="67">
        <f>9.2916 * CHOOSE(CONTROL!$C$22, $C$13, 100%, $E$13)</f>
        <v>9.2916000000000007</v>
      </c>
      <c r="C602" s="67">
        <f>9.2916 * CHOOSE(CONTROL!$C$22, $C$13, 100%, $E$13)</f>
        <v>9.2916000000000007</v>
      </c>
      <c r="D602" s="67">
        <f>9.2925 * CHOOSE(CONTROL!$C$22, $C$13, 100%, $E$13)</f>
        <v>9.2925000000000004</v>
      </c>
      <c r="E602" s="68">
        <f>10.8239 * CHOOSE(CONTROL!$C$22, $C$13, 100%, $E$13)</f>
        <v>10.8239</v>
      </c>
      <c r="F602" s="68">
        <f>10.8239 * CHOOSE(CONTROL!$C$22, $C$13, 100%, $E$13)</f>
        <v>10.8239</v>
      </c>
      <c r="G602" s="68">
        <f>10.8252 * CHOOSE(CONTROL!$C$22, $C$13, 100%, $E$13)</f>
        <v>10.825200000000001</v>
      </c>
      <c r="H602" s="68">
        <f>17.6404* CHOOSE(CONTROL!$C$22, $C$13, 100%, $E$13)</f>
        <v>17.6404</v>
      </c>
      <c r="I602" s="68">
        <f>17.6416 * CHOOSE(CONTROL!$C$22, $C$13, 100%, $E$13)</f>
        <v>17.6416</v>
      </c>
      <c r="J602" s="68">
        <f>10.8239 * CHOOSE(CONTROL!$C$22, $C$13, 100%, $E$13)</f>
        <v>10.8239</v>
      </c>
      <c r="K602" s="68">
        <f>10.8252 * CHOOSE(CONTROL!$C$22, $C$13, 100%, $E$13)</f>
        <v>10.825200000000001</v>
      </c>
    </row>
    <row r="603" spans="1:11" ht="15">
      <c r="A603" s="13">
        <v>59476</v>
      </c>
      <c r="B603" s="67">
        <f>9.2946 * CHOOSE(CONTROL!$C$22, $C$13, 100%, $E$13)</f>
        <v>9.2946000000000009</v>
      </c>
      <c r="C603" s="67">
        <f>9.2946 * CHOOSE(CONTROL!$C$22, $C$13, 100%, $E$13)</f>
        <v>9.2946000000000009</v>
      </c>
      <c r="D603" s="67">
        <f>9.2956 * CHOOSE(CONTROL!$C$22, $C$13, 100%, $E$13)</f>
        <v>9.2956000000000003</v>
      </c>
      <c r="E603" s="68">
        <f>10.8643 * CHOOSE(CONTROL!$C$22, $C$13, 100%, $E$13)</f>
        <v>10.8643</v>
      </c>
      <c r="F603" s="68">
        <f>10.8643 * CHOOSE(CONTROL!$C$22, $C$13, 100%, $E$13)</f>
        <v>10.8643</v>
      </c>
      <c r="G603" s="68">
        <f>10.8656 * CHOOSE(CONTROL!$C$22, $C$13, 100%, $E$13)</f>
        <v>10.865600000000001</v>
      </c>
      <c r="H603" s="68">
        <f>17.6771* CHOOSE(CONTROL!$C$22, $C$13, 100%, $E$13)</f>
        <v>17.677099999999999</v>
      </c>
      <c r="I603" s="68">
        <f>17.6784 * CHOOSE(CONTROL!$C$22, $C$13, 100%, $E$13)</f>
        <v>17.6784</v>
      </c>
      <c r="J603" s="68">
        <f>10.8643 * CHOOSE(CONTROL!$C$22, $C$13, 100%, $E$13)</f>
        <v>10.8643</v>
      </c>
      <c r="K603" s="68">
        <f>10.8656 * CHOOSE(CONTROL!$C$22, $C$13, 100%, $E$13)</f>
        <v>10.865600000000001</v>
      </c>
    </row>
    <row r="604" spans="1:11" ht="15">
      <c r="A604" s="13">
        <v>59506</v>
      </c>
      <c r="B604" s="67">
        <f>9.2946 * CHOOSE(CONTROL!$C$22, $C$13, 100%, $E$13)</f>
        <v>9.2946000000000009</v>
      </c>
      <c r="C604" s="67">
        <f>9.2946 * CHOOSE(CONTROL!$C$22, $C$13, 100%, $E$13)</f>
        <v>9.2946000000000009</v>
      </c>
      <c r="D604" s="67">
        <f>9.2956 * CHOOSE(CONTROL!$C$22, $C$13, 100%, $E$13)</f>
        <v>9.2956000000000003</v>
      </c>
      <c r="E604" s="68">
        <f>10.7686 * CHOOSE(CONTROL!$C$22, $C$13, 100%, $E$13)</f>
        <v>10.768599999999999</v>
      </c>
      <c r="F604" s="68">
        <f>10.7686 * CHOOSE(CONTROL!$C$22, $C$13, 100%, $E$13)</f>
        <v>10.768599999999999</v>
      </c>
      <c r="G604" s="68">
        <f>10.7699 * CHOOSE(CONTROL!$C$22, $C$13, 100%, $E$13)</f>
        <v>10.7699</v>
      </c>
      <c r="H604" s="68">
        <f>17.7139* CHOOSE(CONTROL!$C$22, $C$13, 100%, $E$13)</f>
        <v>17.713899999999999</v>
      </c>
      <c r="I604" s="68">
        <f>17.7152 * CHOOSE(CONTROL!$C$22, $C$13, 100%, $E$13)</f>
        <v>17.715199999999999</v>
      </c>
      <c r="J604" s="68">
        <f>10.7686 * CHOOSE(CONTROL!$C$22, $C$13, 100%, $E$13)</f>
        <v>10.768599999999999</v>
      </c>
      <c r="K604" s="68">
        <f>10.7699 * CHOOSE(CONTROL!$C$22, $C$13, 100%, $E$13)</f>
        <v>10.7699</v>
      </c>
    </row>
    <row r="605" spans="1:11" ht="15">
      <c r="A605" s="13">
        <v>59537</v>
      </c>
      <c r="B605" s="67">
        <f>9.3673 * CHOOSE(CONTROL!$C$22, $C$13, 100%, $E$13)</f>
        <v>9.3673000000000002</v>
      </c>
      <c r="C605" s="67">
        <f>9.3673 * CHOOSE(CONTROL!$C$22, $C$13, 100%, $E$13)</f>
        <v>9.3673000000000002</v>
      </c>
      <c r="D605" s="67">
        <f>9.3683 * CHOOSE(CONTROL!$C$22, $C$13, 100%, $E$13)</f>
        <v>9.3682999999999996</v>
      </c>
      <c r="E605" s="68">
        <f>10.9185 * CHOOSE(CONTROL!$C$22, $C$13, 100%, $E$13)</f>
        <v>10.9185</v>
      </c>
      <c r="F605" s="68">
        <f>10.9185 * CHOOSE(CONTROL!$C$22, $C$13, 100%, $E$13)</f>
        <v>10.9185</v>
      </c>
      <c r="G605" s="68">
        <f>10.9198 * CHOOSE(CONTROL!$C$22, $C$13, 100%, $E$13)</f>
        <v>10.9198</v>
      </c>
      <c r="H605" s="68">
        <f>17.74* CHOOSE(CONTROL!$C$22, $C$13, 100%, $E$13)</f>
        <v>17.739999999999998</v>
      </c>
      <c r="I605" s="68">
        <f>17.7413 * CHOOSE(CONTROL!$C$22, $C$13, 100%, $E$13)</f>
        <v>17.741299999999999</v>
      </c>
      <c r="J605" s="68">
        <f>10.9185 * CHOOSE(CONTROL!$C$22, $C$13, 100%, $E$13)</f>
        <v>10.9185</v>
      </c>
      <c r="K605" s="68">
        <f>10.9198 * CHOOSE(CONTROL!$C$22, $C$13, 100%, $E$13)</f>
        <v>10.9198</v>
      </c>
    </row>
    <row r="606" spans="1:11" ht="15">
      <c r="A606" s="13">
        <v>59568</v>
      </c>
      <c r="B606" s="67">
        <f>9.3643 * CHOOSE(CONTROL!$C$22, $C$13, 100%, $E$13)</f>
        <v>9.3643000000000001</v>
      </c>
      <c r="C606" s="67">
        <f>9.3643 * CHOOSE(CONTROL!$C$22, $C$13, 100%, $E$13)</f>
        <v>9.3643000000000001</v>
      </c>
      <c r="D606" s="67">
        <f>9.3653 * CHOOSE(CONTROL!$C$22, $C$13, 100%, $E$13)</f>
        <v>9.3652999999999995</v>
      </c>
      <c r="E606" s="68">
        <f>10.7305 * CHOOSE(CONTROL!$C$22, $C$13, 100%, $E$13)</f>
        <v>10.730499999999999</v>
      </c>
      <c r="F606" s="68">
        <f>10.7305 * CHOOSE(CONTROL!$C$22, $C$13, 100%, $E$13)</f>
        <v>10.730499999999999</v>
      </c>
      <c r="G606" s="68">
        <f>10.7318 * CHOOSE(CONTROL!$C$22, $C$13, 100%, $E$13)</f>
        <v>10.7318</v>
      </c>
      <c r="H606" s="68">
        <f>17.777* CHOOSE(CONTROL!$C$22, $C$13, 100%, $E$13)</f>
        <v>17.777000000000001</v>
      </c>
      <c r="I606" s="68">
        <f>17.7783 * CHOOSE(CONTROL!$C$22, $C$13, 100%, $E$13)</f>
        <v>17.778300000000002</v>
      </c>
      <c r="J606" s="68">
        <f>10.7305 * CHOOSE(CONTROL!$C$22, $C$13, 100%, $E$13)</f>
        <v>10.730499999999999</v>
      </c>
      <c r="K606" s="68">
        <f>10.7318 * CHOOSE(CONTROL!$C$22, $C$13, 100%, $E$13)</f>
        <v>10.7318</v>
      </c>
    </row>
    <row r="607" spans="1:11" ht="15">
      <c r="A607" s="13">
        <v>59596</v>
      </c>
      <c r="B607" s="67">
        <f>9.3612 * CHOOSE(CONTROL!$C$22, $C$13, 100%, $E$13)</f>
        <v>9.3612000000000002</v>
      </c>
      <c r="C607" s="67">
        <f>9.3612 * CHOOSE(CONTROL!$C$22, $C$13, 100%, $E$13)</f>
        <v>9.3612000000000002</v>
      </c>
      <c r="D607" s="67">
        <f>9.3622 * CHOOSE(CONTROL!$C$22, $C$13, 100%, $E$13)</f>
        <v>9.3621999999999996</v>
      </c>
      <c r="E607" s="68">
        <f>10.8749 * CHOOSE(CONTROL!$C$22, $C$13, 100%, $E$13)</f>
        <v>10.8749</v>
      </c>
      <c r="F607" s="68">
        <f>10.8749 * CHOOSE(CONTROL!$C$22, $C$13, 100%, $E$13)</f>
        <v>10.8749</v>
      </c>
      <c r="G607" s="68">
        <f>10.8762 * CHOOSE(CONTROL!$C$22, $C$13, 100%, $E$13)</f>
        <v>10.876200000000001</v>
      </c>
      <c r="H607" s="68">
        <f>17.814* CHOOSE(CONTROL!$C$22, $C$13, 100%, $E$13)</f>
        <v>17.814</v>
      </c>
      <c r="I607" s="68">
        <f>17.8153 * CHOOSE(CONTROL!$C$22, $C$13, 100%, $E$13)</f>
        <v>17.815300000000001</v>
      </c>
      <c r="J607" s="68">
        <f>10.8749 * CHOOSE(CONTROL!$C$22, $C$13, 100%, $E$13)</f>
        <v>10.8749</v>
      </c>
      <c r="K607" s="68">
        <f>10.8762 * CHOOSE(CONTROL!$C$22, $C$13, 100%, $E$13)</f>
        <v>10.876200000000001</v>
      </c>
    </row>
    <row r="608" spans="1:11" ht="15">
      <c r="A608" s="13">
        <v>59627</v>
      </c>
      <c r="B608" s="67">
        <f>9.3634 * CHOOSE(CONTROL!$C$22, $C$13, 100%, $E$13)</f>
        <v>9.3634000000000004</v>
      </c>
      <c r="C608" s="67">
        <f>9.3634 * CHOOSE(CONTROL!$C$22, $C$13, 100%, $E$13)</f>
        <v>9.3634000000000004</v>
      </c>
      <c r="D608" s="67">
        <f>9.3644 * CHOOSE(CONTROL!$C$22, $C$13, 100%, $E$13)</f>
        <v>9.3643999999999998</v>
      </c>
      <c r="E608" s="68">
        <f>11.028 * CHOOSE(CONTROL!$C$22, $C$13, 100%, $E$13)</f>
        <v>11.028</v>
      </c>
      <c r="F608" s="68">
        <f>11.028 * CHOOSE(CONTROL!$C$22, $C$13, 100%, $E$13)</f>
        <v>11.028</v>
      </c>
      <c r="G608" s="68">
        <f>11.0293 * CHOOSE(CONTROL!$C$22, $C$13, 100%, $E$13)</f>
        <v>11.029299999999999</v>
      </c>
      <c r="H608" s="68">
        <f>17.8512* CHOOSE(CONTROL!$C$22, $C$13, 100%, $E$13)</f>
        <v>17.851199999999999</v>
      </c>
      <c r="I608" s="68">
        <f>17.8524 * CHOOSE(CONTROL!$C$22, $C$13, 100%, $E$13)</f>
        <v>17.852399999999999</v>
      </c>
      <c r="J608" s="68">
        <f>11.028 * CHOOSE(CONTROL!$C$22, $C$13, 100%, $E$13)</f>
        <v>11.028</v>
      </c>
      <c r="K608" s="68">
        <f>11.0293 * CHOOSE(CONTROL!$C$22, $C$13, 100%, $E$13)</f>
        <v>11.029299999999999</v>
      </c>
    </row>
    <row r="609" spans="1:11" ht="15">
      <c r="A609" s="13">
        <v>59657</v>
      </c>
      <c r="B609" s="67">
        <f>9.3634 * CHOOSE(CONTROL!$C$22, $C$13, 100%, $E$13)</f>
        <v>9.3634000000000004</v>
      </c>
      <c r="C609" s="67">
        <f>9.3634 * CHOOSE(CONTROL!$C$22, $C$13, 100%, $E$13)</f>
        <v>9.3634000000000004</v>
      </c>
      <c r="D609" s="67">
        <f>9.3661 * CHOOSE(CONTROL!$C$22, $C$13, 100%, $E$13)</f>
        <v>9.3660999999999994</v>
      </c>
      <c r="E609" s="68">
        <f>11.087 * CHOOSE(CONTROL!$C$22, $C$13, 100%, $E$13)</f>
        <v>11.087</v>
      </c>
      <c r="F609" s="68">
        <f>11.087 * CHOOSE(CONTROL!$C$22, $C$13, 100%, $E$13)</f>
        <v>11.087</v>
      </c>
      <c r="G609" s="68">
        <f>11.0903 * CHOOSE(CONTROL!$C$22, $C$13, 100%, $E$13)</f>
        <v>11.090299999999999</v>
      </c>
      <c r="H609" s="68">
        <f>17.8883* CHOOSE(CONTROL!$C$22, $C$13, 100%, $E$13)</f>
        <v>17.888300000000001</v>
      </c>
      <c r="I609" s="68">
        <f>17.8916 * CHOOSE(CONTROL!$C$22, $C$13, 100%, $E$13)</f>
        <v>17.8916</v>
      </c>
      <c r="J609" s="68">
        <f>11.087 * CHOOSE(CONTROL!$C$22, $C$13, 100%, $E$13)</f>
        <v>11.087</v>
      </c>
      <c r="K609" s="68">
        <f>11.0903 * CHOOSE(CONTROL!$C$22, $C$13, 100%, $E$13)</f>
        <v>11.090299999999999</v>
      </c>
    </row>
    <row r="610" spans="1:11" ht="15">
      <c r="A610" s="13">
        <v>59688</v>
      </c>
      <c r="B610" s="67">
        <f>9.3695 * CHOOSE(CONTROL!$C$22, $C$13, 100%, $E$13)</f>
        <v>9.3695000000000004</v>
      </c>
      <c r="C610" s="67">
        <f>9.3695 * CHOOSE(CONTROL!$C$22, $C$13, 100%, $E$13)</f>
        <v>9.3695000000000004</v>
      </c>
      <c r="D610" s="67">
        <f>9.3721 * CHOOSE(CONTROL!$C$22, $C$13, 100%, $E$13)</f>
        <v>9.3720999999999997</v>
      </c>
      <c r="E610" s="68">
        <f>11.0322 * CHOOSE(CONTROL!$C$22, $C$13, 100%, $E$13)</f>
        <v>11.0322</v>
      </c>
      <c r="F610" s="68">
        <f>11.0322 * CHOOSE(CONTROL!$C$22, $C$13, 100%, $E$13)</f>
        <v>11.0322</v>
      </c>
      <c r="G610" s="68">
        <f>11.0355 * CHOOSE(CONTROL!$C$22, $C$13, 100%, $E$13)</f>
        <v>11.035500000000001</v>
      </c>
      <c r="H610" s="68">
        <f>17.9256* CHOOSE(CONTROL!$C$22, $C$13, 100%, $E$13)</f>
        <v>17.925599999999999</v>
      </c>
      <c r="I610" s="68">
        <f>17.9289 * CHOOSE(CONTROL!$C$22, $C$13, 100%, $E$13)</f>
        <v>17.928899999999999</v>
      </c>
      <c r="J610" s="68">
        <f>11.0322 * CHOOSE(CONTROL!$C$22, $C$13, 100%, $E$13)</f>
        <v>11.0322</v>
      </c>
      <c r="K610" s="68">
        <f>11.0355 * CHOOSE(CONTROL!$C$22, $C$13, 100%, $E$13)</f>
        <v>11.035500000000001</v>
      </c>
    </row>
    <row r="611" spans="1:11" ht="15">
      <c r="A611" s="13">
        <v>59718</v>
      </c>
      <c r="B611" s="67">
        <f>9.5148 * CHOOSE(CONTROL!$C$22, $C$13, 100%, $E$13)</f>
        <v>9.5147999999999993</v>
      </c>
      <c r="C611" s="67">
        <f>9.5148 * CHOOSE(CONTROL!$C$22, $C$13, 100%, $E$13)</f>
        <v>9.5147999999999993</v>
      </c>
      <c r="D611" s="67">
        <f>9.5175 * CHOOSE(CONTROL!$C$22, $C$13, 100%, $E$13)</f>
        <v>9.5175000000000001</v>
      </c>
      <c r="E611" s="68">
        <f>11.2114 * CHOOSE(CONTROL!$C$22, $C$13, 100%, $E$13)</f>
        <v>11.211399999999999</v>
      </c>
      <c r="F611" s="68">
        <f>11.2114 * CHOOSE(CONTROL!$C$22, $C$13, 100%, $E$13)</f>
        <v>11.211399999999999</v>
      </c>
      <c r="G611" s="68">
        <f>11.2147 * CHOOSE(CONTROL!$C$22, $C$13, 100%, $E$13)</f>
        <v>11.214700000000001</v>
      </c>
      <c r="H611" s="68">
        <f>17.963* CHOOSE(CONTROL!$C$22, $C$13, 100%, $E$13)</f>
        <v>17.963000000000001</v>
      </c>
      <c r="I611" s="68">
        <f>17.9662 * CHOOSE(CONTROL!$C$22, $C$13, 100%, $E$13)</f>
        <v>17.966200000000001</v>
      </c>
      <c r="J611" s="68">
        <f>11.2114 * CHOOSE(CONTROL!$C$22, $C$13, 100%, $E$13)</f>
        <v>11.211399999999999</v>
      </c>
      <c r="K611" s="68">
        <f>11.2147 * CHOOSE(CONTROL!$C$22, $C$13, 100%, $E$13)</f>
        <v>11.214700000000001</v>
      </c>
    </row>
    <row r="612" spans="1:11" ht="15">
      <c r="A612" s="13">
        <v>59749</v>
      </c>
      <c r="B612" s="67">
        <f>9.5215 * CHOOSE(CONTROL!$C$22, $C$13, 100%, $E$13)</f>
        <v>9.5214999999999996</v>
      </c>
      <c r="C612" s="67">
        <f>9.5215 * CHOOSE(CONTROL!$C$22, $C$13, 100%, $E$13)</f>
        <v>9.5214999999999996</v>
      </c>
      <c r="D612" s="67">
        <f>9.5241 * CHOOSE(CONTROL!$C$22, $C$13, 100%, $E$13)</f>
        <v>9.5241000000000007</v>
      </c>
      <c r="E612" s="68">
        <f>11.0391 * CHOOSE(CONTROL!$C$22, $C$13, 100%, $E$13)</f>
        <v>11.039099999999999</v>
      </c>
      <c r="F612" s="68">
        <f>11.0391 * CHOOSE(CONTROL!$C$22, $C$13, 100%, $E$13)</f>
        <v>11.039099999999999</v>
      </c>
      <c r="G612" s="68">
        <f>11.0423 * CHOOSE(CONTROL!$C$22, $C$13, 100%, $E$13)</f>
        <v>11.042299999999999</v>
      </c>
      <c r="H612" s="68">
        <f>18.0004* CHOOSE(CONTROL!$C$22, $C$13, 100%, $E$13)</f>
        <v>18.000399999999999</v>
      </c>
      <c r="I612" s="68">
        <f>18.0036 * CHOOSE(CONTROL!$C$22, $C$13, 100%, $E$13)</f>
        <v>18.003599999999999</v>
      </c>
      <c r="J612" s="68">
        <f>11.0391 * CHOOSE(CONTROL!$C$22, $C$13, 100%, $E$13)</f>
        <v>11.039099999999999</v>
      </c>
      <c r="K612" s="68">
        <f>11.0423 * CHOOSE(CONTROL!$C$22, $C$13, 100%, $E$13)</f>
        <v>11.042299999999999</v>
      </c>
    </row>
    <row r="613" spans="1:11" ht="15">
      <c r="A613" s="13">
        <v>59780</v>
      </c>
      <c r="B613" s="67">
        <f>9.5185 * CHOOSE(CONTROL!$C$22, $C$13, 100%, $E$13)</f>
        <v>9.5184999999999995</v>
      </c>
      <c r="C613" s="67">
        <f>9.5185 * CHOOSE(CONTROL!$C$22, $C$13, 100%, $E$13)</f>
        <v>9.5184999999999995</v>
      </c>
      <c r="D613" s="67">
        <f>9.5211 * CHOOSE(CONTROL!$C$22, $C$13, 100%, $E$13)</f>
        <v>9.5211000000000006</v>
      </c>
      <c r="E613" s="68">
        <f>11.0173 * CHOOSE(CONTROL!$C$22, $C$13, 100%, $E$13)</f>
        <v>11.017300000000001</v>
      </c>
      <c r="F613" s="68">
        <f>11.0173 * CHOOSE(CONTROL!$C$22, $C$13, 100%, $E$13)</f>
        <v>11.017300000000001</v>
      </c>
      <c r="G613" s="68">
        <f>11.0205 * CHOOSE(CONTROL!$C$22, $C$13, 100%, $E$13)</f>
        <v>11.0205</v>
      </c>
      <c r="H613" s="68">
        <f>18.0379* CHOOSE(CONTROL!$C$22, $C$13, 100%, $E$13)</f>
        <v>18.0379</v>
      </c>
      <c r="I613" s="68">
        <f>18.0411 * CHOOSE(CONTROL!$C$22, $C$13, 100%, $E$13)</f>
        <v>18.0411</v>
      </c>
      <c r="J613" s="68">
        <f>11.0173 * CHOOSE(CONTROL!$C$22, $C$13, 100%, $E$13)</f>
        <v>11.017300000000001</v>
      </c>
      <c r="K613" s="68">
        <f>11.0205 * CHOOSE(CONTROL!$C$22, $C$13, 100%, $E$13)</f>
        <v>11.0205</v>
      </c>
    </row>
    <row r="614" spans="1:11" ht="15">
      <c r="A614" s="13">
        <v>59810</v>
      </c>
      <c r="B614" s="67">
        <f>9.5315 * CHOOSE(CONTROL!$C$22, $C$13, 100%, $E$13)</f>
        <v>9.5314999999999994</v>
      </c>
      <c r="C614" s="67">
        <f>9.5315 * CHOOSE(CONTROL!$C$22, $C$13, 100%, $E$13)</f>
        <v>9.5314999999999994</v>
      </c>
      <c r="D614" s="67">
        <f>9.5325 * CHOOSE(CONTROL!$C$22, $C$13, 100%, $E$13)</f>
        <v>9.5325000000000006</v>
      </c>
      <c r="E614" s="68">
        <f>11.0825 * CHOOSE(CONTROL!$C$22, $C$13, 100%, $E$13)</f>
        <v>11.0825</v>
      </c>
      <c r="F614" s="68">
        <f>11.0825 * CHOOSE(CONTROL!$C$22, $C$13, 100%, $E$13)</f>
        <v>11.0825</v>
      </c>
      <c r="G614" s="68">
        <f>11.0838 * CHOOSE(CONTROL!$C$22, $C$13, 100%, $E$13)</f>
        <v>11.0838</v>
      </c>
      <c r="H614" s="68">
        <f>18.0755* CHOOSE(CONTROL!$C$22, $C$13, 100%, $E$13)</f>
        <v>18.075500000000002</v>
      </c>
      <c r="I614" s="68">
        <f>18.0767 * CHOOSE(CONTROL!$C$22, $C$13, 100%, $E$13)</f>
        <v>18.076699999999999</v>
      </c>
      <c r="J614" s="68">
        <f>11.0825 * CHOOSE(CONTROL!$C$22, $C$13, 100%, $E$13)</f>
        <v>11.0825</v>
      </c>
      <c r="K614" s="68">
        <f>11.0838 * CHOOSE(CONTROL!$C$22, $C$13, 100%, $E$13)</f>
        <v>11.0838</v>
      </c>
    </row>
    <row r="615" spans="1:11" ht="15">
      <c r="A615" s="13">
        <v>59841</v>
      </c>
      <c r="B615" s="67">
        <f>9.5345 * CHOOSE(CONTROL!$C$22, $C$13, 100%, $E$13)</f>
        <v>9.5344999999999995</v>
      </c>
      <c r="C615" s="67">
        <f>9.5345 * CHOOSE(CONTROL!$C$22, $C$13, 100%, $E$13)</f>
        <v>9.5344999999999995</v>
      </c>
      <c r="D615" s="67">
        <f>9.5355 * CHOOSE(CONTROL!$C$22, $C$13, 100%, $E$13)</f>
        <v>9.5355000000000008</v>
      </c>
      <c r="E615" s="68">
        <f>11.124 * CHOOSE(CONTROL!$C$22, $C$13, 100%, $E$13)</f>
        <v>11.124000000000001</v>
      </c>
      <c r="F615" s="68">
        <f>11.124 * CHOOSE(CONTROL!$C$22, $C$13, 100%, $E$13)</f>
        <v>11.124000000000001</v>
      </c>
      <c r="G615" s="68">
        <f>11.1253 * CHOOSE(CONTROL!$C$22, $C$13, 100%, $E$13)</f>
        <v>11.125299999999999</v>
      </c>
      <c r="H615" s="68">
        <f>18.1131* CHOOSE(CONTROL!$C$22, $C$13, 100%, $E$13)</f>
        <v>18.113099999999999</v>
      </c>
      <c r="I615" s="68">
        <f>18.1144 * CHOOSE(CONTROL!$C$22, $C$13, 100%, $E$13)</f>
        <v>18.1144</v>
      </c>
      <c r="J615" s="68">
        <f>11.124 * CHOOSE(CONTROL!$C$22, $C$13, 100%, $E$13)</f>
        <v>11.124000000000001</v>
      </c>
      <c r="K615" s="68">
        <f>11.1253 * CHOOSE(CONTROL!$C$22, $C$13, 100%, $E$13)</f>
        <v>11.125299999999999</v>
      </c>
    </row>
    <row r="616" spans="1:11" ht="15">
      <c r="A616" s="13">
        <v>59871</v>
      </c>
      <c r="B616" s="67">
        <f>9.5345 * CHOOSE(CONTROL!$C$22, $C$13, 100%, $E$13)</f>
        <v>9.5344999999999995</v>
      </c>
      <c r="C616" s="67">
        <f>9.5345 * CHOOSE(CONTROL!$C$22, $C$13, 100%, $E$13)</f>
        <v>9.5344999999999995</v>
      </c>
      <c r="D616" s="67">
        <f>9.5355 * CHOOSE(CONTROL!$C$22, $C$13, 100%, $E$13)</f>
        <v>9.5355000000000008</v>
      </c>
      <c r="E616" s="68">
        <f>11.0257 * CHOOSE(CONTROL!$C$22, $C$13, 100%, $E$13)</f>
        <v>11.025700000000001</v>
      </c>
      <c r="F616" s="68">
        <f>11.0257 * CHOOSE(CONTROL!$C$22, $C$13, 100%, $E$13)</f>
        <v>11.025700000000001</v>
      </c>
      <c r="G616" s="68">
        <f>11.0269 * CHOOSE(CONTROL!$C$22, $C$13, 100%, $E$13)</f>
        <v>11.026899999999999</v>
      </c>
      <c r="H616" s="68">
        <f>18.1508* CHOOSE(CONTROL!$C$22, $C$13, 100%, $E$13)</f>
        <v>18.1508</v>
      </c>
      <c r="I616" s="68">
        <f>18.1521 * CHOOSE(CONTROL!$C$22, $C$13, 100%, $E$13)</f>
        <v>18.152100000000001</v>
      </c>
      <c r="J616" s="68">
        <f>11.0257 * CHOOSE(CONTROL!$C$22, $C$13, 100%, $E$13)</f>
        <v>11.025700000000001</v>
      </c>
      <c r="K616" s="68">
        <f>11.0269 * CHOOSE(CONTROL!$C$22, $C$13, 100%, $E$13)</f>
        <v>11.026899999999999</v>
      </c>
    </row>
    <row r="617" spans="1:11" ht="15">
      <c r="A617" s="13">
        <v>59902</v>
      </c>
      <c r="B617" s="67">
        <f>9.6029 * CHOOSE(CONTROL!$C$22, $C$13, 100%, $E$13)</f>
        <v>9.6029</v>
      </c>
      <c r="C617" s="67">
        <f>9.6029 * CHOOSE(CONTROL!$C$22, $C$13, 100%, $E$13)</f>
        <v>9.6029</v>
      </c>
      <c r="D617" s="67">
        <f>9.6039 * CHOOSE(CONTROL!$C$22, $C$13, 100%, $E$13)</f>
        <v>9.6038999999999994</v>
      </c>
      <c r="E617" s="68">
        <f>11.1732 * CHOOSE(CONTROL!$C$22, $C$13, 100%, $E$13)</f>
        <v>11.1732</v>
      </c>
      <c r="F617" s="68">
        <f>11.1732 * CHOOSE(CONTROL!$C$22, $C$13, 100%, $E$13)</f>
        <v>11.1732</v>
      </c>
      <c r="G617" s="68">
        <f>11.1745 * CHOOSE(CONTROL!$C$22, $C$13, 100%, $E$13)</f>
        <v>11.1745</v>
      </c>
      <c r="H617" s="68">
        <f>18.1671* CHOOSE(CONTROL!$C$22, $C$13, 100%, $E$13)</f>
        <v>18.167100000000001</v>
      </c>
      <c r="I617" s="68">
        <f>18.1683 * CHOOSE(CONTROL!$C$22, $C$13, 100%, $E$13)</f>
        <v>18.168299999999999</v>
      </c>
      <c r="J617" s="68">
        <f>11.1732 * CHOOSE(CONTROL!$C$22, $C$13, 100%, $E$13)</f>
        <v>11.1732</v>
      </c>
      <c r="K617" s="68">
        <f>11.1745 * CHOOSE(CONTROL!$C$22, $C$13, 100%, $E$13)</f>
        <v>11.1745</v>
      </c>
    </row>
    <row r="618" spans="1:11" ht="15">
      <c r="A618" s="13">
        <v>59933</v>
      </c>
      <c r="B618" s="67">
        <f>9.5999 * CHOOSE(CONTROL!$C$22, $C$13, 100%, $E$13)</f>
        <v>9.5998999999999999</v>
      </c>
      <c r="C618" s="67">
        <f>9.5999 * CHOOSE(CONTROL!$C$22, $C$13, 100%, $E$13)</f>
        <v>9.5998999999999999</v>
      </c>
      <c r="D618" s="67">
        <f>9.6008 * CHOOSE(CONTROL!$C$22, $C$13, 100%, $E$13)</f>
        <v>9.6007999999999996</v>
      </c>
      <c r="E618" s="68">
        <f>10.9803 * CHOOSE(CONTROL!$C$22, $C$13, 100%, $E$13)</f>
        <v>10.9803</v>
      </c>
      <c r="F618" s="68">
        <f>10.9803 * CHOOSE(CONTROL!$C$22, $C$13, 100%, $E$13)</f>
        <v>10.9803</v>
      </c>
      <c r="G618" s="68">
        <f>10.9816 * CHOOSE(CONTROL!$C$22, $C$13, 100%, $E$13)</f>
        <v>10.9816</v>
      </c>
      <c r="H618" s="68">
        <f>18.2049* CHOOSE(CONTROL!$C$22, $C$13, 100%, $E$13)</f>
        <v>18.204899999999999</v>
      </c>
      <c r="I618" s="68">
        <f>18.2062 * CHOOSE(CONTROL!$C$22, $C$13, 100%, $E$13)</f>
        <v>18.206199999999999</v>
      </c>
      <c r="J618" s="68">
        <f>10.9803 * CHOOSE(CONTROL!$C$22, $C$13, 100%, $E$13)</f>
        <v>10.9803</v>
      </c>
      <c r="K618" s="68">
        <f>10.9816 * CHOOSE(CONTROL!$C$22, $C$13, 100%, $E$13)</f>
        <v>10.9816</v>
      </c>
    </row>
    <row r="619" spans="1:11" ht="15">
      <c r="A619" s="13">
        <v>59962</v>
      </c>
      <c r="B619" s="67">
        <f>9.5968 * CHOOSE(CONTROL!$C$22, $C$13, 100%, $E$13)</f>
        <v>9.5968</v>
      </c>
      <c r="C619" s="67">
        <f>9.5968 * CHOOSE(CONTROL!$C$22, $C$13, 100%, $E$13)</f>
        <v>9.5968</v>
      </c>
      <c r="D619" s="67">
        <f>9.5978 * CHOOSE(CONTROL!$C$22, $C$13, 100%, $E$13)</f>
        <v>9.5977999999999994</v>
      </c>
      <c r="E619" s="68">
        <f>11.1286 * CHOOSE(CONTROL!$C$22, $C$13, 100%, $E$13)</f>
        <v>11.1286</v>
      </c>
      <c r="F619" s="68">
        <f>11.1286 * CHOOSE(CONTROL!$C$22, $C$13, 100%, $E$13)</f>
        <v>11.1286</v>
      </c>
      <c r="G619" s="68">
        <f>11.1299 * CHOOSE(CONTROL!$C$22, $C$13, 100%, $E$13)</f>
        <v>11.129899999999999</v>
      </c>
      <c r="H619" s="68">
        <f>18.2428* CHOOSE(CONTROL!$C$22, $C$13, 100%, $E$13)</f>
        <v>18.242799999999999</v>
      </c>
      <c r="I619" s="68">
        <f>18.2441 * CHOOSE(CONTROL!$C$22, $C$13, 100%, $E$13)</f>
        <v>18.2441</v>
      </c>
      <c r="J619" s="68">
        <f>11.1286 * CHOOSE(CONTROL!$C$22, $C$13, 100%, $E$13)</f>
        <v>11.1286</v>
      </c>
      <c r="K619" s="68">
        <f>11.1299 * CHOOSE(CONTROL!$C$22, $C$13, 100%, $E$13)</f>
        <v>11.129899999999999</v>
      </c>
    </row>
    <row r="620" spans="1:11" ht="15">
      <c r="A620" s="13">
        <v>59993</v>
      </c>
      <c r="B620" s="67">
        <f>9.5992 * CHOOSE(CONTROL!$C$22, $C$13, 100%, $E$13)</f>
        <v>9.5991999999999997</v>
      </c>
      <c r="C620" s="67">
        <f>9.5992 * CHOOSE(CONTROL!$C$22, $C$13, 100%, $E$13)</f>
        <v>9.5991999999999997</v>
      </c>
      <c r="D620" s="67">
        <f>9.6002 * CHOOSE(CONTROL!$C$22, $C$13, 100%, $E$13)</f>
        <v>9.6001999999999992</v>
      </c>
      <c r="E620" s="68">
        <f>11.2859 * CHOOSE(CONTROL!$C$22, $C$13, 100%, $E$13)</f>
        <v>11.2859</v>
      </c>
      <c r="F620" s="68">
        <f>11.2859 * CHOOSE(CONTROL!$C$22, $C$13, 100%, $E$13)</f>
        <v>11.2859</v>
      </c>
      <c r="G620" s="68">
        <f>11.2871 * CHOOSE(CONTROL!$C$22, $C$13, 100%, $E$13)</f>
        <v>11.287100000000001</v>
      </c>
      <c r="H620" s="68">
        <f>18.2808* CHOOSE(CONTROL!$C$22, $C$13, 100%, $E$13)</f>
        <v>18.280799999999999</v>
      </c>
      <c r="I620" s="68">
        <f>18.2821 * CHOOSE(CONTROL!$C$22, $C$13, 100%, $E$13)</f>
        <v>18.2821</v>
      </c>
      <c r="J620" s="68">
        <f>11.2859 * CHOOSE(CONTROL!$C$22, $C$13, 100%, $E$13)</f>
        <v>11.2859</v>
      </c>
      <c r="K620" s="68">
        <f>11.2871 * CHOOSE(CONTROL!$C$22, $C$13, 100%, $E$13)</f>
        <v>11.287100000000001</v>
      </c>
    </row>
    <row r="621" spans="1:11" ht="15">
      <c r="A621" s="13">
        <v>60023</v>
      </c>
      <c r="B621" s="67">
        <f>9.5992 * CHOOSE(CONTROL!$C$22, $C$13, 100%, $E$13)</f>
        <v>9.5991999999999997</v>
      </c>
      <c r="C621" s="67">
        <f>9.5992 * CHOOSE(CONTROL!$C$22, $C$13, 100%, $E$13)</f>
        <v>9.5991999999999997</v>
      </c>
      <c r="D621" s="67">
        <f>9.6018 * CHOOSE(CONTROL!$C$22, $C$13, 100%, $E$13)</f>
        <v>9.6018000000000008</v>
      </c>
      <c r="E621" s="68">
        <f>11.3464 * CHOOSE(CONTROL!$C$22, $C$13, 100%, $E$13)</f>
        <v>11.346399999999999</v>
      </c>
      <c r="F621" s="68">
        <f>11.3464 * CHOOSE(CONTROL!$C$22, $C$13, 100%, $E$13)</f>
        <v>11.346399999999999</v>
      </c>
      <c r="G621" s="68">
        <f>11.3497 * CHOOSE(CONTROL!$C$22, $C$13, 100%, $E$13)</f>
        <v>11.3497</v>
      </c>
      <c r="H621" s="68">
        <f>18.3189* CHOOSE(CONTROL!$C$22, $C$13, 100%, $E$13)</f>
        <v>18.318899999999999</v>
      </c>
      <c r="I621" s="68">
        <f>18.3222 * CHOOSE(CONTROL!$C$22, $C$13, 100%, $E$13)</f>
        <v>18.322199999999999</v>
      </c>
      <c r="J621" s="68">
        <f>11.3464 * CHOOSE(CONTROL!$C$22, $C$13, 100%, $E$13)</f>
        <v>11.346399999999999</v>
      </c>
      <c r="K621" s="68">
        <f>11.3497 * CHOOSE(CONTROL!$C$22, $C$13, 100%, $E$13)</f>
        <v>11.3497</v>
      </c>
    </row>
    <row r="622" spans="1:11" ht="15">
      <c r="A622" s="13">
        <v>60054</v>
      </c>
      <c r="B622" s="67">
        <f>9.6053 * CHOOSE(CONTROL!$C$22, $C$13, 100%, $E$13)</f>
        <v>9.6052999999999997</v>
      </c>
      <c r="C622" s="67">
        <f>9.6053 * CHOOSE(CONTROL!$C$22, $C$13, 100%, $E$13)</f>
        <v>9.6052999999999997</v>
      </c>
      <c r="D622" s="67">
        <f>9.6079 * CHOOSE(CONTROL!$C$22, $C$13, 100%, $E$13)</f>
        <v>9.6079000000000008</v>
      </c>
      <c r="E622" s="68">
        <f>11.2901 * CHOOSE(CONTROL!$C$22, $C$13, 100%, $E$13)</f>
        <v>11.290100000000001</v>
      </c>
      <c r="F622" s="68">
        <f>11.2901 * CHOOSE(CONTROL!$C$22, $C$13, 100%, $E$13)</f>
        <v>11.290100000000001</v>
      </c>
      <c r="G622" s="68">
        <f>11.2933 * CHOOSE(CONTROL!$C$22, $C$13, 100%, $E$13)</f>
        <v>11.2933</v>
      </c>
      <c r="H622" s="68">
        <f>18.3571* CHOOSE(CONTROL!$C$22, $C$13, 100%, $E$13)</f>
        <v>18.357099999999999</v>
      </c>
      <c r="I622" s="68">
        <f>18.3603 * CHOOSE(CONTROL!$C$22, $C$13, 100%, $E$13)</f>
        <v>18.360299999999999</v>
      </c>
      <c r="J622" s="68">
        <f>11.2901 * CHOOSE(CONTROL!$C$22, $C$13, 100%, $E$13)</f>
        <v>11.290100000000001</v>
      </c>
      <c r="K622" s="68">
        <f>11.2933 * CHOOSE(CONTROL!$C$22, $C$13, 100%, $E$13)</f>
        <v>11.2933</v>
      </c>
    </row>
    <row r="623" spans="1:11" ht="15">
      <c r="A623" s="13">
        <v>60084</v>
      </c>
      <c r="B623" s="67">
        <f>9.754 * CHOOSE(CONTROL!$C$22, $C$13, 100%, $E$13)</f>
        <v>9.7539999999999996</v>
      </c>
      <c r="C623" s="67">
        <f>9.754 * CHOOSE(CONTROL!$C$22, $C$13, 100%, $E$13)</f>
        <v>9.7539999999999996</v>
      </c>
      <c r="D623" s="67">
        <f>9.7566 * CHOOSE(CONTROL!$C$22, $C$13, 100%, $E$13)</f>
        <v>9.7566000000000006</v>
      </c>
      <c r="E623" s="68">
        <f>11.4732 * CHOOSE(CONTROL!$C$22, $C$13, 100%, $E$13)</f>
        <v>11.4732</v>
      </c>
      <c r="F623" s="68">
        <f>11.4732 * CHOOSE(CONTROL!$C$22, $C$13, 100%, $E$13)</f>
        <v>11.4732</v>
      </c>
      <c r="G623" s="68">
        <f>11.4764 * CHOOSE(CONTROL!$C$22, $C$13, 100%, $E$13)</f>
        <v>11.4764</v>
      </c>
      <c r="H623" s="68">
        <f>18.3953* CHOOSE(CONTROL!$C$22, $C$13, 100%, $E$13)</f>
        <v>18.395299999999999</v>
      </c>
      <c r="I623" s="68">
        <f>18.3986 * CHOOSE(CONTROL!$C$22, $C$13, 100%, $E$13)</f>
        <v>18.398599999999998</v>
      </c>
      <c r="J623" s="68">
        <f>11.4732 * CHOOSE(CONTROL!$C$22, $C$13, 100%, $E$13)</f>
        <v>11.4732</v>
      </c>
      <c r="K623" s="68">
        <f>11.4764 * CHOOSE(CONTROL!$C$22, $C$13, 100%, $E$13)</f>
        <v>11.4764</v>
      </c>
    </row>
    <row r="624" spans="1:11" ht="15">
      <c r="A624" s="13">
        <v>60115</v>
      </c>
      <c r="B624" s="67">
        <f>9.7607 * CHOOSE(CONTROL!$C$22, $C$13, 100%, $E$13)</f>
        <v>9.7606999999999999</v>
      </c>
      <c r="C624" s="67">
        <f>9.7607 * CHOOSE(CONTROL!$C$22, $C$13, 100%, $E$13)</f>
        <v>9.7606999999999999</v>
      </c>
      <c r="D624" s="67">
        <f>9.7633 * CHOOSE(CONTROL!$C$22, $C$13, 100%, $E$13)</f>
        <v>9.7632999999999992</v>
      </c>
      <c r="E624" s="68">
        <f>11.2961 * CHOOSE(CONTROL!$C$22, $C$13, 100%, $E$13)</f>
        <v>11.296099999999999</v>
      </c>
      <c r="F624" s="68">
        <f>11.2961 * CHOOSE(CONTROL!$C$22, $C$13, 100%, $E$13)</f>
        <v>11.296099999999999</v>
      </c>
      <c r="G624" s="68">
        <f>11.2994 * CHOOSE(CONTROL!$C$22, $C$13, 100%, $E$13)</f>
        <v>11.2994</v>
      </c>
      <c r="H624" s="68">
        <f>18.4337* CHOOSE(CONTROL!$C$22, $C$13, 100%, $E$13)</f>
        <v>18.433700000000002</v>
      </c>
      <c r="I624" s="68">
        <f>18.4369 * CHOOSE(CONTROL!$C$22, $C$13, 100%, $E$13)</f>
        <v>18.436900000000001</v>
      </c>
      <c r="J624" s="68">
        <f>11.2961 * CHOOSE(CONTROL!$C$22, $C$13, 100%, $E$13)</f>
        <v>11.296099999999999</v>
      </c>
      <c r="K624" s="68">
        <f>11.2994 * CHOOSE(CONTROL!$C$22, $C$13, 100%, $E$13)</f>
        <v>11.2994</v>
      </c>
    </row>
    <row r="625" spans="1:11" ht="15">
      <c r="A625" s="13">
        <v>60146</v>
      </c>
      <c r="B625" s="67">
        <f>9.7577 * CHOOSE(CONTROL!$C$22, $C$13, 100%, $E$13)</f>
        <v>9.7576999999999998</v>
      </c>
      <c r="C625" s="67">
        <f>9.7577 * CHOOSE(CONTROL!$C$22, $C$13, 100%, $E$13)</f>
        <v>9.7576999999999998</v>
      </c>
      <c r="D625" s="67">
        <f>9.7603 * CHOOSE(CONTROL!$C$22, $C$13, 100%, $E$13)</f>
        <v>9.7603000000000009</v>
      </c>
      <c r="E625" s="68">
        <f>11.2738 * CHOOSE(CONTROL!$C$22, $C$13, 100%, $E$13)</f>
        <v>11.2738</v>
      </c>
      <c r="F625" s="68">
        <f>11.2738 * CHOOSE(CONTROL!$C$22, $C$13, 100%, $E$13)</f>
        <v>11.2738</v>
      </c>
      <c r="G625" s="68">
        <f>11.2771 * CHOOSE(CONTROL!$C$22, $C$13, 100%, $E$13)</f>
        <v>11.277100000000001</v>
      </c>
      <c r="H625" s="68">
        <f>18.4721* CHOOSE(CONTROL!$C$22, $C$13, 100%, $E$13)</f>
        <v>18.472100000000001</v>
      </c>
      <c r="I625" s="68">
        <f>18.4753 * CHOOSE(CONTROL!$C$22, $C$13, 100%, $E$13)</f>
        <v>18.475300000000001</v>
      </c>
      <c r="J625" s="68">
        <f>11.2738 * CHOOSE(CONTROL!$C$22, $C$13, 100%, $E$13)</f>
        <v>11.2738</v>
      </c>
      <c r="K625" s="68">
        <f>11.2771 * CHOOSE(CONTROL!$C$22, $C$13, 100%, $E$13)</f>
        <v>11.277100000000001</v>
      </c>
    </row>
    <row r="626" spans="1:11" ht="15">
      <c r="A626" s="13">
        <v>60176</v>
      </c>
      <c r="B626" s="67">
        <f>9.7714 * CHOOSE(CONTROL!$C$22, $C$13, 100%, $E$13)</f>
        <v>9.7713999999999999</v>
      </c>
      <c r="C626" s="67">
        <f>9.7714 * CHOOSE(CONTROL!$C$22, $C$13, 100%, $E$13)</f>
        <v>9.7713999999999999</v>
      </c>
      <c r="D626" s="67">
        <f>9.7724 * CHOOSE(CONTROL!$C$22, $C$13, 100%, $E$13)</f>
        <v>9.7723999999999993</v>
      </c>
      <c r="E626" s="68">
        <f>11.3412 * CHOOSE(CONTROL!$C$22, $C$13, 100%, $E$13)</f>
        <v>11.341200000000001</v>
      </c>
      <c r="F626" s="68">
        <f>11.3412 * CHOOSE(CONTROL!$C$22, $C$13, 100%, $E$13)</f>
        <v>11.341200000000001</v>
      </c>
      <c r="G626" s="68">
        <f>11.3425 * CHOOSE(CONTROL!$C$22, $C$13, 100%, $E$13)</f>
        <v>11.342499999999999</v>
      </c>
      <c r="H626" s="68">
        <f>18.5106* CHOOSE(CONTROL!$C$22, $C$13, 100%, $E$13)</f>
        <v>18.5106</v>
      </c>
      <c r="I626" s="68">
        <f>18.5118 * CHOOSE(CONTROL!$C$22, $C$13, 100%, $E$13)</f>
        <v>18.511800000000001</v>
      </c>
      <c r="J626" s="68">
        <f>11.3412 * CHOOSE(CONTROL!$C$22, $C$13, 100%, $E$13)</f>
        <v>11.341200000000001</v>
      </c>
      <c r="K626" s="68">
        <f>11.3425 * CHOOSE(CONTROL!$C$22, $C$13, 100%, $E$13)</f>
        <v>11.342499999999999</v>
      </c>
    </row>
    <row r="627" spans="1:11" ht="15">
      <c r="A627" s="13">
        <v>60207</v>
      </c>
      <c r="B627" s="67">
        <f>9.7745 * CHOOSE(CONTROL!$C$22, $C$13, 100%, $E$13)</f>
        <v>9.7744999999999997</v>
      </c>
      <c r="C627" s="67">
        <f>9.7745 * CHOOSE(CONTROL!$C$22, $C$13, 100%, $E$13)</f>
        <v>9.7744999999999997</v>
      </c>
      <c r="D627" s="67">
        <f>9.7755 * CHOOSE(CONTROL!$C$22, $C$13, 100%, $E$13)</f>
        <v>9.7754999999999992</v>
      </c>
      <c r="E627" s="68">
        <f>11.3837 * CHOOSE(CONTROL!$C$22, $C$13, 100%, $E$13)</f>
        <v>11.383699999999999</v>
      </c>
      <c r="F627" s="68">
        <f>11.3837 * CHOOSE(CONTROL!$C$22, $C$13, 100%, $E$13)</f>
        <v>11.383699999999999</v>
      </c>
      <c r="G627" s="68">
        <f>11.385 * CHOOSE(CONTROL!$C$22, $C$13, 100%, $E$13)</f>
        <v>11.385</v>
      </c>
      <c r="H627" s="68">
        <f>18.5491* CHOOSE(CONTROL!$C$22, $C$13, 100%, $E$13)</f>
        <v>18.549099999999999</v>
      </c>
      <c r="I627" s="68">
        <f>18.5504 * CHOOSE(CONTROL!$C$22, $C$13, 100%, $E$13)</f>
        <v>18.5504</v>
      </c>
      <c r="J627" s="68">
        <f>11.3837 * CHOOSE(CONTROL!$C$22, $C$13, 100%, $E$13)</f>
        <v>11.383699999999999</v>
      </c>
      <c r="K627" s="68">
        <f>11.385 * CHOOSE(CONTROL!$C$22, $C$13, 100%, $E$13)</f>
        <v>11.385</v>
      </c>
    </row>
    <row r="628" spans="1:11" ht="15">
      <c r="A628" s="13">
        <v>60237</v>
      </c>
      <c r="B628" s="67">
        <f>9.7745 * CHOOSE(CONTROL!$C$22, $C$13, 100%, $E$13)</f>
        <v>9.7744999999999997</v>
      </c>
      <c r="C628" s="67">
        <f>9.7745 * CHOOSE(CONTROL!$C$22, $C$13, 100%, $E$13)</f>
        <v>9.7744999999999997</v>
      </c>
      <c r="D628" s="67">
        <f>9.7755 * CHOOSE(CONTROL!$C$22, $C$13, 100%, $E$13)</f>
        <v>9.7754999999999992</v>
      </c>
      <c r="E628" s="68">
        <f>11.2827 * CHOOSE(CONTROL!$C$22, $C$13, 100%, $E$13)</f>
        <v>11.2827</v>
      </c>
      <c r="F628" s="68">
        <f>11.2827 * CHOOSE(CONTROL!$C$22, $C$13, 100%, $E$13)</f>
        <v>11.2827</v>
      </c>
      <c r="G628" s="68">
        <f>11.284 * CHOOSE(CONTROL!$C$22, $C$13, 100%, $E$13)</f>
        <v>11.284000000000001</v>
      </c>
      <c r="H628" s="68">
        <f>18.5878* CHOOSE(CONTROL!$C$22, $C$13, 100%, $E$13)</f>
        <v>18.587800000000001</v>
      </c>
      <c r="I628" s="68">
        <f>18.589 * CHOOSE(CONTROL!$C$22, $C$13, 100%, $E$13)</f>
        <v>18.588999999999999</v>
      </c>
      <c r="J628" s="68">
        <f>11.2827 * CHOOSE(CONTROL!$C$22, $C$13, 100%, $E$13)</f>
        <v>11.2827</v>
      </c>
      <c r="K628" s="68">
        <f>11.284 * CHOOSE(CONTROL!$C$22, $C$13, 100%, $E$13)</f>
        <v>11.284000000000001</v>
      </c>
    </row>
    <row r="629" spans="1:11" ht="15">
      <c r="A629" s="13">
        <v>60268</v>
      </c>
      <c r="B629" s="67">
        <f>9.8385 * CHOOSE(CONTROL!$C$22, $C$13, 100%, $E$13)</f>
        <v>9.8384999999999998</v>
      </c>
      <c r="C629" s="67">
        <f>9.8385 * CHOOSE(CONTROL!$C$22, $C$13, 100%, $E$13)</f>
        <v>9.8384999999999998</v>
      </c>
      <c r="D629" s="67">
        <f>9.8394 * CHOOSE(CONTROL!$C$22, $C$13, 100%, $E$13)</f>
        <v>9.8393999999999995</v>
      </c>
      <c r="E629" s="68">
        <f>11.4279 * CHOOSE(CONTROL!$C$22, $C$13, 100%, $E$13)</f>
        <v>11.427899999999999</v>
      </c>
      <c r="F629" s="68">
        <f>11.4279 * CHOOSE(CONTROL!$C$22, $C$13, 100%, $E$13)</f>
        <v>11.427899999999999</v>
      </c>
      <c r="G629" s="68">
        <f>11.4292 * CHOOSE(CONTROL!$C$22, $C$13, 100%, $E$13)</f>
        <v>11.4292</v>
      </c>
      <c r="H629" s="68">
        <f>18.5941* CHOOSE(CONTROL!$C$22, $C$13, 100%, $E$13)</f>
        <v>18.594100000000001</v>
      </c>
      <c r="I629" s="68">
        <f>18.5954 * CHOOSE(CONTROL!$C$22, $C$13, 100%, $E$13)</f>
        <v>18.595400000000001</v>
      </c>
      <c r="J629" s="68">
        <f>11.4279 * CHOOSE(CONTROL!$C$22, $C$13, 100%, $E$13)</f>
        <v>11.427899999999999</v>
      </c>
      <c r="K629" s="68">
        <f>11.4292 * CHOOSE(CONTROL!$C$22, $C$13, 100%, $E$13)</f>
        <v>11.4292</v>
      </c>
    </row>
    <row r="630" spans="1:11" ht="15">
      <c r="A630" s="13">
        <v>60299</v>
      </c>
      <c r="B630" s="67">
        <f>9.8354 * CHOOSE(CONTROL!$C$22, $C$13, 100%, $E$13)</f>
        <v>9.8353999999999999</v>
      </c>
      <c r="C630" s="67">
        <f>9.8354 * CHOOSE(CONTROL!$C$22, $C$13, 100%, $E$13)</f>
        <v>9.8353999999999999</v>
      </c>
      <c r="D630" s="67">
        <f>9.8364 * CHOOSE(CONTROL!$C$22, $C$13, 100%, $E$13)</f>
        <v>9.8363999999999994</v>
      </c>
      <c r="E630" s="68">
        <f>11.2301 * CHOOSE(CONTROL!$C$22, $C$13, 100%, $E$13)</f>
        <v>11.2301</v>
      </c>
      <c r="F630" s="68">
        <f>11.2301 * CHOOSE(CONTROL!$C$22, $C$13, 100%, $E$13)</f>
        <v>11.2301</v>
      </c>
      <c r="G630" s="68">
        <f>11.2314 * CHOOSE(CONTROL!$C$22, $C$13, 100%, $E$13)</f>
        <v>11.231400000000001</v>
      </c>
      <c r="H630" s="68">
        <f>18.6328* CHOOSE(CONTROL!$C$22, $C$13, 100%, $E$13)</f>
        <v>18.6328</v>
      </c>
      <c r="I630" s="68">
        <f>18.6341 * CHOOSE(CONTROL!$C$22, $C$13, 100%, $E$13)</f>
        <v>18.6341</v>
      </c>
      <c r="J630" s="68">
        <f>11.2301 * CHOOSE(CONTROL!$C$22, $C$13, 100%, $E$13)</f>
        <v>11.2301</v>
      </c>
      <c r="K630" s="68">
        <f>11.2314 * CHOOSE(CONTROL!$C$22, $C$13, 100%, $E$13)</f>
        <v>11.231400000000001</v>
      </c>
    </row>
    <row r="631" spans="1:11" ht="15">
      <c r="A631" s="13">
        <v>60327</v>
      </c>
      <c r="B631" s="67">
        <f>9.8324 * CHOOSE(CONTROL!$C$22, $C$13, 100%, $E$13)</f>
        <v>9.8323999999999998</v>
      </c>
      <c r="C631" s="67">
        <f>9.8324 * CHOOSE(CONTROL!$C$22, $C$13, 100%, $E$13)</f>
        <v>9.8323999999999998</v>
      </c>
      <c r="D631" s="67">
        <f>9.8334 * CHOOSE(CONTROL!$C$22, $C$13, 100%, $E$13)</f>
        <v>9.8333999999999993</v>
      </c>
      <c r="E631" s="68">
        <f>11.3823 * CHOOSE(CONTROL!$C$22, $C$13, 100%, $E$13)</f>
        <v>11.382300000000001</v>
      </c>
      <c r="F631" s="68">
        <f>11.3823 * CHOOSE(CONTROL!$C$22, $C$13, 100%, $E$13)</f>
        <v>11.382300000000001</v>
      </c>
      <c r="G631" s="68">
        <f>11.3835 * CHOOSE(CONTROL!$C$22, $C$13, 100%, $E$13)</f>
        <v>11.3835</v>
      </c>
      <c r="H631" s="68">
        <f>18.6716* CHOOSE(CONTROL!$C$22, $C$13, 100%, $E$13)</f>
        <v>18.671600000000002</v>
      </c>
      <c r="I631" s="68">
        <f>18.6729 * CHOOSE(CONTROL!$C$22, $C$13, 100%, $E$13)</f>
        <v>18.672899999999998</v>
      </c>
      <c r="J631" s="68">
        <f>11.3823 * CHOOSE(CONTROL!$C$22, $C$13, 100%, $E$13)</f>
        <v>11.382300000000001</v>
      </c>
      <c r="K631" s="68">
        <f>11.3835 * CHOOSE(CONTROL!$C$22, $C$13, 100%, $E$13)</f>
        <v>11.3835</v>
      </c>
    </row>
    <row r="632" spans="1:11" ht="15">
      <c r="A632" s="13">
        <v>60358</v>
      </c>
      <c r="B632" s="67">
        <f>9.835 * CHOOSE(CONTROL!$C$22, $C$13, 100%, $E$13)</f>
        <v>9.8350000000000009</v>
      </c>
      <c r="C632" s="67">
        <f>9.835 * CHOOSE(CONTROL!$C$22, $C$13, 100%, $E$13)</f>
        <v>9.8350000000000009</v>
      </c>
      <c r="D632" s="67">
        <f>9.8359 * CHOOSE(CONTROL!$C$22, $C$13, 100%, $E$13)</f>
        <v>9.8359000000000005</v>
      </c>
      <c r="E632" s="68">
        <f>11.5437 * CHOOSE(CONTROL!$C$22, $C$13, 100%, $E$13)</f>
        <v>11.543699999999999</v>
      </c>
      <c r="F632" s="68">
        <f>11.5437 * CHOOSE(CONTROL!$C$22, $C$13, 100%, $E$13)</f>
        <v>11.543699999999999</v>
      </c>
      <c r="G632" s="68">
        <f>11.545 * CHOOSE(CONTROL!$C$22, $C$13, 100%, $E$13)</f>
        <v>11.545</v>
      </c>
      <c r="H632" s="68">
        <f>18.7105* CHOOSE(CONTROL!$C$22, $C$13, 100%, $E$13)</f>
        <v>18.7105</v>
      </c>
      <c r="I632" s="68">
        <f>18.7118 * CHOOSE(CONTROL!$C$22, $C$13, 100%, $E$13)</f>
        <v>18.7118</v>
      </c>
      <c r="J632" s="68">
        <f>11.5437 * CHOOSE(CONTROL!$C$22, $C$13, 100%, $E$13)</f>
        <v>11.543699999999999</v>
      </c>
      <c r="K632" s="68">
        <f>11.545 * CHOOSE(CONTROL!$C$22, $C$13, 100%, $E$13)</f>
        <v>11.545</v>
      </c>
    </row>
    <row r="633" spans="1:11" ht="15">
      <c r="A633" s="13">
        <v>60388</v>
      </c>
      <c r="B633" s="67">
        <f>9.835 * CHOOSE(CONTROL!$C$22, $C$13, 100%, $E$13)</f>
        <v>9.8350000000000009</v>
      </c>
      <c r="C633" s="67">
        <f>9.835 * CHOOSE(CONTROL!$C$22, $C$13, 100%, $E$13)</f>
        <v>9.8350000000000009</v>
      </c>
      <c r="D633" s="67">
        <f>9.8376 * CHOOSE(CONTROL!$C$22, $C$13, 100%, $E$13)</f>
        <v>9.8376000000000001</v>
      </c>
      <c r="E633" s="68">
        <f>11.6059 * CHOOSE(CONTROL!$C$22, $C$13, 100%, $E$13)</f>
        <v>11.6059</v>
      </c>
      <c r="F633" s="68">
        <f>11.6059 * CHOOSE(CONTROL!$C$22, $C$13, 100%, $E$13)</f>
        <v>11.6059</v>
      </c>
      <c r="G633" s="68">
        <f>11.6091 * CHOOSE(CONTROL!$C$22, $C$13, 100%, $E$13)</f>
        <v>11.6091</v>
      </c>
      <c r="H633" s="68">
        <f>18.7495* CHOOSE(CONTROL!$C$22, $C$13, 100%, $E$13)</f>
        <v>18.749500000000001</v>
      </c>
      <c r="I633" s="68">
        <f>18.7528 * CHOOSE(CONTROL!$C$22, $C$13, 100%, $E$13)</f>
        <v>18.752800000000001</v>
      </c>
      <c r="J633" s="68">
        <f>11.6059 * CHOOSE(CONTROL!$C$22, $C$13, 100%, $E$13)</f>
        <v>11.6059</v>
      </c>
      <c r="K633" s="68">
        <f>11.6091 * CHOOSE(CONTROL!$C$22, $C$13, 100%, $E$13)</f>
        <v>11.6091</v>
      </c>
    </row>
    <row r="634" spans="1:11" ht="15">
      <c r="A634" s="13">
        <v>60419</v>
      </c>
      <c r="B634" s="67">
        <f>9.841 * CHOOSE(CONTROL!$C$22, $C$13, 100%, $E$13)</f>
        <v>9.8409999999999993</v>
      </c>
      <c r="C634" s="67">
        <f>9.841 * CHOOSE(CONTROL!$C$22, $C$13, 100%, $E$13)</f>
        <v>9.8409999999999993</v>
      </c>
      <c r="D634" s="67">
        <f>9.8437 * CHOOSE(CONTROL!$C$22, $C$13, 100%, $E$13)</f>
        <v>9.8437000000000001</v>
      </c>
      <c r="E634" s="68">
        <f>11.548 * CHOOSE(CONTROL!$C$22, $C$13, 100%, $E$13)</f>
        <v>11.548</v>
      </c>
      <c r="F634" s="68">
        <f>11.548 * CHOOSE(CONTROL!$C$22, $C$13, 100%, $E$13)</f>
        <v>11.548</v>
      </c>
      <c r="G634" s="68">
        <f>11.5512 * CHOOSE(CONTROL!$C$22, $C$13, 100%, $E$13)</f>
        <v>11.5512</v>
      </c>
      <c r="H634" s="68">
        <f>18.7886* CHOOSE(CONTROL!$C$22, $C$13, 100%, $E$13)</f>
        <v>18.788599999999999</v>
      </c>
      <c r="I634" s="68">
        <f>18.7918 * CHOOSE(CONTROL!$C$22, $C$13, 100%, $E$13)</f>
        <v>18.791799999999999</v>
      </c>
      <c r="J634" s="68">
        <f>11.548 * CHOOSE(CONTROL!$C$22, $C$13, 100%, $E$13)</f>
        <v>11.548</v>
      </c>
      <c r="K634" s="68">
        <f>11.5512 * CHOOSE(CONTROL!$C$22, $C$13, 100%, $E$13)</f>
        <v>11.5512</v>
      </c>
    </row>
    <row r="635" spans="1:11" ht="15">
      <c r="A635" s="13">
        <v>60449</v>
      </c>
      <c r="B635" s="67">
        <f>9.9932 * CHOOSE(CONTROL!$C$22, $C$13, 100%, $E$13)</f>
        <v>9.9931999999999999</v>
      </c>
      <c r="C635" s="67">
        <f>9.9932 * CHOOSE(CONTROL!$C$22, $C$13, 100%, $E$13)</f>
        <v>9.9931999999999999</v>
      </c>
      <c r="D635" s="67">
        <f>9.9958 * CHOOSE(CONTROL!$C$22, $C$13, 100%, $E$13)</f>
        <v>9.9957999999999991</v>
      </c>
      <c r="E635" s="68">
        <f>11.735 * CHOOSE(CONTROL!$C$22, $C$13, 100%, $E$13)</f>
        <v>11.734999999999999</v>
      </c>
      <c r="F635" s="68">
        <f>11.735 * CHOOSE(CONTROL!$C$22, $C$13, 100%, $E$13)</f>
        <v>11.734999999999999</v>
      </c>
      <c r="G635" s="68">
        <f>11.7382 * CHOOSE(CONTROL!$C$22, $C$13, 100%, $E$13)</f>
        <v>11.738200000000001</v>
      </c>
      <c r="H635" s="68">
        <f>18.8277* CHOOSE(CONTROL!$C$22, $C$13, 100%, $E$13)</f>
        <v>18.8277</v>
      </c>
      <c r="I635" s="68">
        <f>18.831 * CHOOSE(CONTROL!$C$22, $C$13, 100%, $E$13)</f>
        <v>18.831</v>
      </c>
      <c r="J635" s="68">
        <f>11.735 * CHOOSE(CONTROL!$C$22, $C$13, 100%, $E$13)</f>
        <v>11.734999999999999</v>
      </c>
      <c r="K635" s="68">
        <f>11.7382 * CHOOSE(CONTROL!$C$22, $C$13, 100%, $E$13)</f>
        <v>11.738200000000001</v>
      </c>
    </row>
    <row r="636" spans="1:11" ht="15">
      <c r="A636" s="13">
        <v>60480</v>
      </c>
      <c r="B636" s="67">
        <f>9.9999 * CHOOSE(CONTROL!$C$22, $C$13, 100%, $E$13)</f>
        <v>9.9999000000000002</v>
      </c>
      <c r="C636" s="67">
        <f>9.9999 * CHOOSE(CONTROL!$C$22, $C$13, 100%, $E$13)</f>
        <v>9.9999000000000002</v>
      </c>
      <c r="D636" s="67">
        <f>10.0025 * CHOOSE(CONTROL!$C$22, $C$13, 100%, $E$13)</f>
        <v>10.0025</v>
      </c>
      <c r="E636" s="68">
        <f>11.5532 * CHOOSE(CONTROL!$C$22, $C$13, 100%, $E$13)</f>
        <v>11.5532</v>
      </c>
      <c r="F636" s="68">
        <f>11.5532 * CHOOSE(CONTROL!$C$22, $C$13, 100%, $E$13)</f>
        <v>11.5532</v>
      </c>
      <c r="G636" s="68">
        <f>11.5565 * CHOOSE(CONTROL!$C$22, $C$13, 100%, $E$13)</f>
        <v>11.5565</v>
      </c>
      <c r="H636" s="68">
        <f>18.867* CHOOSE(CONTROL!$C$22, $C$13, 100%, $E$13)</f>
        <v>18.867000000000001</v>
      </c>
      <c r="I636" s="68">
        <f>18.8702 * CHOOSE(CONTROL!$C$22, $C$13, 100%, $E$13)</f>
        <v>18.870200000000001</v>
      </c>
      <c r="J636" s="68">
        <f>11.5532 * CHOOSE(CONTROL!$C$22, $C$13, 100%, $E$13)</f>
        <v>11.5532</v>
      </c>
      <c r="K636" s="68">
        <f>11.5565 * CHOOSE(CONTROL!$C$22, $C$13, 100%, $E$13)</f>
        <v>11.5565</v>
      </c>
    </row>
    <row r="637" spans="1:11" ht="15">
      <c r="A637" s="13">
        <v>60511</v>
      </c>
      <c r="B637" s="67">
        <f>9.9968 * CHOOSE(CONTROL!$C$22, $C$13, 100%, $E$13)</f>
        <v>9.9968000000000004</v>
      </c>
      <c r="C637" s="67">
        <f>9.9968 * CHOOSE(CONTROL!$C$22, $C$13, 100%, $E$13)</f>
        <v>9.9968000000000004</v>
      </c>
      <c r="D637" s="67">
        <f>9.9995 * CHOOSE(CONTROL!$C$22, $C$13, 100%, $E$13)</f>
        <v>9.9994999999999994</v>
      </c>
      <c r="E637" s="68">
        <f>11.5304 * CHOOSE(CONTROL!$C$22, $C$13, 100%, $E$13)</f>
        <v>11.5304</v>
      </c>
      <c r="F637" s="68">
        <f>11.5304 * CHOOSE(CONTROL!$C$22, $C$13, 100%, $E$13)</f>
        <v>11.5304</v>
      </c>
      <c r="G637" s="68">
        <f>11.5336 * CHOOSE(CONTROL!$C$22, $C$13, 100%, $E$13)</f>
        <v>11.5336</v>
      </c>
      <c r="H637" s="68">
        <f>18.9063* CHOOSE(CONTROL!$C$22, $C$13, 100%, $E$13)</f>
        <v>18.906300000000002</v>
      </c>
      <c r="I637" s="68">
        <f>18.9095 * CHOOSE(CONTROL!$C$22, $C$13, 100%, $E$13)</f>
        <v>18.909500000000001</v>
      </c>
      <c r="J637" s="68">
        <f>11.5304 * CHOOSE(CONTROL!$C$22, $C$13, 100%, $E$13)</f>
        <v>11.5304</v>
      </c>
      <c r="K637" s="68">
        <f>11.5336 * CHOOSE(CONTROL!$C$22, $C$13, 100%, $E$13)</f>
        <v>11.5336</v>
      </c>
    </row>
    <row r="638" spans="1:11" ht="15">
      <c r="A638" s="13">
        <v>60541</v>
      </c>
      <c r="B638" s="67">
        <f>10.0114 * CHOOSE(CONTROL!$C$22, $C$13, 100%, $E$13)</f>
        <v>10.0114</v>
      </c>
      <c r="C638" s="67">
        <f>10.0114 * CHOOSE(CONTROL!$C$22, $C$13, 100%, $E$13)</f>
        <v>10.0114</v>
      </c>
      <c r="D638" s="67">
        <f>10.0124 * CHOOSE(CONTROL!$C$22, $C$13, 100%, $E$13)</f>
        <v>10.0124</v>
      </c>
      <c r="E638" s="68">
        <f>11.5998 * CHOOSE(CONTROL!$C$22, $C$13, 100%, $E$13)</f>
        <v>11.5998</v>
      </c>
      <c r="F638" s="68">
        <f>11.5998 * CHOOSE(CONTROL!$C$22, $C$13, 100%, $E$13)</f>
        <v>11.5998</v>
      </c>
      <c r="G638" s="68">
        <f>11.6011 * CHOOSE(CONTROL!$C$22, $C$13, 100%, $E$13)</f>
        <v>11.601100000000001</v>
      </c>
      <c r="H638" s="68">
        <f>18.9456* CHOOSE(CONTROL!$C$22, $C$13, 100%, $E$13)</f>
        <v>18.945599999999999</v>
      </c>
      <c r="I638" s="68">
        <f>18.9469 * CHOOSE(CONTROL!$C$22, $C$13, 100%, $E$13)</f>
        <v>18.946899999999999</v>
      </c>
      <c r="J638" s="68">
        <f>11.5998 * CHOOSE(CONTROL!$C$22, $C$13, 100%, $E$13)</f>
        <v>11.5998</v>
      </c>
      <c r="K638" s="68">
        <f>11.6011 * CHOOSE(CONTROL!$C$22, $C$13, 100%, $E$13)</f>
        <v>11.601100000000001</v>
      </c>
    </row>
    <row r="639" spans="1:11" ht="15">
      <c r="A639" s="13">
        <v>60572</v>
      </c>
      <c r="B639" s="67">
        <f>10.0144 * CHOOSE(CONTROL!$C$22, $C$13, 100%, $E$13)</f>
        <v>10.0144</v>
      </c>
      <c r="C639" s="67">
        <f>10.0144 * CHOOSE(CONTROL!$C$22, $C$13, 100%, $E$13)</f>
        <v>10.0144</v>
      </c>
      <c r="D639" s="67">
        <f>10.0154 * CHOOSE(CONTROL!$C$22, $C$13, 100%, $E$13)</f>
        <v>10.0154</v>
      </c>
      <c r="E639" s="68">
        <f>11.6434 * CHOOSE(CONTROL!$C$22, $C$13, 100%, $E$13)</f>
        <v>11.6434</v>
      </c>
      <c r="F639" s="68">
        <f>11.6434 * CHOOSE(CONTROL!$C$22, $C$13, 100%, $E$13)</f>
        <v>11.6434</v>
      </c>
      <c r="G639" s="68">
        <f>11.6446 * CHOOSE(CONTROL!$C$22, $C$13, 100%, $E$13)</f>
        <v>11.644600000000001</v>
      </c>
      <c r="H639" s="68">
        <f>18.9851* CHOOSE(CONTROL!$C$22, $C$13, 100%, $E$13)</f>
        <v>18.985099999999999</v>
      </c>
      <c r="I639" s="68">
        <f>18.9864 * CHOOSE(CONTROL!$C$22, $C$13, 100%, $E$13)</f>
        <v>18.9864</v>
      </c>
      <c r="J639" s="68">
        <f>11.6434 * CHOOSE(CONTROL!$C$22, $C$13, 100%, $E$13)</f>
        <v>11.6434</v>
      </c>
      <c r="K639" s="68">
        <f>11.6446 * CHOOSE(CONTROL!$C$22, $C$13, 100%, $E$13)</f>
        <v>11.644600000000001</v>
      </c>
    </row>
    <row r="640" spans="1:11" ht="15">
      <c r="A640" s="13">
        <v>60602</v>
      </c>
      <c r="B640" s="67">
        <f>10.0144 * CHOOSE(CONTROL!$C$22, $C$13, 100%, $E$13)</f>
        <v>10.0144</v>
      </c>
      <c r="C640" s="67">
        <f>10.0144 * CHOOSE(CONTROL!$C$22, $C$13, 100%, $E$13)</f>
        <v>10.0144</v>
      </c>
      <c r="D640" s="67">
        <f>10.0154 * CHOOSE(CONTROL!$C$22, $C$13, 100%, $E$13)</f>
        <v>10.0154</v>
      </c>
      <c r="E640" s="68">
        <f>11.5398 * CHOOSE(CONTROL!$C$22, $C$13, 100%, $E$13)</f>
        <v>11.5398</v>
      </c>
      <c r="F640" s="68">
        <f>11.5398 * CHOOSE(CONTROL!$C$22, $C$13, 100%, $E$13)</f>
        <v>11.5398</v>
      </c>
      <c r="G640" s="68">
        <f>11.5411 * CHOOSE(CONTROL!$C$22, $C$13, 100%, $E$13)</f>
        <v>11.5411</v>
      </c>
      <c r="H640" s="68">
        <f>19.0247* CHOOSE(CONTROL!$C$22, $C$13, 100%, $E$13)</f>
        <v>19.024699999999999</v>
      </c>
      <c r="I640" s="68">
        <f>19.026 * CHOOSE(CONTROL!$C$22, $C$13, 100%, $E$13)</f>
        <v>19.026</v>
      </c>
      <c r="J640" s="68">
        <f>11.5398 * CHOOSE(CONTROL!$C$22, $C$13, 100%, $E$13)</f>
        <v>11.5398</v>
      </c>
      <c r="K640" s="68">
        <f>11.5411 * CHOOSE(CONTROL!$C$22, $C$13, 100%, $E$13)</f>
        <v>11.5411</v>
      </c>
    </row>
    <row r="641" spans="1:11" ht="15">
      <c r="A641" s="13">
        <v>60633</v>
      </c>
      <c r="B641" s="67">
        <f>10.074 * CHOOSE(CONTROL!$C$22, $C$13, 100%, $E$13)</f>
        <v>10.074</v>
      </c>
      <c r="C641" s="67">
        <f>10.074 * CHOOSE(CONTROL!$C$22, $C$13, 100%, $E$13)</f>
        <v>10.074</v>
      </c>
      <c r="D641" s="67">
        <f>10.075 * CHOOSE(CONTROL!$C$22, $C$13, 100%, $E$13)</f>
        <v>10.074999999999999</v>
      </c>
      <c r="E641" s="68">
        <f>11.6826 * CHOOSE(CONTROL!$C$22, $C$13, 100%, $E$13)</f>
        <v>11.682600000000001</v>
      </c>
      <c r="F641" s="68">
        <f>11.6826 * CHOOSE(CONTROL!$C$22, $C$13, 100%, $E$13)</f>
        <v>11.682600000000001</v>
      </c>
      <c r="G641" s="68">
        <f>11.6839 * CHOOSE(CONTROL!$C$22, $C$13, 100%, $E$13)</f>
        <v>11.6839</v>
      </c>
      <c r="H641" s="68">
        <f>19.0211* CHOOSE(CONTROL!$C$22, $C$13, 100%, $E$13)</f>
        <v>19.021100000000001</v>
      </c>
      <c r="I641" s="68">
        <f>19.0224 * CHOOSE(CONTROL!$C$22, $C$13, 100%, $E$13)</f>
        <v>19.022400000000001</v>
      </c>
      <c r="J641" s="68">
        <f>11.6826 * CHOOSE(CONTROL!$C$22, $C$13, 100%, $E$13)</f>
        <v>11.682600000000001</v>
      </c>
      <c r="K641" s="68">
        <f>11.6839 * CHOOSE(CONTROL!$C$22, $C$13, 100%, $E$13)</f>
        <v>11.6839</v>
      </c>
    </row>
    <row r="642" spans="1:11" ht="15">
      <c r="A642" s="13">
        <v>60664</v>
      </c>
      <c r="B642" s="67">
        <f>10.071 * CHOOSE(CONTROL!$C$22, $C$13, 100%, $E$13)</f>
        <v>10.071</v>
      </c>
      <c r="C642" s="67">
        <f>10.071 * CHOOSE(CONTROL!$C$22, $C$13, 100%, $E$13)</f>
        <v>10.071</v>
      </c>
      <c r="D642" s="67">
        <f>10.072 * CHOOSE(CONTROL!$C$22, $C$13, 100%, $E$13)</f>
        <v>10.071999999999999</v>
      </c>
      <c r="E642" s="68">
        <f>11.4799 * CHOOSE(CONTROL!$C$22, $C$13, 100%, $E$13)</f>
        <v>11.479900000000001</v>
      </c>
      <c r="F642" s="68">
        <f>11.4799 * CHOOSE(CONTROL!$C$22, $C$13, 100%, $E$13)</f>
        <v>11.479900000000001</v>
      </c>
      <c r="G642" s="68">
        <f>11.4812 * CHOOSE(CONTROL!$C$22, $C$13, 100%, $E$13)</f>
        <v>11.481199999999999</v>
      </c>
      <c r="H642" s="68">
        <f>19.0607* CHOOSE(CONTROL!$C$22, $C$13, 100%, $E$13)</f>
        <v>19.060700000000001</v>
      </c>
      <c r="I642" s="68">
        <f>19.062 * CHOOSE(CONTROL!$C$22, $C$13, 100%, $E$13)</f>
        <v>19.062000000000001</v>
      </c>
      <c r="J642" s="68">
        <f>11.4799 * CHOOSE(CONTROL!$C$22, $C$13, 100%, $E$13)</f>
        <v>11.479900000000001</v>
      </c>
      <c r="K642" s="68">
        <f>11.4812 * CHOOSE(CONTROL!$C$22, $C$13, 100%, $E$13)</f>
        <v>11.481199999999999</v>
      </c>
    </row>
    <row r="643" spans="1:11" ht="15">
      <c r="A643" s="13">
        <v>60692</v>
      </c>
      <c r="B643" s="67">
        <f>10.068 * CHOOSE(CONTROL!$C$22, $C$13, 100%, $E$13)</f>
        <v>10.068</v>
      </c>
      <c r="C643" s="67">
        <f>10.068 * CHOOSE(CONTROL!$C$22, $C$13, 100%, $E$13)</f>
        <v>10.068</v>
      </c>
      <c r="D643" s="67">
        <f>10.0689 * CHOOSE(CONTROL!$C$22, $C$13, 100%, $E$13)</f>
        <v>10.068899999999999</v>
      </c>
      <c r="E643" s="68">
        <f>11.6359 * CHOOSE(CONTROL!$C$22, $C$13, 100%, $E$13)</f>
        <v>11.635899999999999</v>
      </c>
      <c r="F643" s="68">
        <f>11.6359 * CHOOSE(CONTROL!$C$22, $C$13, 100%, $E$13)</f>
        <v>11.635899999999999</v>
      </c>
      <c r="G643" s="68">
        <f>11.6372 * CHOOSE(CONTROL!$C$22, $C$13, 100%, $E$13)</f>
        <v>11.6372</v>
      </c>
      <c r="H643" s="68">
        <f>19.1004* CHOOSE(CONTROL!$C$22, $C$13, 100%, $E$13)</f>
        <v>19.1004</v>
      </c>
      <c r="I643" s="68">
        <f>19.1017 * CHOOSE(CONTROL!$C$22, $C$13, 100%, $E$13)</f>
        <v>19.101700000000001</v>
      </c>
      <c r="J643" s="68">
        <f>11.6359 * CHOOSE(CONTROL!$C$22, $C$13, 100%, $E$13)</f>
        <v>11.635899999999999</v>
      </c>
      <c r="K643" s="68">
        <f>11.6372 * CHOOSE(CONTROL!$C$22, $C$13, 100%, $E$13)</f>
        <v>11.6372</v>
      </c>
    </row>
    <row r="644" spans="1:11" ht="15">
      <c r="A644" s="13">
        <v>60723</v>
      </c>
      <c r="B644" s="67">
        <f>10.0707 * CHOOSE(CONTROL!$C$22, $C$13, 100%, $E$13)</f>
        <v>10.0707</v>
      </c>
      <c r="C644" s="67">
        <f>10.0707 * CHOOSE(CONTROL!$C$22, $C$13, 100%, $E$13)</f>
        <v>10.0707</v>
      </c>
      <c r="D644" s="67">
        <f>10.0717 * CHOOSE(CONTROL!$C$22, $C$13, 100%, $E$13)</f>
        <v>10.0717</v>
      </c>
      <c r="E644" s="68">
        <f>11.8016 * CHOOSE(CONTROL!$C$22, $C$13, 100%, $E$13)</f>
        <v>11.801600000000001</v>
      </c>
      <c r="F644" s="68">
        <f>11.8016 * CHOOSE(CONTROL!$C$22, $C$13, 100%, $E$13)</f>
        <v>11.801600000000001</v>
      </c>
      <c r="G644" s="68">
        <f>11.8029 * CHOOSE(CONTROL!$C$22, $C$13, 100%, $E$13)</f>
        <v>11.802899999999999</v>
      </c>
      <c r="H644" s="68">
        <f>19.1402* CHOOSE(CONTROL!$C$22, $C$13, 100%, $E$13)</f>
        <v>19.1402</v>
      </c>
      <c r="I644" s="68">
        <f>19.1415 * CHOOSE(CONTROL!$C$22, $C$13, 100%, $E$13)</f>
        <v>19.141500000000001</v>
      </c>
      <c r="J644" s="68">
        <f>11.8016 * CHOOSE(CONTROL!$C$22, $C$13, 100%, $E$13)</f>
        <v>11.801600000000001</v>
      </c>
      <c r="K644" s="68">
        <f>11.8029 * CHOOSE(CONTROL!$C$22, $C$13, 100%, $E$13)</f>
        <v>11.802899999999999</v>
      </c>
    </row>
    <row r="645" spans="1:11" ht="15">
      <c r="A645" s="13">
        <v>60753</v>
      </c>
      <c r="B645" s="67">
        <f>10.0707 * CHOOSE(CONTROL!$C$22, $C$13, 100%, $E$13)</f>
        <v>10.0707</v>
      </c>
      <c r="C645" s="67">
        <f>10.0707 * CHOOSE(CONTROL!$C$22, $C$13, 100%, $E$13)</f>
        <v>10.0707</v>
      </c>
      <c r="D645" s="67">
        <f>10.0734 * CHOOSE(CONTROL!$C$22, $C$13, 100%, $E$13)</f>
        <v>10.073399999999999</v>
      </c>
      <c r="E645" s="68">
        <f>11.8653 * CHOOSE(CONTROL!$C$22, $C$13, 100%, $E$13)</f>
        <v>11.8653</v>
      </c>
      <c r="F645" s="68">
        <f>11.8653 * CHOOSE(CONTROL!$C$22, $C$13, 100%, $E$13)</f>
        <v>11.8653</v>
      </c>
      <c r="G645" s="68">
        <f>11.8685 * CHOOSE(CONTROL!$C$22, $C$13, 100%, $E$13)</f>
        <v>11.868499999999999</v>
      </c>
      <c r="H645" s="68">
        <f>19.1801* CHOOSE(CONTROL!$C$22, $C$13, 100%, $E$13)</f>
        <v>19.180099999999999</v>
      </c>
      <c r="I645" s="68">
        <f>19.1834 * CHOOSE(CONTROL!$C$22, $C$13, 100%, $E$13)</f>
        <v>19.183399999999999</v>
      </c>
      <c r="J645" s="68">
        <f>11.8653 * CHOOSE(CONTROL!$C$22, $C$13, 100%, $E$13)</f>
        <v>11.8653</v>
      </c>
      <c r="K645" s="68">
        <f>11.8685 * CHOOSE(CONTROL!$C$22, $C$13, 100%, $E$13)</f>
        <v>11.868499999999999</v>
      </c>
    </row>
    <row r="646" spans="1:11" ht="15">
      <c r="A646" s="13">
        <v>60784</v>
      </c>
      <c r="B646" s="67">
        <f>10.0768 * CHOOSE(CONTROL!$C$22, $C$13, 100%, $E$13)</f>
        <v>10.0768</v>
      </c>
      <c r="C646" s="67">
        <f>10.0768 * CHOOSE(CONTROL!$C$22, $C$13, 100%, $E$13)</f>
        <v>10.0768</v>
      </c>
      <c r="D646" s="67">
        <f>10.0794 * CHOOSE(CONTROL!$C$22, $C$13, 100%, $E$13)</f>
        <v>10.0794</v>
      </c>
      <c r="E646" s="68">
        <f>11.8058 * CHOOSE(CONTROL!$C$22, $C$13, 100%, $E$13)</f>
        <v>11.8058</v>
      </c>
      <c r="F646" s="68">
        <f>11.8058 * CHOOSE(CONTROL!$C$22, $C$13, 100%, $E$13)</f>
        <v>11.8058</v>
      </c>
      <c r="G646" s="68">
        <f>11.8091 * CHOOSE(CONTROL!$C$22, $C$13, 100%, $E$13)</f>
        <v>11.809100000000001</v>
      </c>
      <c r="H646" s="68">
        <f>19.2201* CHOOSE(CONTROL!$C$22, $C$13, 100%, $E$13)</f>
        <v>19.220099999999999</v>
      </c>
      <c r="I646" s="68">
        <f>19.2233 * CHOOSE(CONTROL!$C$22, $C$13, 100%, $E$13)</f>
        <v>19.223299999999998</v>
      </c>
      <c r="J646" s="68">
        <f>11.8058 * CHOOSE(CONTROL!$C$22, $C$13, 100%, $E$13)</f>
        <v>11.8058</v>
      </c>
      <c r="K646" s="68">
        <f>11.8091 * CHOOSE(CONTROL!$C$22, $C$13, 100%, $E$13)</f>
        <v>11.809100000000001</v>
      </c>
    </row>
    <row r="647" spans="1:11" ht="15">
      <c r="A647" s="13">
        <v>60814</v>
      </c>
      <c r="B647" s="67">
        <f>10.2324 * CHOOSE(CONTROL!$C$22, $C$13, 100%, $E$13)</f>
        <v>10.2324</v>
      </c>
      <c r="C647" s="67">
        <f>10.2324 * CHOOSE(CONTROL!$C$22, $C$13, 100%, $E$13)</f>
        <v>10.2324</v>
      </c>
      <c r="D647" s="67">
        <f>10.235 * CHOOSE(CONTROL!$C$22, $C$13, 100%, $E$13)</f>
        <v>10.234999999999999</v>
      </c>
      <c r="E647" s="68">
        <f>11.9967 * CHOOSE(CONTROL!$C$22, $C$13, 100%, $E$13)</f>
        <v>11.996700000000001</v>
      </c>
      <c r="F647" s="68">
        <f>11.9967 * CHOOSE(CONTROL!$C$22, $C$13, 100%, $E$13)</f>
        <v>11.996700000000001</v>
      </c>
      <c r="G647" s="68">
        <f>12 * CHOOSE(CONTROL!$C$22, $C$13, 100%, $E$13)</f>
        <v>12</v>
      </c>
      <c r="H647" s="68">
        <f>19.2601* CHOOSE(CONTROL!$C$22, $C$13, 100%, $E$13)</f>
        <v>19.260100000000001</v>
      </c>
      <c r="I647" s="68">
        <f>19.2634 * CHOOSE(CONTROL!$C$22, $C$13, 100%, $E$13)</f>
        <v>19.263400000000001</v>
      </c>
      <c r="J647" s="68">
        <f>11.9967 * CHOOSE(CONTROL!$C$22, $C$13, 100%, $E$13)</f>
        <v>11.996700000000001</v>
      </c>
      <c r="K647" s="68">
        <f>12 * CHOOSE(CONTROL!$C$22, $C$13, 100%, $E$13)</f>
        <v>12</v>
      </c>
    </row>
    <row r="648" spans="1:11" ht="15">
      <c r="A648" s="13">
        <v>60845</v>
      </c>
      <c r="B648" s="67">
        <f>10.2391 * CHOOSE(CONTROL!$C$22, $C$13, 100%, $E$13)</f>
        <v>10.239100000000001</v>
      </c>
      <c r="C648" s="67">
        <f>10.2391 * CHOOSE(CONTROL!$C$22, $C$13, 100%, $E$13)</f>
        <v>10.239100000000001</v>
      </c>
      <c r="D648" s="67">
        <f>10.2417 * CHOOSE(CONTROL!$C$22, $C$13, 100%, $E$13)</f>
        <v>10.2417</v>
      </c>
      <c r="E648" s="68">
        <f>11.8103 * CHOOSE(CONTROL!$C$22, $C$13, 100%, $E$13)</f>
        <v>11.8103</v>
      </c>
      <c r="F648" s="68">
        <f>11.8103 * CHOOSE(CONTROL!$C$22, $C$13, 100%, $E$13)</f>
        <v>11.8103</v>
      </c>
      <c r="G648" s="68">
        <f>11.8135 * CHOOSE(CONTROL!$C$22, $C$13, 100%, $E$13)</f>
        <v>11.813499999999999</v>
      </c>
      <c r="H648" s="68">
        <f>19.3002* CHOOSE(CONTROL!$C$22, $C$13, 100%, $E$13)</f>
        <v>19.3002</v>
      </c>
      <c r="I648" s="68">
        <f>19.3035 * CHOOSE(CONTROL!$C$22, $C$13, 100%, $E$13)</f>
        <v>19.3035</v>
      </c>
      <c r="J648" s="68">
        <f>11.8103 * CHOOSE(CONTROL!$C$22, $C$13, 100%, $E$13)</f>
        <v>11.8103</v>
      </c>
      <c r="K648" s="68">
        <f>11.8135 * CHOOSE(CONTROL!$C$22, $C$13, 100%, $E$13)</f>
        <v>11.813499999999999</v>
      </c>
    </row>
    <row r="649" spans="1:11" ht="15">
      <c r="A649" s="13">
        <v>60876</v>
      </c>
      <c r="B649" s="67">
        <f>10.236 * CHOOSE(CONTROL!$C$22, $C$13, 100%, $E$13)</f>
        <v>10.236000000000001</v>
      </c>
      <c r="C649" s="67">
        <f>10.236 * CHOOSE(CONTROL!$C$22, $C$13, 100%, $E$13)</f>
        <v>10.236000000000001</v>
      </c>
      <c r="D649" s="67">
        <f>10.2386 * CHOOSE(CONTROL!$C$22, $C$13, 100%, $E$13)</f>
        <v>10.2386</v>
      </c>
      <c r="E649" s="68">
        <f>11.7869 * CHOOSE(CONTROL!$C$22, $C$13, 100%, $E$13)</f>
        <v>11.786899999999999</v>
      </c>
      <c r="F649" s="68">
        <f>11.7869 * CHOOSE(CONTROL!$C$22, $C$13, 100%, $E$13)</f>
        <v>11.786899999999999</v>
      </c>
      <c r="G649" s="68">
        <f>11.7902 * CHOOSE(CONTROL!$C$22, $C$13, 100%, $E$13)</f>
        <v>11.7902</v>
      </c>
      <c r="H649" s="68">
        <f>19.3404* CHOOSE(CONTROL!$C$22, $C$13, 100%, $E$13)</f>
        <v>19.340399999999999</v>
      </c>
      <c r="I649" s="68">
        <f>19.3437 * CHOOSE(CONTROL!$C$22, $C$13, 100%, $E$13)</f>
        <v>19.343699999999998</v>
      </c>
      <c r="J649" s="68">
        <f>11.7869 * CHOOSE(CONTROL!$C$22, $C$13, 100%, $E$13)</f>
        <v>11.786899999999999</v>
      </c>
      <c r="K649" s="68">
        <f>11.7902 * CHOOSE(CONTROL!$C$22, $C$13, 100%, $E$13)</f>
        <v>11.7902</v>
      </c>
    </row>
    <row r="650" spans="1:11" ht="15">
      <c r="A650" s="13">
        <v>60906</v>
      </c>
      <c r="B650" s="67">
        <f>10.2513 * CHOOSE(CONTROL!$C$22, $C$13, 100%, $E$13)</f>
        <v>10.251300000000001</v>
      </c>
      <c r="C650" s="67">
        <f>10.2513 * CHOOSE(CONTROL!$C$22, $C$13, 100%, $E$13)</f>
        <v>10.251300000000001</v>
      </c>
      <c r="D650" s="67">
        <f>10.2523 * CHOOSE(CONTROL!$C$22, $C$13, 100%, $E$13)</f>
        <v>10.2523</v>
      </c>
      <c r="E650" s="68">
        <f>11.8585 * CHOOSE(CONTROL!$C$22, $C$13, 100%, $E$13)</f>
        <v>11.858499999999999</v>
      </c>
      <c r="F650" s="68">
        <f>11.8585 * CHOOSE(CONTROL!$C$22, $C$13, 100%, $E$13)</f>
        <v>11.858499999999999</v>
      </c>
      <c r="G650" s="68">
        <f>11.8597 * CHOOSE(CONTROL!$C$22, $C$13, 100%, $E$13)</f>
        <v>11.8597</v>
      </c>
      <c r="H650" s="68">
        <f>19.3807* CHOOSE(CONTROL!$C$22, $C$13, 100%, $E$13)</f>
        <v>19.380700000000001</v>
      </c>
      <c r="I650" s="68">
        <f>19.382 * CHOOSE(CONTROL!$C$22, $C$13, 100%, $E$13)</f>
        <v>19.382000000000001</v>
      </c>
      <c r="J650" s="68">
        <f>11.8585 * CHOOSE(CONTROL!$C$22, $C$13, 100%, $E$13)</f>
        <v>11.858499999999999</v>
      </c>
      <c r="K650" s="68">
        <f>11.8597 * CHOOSE(CONTROL!$C$22, $C$13, 100%, $E$13)</f>
        <v>11.8597</v>
      </c>
    </row>
    <row r="651" spans="1:11" ht="15">
      <c r="A651" s="13">
        <v>60937</v>
      </c>
      <c r="B651" s="67">
        <f>10.2544 * CHOOSE(CONTROL!$C$22, $C$13, 100%, $E$13)</f>
        <v>10.2544</v>
      </c>
      <c r="C651" s="67">
        <f>10.2544 * CHOOSE(CONTROL!$C$22, $C$13, 100%, $E$13)</f>
        <v>10.2544</v>
      </c>
      <c r="D651" s="67">
        <f>10.2553 * CHOOSE(CONTROL!$C$22, $C$13, 100%, $E$13)</f>
        <v>10.2553</v>
      </c>
      <c r="E651" s="68">
        <f>11.903 * CHOOSE(CONTROL!$C$22, $C$13, 100%, $E$13)</f>
        <v>11.903</v>
      </c>
      <c r="F651" s="68">
        <f>11.903 * CHOOSE(CONTROL!$C$22, $C$13, 100%, $E$13)</f>
        <v>11.903</v>
      </c>
      <c r="G651" s="68">
        <f>11.9043 * CHOOSE(CONTROL!$C$22, $C$13, 100%, $E$13)</f>
        <v>11.904299999999999</v>
      </c>
      <c r="H651" s="68">
        <f>19.4211* CHOOSE(CONTROL!$C$22, $C$13, 100%, $E$13)</f>
        <v>19.421099999999999</v>
      </c>
      <c r="I651" s="68">
        <f>19.4224 * CHOOSE(CONTROL!$C$22, $C$13, 100%, $E$13)</f>
        <v>19.4224</v>
      </c>
      <c r="J651" s="68">
        <f>11.903 * CHOOSE(CONTROL!$C$22, $C$13, 100%, $E$13)</f>
        <v>11.903</v>
      </c>
      <c r="K651" s="68">
        <f>11.9043 * CHOOSE(CONTROL!$C$22, $C$13, 100%, $E$13)</f>
        <v>11.904299999999999</v>
      </c>
    </row>
    <row r="652" spans="1:11" ht="15">
      <c r="A652" s="13">
        <v>60967</v>
      </c>
      <c r="B652" s="67">
        <f>10.2544 * CHOOSE(CONTROL!$C$22, $C$13, 100%, $E$13)</f>
        <v>10.2544</v>
      </c>
      <c r="C652" s="67">
        <f>10.2544 * CHOOSE(CONTROL!$C$22, $C$13, 100%, $E$13)</f>
        <v>10.2544</v>
      </c>
      <c r="D652" s="67">
        <f>10.2553 * CHOOSE(CONTROL!$C$22, $C$13, 100%, $E$13)</f>
        <v>10.2553</v>
      </c>
      <c r="E652" s="68">
        <f>11.7969 * CHOOSE(CONTROL!$C$22, $C$13, 100%, $E$13)</f>
        <v>11.796900000000001</v>
      </c>
      <c r="F652" s="68">
        <f>11.7969 * CHOOSE(CONTROL!$C$22, $C$13, 100%, $E$13)</f>
        <v>11.796900000000001</v>
      </c>
      <c r="G652" s="68">
        <f>11.7982 * CHOOSE(CONTROL!$C$22, $C$13, 100%, $E$13)</f>
        <v>11.7982</v>
      </c>
      <c r="H652" s="68">
        <f>19.4616* CHOOSE(CONTROL!$C$22, $C$13, 100%, $E$13)</f>
        <v>19.461600000000001</v>
      </c>
      <c r="I652" s="68">
        <f>19.4629 * CHOOSE(CONTROL!$C$22, $C$13, 100%, $E$13)</f>
        <v>19.462900000000001</v>
      </c>
      <c r="J652" s="68">
        <f>11.7969 * CHOOSE(CONTROL!$C$22, $C$13, 100%, $E$13)</f>
        <v>11.796900000000001</v>
      </c>
      <c r="K652" s="68">
        <f>11.7982 * CHOOSE(CONTROL!$C$22, $C$13, 100%, $E$13)</f>
        <v>11.7982</v>
      </c>
    </row>
    <row r="653" spans="1:11" ht="15">
      <c r="A653" s="13">
        <v>60998</v>
      </c>
      <c r="B653" s="67">
        <f>10.3096 * CHOOSE(CONTROL!$C$22, $C$13, 100%, $E$13)</f>
        <v>10.3096</v>
      </c>
      <c r="C653" s="67">
        <f>10.3096 * CHOOSE(CONTROL!$C$22, $C$13, 100%, $E$13)</f>
        <v>10.3096</v>
      </c>
      <c r="D653" s="67">
        <f>10.3106 * CHOOSE(CONTROL!$C$22, $C$13, 100%, $E$13)</f>
        <v>10.310600000000001</v>
      </c>
      <c r="E653" s="68">
        <f>11.9374 * CHOOSE(CONTROL!$C$22, $C$13, 100%, $E$13)</f>
        <v>11.9374</v>
      </c>
      <c r="F653" s="68">
        <f>11.9374 * CHOOSE(CONTROL!$C$22, $C$13, 100%, $E$13)</f>
        <v>11.9374</v>
      </c>
      <c r="G653" s="68">
        <f>11.9387 * CHOOSE(CONTROL!$C$22, $C$13, 100%, $E$13)</f>
        <v>11.938700000000001</v>
      </c>
      <c r="H653" s="68">
        <f>19.4481* CHOOSE(CONTROL!$C$22, $C$13, 100%, $E$13)</f>
        <v>19.4481</v>
      </c>
      <c r="I653" s="68">
        <f>19.4494 * CHOOSE(CONTROL!$C$22, $C$13, 100%, $E$13)</f>
        <v>19.449400000000001</v>
      </c>
      <c r="J653" s="68">
        <f>11.9374 * CHOOSE(CONTROL!$C$22, $C$13, 100%, $E$13)</f>
        <v>11.9374</v>
      </c>
      <c r="K653" s="68">
        <f>11.9387 * CHOOSE(CONTROL!$C$22, $C$13, 100%, $E$13)</f>
        <v>11.938700000000001</v>
      </c>
    </row>
    <row r="654" spans="1:11" ht="15">
      <c r="A654" s="13">
        <v>61029</v>
      </c>
      <c r="B654" s="67">
        <f>10.3066 * CHOOSE(CONTROL!$C$22, $C$13, 100%, $E$13)</f>
        <v>10.3066</v>
      </c>
      <c r="C654" s="67">
        <f>10.3066 * CHOOSE(CONTROL!$C$22, $C$13, 100%, $E$13)</f>
        <v>10.3066</v>
      </c>
      <c r="D654" s="67">
        <f>10.3075 * CHOOSE(CONTROL!$C$22, $C$13, 100%, $E$13)</f>
        <v>10.307499999999999</v>
      </c>
      <c r="E654" s="68">
        <f>11.7297 * CHOOSE(CONTROL!$C$22, $C$13, 100%, $E$13)</f>
        <v>11.729699999999999</v>
      </c>
      <c r="F654" s="68">
        <f>11.7297 * CHOOSE(CONTROL!$C$22, $C$13, 100%, $E$13)</f>
        <v>11.729699999999999</v>
      </c>
      <c r="G654" s="68">
        <f>11.7309 * CHOOSE(CONTROL!$C$22, $C$13, 100%, $E$13)</f>
        <v>11.7309</v>
      </c>
      <c r="H654" s="68">
        <f>19.4886* CHOOSE(CONTROL!$C$22, $C$13, 100%, $E$13)</f>
        <v>19.488600000000002</v>
      </c>
      <c r="I654" s="68">
        <f>19.4899 * CHOOSE(CONTROL!$C$22, $C$13, 100%, $E$13)</f>
        <v>19.489899999999999</v>
      </c>
      <c r="J654" s="68">
        <f>11.7297 * CHOOSE(CONTROL!$C$22, $C$13, 100%, $E$13)</f>
        <v>11.729699999999999</v>
      </c>
      <c r="K654" s="68">
        <f>11.7309 * CHOOSE(CONTROL!$C$22, $C$13, 100%, $E$13)</f>
        <v>11.7309</v>
      </c>
    </row>
    <row r="655" spans="1:11" ht="15">
      <c r="A655" s="13">
        <v>61057</v>
      </c>
      <c r="B655" s="67">
        <f>10.3035 * CHOOSE(CONTROL!$C$22, $C$13, 100%, $E$13)</f>
        <v>10.3035</v>
      </c>
      <c r="C655" s="67">
        <f>10.3035 * CHOOSE(CONTROL!$C$22, $C$13, 100%, $E$13)</f>
        <v>10.3035</v>
      </c>
      <c r="D655" s="67">
        <f>10.3045 * CHOOSE(CONTROL!$C$22, $C$13, 100%, $E$13)</f>
        <v>10.304500000000001</v>
      </c>
      <c r="E655" s="68">
        <f>11.8896 * CHOOSE(CONTROL!$C$22, $C$13, 100%, $E$13)</f>
        <v>11.8896</v>
      </c>
      <c r="F655" s="68">
        <f>11.8896 * CHOOSE(CONTROL!$C$22, $C$13, 100%, $E$13)</f>
        <v>11.8896</v>
      </c>
      <c r="G655" s="68">
        <f>11.8909 * CHOOSE(CONTROL!$C$22, $C$13, 100%, $E$13)</f>
        <v>11.8909</v>
      </c>
      <c r="H655" s="68">
        <f>19.5292* CHOOSE(CONTROL!$C$22, $C$13, 100%, $E$13)</f>
        <v>19.529199999999999</v>
      </c>
      <c r="I655" s="68">
        <f>19.5305 * CHOOSE(CONTROL!$C$22, $C$13, 100%, $E$13)</f>
        <v>19.5305</v>
      </c>
      <c r="J655" s="68">
        <f>11.8896 * CHOOSE(CONTROL!$C$22, $C$13, 100%, $E$13)</f>
        <v>11.8896</v>
      </c>
      <c r="K655" s="68">
        <f>11.8909 * CHOOSE(CONTROL!$C$22, $C$13, 100%, $E$13)</f>
        <v>11.8909</v>
      </c>
    </row>
    <row r="656" spans="1:11" ht="15">
      <c r="A656" s="13">
        <v>61088</v>
      </c>
      <c r="B656" s="67">
        <f>10.3065 * CHOOSE(CONTROL!$C$22, $C$13, 100%, $E$13)</f>
        <v>10.3065</v>
      </c>
      <c r="C656" s="67">
        <f>10.3065 * CHOOSE(CONTROL!$C$22, $C$13, 100%, $E$13)</f>
        <v>10.3065</v>
      </c>
      <c r="D656" s="67">
        <f>10.3075 * CHOOSE(CONTROL!$C$22, $C$13, 100%, $E$13)</f>
        <v>10.307499999999999</v>
      </c>
      <c r="E656" s="68">
        <f>12.0594 * CHOOSE(CONTROL!$C$22, $C$13, 100%, $E$13)</f>
        <v>12.0594</v>
      </c>
      <c r="F656" s="68">
        <f>12.0594 * CHOOSE(CONTROL!$C$22, $C$13, 100%, $E$13)</f>
        <v>12.0594</v>
      </c>
      <c r="G656" s="68">
        <f>12.0607 * CHOOSE(CONTROL!$C$22, $C$13, 100%, $E$13)</f>
        <v>12.060700000000001</v>
      </c>
      <c r="H656" s="68">
        <f>19.5699* CHOOSE(CONTROL!$C$22, $C$13, 100%, $E$13)</f>
        <v>19.569900000000001</v>
      </c>
      <c r="I656" s="68">
        <f>19.5712 * CHOOSE(CONTROL!$C$22, $C$13, 100%, $E$13)</f>
        <v>19.571200000000001</v>
      </c>
      <c r="J656" s="68">
        <f>12.0594 * CHOOSE(CONTROL!$C$22, $C$13, 100%, $E$13)</f>
        <v>12.0594</v>
      </c>
      <c r="K656" s="68">
        <f>12.0607 * CHOOSE(CONTROL!$C$22, $C$13, 100%, $E$13)</f>
        <v>12.060700000000001</v>
      </c>
    </row>
    <row r="657" spans="1:11" ht="15">
      <c r="A657" s="13">
        <v>61118</v>
      </c>
      <c r="B657" s="67">
        <f>10.3065 * CHOOSE(CONTROL!$C$22, $C$13, 100%, $E$13)</f>
        <v>10.3065</v>
      </c>
      <c r="C657" s="67">
        <f>10.3065 * CHOOSE(CONTROL!$C$22, $C$13, 100%, $E$13)</f>
        <v>10.3065</v>
      </c>
      <c r="D657" s="67">
        <f>10.3091 * CHOOSE(CONTROL!$C$22, $C$13, 100%, $E$13)</f>
        <v>10.309100000000001</v>
      </c>
      <c r="E657" s="68">
        <f>12.1247 * CHOOSE(CONTROL!$C$22, $C$13, 100%, $E$13)</f>
        <v>12.124700000000001</v>
      </c>
      <c r="F657" s="68">
        <f>12.1247 * CHOOSE(CONTROL!$C$22, $C$13, 100%, $E$13)</f>
        <v>12.124700000000001</v>
      </c>
      <c r="G657" s="68">
        <f>12.128 * CHOOSE(CONTROL!$C$22, $C$13, 100%, $E$13)</f>
        <v>12.128</v>
      </c>
      <c r="H657" s="68">
        <f>19.6107* CHOOSE(CONTROL!$C$22, $C$13, 100%, $E$13)</f>
        <v>19.610700000000001</v>
      </c>
      <c r="I657" s="68">
        <f>19.614 * CHOOSE(CONTROL!$C$22, $C$13, 100%, $E$13)</f>
        <v>19.614000000000001</v>
      </c>
      <c r="J657" s="68">
        <f>12.1247 * CHOOSE(CONTROL!$C$22, $C$13, 100%, $E$13)</f>
        <v>12.124700000000001</v>
      </c>
      <c r="K657" s="68">
        <f>12.128 * CHOOSE(CONTROL!$C$22, $C$13, 100%, $E$13)</f>
        <v>12.128</v>
      </c>
    </row>
    <row r="658" spans="1:11" ht="15">
      <c r="A658" s="13">
        <v>61149</v>
      </c>
      <c r="B658" s="67">
        <f>10.3126 * CHOOSE(CONTROL!$C$22, $C$13, 100%, $E$13)</f>
        <v>10.3126</v>
      </c>
      <c r="C658" s="67">
        <f>10.3126 * CHOOSE(CONTROL!$C$22, $C$13, 100%, $E$13)</f>
        <v>10.3126</v>
      </c>
      <c r="D658" s="67">
        <f>10.3152 * CHOOSE(CONTROL!$C$22, $C$13, 100%, $E$13)</f>
        <v>10.315200000000001</v>
      </c>
      <c r="E658" s="68">
        <f>12.0637 * CHOOSE(CONTROL!$C$22, $C$13, 100%, $E$13)</f>
        <v>12.063700000000001</v>
      </c>
      <c r="F658" s="68">
        <f>12.0637 * CHOOSE(CONTROL!$C$22, $C$13, 100%, $E$13)</f>
        <v>12.063700000000001</v>
      </c>
      <c r="G658" s="68">
        <f>12.0669 * CHOOSE(CONTROL!$C$22, $C$13, 100%, $E$13)</f>
        <v>12.0669</v>
      </c>
      <c r="H658" s="68">
        <f>19.6516* CHOOSE(CONTROL!$C$22, $C$13, 100%, $E$13)</f>
        <v>19.651599999999998</v>
      </c>
      <c r="I658" s="68">
        <f>19.6548 * CHOOSE(CONTROL!$C$22, $C$13, 100%, $E$13)</f>
        <v>19.654800000000002</v>
      </c>
      <c r="J658" s="68">
        <f>12.0637 * CHOOSE(CONTROL!$C$22, $C$13, 100%, $E$13)</f>
        <v>12.063700000000001</v>
      </c>
      <c r="K658" s="68">
        <f>12.0669 * CHOOSE(CONTROL!$C$22, $C$13, 100%, $E$13)</f>
        <v>12.0669</v>
      </c>
    </row>
    <row r="659" spans="1:11" ht="15">
      <c r="A659" s="13">
        <v>61179</v>
      </c>
      <c r="B659" s="67">
        <f>10.4716 * CHOOSE(CONTROL!$C$22, $C$13, 100%, $E$13)</f>
        <v>10.4716</v>
      </c>
      <c r="C659" s="67">
        <f>10.4716 * CHOOSE(CONTROL!$C$22, $C$13, 100%, $E$13)</f>
        <v>10.4716</v>
      </c>
      <c r="D659" s="67">
        <f>10.4742 * CHOOSE(CONTROL!$C$22, $C$13, 100%, $E$13)</f>
        <v>10.4742</v>
      </c>
      <c r="E659" s="68">
        <f>12.2585 * CHOOSE(CONTROL!$C$22, $C$13, 100%, $E$13)</f>
        <v>12.2585</v>
      </c>
      <c r="F659" s="68">
        <f>12.2585 * CHOOSE(CONTROL!$C$22, $C$13, 100%, $E$13)</f>
        <v>12.2585</v>
      </c>
      <c r="G659" s="68">
        <f>12.2618 * CHOOSE(CONTROL!$C$22, $C$13, 100%, $E$13)</f>
        <v>12.261799999999999</v>
      </c>
      <c r="H659" s="68">
        <f>19.6925* CHOOSE(CONTROL!$C$22, $C$13, 100%, $E$13)</f>
        <v>19.692499999999999</v>
      </c>
      <c r="I659" s="68">
        <f>19.6958 * CHOOSE(CONTROL!$C$22, $C$13, 100%, $E$13)</f>
        <v>19.695799999999998</v>
      </c>
      <c r="J659" s="68">
        <f>12.2585 * CHOOSE(CONTROL!$C$22, $C$13, 100%, $E$13)</f>
        <v>12.2585</v>
      </c>
      <c r="K659" s="68">
        <f>12.2618 * CHOOSE(CONTROL!$C$22, $C$13, 100%, $E$13)</f>
        <v>12.261799999999999</v>
      </c>
    </row>
    <row r="660" spans="1:11" ht="15">
      <c r="A660" s="13">
        <v>61210</v>
      </c>
      <c r="B660" s="67">
        <f>10.4782 * CHOOSE(CONTROL!$C$22, $C$13, 100%, $E$13)</f>
        <v>10.478199999999999</v>
      </c>
      <c r="C660" s="67">
        <f>10.4782 * CHOOSE(CONTROL!$C$22, $C$13, 100%, $E$13)</f>
        <v>10.478199999999999</v>
      </c>
      <c r="D660" s="67">
        <f>10.4809 * CHOOSE(CONTROL!$C$22, $C$13, 100%, $E$13)</f>
        <v>10.4809</v>
      </c>
      <c r="E660" s="68">
        <f>12.0674 * CHOOSE(CONTROL!$C$22, $C$13, 100%, $E$13)</f>
        <v>12.067399999999999</v>
      </c>
      <c r="F660" s="68">
        <f>12.0674 * CHOOSE(CONTROL!$C$22, $C$13, 100%, $E$13)</f>
        <v>12.067399999999999</v>
      </c>
      <c r="G660" s="68">
        <f>12.0706 * CHOOSE(CONTROL!$C$22, $C$13, 100%, $E$13)</f>
        <v>12.070600000000001</v>
      </c>
      <c r="H660" s="68">
        <f>19.7335* CHOOSE(CONTROL!$C$22, $C$13, 100%, $E$13)</f>
        <v>19.733499999999999</v>
      </c>
      <c r="I660" s="68">
        <f>19.7368 * CHOOSE(CONTROL!$C$22, $C$13, 100%, $E$13)</f>
        <v>19.736799999999999</v>
      </c>
      <c r="J660" s="68">
        <f>12.0674 * CHOOSE(CONTROL!$C$22, $C$13, 100%, $E$13)</f>
        <v>12.067399999999999</v>
      </c>
      <c r="K660" s="68">
        <f>12.0706 * CHOOSE(CONTROL!$C$22, $C$13, 100%, $E$13)</f>
        <v>12.070600000000001</v>
      </c>
    </row>
    <row r="661" spans="1:11" ht="15">
      <c r="A661" s="13">
        <v>61241</v>
      </c>
      <c r="B661" s="67">
        <f>10.4752 * CHOOSE(CONTROL!$C$22, $C$13, 100%, $E$13)</f>
        <v>10.475199999999999</v>
      </c>
      <c r="C661" s="67">
        <f>10.4752 * CHOOSE(CONTROL!$C$22, $C$13, 100%, $E$13)</f>
        <v>10.475199999999999</v>
      </c>
      <c r="D661" s="67">
        <f>10.4778 * CHOOSE(CONTROL!$C$22, $C$13, 100%, $E$13)</f>
        <v>10.4778</v>
      </c>
      <c r="E661" s="68">
        <f>12.0435 * CHOOSE(CONTROL!$C$22, $C$13, 100%, $E$13)</f>
        <v>12.0435</v>
      </c>
      <c r="F661" s="68">
        <f>12.0435 * CHOOSE(CONTROL!$C$22, $C$13, 100%, $E$13)</f>
        <v>12.0435</v>
      </c>
      <c r="G661" s="68">
        <f>12.0467 * CHOOSE(CONTROL!$C$22, $C$13, 100%, $E$13)</f>
        <v>12.0467</v>
      </c>
      <c r="H661" s="68">
        <f>19.7746* CHOOSE(CONTROL!$C$22, $C$13, 100%, $E$13)</f>
        <v>19.7746</v>
      </c>
      <c r="I661" s="68">
        <f>19.7779 * CHOOSE(CONTROL!$C$22, $C$13, 100%, $E$13)</f>
        <v>19.777899999999999</v>
      </c>
      <c r="J661" s="68">
        <f>12.0435 * CHOOSE(CONTROL!$C$22, $C$13, 100%, $E$13)</f>
        <v>12.0435</v>
      </c>
      <c r="K661" s="68">
        <f>12.0467 * CHOOSE(CONTROL!$C$22, $C$13, 100%, $E$13)</f>
        <v>12.0467</v>
      </c>
    </row>
    <row r="662" spans="1:11" ht="15">
      <c r="A662" s="13">
        <v>61271</v>
      </c>
      <c r="B662" s="67">
        <f>10.4913 * CHOOSE(CONTROL!$C$22, $C$13, 100%, $E$13)</f>
        <v>10.491300000000001</v>
      </c>
      <c r="C662" s="67">
        <f>10.4913 * CHOOSE(CONTROL!$C$22, $C$13, 100%, $E$13)</f>
        <v>10.491300000000001</v>
      </c>
      <c r="D662" s="67">
        <f>10.4922 * CHOOSE(CONTROL!$C$22, $C$13, 100%, $E$13)</f>
        <v>10.4922</v>
      </c>
      <c r="E662" s="68">
        <f>12.1171 * CHOOSE(CONTROL!$C$22, $C$13, 100%, $E$13)</f>
        <v>12.117100000000001</v>
      </c>
      <c r="F662" s="68">
        <f>12.1171 * CHOOSE(CONTROL!$C$22, $C$13, 100%, $E$13)</f>
        <v>12.117100000000001</v>
      </c>
      <c r="G662" s="68">
        <f>12.1184 * CHOOSE(CONTROL!$C$22, $C$13, 100%, $E$13)</f>
        <v>12.118399999999999</v>
      </c>
      <c r="H662" s="68">
        <f>19.8158* CHOOSE(CONTROL!$C$22, $C$13, 100%, $E$13)</f>
        <v>19.815799999999999</v>
      </c>
      <c r="I662" s="68">
        <f>19.8171 * CHOOSE(CONTROL!$C$22, $C$13, 100%, $E$13)</f>
        <v>19.8171</v>
      </c>
      <c r="J662" s="68">
        <f>12.1171 * CHOOSE(CONTROL!$C$22, $C$13, 100%, $E$13)</f>
        <v>12.117100000000001</v>
      </c>
      <c r="K662" s="68">
        <f>12.1184 * CHOOSE(CONTROL!$C$22, $C$13, 100%, $E$13)</f>
        <v>12.118399999999999</v>
      </c>
    </row>
    <row r="663" spans="1:11" ht="15">
      <c r="A663" s="13">
        <v>61302</v>
      </c>
      <c r="B663" s="67">
        <f>10.4943 * CHOOSE(CONTROL!$C$22, $C$13, 100%, $E$13)</f>
        <v>10.494300000000001</v>
      </c>
      <c r="C663" s="67">
        <f>10.4943 * CHOOSE(CONTROL!$C$22, $C$13, 100%, $E$13)</f>
        <v>10.494300000000001</v>
      </c>
      <c r="D663" s="67">
        <f>10.4953 * CHOOSE(CONTROL!$C$22, $C$13, 100%, $E$13)</f>
        <v>10.4953</v>
      </c>
      <c r="E663" s="68">
        <f>12.1627 * CHOOSE(CONTROL!$C$22, $C$13, 100%, $E$13)</f>
        <v>12.162699999999999</v>
      </c>
      <c r="F663" s="68">
        <f>12.1627 * CHOOSE(CONTROL!$C$22, $C$13, 100%, $E$13)</f>
        <v>12.162699999999999</v>
      </c>
      <c r="G663" s="68">
        <f>12.164 * CHOOSE(CONTROL!$C$22, $C$13, 100%, $E$13)</f>
        <v>12.164</v>
      </c>
      <c r="H663" s="68">
        <f>19.8571* CHOOSE(CONTROL!$C$22, $C$13, 100%, $E$13)</f>
        <v>19.857099999999999</v>
      </c>
      <c r="I663" s="68">
        <f>19.8584 * CHOOSE(CONTROL!$C$22, $C$13, 100%, $E$13)</f>
        <v>19.8584</v>
      </c>
      <c r="J663" s="68">
        <f>12.1627 * CHOOSE(CONTROL!$C$22, $C$13, 100%, $E$13)</f>
        <v>12.162699999999999</v>
      </c>
      <c r="K663" s="68">
        <f>12.164 * CHOOSE(CONTROL!$C$22, $C$13, 100%, $E$13)</f>
        <v>12.164</v>
      </c>
    </row>
    <row r="664" spans="1:11" ht="15">
      <c r="A664" s="13">
        <v>61332</v>
      </c>
      <c r="B664" s="67">
        <f>10.4943 * CHOOSE(CONTROL!$C$22, $C$13, 100%, $E$13)</f>
        <v>10.494300000000001</v>
      </c>
      <c r="C664" s="67">
        <f>10.4943 * CHOOSE(CONTROL!$C$22, $C$13, 100%, $E$13)</f>
        <v>10.494300000000001</v>
      </c>
      <c r="D664" s="67">
        <f>10.4953 * CHOOSE(CONTROL!$C$22, $C$13, 100%, $E$13)</f>
        <v>10.4953</v>
      </c>
      <c r="E664" s="68">
        <f>12.0539 * CHOOSE(CONTROL!$C$22, $C$13, 100%, $E$13)</f>
        <v>12.053900000000001</v>
      </c>
      <c r="F664" s="68">
        <f>12.0539 * CHOOSE(CONTROL!$C$22, $C$13, 100%, $E$13)</f>
        <v>12.053900000000001</v>
      </c>
      <c r="G664" s="68">
        <f>12.0552 * CHOOSE(CONTROL!$C$22, $C$13, 100%, $E$13)</f>
        <v>12.055199999999999</v>
      </c>
      <c r="H664" s="68">
        <f>19.8985* CHOOSE(CONTROL!$C$22, $C$13, 100%, $E$13)</f>
        <v>19.898499999999999</v>
      </c>
      <c r="I664" s="68">
        <f>19.8998 * CHOOSE(CONTROL!$C$22, $C$13, 100%, $E$13)</f>
        <v>19.899799999999999</v>
      </c>
      <c r="J664" s="68">
        <f>12.0539 * CHOOSE(CONTROL!$C$22, $C$13, 100%, $E$13)</f>
        <v>12.053900000000001</v>
      </c>
      <c r="K664" s="68">
        <f>12.0552 * CHOOSE(CONTROL!$C$22, $C$13, 100%, $E$13)</f>
        <v>12.055199999999999</v>
      </c>
    </row>
    <row r="665" spans="1:11" ht="15">
      <c r="A665" s="13">
        <v>61363</v>
      </c>
      <c r="B665" s="67">
        <f>10.5452 * CHOOSE(CONTROL!$C$22, $C$13, 100%, $E$13)</f>
        <v>10.545199999999999</v>
      </c>
      <c r="C665" s="67">
        <f>10.5452 * CHOOSE(CONTROL!$C$22, $C$13, 100%, $E$13)</f>
        <v>10.545199999999999</v>
      </c>
      <c r="D665" s="67">
        <f>10.5462 * CHOOSE(CONTROL!$C$22, $C$13, 100%, $E$13)</f>
        <v>10.546200000000001</v>
      </c>
      <c r="E665" s="68">
        <f>12.1921 * CHOOSE(CONTROL!$C$22, $C$13, 100%, $E$13)</f>
        <v>12.1921</v>
      </c>
      <c r="F665" s="68">
        <f>12.1921 * CHOOSE(CONTROL!$C$22, $C$13, 100%, $E$13)</f>
        <v>12.1921</v>
      </c>
      <c r="G665" s="68">
        <f>12.1934 * CHOOSE(CONTROL!$C$22, $C$13, 100%, $E$13)</f>
        <v>12.1934</v>
      </c>
      <c r="H665" s="68">
        <f>19.8751* CHOOSE(CONTROL!$C$22, $C$13, 100%, $E$13)</f>
        <v>19.8751</v>
      </c>
      <c r="I665" s="68">
        <f>19.8764 * CHOOSE(CONTROL!$C$22, $C$13, 100%, $E$13)</f>
        <v>19.8764</v>
      </c>
      <c r="J665" s="68">
        <f>12.1921 * CHOOSE(CONTROL!$C$22, $C$13, 100%, $E$13)</f>
        <v>12.1921</v>
      </c>
      <c r="K665" s="68">
        <f>12.1934 * CHOOSE(CONTROL!$C$22, $C$13, 100%, $E$13)</f>
        <v>12.1934</v>
      </c>
    </row>
    <row r="666" spans="1:11" ht="15">
      <c r="A666" s="13">
        <v>61394</v>
      </c>
      <c r="B666" s="67">
        <f>10.5421 * CHOOSE(CONTROL!$C$22, $C$13, 100%, $E$13)</f>
        <v>10.5421</v>
      </c>
      <c r="C666" s="67">
        <f>10.5421 * CHOOSE(CONTROL!$C$22, $C$13, 100%, $E$13)</f>
        <v>10.5421</v>
      </c>
      <c r="D666" s="67">
        <f>10.5431 * CHOOSE(CONTROL!$C$22, $C$13, 100%, $E$13)</f>
        <v>10.543100000000001</v>
      </c>
      <c r="E666" s="68">
        <f>11.9794 * CHOOSE(CONTROL!$C$22, $C$13, 100%, $E$13)</f>
        <v>11.9794</v>
      </c>
      <c r="F666" s="68">
        <f>11.9794 * CHOOSE(CONTROL!$C$22, $C$13, 100%, $E$13)</f>
        <v>11.9794</v>
      </c>
      <c r="G666" s="68">
        <f>11.9807 * CHOOSE(CONTROL!$C$22, $C$13, 100%, $E$13)</f>
        <v>11.980700000000001</v>
      </c>
      <c r="H666" s="68">
        <f>19.9166* CHOOSE(CONTROL!$C$22, $C$13, 100%, $E$13)</f>
        <v>19.916599999999999</v>
      </c>
      <c r="I666" s="68">
        <f>19.9178 * CHOOSE(CONTROL!$C$22, $C$13, 100%, $E$13)</f>
        <v>19.9178</v>
      </c>
      <c r="J666" s="68">
        <f>11.9794 * CHOOSE(CONTROL!$C$22, $C$13, 100%, $E$13)</f>
        <v>11.9794</v>
      </c>
      <c r="K666" s="68">
        <f>11.9807 * CHOOSE(CONTROL!$C$22, $C$13, 100%, $E$13)</f>
        <v>11.980700000000001</v>
      </c>
    </row>
    <row r="667" spans="1:11" ht="15">
      <c r="A667" s="13">
        <v>61423</v>
      </c>
      <c r="B667" s="67">
        <f>10.5391 * CHOOSE(CONTROL!$C$22, $C$13, 100%, $E$13)</f>
        <v>10.539099999999999</v>
      </c>
      <c r="C667" s="67">
        <f>10.5391 * CHOOSE(CONTROL!$C$22, $C$13, 100%, $E$13)</f>
        <v>10.539099999999999</v>
      </c>
      <c r="D667" s="67">
        <f>10.5401 * CHOOSE(CONTROL!$C$22, $C$13, 100%, $E$13)</f>
        <v>10.540100000000001</v>
      </c>
      <c r="E667" s="68">
        <f>12.1433 * CHOOSE(CONTROL!$C$22, $C$13, 100%, $E$13)</f>
        <v>12.1433</v>
      </c>
      <c r="F667" s="68">
        <f>12.1433 * CHOOSE(CONTROL!$C$22, $C$13, 100%, $E$13)</f>
        <v>12.1433</v>
      </c>
      <c r="G667" s="68">
        <f>12.1446 * CHOOSE(CONTROL!$C$22, $C$13, 100%, $E$13)</f>
        <v>12.144600000000001</v>
      </c>
      <c r="H667" s="68">
        <f>19.958* CHOOSE(CONTROL!$C$22, $C$13, 100%, $E$13)</f>
        <v>19.957999999999998</v>
      </c>
      <c r="I667" s="68">
        <f>19.9593 * CHOOSE(CONTROL!$C$22, $C$13, 100%, $E$13)</f>
        <v>19.959299999999999</v>
      </c>
      <c r="J667" s="68">
        <f>12.1433 * CHOOSE(CONTROL!$C$22, $C$13, 100%, $E$13)</f>
        <v>12.1433</v>
      </c>
      <c r="K667" s="68">
        <f>12.1446 * CHOOSE(CONTROL!$C$22, $C$13, 100%, $E$13)</f>
        <v>12.144600000000001</v>
      </c>
    </row>
    <row r="668" spans="1:11" ht="15">
      <c r="A668" s="13">
        <v>61454</v>
      </c>
      <c r="B668" s="67">
        <f>10.5423 * CHOOSE(CONTROL!$C$22, $C$13, 100%, $E$13)</f>
        <v>10.542299999999999</v>
      </c>
      <c r="C668" s="67">
        <f>10.5423 * CHOOSE(CONTROL!$C$22, $C$13, 100%, $E$13)</f>
        <v>10.542299999999999</v>
      </c>
      <c r="D668" s="67">
        <f>10.5432 * CHOOSE(CONTROL!$C$22, $C$13, 100%, $E$13)</f>
        <v>10.543200000000001</v>
      </c>
      <c r="E668" s="68">
        <f>12.3173 * CHOOSE(CONTROL!$C$22, $C$13, 100%, $E$13)</f>
        <v>12.317299999999999</v>
      </c>
      <c r="F668" s="68">
        <f>12.3173 * CHOOSE(CONTROL!$C$22, $C$13, 100%, $E$13)</f>
        <v>12.317299999999999</v>
      </c>
      <c r="G668" s="68">
        <f>12.3186 * CHOOSE(CONTROL!$C$22, $C$13, 100%, $E$13)</f>
        <v>12.3186</v>
      </c>
      <c r="H668" s="68">
        <f>19.9996* CHOOSE(CONTROL!$C$22, $C$13, 100%, $E$13)</f>
        <v>19.999600000000001</v>
      </c>
      <c r="I668" s="68">
        <f>20.0009 * CHOOSE(CONTROL!$C$22, $C$13, 100%, $E$13)</f>
        <v>20.000900000000001</v>
      </c>
      <c r="J668" s="68">
        <f>12.3173 * CHOOSE(CONTROL!$C$22, $C$13, 100%, $E$13)</f>
        <v>12.317299999999999</v>
      </c>
      <c r="K668" s="68">
        <f>12.3186 * CHOOSE(CONTROL!$C$22, $C$13, 100%, $E$13)</f>
        <v>12.3186</v>
      </c>
    </row>
    <row r="669" spans="1:11" ht="15">
      <c r="A669" s="13">
        <v>61484</v>
      </c>
      <c r="B669" s="67">
        <f>10.5423 * CHOOSE(CONTROL!$C$22, $C$13, 100%, $E$13)</f>
        <v>10.542299999999999</v>
      </c>
      <c r="C669" s="67">
        <f>10.5423 * CHOOSE(CONTROL!$C$22, $C$13, 100%, $E$13)</f>
        <v>10.542299999999999</v>
      </c>
      <c r="D669" s="67">
        <f>10.5449 * CHOOSE(CONTROL!$C$22, $C$13, 100%, $E$13)</f>
        <v>10.5449</v>
      </c>
      <c r="E669" s="68">
        <f>12.3841 * CHOOSE(CONTROL!$C$22, $C$13, 100%, $E$13)</f>
        <v>12.3841</v>
      </c>
      <c r="F669" s="68">
        <f>12.3841 * CHOOSE(CONTROL!$C$22, $C$13, 100%, $E$13)</f>
        <v>12.3841</v>
      </c>
      <c r="G669" s="68">
        <f>12.3874 * CHOOSE(CONTROL!$C$22, $C$13, 100%, $E$13)</f>
        <v>12.3874</v>
      </c>
      <c r="H669" s="68">
        <f>20.0413* CHOOSE(CONTROL!$C$22, $C$13, 100%, $E$13)</f>
        <v>20.0413</v>
      </c>
      <c r="I669" s="68">
        <f>20.0445 * CHOOSE(CONTROL!$C$22, $C$13, 100%, $E$13)</f>
        <v>20.044499999999999</v>
      </c>
      <c r="J669" s="68">
        <f>12.3841 * CHOOSE(CONTROL!$C$22, $C$13, 100%, $E$13)</f>
        <v>12.3841</v>
      </c>
      <c r="K669" s="68">
        <f>12.3874 * CHOOSE(CONTROL!$C$22, $C$13, 100%, $E$13)</f>
        <v>12.3874</v>
      </c>
    </row>
    <row r="670" spans="1:11" ht="15">
      <c r="A670" s="13">
        <v>61515</v>
      </c>
      <c r="B670" s="67">
        <f>10.5483 * CHOOSE(CONTROL!$C$22, $C$13, 100%, $E$13)</f>
        <v>10.548299999999999</v>
      </c>
      <c r="C670" s="67">
        <f>10.5483 * CHOOSE(CONTROL!$C$22, $C$13, 100%, $E$13)</f>
        <v>10.548299999999999</v>
      </c>
      <c r="D670" s="67">
        <f>10.551 * CHOOSE(CONTROL!$C$22, $C$13, 100%, $E$13)</f>
        <v>10.551</v>
      </c>
      <c r="E670" s="68">
        <f>12.3215 * CHOOSE(CONTROL!$C$22, $C$13, 100%, $E$13)</f>
        <v>12.3215</v>
      </c>
      <c r="F670" s="68">
        <f>12.3215 * CHOOSE(CONTROL!$C$22, $C$13, 100%, $E$13)</f>
        <v>12.3215</v>
      </c>
      <c r="G670" s="68">
        <f>12.3248 * CHOOSE(CONTROL!$C$22, $C$13, 100%, $E$13)</f>
        <v>12.3248</v>
      </c>
      <c r="H670" s="68">
        <f>20.083* CHOOSE(CONTROL!$C$22, $C$13, 100%, $E$13)</f>
        <v>20.082999999999998</v>
      </c>
      <c r="I670" s="68">
        <f>20.0863 * CHOOSE(CONTROL!$C$22, $C$13, 100%, $E$13)</f>
        <v>20.086300000000001</v>
      </c>
      <c r="J670" s="68">
        <f>12.3215 * CHOOSE(CONTROL!$C$22, $C$13, 100%, $E$13)</f>
        <v>12.3215</v>
      </c>
      <c r="K670" s="68">
        <f>12.3248 * CHOOSE(CONTROL!$C$22, $C$13, 100%, $E$13)</f>
        <v>12.3248</v>
      </c>
    </row>
    <row r="671" spans="1:11" ht="15">
      <c r="A671" s="13">
        <v>61545</v>
      </c>
      <c r="B671" s="67">
        <f>10.7107 * CHOOSE(CONTROL!$C$22, $C$13, 100%, $E$13)</f>
        <v>10.710699999999999</v>
      </c>
      <c r="C671" s="67">
        <f>10.7107 * CHOOSE(CONTROL!$C$22, $C$13, 100%, $E$13)</f>
        <v>10.710699999999999</v>
      </c>
      <c r="D671" s="67">
        <f>10.7133 * CHOOSE(CONTROL!$C$22, $C$13, 100%, $E$13)</f>
        <v>10.7133</v>
      </c>
      <c r="E671" s="68">
        <f>12.5203 * CHOOSE(CONTROL!$C$22, $C$13, 100%, $E$13)</f>
        <v>12.520300000000001</v>
      </c>
      <c r="F671" s="68">
        <f>12.5203 * CHOOSE(CONTROL!$C$22, $C$13, 100%, $E$13)</f>
        <v>12.520300000000001</v>
      </c>
      <c r="G671" s="68">
        <f>12.5235 * CHOOSE(CONTROL!$C$22, $C$13, 100%, $E$13)</f>
        <v>12.5235</v>
      </c>
      <c r="H671" s="68">
        <f>20.1249* CHOOSE(CONTROL!$C$22, $C$13, 100%, $E$13)</f>
        <v>20.1249</v>
      </c>
      <c r="I671" s="68">
        <f>20.1281 * CHOOSE(CONTROL!$C$22, $C$13, 100%, $E$13)</f>
        <v>20.1281</v>
      </c>
      <c r="J671" s="68">
        <f>12.5203 * CHOOSE(CONTROL!$C$22, $C$13, 100%, $E$13)</f>
        <v>12.520300000000001</v>
      </c>
      <c r="K671" s="68">
        <f>12.5235 * CHOOSE(CONTROL!$C$22, $C$13, 100%, $E$13)</f>
        <v>12.5235</v>
      </c>
    </row>
    <row r="672" spans="1:11" ht="15">
      <c r="A672" s="13">
        <v>61576</v>
      </c>
      <c r="B672" s="67">
        <f>10.7174 * CHOOSE(CONTROL!$C$22, $C$13, 100%, $E$13)</f>
        <v>10.7174</v>
      </c>
      <c r="C672" s="67">
        <f>10.7174 * CHOOSE(CONTROL!$C$22, $C$13, 100%, $E$13)</f>
        <v>10.7174</v>
      </c>
      <c r="D672" s="67">
        <f>10.72 * CHOOSE(CONTROL!$C$22, $C$13, 100%, $E$13)</f>
        <v>10.72</v>
      </c>
      <c r="E672" s="68">
        <f>12.3244 * CHOOSE(CONTROL!$C$22, $C$13, 100%, $E$13)</f>
        <v>12.324400000000001</v>
      </c>
      <c r="F672" s="68">
        <f>12.3244 * CHOOSE(CONTROL!$C$22, $C$13, 100%, $E$13)</f>
        <v>12.324400000000001</v>
      </c>
      <c r="G672" s="68">
        <f>12.3277 * CHOOSE(CONTROL!$C$22, $C$13, 100%, $E$13)</f>
        <v>12.3277</v>
      </c>
      <c r="H672" s="68">
        <f>20.1668* CHOOSE(CONTROL!$C$22, $C$13, 100%, $E$13)</f>
        <v>20.166799999999999</v>
      </c>
      <c r="I672" s="68">
        <f>20.1701 * CHOOSE(CONTROL!$C$22, $C$13, 100%, $E$13)</f>
        <v>20.170100000000001</v>
      </c>
      <c r="J672" s="68">
        <f>12.3244 * CHOOSE(CONTROL!$C$22, $C$13, 100%, $E$13)</f>
        <v>12.324400000000001</v>
      </c>
      <c r="K672" s="68">
        <f>12.3277 * CHOOSE(CONTROL!$C$22, $C$13, 100%, $E$13)</f>
        <v>12.3277</v>
      </c>
    </row>
    <row r="673" spans="1:11" ht="15">
      <c r="A673" s="13">
        <v>61607</v>
      </c>
      <c r="B673" s="67">
        <f>10.7144 * CHOOSE(CONTROL!$C$22, $C$13, 100%, $E$13)</f>
        <v>10.714399999999999</v>
      </c>
      <c r="C673" s="67">
        <f>10.7144 * CHOOSE(CONTROL!$C$22, $C$13, 100%, $E$13)</f>
        <v>10.714399999999999</v>
      </c>
      <c r="D673" s="67">
        <f>10.717 * CHOOSE(CONTROL!$C$22, $C$13, 100%, $E$13)</f>
        <v>10.717000000000001</v>
      </c>
      <c r="E673" s="68">
        <f>12.3 * CHOOSE(CONTROL!$C$22, $C$13, 100%, $E$13)</f>
        <v>12.3</v>
      </c>
      <c r="F673" s="68">
        <f>12.3 * CHOOSE(CONTROL!$C$22, $C$13, 100%, $E$13)</f>
        <v>12.3</v>
      </c>
      <c r="G673" s="68">
        <f>12.3033 * CHOOSE(CONTROL!$C$22, $C$13, 100%, $E$13)</f>
        <v>12.3033</v>
      </c>
      <c r="H673" s="68">
        <f>20.2088* CHOOSE(CONTROL!$C$22, $C$13, 100%, $E$13)</f>
        <v>20.2088</v>
      </c>
      <c r="I673" s="68">
        <f>20.2121 * CHOOSE(CONTROL!$C$22, $C$13, 100%, $E$13)</f>
        <v>20.2121</v>
      </c>
      <c r="J673" s="68">
        <f>12.3 * CHOOSE(CONTROL!$C$22, $C$13, 100%, $E$13)</f>
        <v>12.3</v>
      </c>
      <c r="K673" s="68">
        <f>12.3033 * CHOOSE(CONTROL!$C$22, $C$13, 100%, $E$13)</f>
        <v>12.3033</v>
      </c>
    </row>
    <row r="674" spans="1:11" ht="15">
      <c r="A674" s="13">
        <v>61637</v>
      </c>
      <c r="B674" s="67">
        <f>10.7312 * CHOOSE(CONTROL!$C$22, $C$13, 100%, $E$13)</f>
        <v>10.731199999999999</v>
      </c>
      <c r="C674" s="67">
        <f>10.7312 * CHOOSE(CONTROL!$C$22, $C$13, 100%, $E$13)</f>
        <v>10.731199999999999</v>
      </c>
      <c r="D674" s="67">
        <f>10.7322 * CHOOSE(CONTROL!$C$22, $C$13, 100%, $E$13)</f>
        <v>10.732200000000001</v>
      </c>
      <c r="E674" s="68">
        <f>12.3757 * CHOOSE(CONTROL!$C$22, $C$13, 100%, $E$13)</f>
        <v>12.3757</v>
      </c>
      <c r="F674" s="68">
        <f>12.3757 * CHOOSE(CONTROL!$C$22, $C$13, 100%, $E$13)</f>
        <v>12.3757</v>
      </c>
      <c r="G674" s="68">
        <f>12.377 * CHOOSE(CONTROL!$C$22, $C$13, 100%, $E$13)</f>
        <v>12.377000000000001</v>
      </c>
      <c r="H674" s="68">
        <f>20.2509* CHOOSE(CONTROL!$C$22, $C$13, 100%, $E$13)</f>
        <v>20.250900000000001</v>
      </c>
      <c r="I674" s="68">
        <f>20.2522 * CHOOSE(CONTROL!$C$22, $C$13, 100%, $E$13)</f>
        <v>20.252199999999998</v>
      </c>
      <c r="J674" s="68">
        <f>12.3757 * CHOOSE(CONTROL!$C$22, $C$13, 100%, $E$13)</f>
        <v>12.3757</v>
      </c>
      <c r="K674" s="68">
        <f>12.377 * CHOOSE(CONTROL!$C$22, $C$13, 100%, $E$13)</f>
        <v>12.377000000000001</v>
      </c>
    </row>
    <row r="675" spans="1:11" ht="15">
      <c r="A675" s="13">
        <v>61668</v>
      </c>
      <c r="B675" s="67">
        <f>10.7342 * CHOOSE(CONTROL!$C$22, $C$13, 100%, $E$13)</f>
        <v>10.7342</v>
      </c>
      <c r="C675" s="67">
        <f>10.7342 * CHOOSE(CONTROL!$C$22, $C$13, 100%, $E$13)</f>
        <v>10.7342</v>
      </c>
      <c r="D675" s="67">
        <f>10.7352 * CHOOSE(CONTROL!$C$22, $C$13, 100%, $E$13)</f>
        <v>10.735200000000001</v>
      </c>
      <c r="E675" s="68">
        <f>12.4224 * CHOOSE(CONTROL!$C$22, $C$13, 100%, $E$13)</f>
        <v>12.4224</v>
      </c>
      <c r="F675" s="68">
        <f>12.4224 * CHOOSE(CONTROL!$C$22, $C$13, 100%, $E$13)</f>
        <v>12.4224</v>
      </c>
      <c r="G675" s="68">
        <f>12.4237 * CHOOSE(CONTROL!$C$22, $C$13, 100%, $E$13)</f>
        <v>12.4237</v>
      </c>
      <c r="H675" s="68">
        <f>20.2931* CHOOSE(CONTROL!$C$22, $C$13, 100%, $E$13)</f>
        <v>20.293099999999999</v>
      </c>
      <c r="I675" s="68">
        <f>20.2944 * CHOOSE(CONTROL!$C$22, $C$13, 100%, $E$13)</f>
        <v>20.2944</v>
      </c>
      <c r="J675" s="68">
        <f>12.4224 * CHOOSE(CONTROL!$C$22, $C$13, 100%, $E$13)</f>
        <v>12.4224</v>
      </c>
      <c r="K675" s="68">
        <f>12.4237 * CHOOSE(CONTROL!$C$22, $C$13, 100%, $E$13)</f>
        <v>12.4237</v>
      </c>
    </row>
    <row r="676" spans="1:11" ht="15">
      <c r="A676" s="13">
        <v>61698</v>
      </c>
      <c r="B676" s="67">
        <f>10.7342 * CHOOSE(CONTROL!$C$22, $C$13, 100%, $E$13)</f>
        <v>10.7342</v>
      </c>
      <c r="C676" s="67">
        <f>10.7342 * CHOOSE(CONTROL!$C$22, $C$13, 100%, $E$13)</f>
        <v>10.7342</v>
      </c>
      <c r="D676" s="67">
        <f>10.7352 * CHOOSE(CONTROL!$C$22, $C$13, 100%, $E$13)</f>
        <v>10.735200000000001</v>
      </c>
      <c r="E676" s="68">
        <f>12.311 * CHOOSE(CONTROL!$C$22, $C$13, 100%, $E$13)</f>
        <v>12.311</v>
      </c>
      <c r="F676" s="68">
        <f>12.311 * CHOOSE(CONTROL!$C$22, $C$13, 100%, $E$13)</f>
        <v>12.311</v>
      </c>
      <c r="G676" s="68">
        <f>12.3123 * CHOOSE(CONTROL!$C$22, $C$13, 100%, $E$13)</f>
        <v>12.3123</v>
      </c>
      <c r="H676" s="68">
        <f>20.3354* CHOOSE(CONTROL!$C$22, $C$13, 100%, $E$13)</f>
        <v>20.3354</v>
      </c>
      <c r="I676" s="68">
        <f>20.3367 * CHOOSE(CONTROL!$C$22, $C$13, 100%, $E$13)</f>
        <v>20.3367</v>
      </c>
      <c r="J676" s="68">
        <f>12.311 * CHOOSE(CONTROL!$C$22, $C$13, 100%, $E$13)</f>
        <v>12.311</v>
      </c>
      <c r="K676" s="68">
        <f>12.3123 * CHOOSE(CONTROL!$C$22, $C$13, 100%, $E$13)</f>
        <v>12.3123</v>
      </c>
    </row>
    <row r="677" spans="1:11" ht="15">
      <c r="A677" s="13">
        <v>61729</v>
      </c>
      <c r="B677" s="67">
        <f>10.7807 * CHOOSE(CONTROL!$C$22, $C$13, 100%, $E$13)</f>
        <v>10.7807</v>
      </c>
      <c r="C677" s="67">
        <f>10.7807 * CHOOSE(CONTROL!$C$22, $C$13, 100%, $E$13)</f>
        <v>10.7807</v>
      </c>
      <c r="D677" s="67">
        <f>10.7817 * CHOOSE(CONTROL!$C$22, $C$13, 100%, $E$13)</f>
        <v>10.781700000000001</v>
      </c>
      <c r="E677" s="68">
        <f>12.4468 * CHOOSE(CONTROL!$C$22, $C$13, 100%, $E$13)</f>
        <v>12.4468</v>
      </c>
      <c r="F677" s="68">
        <f>12.4468 * CHOOSE(CONTROL!$C$22, $C$13, 100%, $E$13)</f>
        <v>12.4468</v>
      </c>
      <c r="G677" s="68">
        <f>12.4481 * CHOOSE(CONTROL!$C$22, $C$13, 100%, $E$13)</f>
        <v>12.4481</v>
      </c>
      <c r="H677" s="68">
        <f>20.3022* CHOOSE(CONTROL!$C$22, $C$13, 100%, $E$13)</f>
        <v>20.302199999999999</v>
      </c>
      <c r="I677" s="68">
        <f>20.3035 * CHOOSE(CONTROL!$C$22, $C$13, 100%, $E$13)</f>
        <v>20.3035</v>
      </c>
      <c r="J677" s="68">
        <f>12.4468 * CHOOSE(CONTROL!$C$22, $C$13, 100%, $E$13)</f>
        <v>12.4468</v>
      </c>
      <c r="K677" s="68">
        <f>12.4481 * CHOOSE(CONTROL!$C$22, $C$13, 100%, $E$13)</f>
        <v>12.4481</v>
      </c>
    </row>
    <row r="678" spans="1:11" ht="15">
      <c r="A678" s="13">
        <v>61760</v>
      </c>
      <c r="B678" s="67">
        <f>10.7777 * CHOOSE(CONTROL!$C$22, $C$13, 100%, $E$13)</f>
        <v>10.777699999999999</v>
      </c>
      <c r="C678" s="67">
        <f>10.7777 * CHOOSE(CONTROL!$C$22, $C$13, 100%, $E$13)</f>
        <v>10.777699999999999</v>
      </c>
      <c r="D678" s="67">
        <f>10.7787 * CHOOSE(CONTROL!$C$22, $C$13, 100%, $E$13)</f>
        <v>10.778700000000001</v>
      </c>
      <c r="E678" s="68">
        <f>12.2292 * CHOOSE(CONTROL!$C$22, $C$13, 100%, $E$13)</f>
        <v>12.229200000000001</v>
      </c>
      <c r="F678" s="68">
        <f>12.2292 * CHOOSE(CONTROL!$C$22, $C$13, 100%, $E$13)</f>
        <v>12.229200000000001</v>
      </c>
      <c r="G678" s="68">
        <f>12.2305 * CHOOSE(CONTROL!$C$22, $C$13, 100%, $E$13)</f>
        <v>12.230499999999999</v>
      </c>
      <c r="H678" s="68">
        <f>20.3445* CHOOSE(CONTROL!$C$22, $C$13, 100%, $E$13)</f>
        <v>20.3445</v>
      </c>
      <c r="I678" s="68">
        <f>20.3458 * CHOOSE(CONTROL!$C$22, $C$13, 100%, $E$13)</f>
        <v>20.345800000000001</v>
      </c>
      <c r="J678" s="68">
        <f>12.2292 * CHOOSE(CONTROL!$C$22, $C$13, 100%, $E$13)</f>
        <v>12.229200000000001</v>
      </c>
      <c r="K678" s="68">
        <f>12.2305 * CHOOSE(CONTROL!$C$22, $C$13, 100%, $E$13)</f>
        <v>12.230499999999999</v>
      </c>
    </row>
    <row r="679" spans="1:11" ht="15">
      <c r="A679" s="13">
        <v>61788</v>
      </c>
      <c r="B679" s="67">
        <f>10.7747 * CHOOSE(CONTROL!$C$22, $C$13, 100%, $E$13)</f>
        <v>10.774699999999999</v>
      </c>
      <c r="C679" s="67">
        <f>10.7747 * CHOOSE(CONTROL!$C$22, $C$13, 100%, $E$13)</f>
        <v>10.774699999999999</v>
      </c>
      <c r="D679" s="67">
        <f>10.7756 * CHOOSE(CONTROL!$C$22, $C$13, 100%, $E$13)</f>
        <v>10.775600000000001</v>
      </c>
      <c r="E679" s="68">
        <f>12.397 * CHOOSE(CONTROL!$C$22, $C$13, 100%, $E$13)</f>
        <v>12.397</v>
      </c>
      <c r="F679" s="68">
        <f>12.397 * CHOOSE(CONTROL!$C$22, $C$13, 100%, $E$13)</f>
        <v>12.397</v>
      </c>
      <c r="G679" s="68">
        <f>12.3983 * CHOOSE(CONTROL!$C$22, $C$13, 100%, $E$13)</f>
        <v>12.398300000000001</v>
      </c>
      <c r="H679" s="68">
        <f>20.3869* CHOOSE(CONTROL!$C$22, $C$13, 100%, $E$13)</f>
        <v>20.386900000000001</v>
      </c>
      <c r="I679" s="68">
        <f>20.3881 * CHOOSE(CONTROL!$C$22, $C$13, 100%, $E$13)</f>
        <v>20.388100000000001</v>
      </c>
      <c r="J679" s="68">
        <f>12.397 * CHOOSE(CONTROL!$C$22, $C$13, 100%, $E$13)</f>
        <v>12.397</v>
      </c>
      <c r="K679" s="68">
        <f>12.3983 * CHOOSE(CONTROL!$C$22, $C$13, 100%, $E$13)</f>
        <v>12.398300000000001</v>
      </c>
    </row>
    <row r="680" spans="1:11" ht="15">
      <c r="A680" s="13">
        <v>61819</v>
      </c>
      <c r="B680" s="67">
        <f>10.778 * CHOOSE(CONTROL!$C$22, $C$13, 100%, $E$13)</f>
        <v>10.778</v>
      </c>
      <c r="C680" s="67">
        <f>10.778 * CHOOSE(CONTROL!$C$22, $C$13, 100%, $E$13)</f>
        <v>10.778</v>
      </c>
      <c r="D680" s="67">
        <f>10.779 * CHOOSE(CONTROL!$C$22, $C$13, 100%, $E$13)</f>
        <v>10.779</v>
      </c>
      <c r="E680" s="68">
        <f>12.5752 * CHOOSE(CONTROL!$C$22, $C$13, 100%, $E$13)</f>
        <v>12.575200000000001</v>
      </c>
      <c r="F680" s="68">
        <f>12.5752 * CHOOSE(CONTROL!$C$22, $C$13, 100%, $E$13)</f>
        <v>12.575200000000001</v>
      </c>
      <c r="G680" s="68">
        <f>12.5764 * CHOOSE(CONTROL!$C$22, $C$13, 100%, $E$13)</f>
        <v>12.5764</v>
      </c>
      <c r="H680" s="68">
        <f>20.4293* CHOOSE(CONTROL!$C$22, $C$13, 100%, $E$13)</f>
        <v>20.429300000000001</v>
      </c>
      <c r="I680" s="68">
        <f>20.4306 * CHOOSE(CONTROL!$C$22, $C$13, 100%, $E$13)</f>
        <v>20.430599999999998</v>
      </c>
      <c r="J680" s="68">
        <f>12.5752 * CHOOSE(CONTROL!$C$22, $C$13, 100%, $E$13)</f>
        <v>12.575200000000001</v>
      </c>
      <c r="K680" s="68">
        <f>12.5764 * CHOOSE(CONTROL!$C$22, $C$13, 100%, $E$13)</f>
        <v>12.5764</v>
      </c>
    </row>
    <row r="681" spans="1:11" ht="15">
      <c r="A681" s="13">
        <v>61849</v>
      </c>
      <c r="B681" s="67">
        <f>10.778 * CHOOSE(CONTROL!$C$22, $C$13, 100%, $E$13)</f>
        <v>10.778</v>
      </c>
      <c r="C681" s="67">
        <f>10.778 * CHOOSE(CONTROL!$C$22, $C$13, 100%, $E$13)</f>
        <v>10.778</v>
      </c>
      <c r="D681" s="67">
        <f>10.7806 * CHOOSE(CONTROL!$C$22, $C$13, 100%, $E$13)</f>
        <v>10.7806</v>
      </c>
      <c r="E681" s="68">
        <f>12.6436 * CHOOSE(CONTROL!$C$22, $C$13, 100%, $E$13)</f>
        <v>12.643599999999999</v>
      </c>
      <c r="F681" s="68">
        <f>12.6436 * CHOOSE(CONTROL!$C$22, $C$13, 100%, $E$13)</f>
        <v>12.643599999999999</v>
      </c>
      <c r="G681" s="68">
        <f>12.6468 * CHOOSE(CONTROL!$C$22, $C$13, 100%, $E$13)</f>
        <v>12.646800000000001</v>
      </c>
      <c r="H681" s="68">
        <f>20.4719* CHOOSE(CONTROL!$C$22, $C$13, 100%, $E$13)</f>
        <v>20.471900000000002</v>
      </c>
      <c r="I681" s="68">
        <f>20.4751 * CHOOSE(CONTROL!$C$22, $C$13, 100%, $E$13)</f>
        <v>20.475100000000001</v>
      </c>
      <c r="J681" s="68">
        <f>12.6436 * CHOOSE(CONTROL!$C$22, $C$13, 100%, $E$13)</f>
        <v>12.643599999999999</v>
      </c>
      <c r="K681" s="68">
        <f>12.6468 * CHOOSE(CONTROL!$C$22, $C$13, 100%, $E$13)</f>
        <v>12.646800000000001</v>
      </c>
    </row>
    <row r="682" spans="1:11" ht="15">
      <c r="A682" s="13">
        <v>61880</v>
      </c>
      <c r="B682" s="67">
        <f>10.7841 * CHOOSE(CONTROL!$C$22, $C$13, 100%, $E$13)</f>
        <v>10.7841</v>
      </c>
      <c r="C682" s="67">
        <f>10.7841 * CHOOSE(CONTROL!$C$22, $C$13, 100%, $E$13)</f>
        <v>10.7841</v>
      </c>
      <c r="D682" s="67">
        <f>10.7867 * CHOOSE(CONTROL!$C$22, $C$13, 100%, $E$13)</f>
        <v>10.7867</v>
      </c>
      <c r="E682" s="68">
        <f>12.5794 * CHOOSE(CONTROL!$C$22, $C$13, 100%, $E$13)</f>
        <v>12.5794</v>
      </c>
      <c r="F682" s="68">
        <f>12.5794 * CHOOSE(CONTROL!$C$22, $C$13, 100%, $E$13)</f>
        <v>12.5794</v>
      </c>
      <c r="G682" s="68">
        <f>12.5827 * CHOOSE(CONTROL!$C$22, $C$13, 100%, $E$13)</f>
        <v>12.582700000000001</v>
      </c>
      <c r="H682" s="68">
        <f>20.5145* CHOOSE(CONTROL!$C$22, $C$13, 100%, $E$13)</f>
        <v>20.514500000000002</v>
      </c>
      <c r="I682" s="68">
        <f>20.5178 * CHOOSE(CONTROL!$C$22, $C$13, 100%, $E$13)</f>
        <v>20.517800000000001</v>
      </c>
      <c r="J682" s="68">
        <f>12.5794 * CHOOSE(CONTROL!$C$22, $C$13, 100%, $E$13)</f>
        <v>12.5794</v>
      </c>
      <c r="K682" s="68">
        <f>12.5827 * CHOOSE(CONTROL!$C$22, $C$13, 100%, $E$13)</f>
        <v>12.582700000000001</v>
      </c>
    </row>
    <row r="683" spans="1:11" ht="15">
      <c r="A683" s="13">
        <v>61910</v>
      </c>
      <c r="B683" s="67">
        <f>10.9499 * CHOOSE(CONTROL!$C$22, $C$13, 100%, $E$13)</f>
        <v>10.9499</v>
      </c>
      <c r="C683" s="67">
        <f>10.9499 * CHOOSE(CONTROL!$C$22, $C$13, 100%, $E$13)</f>
        <v>10.9499</v>
      </c>
      <c r="D683" s="67">
        <f>10.9525 * CHOOSE(CONTROL!$C$22, $C$13, 100%, $E$13)</f>
        <v>10.952500000000001</v>
      </c>
      <c r="E683" s="68">
        <f>12.7821 * CHOOSE(CONTROL!$C$22, $C$13, 100%, $E$13)</f>
        <v>12.7821</v>
      </c>
      <c r="F683" s="68">
        <f>12.7821 * CHOOSE(CONTROL!$C$22, $C$13, 100%, $E$13)</f>
        <v>12.7821</v>
      </c>
      <c r="G683" s="68">
        <f>12.7853 * CHOOSE(CONTROL!$C$22, $C$13, 100%, $E$13)</f>
        <v>12.785299999999999</v>
      </c>
      <c r="H683" s="68">
        <f>20.5573* CHOOSE(CONTROL!$C$22, $C$13, 100%, $E$13)</f>
        <v>20.557300000000001</v>
      </c>
      <c r="I683" s="68">
        <f>20.5605 * CHOOSE(CONTROL!$C$22, $C$13, 100%, $E$13)</f>
        <v>20.560500000000001</v>
      </c>
      <c r="J683" s="68">
        <f>12.7821 * CHOOSE(CONTROL!$C$22, $C$13, 100%, $E$13)</f>
        <v>12.7821</v>
      </c>
      <c r="K683" s="68">
        <f>12.7853 * CHOOSE(CONTROL!$C$22, $C$13, 100%, $E$13)</f>
        <v>12.785299999999999</v>
      </c>
    </row>
    <row r="684" spans="1:11" ht="15">
      <c r="A684" s="13">
        <v>61941</v>
      </c>
      <c r="B684" s="67">
        <f>10.9566 * CHOOSE(CONTROL!$C$22, $C$13, 100%, $E$13)</f>
        <v>10.9566</v>
      </c>
      <c r="C684" s="67">
        <f>10.9566 * CHOOSE(CONTROL!$C$22, $C$13, 100%, $E$13)</f>
        <v>10.9566</v>
      </c>
      <c r="D684" s="67">
        <f>10.9592 * CHOOSE(CONTROL!$C$22, $C$13, 100%, $E$13)</f>
        <v>10.959199999999999</v>
      </c>
      <c r="E684" s="68">
        <f>12.5815 * CHOOSE(CONTROL!$C$22, $C$13, 100%, $E$13)</f>
        <v>12.5815</v>
      </c>
      <c r="F684" s="68">
        <f>12.5815 * CHOOSE(CONTROL!$C$22, $C$13, 100%, $E$13)</f>
        <v>12.5815</v>
      </c>
      <c r="G684" s="68">
        <f>12.5848 * CHOOSE(CONTROL!$C$22, $C$13, 100%, $E$13)</f>
        <v>12.5848</v>
      </c>
      <c r="H684" s="68">
        <f>20.6001* CHOOSE(CONTROL!$C$22, $C$13, 100%, $E$13)</f>
        <v>20.600100000000001</v>
      </c>
      <c r="I684" s="68">
        <f>20.6034 * CHOOSE(CONTROL!$C$22, $C$13, 100%, $E$13)</f>
        <v>20.603400000000001</v>
      </c>
      <c r="J684" s="68">
        <f>12.5815 * CHOOSE(CONTROL!$C$22, $C$13, 100%, $E$13)</f>
        <v>12.5815</v>
      </c>
      <c r="K684" s="68">
        <f>12.5848 * CHOOSE(CONTROL!$C$22, $C$13, 100%, $E$13)</f>
        <v>12.5848</v>
      </c>
    </row>
    <row r="685" spans="1:11" ht="15">
      <c r="A685" s="13">
        <v>61972</v>
      </c>
      <c r="B685" s="67">
        <f>10.9536 * CHOOSE(CONTROL!$C$22, $C$13, 100%, $E$13)</f>
        <v>10.9536</v>
      </c>
      <c r="C685" s="67">
        <f>10.9536 * CHOOSE(CONTROL!$C$22, $C$13, 100%, $E$13)</f>
        <v>10.9536</v>
      </c>
      <c r="D685" s="67">
        <f>10.9562 * CHOOSE(CONTROL!$C$22, $C$13, 100%, $E$13)</f>
        <v>10.956200000000001</v>
      </c>
      <c r="E685" s="68">
        <f>12.5566 * CHOOSE(CONTROL!$C$22, $C$13, 100%, $E$13)</f>
        <v>12.5566</v>
      </c>
      <c r="F685" s="68">
        <f>12.5566 * CHOOSE(CONTROL!$C$22, $C$13, 100%, $E$13)</f>
        <v>12.5566</v>
      </c>
      <c r="G685" s="68">
        <f>12.5598 * CHOOSE(CONTROL!$C$22, $C$13, 100%, $E$13)</f>
        <v>12.559799999999999</v>
      </c>
      <c r="H685" s="68">
        <f>20.643* CHOOSE(CONTROL!$C$22, $C$13, 100%, $E$13)</f>
        <v>20.643000000000001</v>
      </c>
      <c r="I685" s="68">
        <f>20.6463 * CHOOSE(CONTROL!$C$22, $C$13, 100%, $E$13)</f>
        <v>20.6463</v>
      </c>
      <c r="J685" s="68">
        <f>12.5566 * CHOOSE(CONTROL!$C$22, $C$13, 100%, $E$13)</f>
        <v>12.5566</v>
      </c>
      <c r="K685" s="68">
        <f>12.5598 * CHOOSE(CONTROL!$C$22, $C$13, 100%, $E$13)</f>
        <v>12.559799999999999</v>
      </c>
    </row>
    <row r="686" spans="1:11" ht="15">
      <c r="A686" s="13">
        <v>62002</v>
      </c>
      <c r="B686" s="67">
        <f>10.9711 * CHOOSE(CONTROL!$C$22, $C$13, 100%, $E$13)</f>
        <v>10.9711</v>
      </c>
      <c r="C686" s="67">
        <f>10.9711 * CHOOSE(CONTROL!$C$22, $C$13, 100%, $E$13)</f>
        <v>10.9711</v>
      </c>
      <c r="D686" s="67">
        <f>10.9721 * CHOOSE(CONTROL!$C$22, $C$13, 100%, $E$13)</f>
        <v>10.972099999999999</v>
      </c>
      <c r="E686" s="68">
        <f>12.6344 * CHOOSE(CONTROL!$C$22, $C$13, 100%, $E$13)</f>
        <v>12.634399999999999</v>
      </c>
      <c r="F686" s="68">
        <f>12.6344 * CHOOSE(CONTROL!$C$22, $C$13, 100%, $E$13)</f>
        <v>12.634399999999999</v>
      </c>
      <c r="G686" s="68">
        <f>12.6357 * CHOOSE(CONTROL!$C$22, $C$13, 100%, $E$13)</f>
        <v>12.6357</v>
      </c>
      <c r="H686" s="68">
        <f>20.686* CHOOSE(CONTROL!$C$22, $C$13, 100%, $E$13)</f>
        <v>20.686</v>
      </c>
      <c r="I686" s="68">
        <f>20.6873 * CHOOSE(CONTROL!$C$22, $C$13, 100%, $E$13)</f>
        <v>20.6873</v>
      </c>
      <c r="J686" s="68">
        <f>12.6344 * CHOOSE(CONTROL!$C$22, $C$13, 100%, $E$13)</f>
        <v>12.634399999999999</v>
      </c>
      <c r="K686" s="68">
        <f>12.6357 * CHOOSE(CONTROL!$C$22, $C$13, 100%, $E$13)</f>
        <v>12.6357</v>
      </c>
    </row>
    <row r="687" spans="1:11" ht="15">
      <c r="A687" s="13">
        <v>62033</v>
      </c>
      <c r="B687" s="67">
        <f>10.9742 * CHOOSE(CONTROL!$C$22, $C$13, 100%, $E$13)</f>
        <v>10.9742</v>
      </c>
      <c r="C687" s="67">
        <f>10.9742 * CHOOSE(CONTROL!$C$22, $C$13, 100%, $E$13)</f>
        <v>10.9742</v>
      </c>
      <c r="D687" s="67">
        <f>10.9752 * CHOOSE(CONTROL!$C$22, $C$13, 100%, $E$13)</f>
        <v>10.975199999999999</v>
      </c>
      <c r="E687" s="68">
        <f>12.6821 * CHOOSE(CONTROL!$C$22, $C$13, 100%, $E$13)</f>
        <v>12.6821</v>
      </c>
      <c r="F687" s="68">
        <f>12.6821 * CHOOSE(CONTROL!$C$22, $C$13, 100%, $E$13)</f>
        <v>12.6821</v>
      </c>
      <c r="G687" s="68">
        <f>12.6834 * CHOOSE(CONTROL!$C$22, $C$13, 100%, $E$13)</f>
        <v>12.683400000000001</v>
      </c>
      <c r="H687" s="68">
        <f>20.7291* CHOOSE(CONTROL!$C$22, $C$13, 100%, $E$13)</f>
        <v>20.729099999999999</v>
      </c>
      <c r="I687" s="68">
        <f>20.7304 * CHOOSE(CONTROL!$C$22, $C$13, 100%, $E$13)</f>
        <v>20.730399999999999</v>
      </c>
      <c r="J687" s="68">
        <f>12.6821 * CHOOSE(CONTROL!$C$22, $C$13, 100%, $E$13)</f>
        <v>12.6821</v>
      </c>
      <c r="K687" s="68">
        <f>12.6834 * CHOOSE(CONTROL!$C$22, $C$13, 100%, $E$13)</f>
        <v>12.683400000000001</v>
      </c>
    </row>
    <row r="688" spans="1:11" ht="15">
      <c r="A688" s="13">
        <v>62063</v>
      </c>
      <c r="B688" s="67">
        <f>10.9742 * CHOOSE(CONTROL!$C$22, $C$13, 100%, $E$13)</f>
        <v>10.9742</v>
      </c>
      <c r="C688" s="67">
        <f>10.9742 * CHOOSE(CONTROL!$C$22, $C$13, 100%, $E$13)</f>
        <v>10.9742</v>
      </c>
      <c r="D688" s="67">
        <f>10.9752 * CHOOSE(CONTROL!$C$22, $C$13, 100%, $E$13)</f>
        <v>10.975199999999999</v>
      </c>
      <c r="E688" s="68">
        <f>12.5681 * CHOOSE(CONTROL!$C$22, $C$13, 100%, $E$13)</f>
        <v>12.568099999999999</v>
      </c>
      <c r="F688" s="68">
        <f>12.5681 * CHOOSE(CONTROL!$C$22, $C$13, 100%, $E$13)</f>
        <v>12.568099999999999</v>
      </c>
      <c r="G688" s="68">
        <f>12.5694 * CHOOSE(CONTROL!$C$22, $C$13, 100%, $E$13)</f>
        <v>12.5694</v>
      </c>
      <c r="H688" s="68">
        <f>20.7723* CHOOSE(CONTROL!$C$22, $C$13, 100%, $E$13)</f>
        <v>20.772300000000001</v>
      </c>
      <c r="I688" s="68">
        <f>20.7736 * CHOOSE(CONTROL!$C$22, $C$13, 100%, $E$13)</f>
        <v>20.773599999999998</v>
      </c>
      <c r="J688" s="68">
        <f>12.5681 * CHOOSE(CONTROL!$C$22, $C$13, 100%, $E$13)</f>
        <v>12.568099999999999</v>
      </c>
      <c r="K688" s="68">
        <f>12.5694 * CHOOSE(CONTROL!$C$22, $C$13, 100%, $E$13)</f>
        <v>12.5694</v>
      </c>
    </row>
    <row r="689" spans="1:11" ht="15">
      <c r="A689" s="13">
        <v>62094</v>
      </c>
      <c r="B689" s="67">
        <f>11.0163 * CHOOSE(CONTROL!$C$22, $C$13, 100%, $E$13)</f>
        <v>11.016299999999999</v>
      </c>
      <c r="C689" s="67">
        <f>11.0163 * CHOOSE(CONTROL!$C$22, $C$13, 100%, $E$13)</f>
        <v>11.016299999999999</v>
      </c>
      <c r="D689" s="67">
        <f>11.0173 * CHOOSE(CONTROL!$C$22, $C$13, 100%, $E$13)</f>
        <v>11.017300000000001</v>
      </c>
      <c r="E689" s="68">
        <f>12.7015 * CHOOSE(CONTROL!$C$22, $C$13, 100%, $E$13)</f>
        <v>12.701499999999999</v>
      </c>
      <c r="F689" s="68">
        <f>12.7015 * CHOOSE(CONTROL!$C$22, $C$13, 100%, $E$13)</f>
        <v>12.701499999999999</v>
      </c>
      <c r="G689" s="68">
        <f>12.7028 * CHOOSE(CONTROL!$C$22, $C$13, 100%, $E$13)</f>
        <v>12.7028</v>
      </c>
      <c r="H689" s="68">
        <f>20.7292* CHOOSE(CONTROL!$C$22, $C$13, 100%, $E$13)</f>
        <v>20.729199999999999</v>
      </c>
      <c r="I689" s="68">
        <f>20.7305 * CHOOSE(CONTROL!$C$22, $C$13, 100%, $E$13)</f>
        <v>20.730499999999999</v>
      </c>
      <c r="J689" s="68">
        <f>12.7015 * CHOOSE(CONTROL!$C$22, $C$13, 100%, $E$13)</f>
        <v>12.701499999999999</v>
      </c>
      <c r="K689" s="68">
        <f>12.7028 * CHOOSE(CONTROL!$C$22, $C$13, 100%, $E$13)</f>
        <v>12.7028</v>
      </c>
    </row>
    <row r="690" spans="1:11" ht="15">
      <c r="A690" s="13">
        <v>62125</v>
      </c>
      <c r="B690" s="67">
        <f>11.0133 * CHOOSE(CONTROL!$C$22, $C$13, 100%, $E$13)</f>
        <v>11.013299999999999</v>
      </c>
      <c r="C690" s="67">
        <f>11.0133 * CHOOSE(CONTROL!$C$22, $C$13, 100%, $E$13)</f>
        <v>11.013299999999999</v>
      </c>
      <c r="D690" s="67">
        <f>11.0143 * CHOOSE(CONTROL!$C$22, $C$13, 100%, $E$13)</f>
        <v>11.0143</v>
      </c>
      <c r="E690" s="68">
        <f>12.479 * CHOOSE(CONTROL!$C$22, $C$13, 100%, $E$13)</f>
        <v>12.478999999999999</v>
      </c>
      <c r="F690" s="68">
        <f>12.479 * CHOOSE(CONTROL!$C$22, $C$13, 100%, $E$13)</f>
        <v>12.478999999999999</v>
      </c>
      <c r="G690" s="68">
        <f>12.4803 * CHOOSE(CONTROL!$C$22, $C$13, 100%, $E$13)</f>
        <v>12.4803</v>
      </c>
      <c r="H690" s="68">
        <f>20.7724* CHOOSE(CONTROL!$C$22, $C$13, 100%, $E$13)</f>
        <v>20.772400000000001</v>
      </c>
      <c r="I690" s="68">
        <f>20.7737 * CHOOSE(CONTROL!$C$22, $C$13, 100%, $E$13)</f>
        <v>20.773700000000002</v>
      </c>
      <c r="J690" s="68">
        <f>12.479 * CHOOSE(CONTROL!$C$22, $C$13, 100%, $E$13)</f>
        <v>12.478999999999999</v>
      </c>
      <c r="K690" s="68">
        <f>12.4803 * CHOOSE(CONTROL!$C$22, $C$13, 100%, $E$13)</f>
        <v>12.4803</v>
      </c>
    </row>
    <row r="691" spans="1:11" ht="15">
      <c r="A691" s="13">
        <v>62153</v>
      </c>
      <c r="B691" s="67">
        <f>11.0102 * CHOOSE(CONTROL!$C$22, $C$13, 100%, $E$13)</f>
        <v>11.010199999999999</v>
      </c>
      <c r="C691" s="67">
        <f>11.0102 * CHOOSE(CONTROL!$C$22, $C$13, 100%, $E$13)</f>
        <v>11.010199999999999</v>
      </c>
      <c r="D691" s="67">
        <f>11.0112 * CHOOSE(CONTROL!$C$22, $C$13, 100%, $E$13)</f>
        <v>11.011200000000001</v>
      </c>
      <c r="E691" s="68">
        <f>12.6507 * CHOOSE(CONTROL!$C$22, $C$13, 100%, $E$13)</f>
        <v>12.650700000000001</v>
      </c>
      <c r="F691" s="68">
        <f>12.6507 * CHOOSE(CONTROL!$C$22, $C$13, 100%, $E$13)</f>
        <v>12.650700000000001</v>
      </c>
      <c r="G691" s="68">
        <f>12.6519 * CHOOSE(CONTROL!$C$22, $C$13, 100%, $E$13)</f>
        <v>12.651899999999999</v>
      </c>
      <c r="H691" s="68">
        <f>20.8157* CHOOSE(CONTROL!$C$22, $C$13, 100%, $E$13)</f>
        <v>20.8157</v>
      </c>
      <c r="I691" s="68">
        <f>20.8169 * CHOOSE(CONTROL!$C$22, $C$13, 100%, $E$13)</f>
        <v>20.8169</v>
      </c>
      <c r="J691" s="68">
        <f>12.6507 * CHOOSE(CONTROL!$C$22, $C$13, 100%, $E$13)</f>
        <v>12.650700000000001</v>
      </c>
      <c r="K691" s="68">
        <f>12.6519 * CHOOSE(CONTROL!$C$22, $C$13, 100%, $E$13)</f>
        <v>12.651899999999999</v>
      </c>
    </row>
    <row r="692" spans="1:11" ht="15">
      <c r="A692" s="13">
        <v>62184</v>
      </c>
      <c r="B692" s="67">
        <f>11.0138 * CHOOSE(CONTROL!$C$22, $C$13, 100%, $E$13)</f>
        <v>11.0138</v>
      </c>
      <c r="C692" s="67">
        <f>11.0138 * CHOOSE(CONTROL!$C$22, $C$13, 100%, $E$13)</f>
        <v>11.0138</v>
      </c>
      <c r="D692" s="67">
        <f>11.0148 * CHOOSE(CONTROL!$C$22, $C$13, 100%, $E$13)</f>
        <v>11.014799999999999</v>
      </c>
      <c r="E692" s="68">
        <f>12.833 * CHOOSE(CONTROL!$C$22, $C$13, 100%, $E$13)</f>
        <v>12.833</v>
      </c>
      <c r="F692" s="68">
        <f>12.833 * CHOOSE(CONTROL!$C$22, $C$13, 100%, $E$13)</f>
        <v>12.833</v>
      </c>
      <c r="G692" s="68">
        <f>12.8343 * CHOOSE(CONTROL!$C$22, $C$13, 100%, $E$13)</f>
        <v>12.834300000000001</v>
      </c>
      <c r="H692" s="68">
        <f>20.859* CHOOSE(CONTROL!$C$22, $C$13, 100%, $E$13)</f>
        <v>20.859000000000002</v>
      </c>
      <c r="I692" s="68">
        <f>20.8603 * CHOOSE(CONTROL!$C$22, $C$13, 100%, $E$13)</f>
        <v>20.860299999999999</v>
      </c>
      <c r="J692" s="68">
        <f>12.833 * CHOOSE(CONTROL!$C$22, $C$13, 100%, $E$13)</f>
        <v>12.833</v>
      </c>
      <c r="K692" s="68">
        <f>12.8343 * CHOOSE(CONTROL!$C$22, $C$13, 100%, $E$13)</f>
        <v>12.834300000000001</v>
      </c>
    </row>
    <row r="693" spans="1:11" ht="15">
      <c r="A693" s="13">
        <v>62214</v>
      </c>
      <c r="B693" s="67">
        <f>11.0138 * CHOOSE(CONTROL!$C$22, $C$13, 100%, $E$13)</f>
        <v>11.0138</v>
      </c>
      <c r="C693" s="67">
        <f>11.0138 * CHOOSE(CONTROL!$C$22, $C$13, 100%, $E$13)</f>
        <v>11.0138</v>
      </c>
      <c r="D693" s="67">
        <f>11.0164 * CHOOSE(CONTROL!$C$22, $C$13, 100%, $E$13)</f>
        <v>11.016400000000001</v>
      </c>
      <c r="E693" s="68">
        <f>12.903 * CHOOSE(CONTROL!$C$22, $C$13, 100%, $E$13)</f>
        <v>12.903</v>
      </c>
      <c r="F693" s="68">
        <f>12.903 * CHOOSE(CONTROL!$C$22, $C$13, 100%, $E$13)</f>
        <v>12.903</v>
      </c>
      <c r="G693" s="68">
        <f>12.9062 * CHOOSE(CONTROL!$C$22, $C$13, 100%, $E$13)</f>
        <v>12.9062</v>
      </c>
      <c r="H693" s="68">
        <f>20.9025* CHOOSE(CONTROL!$C$22, $C$13, 100%, $E$13)</f>
        <v>20.9025</v>
      </c>
      <c r="I693" s="68">
        <f>20.9057 * CHOOSE(CONTROL!$C$22, $C$13, 100%, $E$13)</f>
        <v>20.9057</v>
      </c>
      <c r="J693" s="68">
        <f>12.903 * CHOOSE(CONTROL!$C$22, $C$13, 100%, $E$13)</f>
        <v>12.903</v>
      </c>
      <c r="K693" s="68">
        <f>12.9062 * CHOOSE(CONTROL!$C$22, $C$13, 100%, $E$13)</f>
        <v>12.9062</v>
      </c>
    </row>
    <row r="694" spans="1:11" ht="15">
      <c r="A694" s="13">
        <v>62245</v>
      </c>
      <c r="B694" s="67">
        <f>11.0199 * CHOOSE(CONTROL!$C$22, $C$13, 100%, $E$13)</f>
        <v>11.0199</v>
      </c>
      <c r="C694" s="67">
        <f>11.0199 * CHOOSE(CONTROL!$C$22, $C$13, 100%, $E$13)</f>
        <v>11.0199</v>
      </c>
      <c r="D694" s="67">
        <f>11.0225 * CHOOSE(CONTROL!$C$22, $C$13, 100%, $E$13)</f>
        <v>11.022500000000001</v>
      </c>
      <c r="E694" s="68">
        <f>12.8373 * CHOOSE(CONTROL!$C$22, $C$13, 100%, $E$13)</f>
        <v>12.837300000000001</v>
      </c>
      <c r="F694" s="68">
        <f>12.8373 * CHOOSE(CONTROL!$C$22, $C$13, 100%, $E$13)</f>
        <v>12.837300000000001</v>
      </c>
      <c r="G694" s="68">
        <f>12.8405 * CHOOSE(CONTROL!$C$22, $C$13, 100%, $E$13)</f>
        <v>12.8405</v>
      </c>
      <c r="H694" s="68">
        <f>20.946* CHOOSE(CONTROL!$C$22, $C$13, 100%, $E$13)</f>
        <v>20.946000000000002</v>
      </c>
      <c r="I694" s="68">
        <f>20.9493 * CHOOSE(CONTROL!$C$22, $C$13, 100%, $E$13)</f>
        <v>20.949300000000001</v>
      </c>
      <c r="J694" s="68">
        <f>12.8373 * CHOOSE(CONTROL!$C$22, $C$13, 100%, $E$13)</f>
        <v>12.837300000000001</v>
      </c>
      <c r="K694" s="68">
        <f>12.8405 * CHOOSE(CONTROL!$C$22, $C$13, 100%, $E$13)</f>
        <v>12.8405</v>
      </c>
    </row>
    <row r="695" spans="1:11" ht="15">
      <c r="A695" s="13">
        <v>62275</v>
      </c>
      <c r="B695" s="67">
        <f>11.1891 * CHOOSE(CONTROL!$C$22, $C$13, 100%, $E$13)</f>
        <v>11.1891</v>
      </c>
      <c r="C695" s="67">
        <f>11.1891 * CHOOSE(CONTROL!$C$22, $C$13, 100%, $E$13)</f>
        <v>11.1891</v>
      </c>
      <c r="D695" s="67">
        <f>11.1917 * CHOOSE(CONTROL!$C$22, $C$13, 100%, $E$13)</f>
        <v>11.191700000000001</v>
      </c>
      <c r="E695" s="68">
        <f>13.0438 * CHOOSE(CONTROL!$C$22, $C$13, 100%, $E$13)</f>
        <v>13.043799999999999</v>
      </c>
      <c r="F695" s="68">
        <f>13.0438 * CHOOSE(CONTROL!$C$22, $C$13, 100%, $E$13)</f>
        <v>13.043799999999999</v>
      </c>
      <c r="G695" s="68">
        <f>13.0471 * CHOOSE(CONTROL!$C$22, $C$13, 100%, $E$13)</f>
        <v>13.0471</v>
      </c>
      <c r="H695" s="68">
        <f>20.9897* CHOOSE(CONTROL!$C$22, $C$13, 100%, $E$13)</f>
        <v>20.989699999999999</v>
      </c>
      <c r="I695" s="68">
        <f>20.9929 * CHOOSE(CONTROL!$C$22, $C$13, 100%, $E$13)</f>
        <v>20.992899999999999</v>
      </c>
      <c r="J695" s="68">
        <f>13.0438 * CHOOSE(CONTROL!$C$22, $C$13, 100%, $E$13)</f>
        <v>13.043799999999999</v>
      </c>
      <c r="K695" s="68">
        <f>13.0471 * CHOOSE(CONTROL!$C$22, $C$13, 100%, $E$13)</f>
        <v>13.0471</v>
      </c>
    </row>
    <row r="696" spans="1:11" ht="15">
      <c r="A696" s="13">
        <v>62306</v>
      </c>
      <c r="B696" s="67">
        <f>11.1958 * CHOOSE(CONTROL!$C$22, $C$13, 100%, $E$13)</f>
        <v>11.1958</v>
      </c>
      <c r="C696" s="67">
        <f>11.1958 * CHOOSE(CONTROL!$C$22, $C$13, 100%, $E$13)</f>
        <v>11.1958</v>
      </c>
      <c r="D696" s="67">
        <f>11.1984 * CHOOSE(CONTROL!$C$22, $C$13, 100%, $E$13)</f>
        <v>11.198399999999999</v>
      </c>
      <c r="E696" s="68">
        <f>12.8386 * CHOOSE(CONTROL!$C$22, $C$13, 100%, $E$13)</f>
        <v>12.8386</v>
      </c>
      <c r="F696" s="68">
        <f>12.8386 * CHOOSE(CONTROL!$C$22, $C$13, 100%, $E$13)</f>
        <v>12.8386</v>
      </c>
      <c r="G696" s="68">
        <f>12.8418 * CHOOSE(CONTROL!$C$22, $C$13, 100%, $E$13)</f>
        <v>12.841799999999999</v>
      </c>
      <c r="H696" s="68">
        <f>21.0334* CHOOSE(CONTROL!$C$22, $C$13, 100%, $E$13)</f>
        <v>21.0334</v>
      </c>
      <c r="I696" s="68">
        <f>21.0366 * CHOOSE(CONTROL!$C$22, $C$13, 100%, $E$13)</f>
        <v>21.0366</v>
      </c>
      <c r="J696" s="68">
        <f>12.8386 * CHOOSE(CONTROL!$C$22, $C$13, 100%, $E$13)</f>
        <v>12.8386</v>
      </c>
      <c r="K696" s="68">
        <f>12.8418 * CHOOSE(CONTROL!$C$22, $C$13, 100%, $E$13)</f>
        <v>12.841799999999999</v>
      </c>
    </row>
    <row r="697" spans="1:11" ht="15">
      <c r="A697" s="13">
        <v>62337</v>
      </c>
      <c r="B697" s="67">
        <f>11.1927 * CHOOSE(CONTROL!$C$22, $C$13, 100%, $E$13)</f>
        <v>11.1927</v>
      </c>
      <c r="C697" s="67">
        <f>11.1927 * CHOOSE(CONTROL!$C$22, $C$13, 100%, $E$13)</f>
        <v>11.1927</v>
      </c>
      <c r="D697" s="67">
        <f>11.1954 * CHOOSE(CONTROL!$C$22, $C$13, 100%, $E$13)</f>
        <v>11.195399999999999</v>
      </c>
      <c r="E697" s="68">
        <f>12.8131 * CHOOSE(CONTROL!$C$22, $C$13, 100%, $E$13)</f>
        <v>12.8131</v>
      </c>
      <c r="F697" s="68">
        <f>12.8131 * CHOOSE(CONTROL!$C$22, $C$13, 100%, $E$13)</f>
        <v>12.8131</v>
      </c>
      <c r="G697" s="68">
        <f>12.8164 * CHOOSE(CONTROL!$C$22, $C$13, 100%, $E$13)</f>
        <v>12.8164</v>
      </c>
      <c r="H697" s="68">
        <f>21.0772* CHOOSE(CONTROL!$C$22, $C$13, 100%, $E$13)</f>
        <v>21.077200000000001</v>
      </c>
      <c r="I697" s="68">
        <f>21.0805 * CHOOSE(CONTROL!$C$22, $C$13, 100%, $E$13)</f>
        <v>21.080500000000001</v>
      </c>
      <c r="J697" s="68">
        <f>12.8131 * CHOOSE(CONTROL!$C$22, $C$13, 100%, $E$13)</f>
        <v>12.8131</v>
      </c>
      <c r="K697" s="68">
        <f>12.8164 * CHOOSE(CONTROL!$C$22, $C$13, 100%, $E$13)</f>
        <v>12.8164</v>
      </c>
    </row>
    <row r="698" spans="1:11" ht="15">
      <c r="A698" s="13">
        <v>62367</v>
      </c>
      <c r="B698" s="67">
        <f>11.2111 * CHOOSE(CONTROL!$C$22, $C$13, 100%, $E$13)</f>
        <v>11.2111</v>
      </c>
      <c r="C698" s="67">
        <f>11.2111 * CHOOSE(CONTROL!$C$22, $C$13, 100%, $E$13)</f>
        <v>11.2111</v>
      </c>
      <c r="D698" s="67">
        <f>11.2121 * CHOOSE(CONTROL!$C$22, $C$13, 100%, $E$13)</f>
        <v>11.2121</v>
      </c>
      <c r="E698" s="68">
        <f>12.893 * CHOOSE(CONTROL!$C$22, $C$13, 100%, $E$13)</f>
        <v>12.893000000000001</v>
      </c>
      <c r="F698" s="68">
        <f>12.893 * CHOOSE(CONTROL!$C$22, $C$13, 100%, $E$13)</f>
        <v>12.893000000000001</v>
      </c>
      <c r="G698" s="68">
        <f>12.8943 * CHOOSE(CONTROL!$C$22, $C$13, 100%, $E$13)</f>
        <v>12.894299999999999</v>
      </c>
      <c r="H698" s="68">
        <f>21.1211* CHOOSE(CONTROL!$C$22, $C$13, 100%, $E$13)</f>
        <v>21.121099999999998</v>
      </c>
      <c r="I698" s="68">
        <f>21.1224 * CHOOSE(CONTROL!$C$22, $C$13, 100%, $E$13)</f>
        <v>21.122399999999999</v>
      </c>
      <c r="J698" s="68">
        <f>12.893 * CHOOSE(CONTROL!$C$22, $C$13, 100%, $E$13)</f>
        <v>12.893000000000001</v>
      </c>
      <c r="K698" s="68">
        <f>12.8943 * CHOOSE(CONTROL!$C$22, $C$13, 100%, $E$13)</f>
        <v>12.894299999999999</v>
      </c>
    </row>
    <row r="699" spans="1:11" ht="15">
      <c r="A699" s="13">
        <v>62398</v>
      </c>
      <c r="B699" s="67">
        <f>11.2141 * CHOOSE(CONTROL!$C$22, $C$13, 100%, $E$13)</f>
        <v>11.2141</v>
      </c>
      <c r="C699" s="67">
        <f>11.2141 * CHOOSE(CONTROL!$C$22, $C$13, 100%, $E$13)</f>
        <v>11.2141</v>
      </c>
      <c r="D699" s="67">
        <f>11.2151 * CHOOSE(CONTROL!$C$22, $C$13, 100%, $E$13)</f>
        <v>11.2151</v>
      </c>
      <c r="E699" s="68">
        <f>12.9418 * CHOOSE(CONTROL!$C$22, $C$13, 100%, $E$13)</f>
        <v>12.941800000000001</v>
      </c>
      <c r="F699" s="68">
        <f>12.9418 * CHOOSE(CONTROL!$C$22, $C$13, 100%, $E$13)</f>
        <v>12.941800000000001</v>
      </c>
      <c r="G699" s="68">
        <f>12.9431 * CHOOSE(CONTROL!$C$22, $C$13, 100%, $E$13)</f>
        <v>12.943099999999999</v>
      </c>
      <c r="H699" s="68">
        <f>21.1651* CHOOSE(CONTROL!$C$22, $C$13, 100%, $E$13)</f>
        <v>21.165099999999999</v>
      </c>
      <c r="I699" s="68">
        <f>21.1664 * CHOOSE(CONTROL!$C$22, $C$13, 100%, $E$13)</f>
        <v>21.166399999999999</v>
      </c>
      <c r="J699" s="68">
        <f>12.9418 * CHOOSE(CONTROL!$C$22, $C$13, 100%, $E$13)</f>
        <v>12.941800000000001</v>
      </c>
      <c r="K699" s="68">
        <f>12.9431 * CHOOSE(CONTROL!$C$22, $C$13, 100%, $E$13)</f>
        <v>12.943099999999999</v>
      </c>
    </row>
    <row r="700" spans="1:11" ht="15">
      <c r="A700" s="13">
        <v>62428</v>
      </c>
      <c r="B700" s="67">
        <f>11.2141 * CHOOSE(CONTROL!$C$22, $C$13, 100%, $E$13)</f>
        <v>11.2141</v>
      </c>
      <c r="C700" s="67">
        <f>11.2141 * CHOOSE(CONTROL!$C$22, $C$13, 100%, $E$13)</f>
        <v>11.2141</v>
      </c>
      <c r="D700" s="67">
        <f>11.2151 * CHOOSE(CONTROL!$C$22, $C$13, 100%, $E$13)</f>
        <v>11.2151</v>
      </c>
      <c r="E700" s="68">
        <f>12.8252 * CHOOSE(CONTROL!$C$22, $C$13, 100%, $E$13)</f>
        <v>12.825200000000001</v>
      </c>
      <c r="F700" s="68">
        <f>12.8252 * CHOOSE(CONTROL!$C$22, $C$13, 100%, $E$13)</f>
        <v>12.825200000000001</v>
      </c>
      <c r="G700" s="68">
        <f>12.8264 * CHOOSE(CONTROL!$C$22, $C$13, 100%, $E$13)</f>
        <v>12.8264</v>
      </c>
      <c r="H700" s="68">
        <f>21.2092* CHOOSE(CONTROL!$C$22, $C$13, 100%, $E$13)</f>
        <v>21.209199999999999</v>
      </c>
      <c r="I700" s="68">
        <f>21.2105 * CHOOSE(CONTROL!$C$22, $C$13, 100%, $E$13)</f>
        <v>21.2105</v>
      </c>
      <c r="J700" s="68">
        <f>12.8252 * CHOOSE(CONTROL!$C$22, $C$13, 100%, $E$13)</f>
        <v>12.825200000000001</v>
      </c>
      <c r="K700" s="68">
        <f>12.8264 * CHOOSE(CONTROL!$C$22, $C$13, 100%, $E$13)</f>
        <v>12.8264</v>
      </c>
    </row>
    <row r="701" spans="1:11" ht="15">
      <c r="A701" s="13">
        <v>62459</v>
      </c>
      <c r="B701" s="67">
        <f>11.2519 * CHOOSE(CONTROL!$C$22, $C$13, 100%, $E$13)</f>
        <v>11.251899999999999</v>
      </c>
      <c r="C701" s="67">
        <f>11.2519 * CHOOSE(CONTROL!$C$22, $C$13, 100%, $E$13)</f>
        <v>11.251899999999999</v>
      </c>
      <c r="D701" s="67">
        <f>11.2529 * CHOOSE(CONTROL!$C$22, $C$13, 100%, $E$13)</f>
        <v>11.2529</v>
      </c>
      <c r="E701" s="68">
        <f>12.9563 * CHOOSE(CONTROL!$C$22, $C$13, 100%, $E$13)</f>
        <v>12.956300000000001</v>
      </c>
      <c r="F701" s="68">
        <f>12.9563 * CHOOSE(CONTROL!$C$22, $C$13, 100%, $E$13)</f>
        <v>12.956300000000001</v>
      </c>
      <c r="G701" s="68">
        <f>12.9576 * CHOOSE(CONTROL!$C$22, $C$13, 100%, $E$13)</f>
        <v>12.957599999999999</v>
      </c>
      <c r="H701" s="68">
        <f>21.1562* CHOOSE(CONTROL!$C$22, $C$13, 100%, $E$13)</f>
        <v>21.156199999999998</v>
      </c>
      <c r="I701" s="68">
        <f>21.1575 * CHOOSE(CONTROL!$C$22, $C$13, 100%, $E$13)</f>
        <v>21.157499999999999</v>
      </c>
      <c r="J701" s="68">
        <f>12.9563 * CHOOSE(CONTROL!$C$22, $C$13, 100%, $E$13)</f>
        <v>12.956300000000001</v>
      </c>
      <c r="K701" s="68">
        <f>12.9576 * CHOOSE(CONTROL!$C$22, $C$13, 100%, $E$13)</f>
        <v>12.957599999999999</v>
      </c>
    </row>
    <row r="702" spans="1:11" ht="15">
      <c r="A702" s="13">
        <v>62490</v>
      </c>
      <c r="B702" s="67">
        <f>11.2488 * CHOOSE(CONTROL!$C$22, $C$13, 100%, $E$13)</f>
        <v>11.248799999999999</v>
      </c>
      <c r="C702" s="67">
        <f>11.2488 * CHOOSE(CONTROL!$C$22, $C$13, 100%, $E$13)</f>
        <v>11.248799999999999</v>
      </c>
      <c r="D702" s="67">
        <f>11.2498 * CHOOSE(CONTROL!$C$22, $C$13, 100%, $E$13)</f>
        <v>11.2498</v>
      </c>
      <c r="E702" s="68">
        <f>12.7288 * CHOOSE(CONTROL!$C$22, $C$13, 100%, $E$13)</f>
        <v>12.7288</v>
      </c>
      <c r="F702" s="68">
        <f>12.7288 * CHOOSE(CONTROL!$C$22, $C$13, 100%, $E$13)</f>
        <v>12.7288</v>
      </c>
      <c r="G702" s="68">
        <f>12.7301 * CHOOSE(CONTROL!$C$22, $C$13, 100%, $E$13)</f>
        <v>12.7301</v>
      </c>
      <c r="H702" s="68">
        <f>21.2003* CHOOSE(CONTROL!$C$22, $C$13, 100%, $E$13)</f>
        <v>21.200299999999999</v>
      </c>
      <c r="I702" s="68">
        <f>21.2016 * CHOOSE(CONTROL!$C$22, $C$13, 100%, $E$13)</f>
        <v>21.201599999999999</v>
      </c>
      <c r="J702" s="68">
        <f>12.7288 * CHOOSE(CONTROL!$C$22, $C$13, 100%, $E$13)</f>
        <v>12.7288</v>
      </c>
      <c r="K702" s="68">
        <f>12.7301 * CHOOSE(CONTROL!$C$22, $C$13, 100%, $E$13)</f>
        <v>12.7301</v>
      </c>
    </row>
    <row r="703" spans="1:11" ht="15">
      <c r="A703" s="13">
        <v>62518</v>
      </c>
      <c r="B703" s="67">
        <f>11.2458 * CHOOSE(CONTROL!$C$22, $C$13, 100%, $E$13)</f>
        <v>11.245799999999999</v>
      </c>
      <c r="C703" s="67">
        <f>11.2458 * CHOOSE(CONTROL!$C$22, $C$13, 100%, $E$13)</f>
        <v>11.245799999999999</v>
      </c>
      <c r="D703" s="67">
        <f>11.2468 * CHOOSE(CONTROL!$C$22, $C$13, 100%, $E$13)</f>
        <v>11.2468</v>
      </c>
      <c r="E703" s="68">
        <f>12.9043 * CHOOSE(CONTROL!$C$22, $C$13, 100%, $E$13)</f>
        <v>12.904299999999999</v>
      </c>
      <c r="F703" s="68">
        <f>12.9043 * CHOOSE(CONTROL!$C$22, $C$13, 100%, $E$13)</f>
        <v>12.904299999999999</v>
      </c>
      <c r="G703" s="68">
        <f>12.9056 * CHOOSE(CONTROL!$C$22, $C$13, 100%, $E$13)</f>
        <v>12.9056</v>
      </c>
      <c r="H703" s="68">
        <f>21.2445* CHOOSE(CONTROL!$C$22, $C$13, 100%, $E$13)</f>
        <v>21.244499999999999</v>
      </c>
      <c r="I703" s="68">
        <f>21.2457 * CHOOSE(CONTROL!$C$22, $C$13, 100%, $E$13)</f>
        <v>21.245699999999999</v>
      </c>
      <c r="J703" s="68">
        <f>12.9043 * CHOOSE(CONTROL!$C$22, $C$13, 100%, $E$13)</f>
        <v>12.904299999999999</v>
      </c>
      <c r="K703" s="68">
        <f>12.9056 * CHOOSE(CONTROL!$C$22, $C$13, 100%, $E$13)</f>
        <v>12.9056</v>
      </c>
    </row>
    <row r="704" spans="1:11" ht="15">
      <c r="A704" s="13">
        <v>62549</v>
      </c>
      <c r="B704" s="67">
        <f>11.2496 * CHOOSE(CONTROL!$C$22, $C$13, 100%, $E$13)</f>
        <v>11.249599999999999</v>
      </c>
      <c r="C704" s="67">
        <f>11.2496 * CHOOSE(CONTROL!$C$22, $C$13, 100%, $E$13)</f>
        <v>11.249599999999999</v>
      </c>
      <c r="D704" s="67">
        <f>11.2505 * CHOOSE(CONTROL!$C$22, $C$13, 100%, $E$13)</f>
        <v>11.250500000000001</v>
      </c>
      <c r="E704" s="68">
        <f>13.0909 * CHOOSE(CONTROL!$C$22, $C$13, 100%, $E$13)</f>
        <v>13.0909</v>
      </c>
      <c r="F704" s="68">
        <f>13.0909 * CHOOSE(CONTROL!$C$22, $C$13, 100%, $E$13)</f>
        <v>13.0909</v>
      </c>
      <c r="G704" s="68">
        <f>13.0922 * CHOOSE(CONTROL!$C$22, $C$13, 100%, $E$13)</f>
        <v>13.0922</v>
      </c>
      <c r="H704" s="68">
        <f>21.2887* CHOOSE(CONTROL!$C$22, $C$13, 100%, $E$13)</f>
        <v>21.288699999999999</v>
      </c>
      <c r="I704" s="68">
        <f>21.29 * CHOOSE(CONTROL!$C$22, $C$13, 100%, $E$13)</f>
        <v>21.29</v>
      </c>
      <c r="J704" s="68">
        <f>13.0909 * CHOOSE(CONTROL!$C$22, $C$13, 100%, $E$13)</f>
        <v>13.0909</v>
      </c>
      <c r="K704" s="68">
        <f>13.0922 * CHOOSE(CONTROL!$C$22, $C$13, 100%, $E$13)</f>
        <v>13.0922</v>
      </c>
    </row>
    <row r="705" spans="1:11" ht="15">
      <c r="A705" s="13">
        <v>62579</v>
      </c>
      <c r="B705" s="67">
        <f>11.2496 * CHOOSE(CONTROL!$C$22, $C$13, 100%, $E$13)</f>
        <v>11.249599999999999</v>
      </c>
      <c r="C705" s="67">
        <f>11.2496 * CHOOSE(CONTROL!$C$22, $C$13, 100%, $E$13)</f>
        <v>11.249599999999999</v>
      </c>
      <c r="D705" s="67">
        <f>11.2522 * CHOOSE(CONTROL!$C$22, $C$13, 100%, $E$13)</f>
        <v>11.2522</v>
      </c>
      <c r="E705" s="68">
        <f>13.1624 * CHOOSE(CONTROL!$C$22, $C$13, 100%, $E$13)</f>
        <v>13.1624</v>
      </c>
      <c r="F705" s="68">
        <f>13.1624 * CHOOSE(CONTROL!$C$22, $C$13, 100%, $E$13)</f>
        <v>13.1624</v>
      </c>
      <c r="G705" s="68">
        <f>13.1657 * CHOOSE(CONTROL!$C$22, $C$13, 100%, $E$13)</f>
        <v>13.165699999999999</v>
      </c>
      <c r="H705" s="68">
        <f>21.3331* CHOOSE(CONTROL!$C$22, $C$13, 100%, $E$13)</f>
        <v>21.333100000000002</v>
      </c>
      <c r="I705" s="68">
        <f>21.3363 * CHOOSE(CONTROL!$C$22, $C$13, 100%, $E$13)</f>
        <v>21.336300000000001</v>
      </c>
      <c r="J705" s="68">
        <f>13.1624 * CHOOSE(CONTROL!$C$22, $C$13, 100%, $E$13)</f>
        <v>13.1624</v>
      </c>
      <c r="K705" s="68">
        <f>13.1657 * CHOOSE(CONTROL!$C$22, $C$13, 100%, $E$13)</f>
        <v>13.165699999999999</v>
      </c>
    </row>
    <row r="706" spans="1:11" ht="15">
      <c r="A706" s="13">
        <v>62610</v>
      </c>
      <c r="B706" s="67">
        <f>11.2556 * CHOOSE(CONTROL!$C$22, $C$13, 100%, $E$13)</f>
        <v>11.255599999999999</v>
      </c>
      <c r="C706" s="67">
        <f>11.2556 * CHOOSE(CONTROL!$C$22, $C$13, 100%, $E$13)</f>
        <v>11.255599999999999</v>
      </c>
      <c r="D706" s="67">
        <f>11.2583 * CHOOSE(CONTROL!$C$22, $C$13, 100%, $E$13)</f>
        <v>11.2583</v>
      </c>
      <c r="E706" s="68">
        <f>13.0951 * CHOOSE(CONTROL!$C$22, $C$13, 100%, $E$13)</f>
        <v>13.0951</v>
      </c>
      <c r="F706" s="68">
        <f>13.0951 * CHOOSE(CONTROL!$C$22, $C$13, 100%, $E$13)</f>
        <v>13.0951</v>
      </c>
      <c r="G706" s="68">
        <f>13.0984 * CHOOSE(CONTROL!$C$22, $C$13, 100%, $E$13)</f>
        <v>13.0984</v>
      </c>
      <c r="H706" s="68">
        <f>21.3775* CHOOSE(CONTROL!$C$22, $C$13, 100%, $E$13)</f>
        <v>21.377500000000001</v>
      </c>
      <c r="I706" s="68">
        <f>21.3808 * CHOOSE(CONTROL!$C$22, $C$13, 100%, $E$13)</f>
        <v>21.380800000000001</v>
      </c>
      <c r="J706" s="68">
        <f>13.0951 * CHOOSE(CONTROL!$C$22, $C$13, 100%, $E$13)</f>
        <v>13.0951</v>
      </c>
      <c r="K706" s="68">
        <f>13.0984 * CHOOSE(CONTROL!$C$22, $C$13, 100%, $E$13)</f>
        <v>13.0984</v>
      </c>
    </row>
    <row r="707" spans="1:11" ht="15">
      <c r="A707" s="13">
        <v>62640</v>
      </c>
      <c r="B707" s="67">
        <f>11.4283 * CHOOSE(CONTROL!$C$22, $C$13, 100%, $E$13)</f>
        <v>11.4283</v>
      </c>
      <c r="C707" s="67">
        <f>11.4283 * CHOOSE(CONTROL!$C$22, $C$13, 100%, $E$13)</f>
        <v>11.4283</v>
      </c>
      <c r="D707" s="67">
        <f>11.4309 * CHOOSE(CONTROL!$C$22, $C$13, 100%, $E$13)</f>
        <v>11.430899999999999</v>
      </c>
      <c r="E707" s="68">
        <f>13.3056 * CHOOSE(CONTROL!$C$22, $C$13, 100%, $E$13)</f>
        <v>13.3056</v>
      </c>
      <c r="F707" s="68">
        <f>13.3056 * CHOOSE(CONTROL!$C$22, $C$13, 100%, $E$13)</f>
        <v>13.3056</v>
      </c>
      <c r="G707" s="68">
        <f>13.3089 * CHOOSE(CONTROL!$C$22, $C$13, 100%, $E$13)</f>
        <v>13.3089</v>
      </c>
      <c r="H707" s="68">
        <f>21.422* CHOOSE(CONTROL!$C$22, $C$13, 100%, $E$13)</f>
        <v>21.422000000000001</v>
      </c>
      <c r="I707" s="68">
        <f>21.4253 * CHOOSE(CONTROL!$C$22, $C$13, 100%, $E$13)</f>
        <v>21.4253</v>
      </c>
      <c r="J707" s="68">
        <f>13.3056 * CHOOSE(CONTROL!$C$22, $C$13, 100%, $E$13)</f>
        <v>13.3056</v>
      </c>
      <c r="K707" s="68">
        <f>13.3089 * CHOOSE(CONTROL!$C$22, $C$13, 100%, $E$13)</f>
        <v>13.3089</v>
      </c>
    </row>
    <row r="708" spans="1:11" ht="15">
      <c r="A708" s="13">
        <v>62671</v>
      </c>
      <c r="B708" s="67">
        <f>11.435 * CHOOSE(CONTROL!$C$22, $C$13, 100%, $E$13)</f>
        <v>11.435</v>
      </c>
      <c r="C708" s="67">
        <f>11.435 * CHOOSE(CONTROL!$C$22, $C$13, 100%, $E$13)</f>
        <v>11.435</v>
      </c>
      <c r="D708" s="67">
        <f>11.4376 * CHOOSE(CONTROL!$C$22, $C$13, 100%, $E$13)</f>
        <v>11.4376</v>
      </c>
      <c r="E708" s="68">
        <f>13.0956 * CHOOSE(CONTROL!$C$22, $C$13, 100%, $E$13)</f>
        <v>13.095599999999999</v>
      </c>
      <c r="F708" s="68">
        <f>13.0956 * CHOOSE(CONTROL!$C$22, $C$13, 100%, $E$13)</f>
        <v>13.095599999999999</v>
      </c>
      <c r="G708" s="68">
        <f>13.0989 * CHOOSE(CONTROL!$C$22, $C$13, 100%, $E$13)</f>
        <v>13.0989</v>
      </c>
      <c r="H708" s="68">
        <f>21.4667* CHOOSE(CONTROL!$C$22, $C$13, 100%, $E$13)</f>
        <v>21.466699999999999</v>
      </c>
      <c r="I708" s="68">
        <f>21.4699 * CHOOSE(CONTROL!$C$22, $C$13, 100%, $E$13)</f>
        <v>21.469899999999999</v>
      </c>
      <c r="J708" s="68">
        <f>13.0956 * CHOOSE(CONTROL!$C$22, $C$13, 100%, $E$13)</f>
        <v>13.095599999999999</v>
      </c>
      <c r="K708" s="68">
        <f>13.0989 * CHOOSE(CONTROL!$C$22, $C$13, 100%, $E$13)</f>
        <v>13.0989</v>
      </c>
    </row>
    <row r="709" spans="1:11" ht="15">
      <c r="A709" s="13">
        <v>62702</v>
      </c>
      <c r="B709" s="67">
        <f>11.4319 * CHOOSE(CONTROL!$C$22, $C$13, 100%, $E$13)</f>
        <v>11.431900000000001</v>
      </c>
      <c r="C709" s="67">
        <f>11.4319 * CHOOSE(CONTROL!$C$22, $C$13, 100%, $E$13)</f>
        <v>11.431900000000001</v>
      </c>
      <c r="D709" s="67">
        <f>11.4345 * CHOOSE(CONTROL!$C$22, $C$13, 100%, $E$13)</f>
        <v>11.4345</v>
      </c>
      <c r="E709" s="68">
        <f>13.0697 * CHOOSE(CONTROL!$C$22, $C$13, 100%, $E$13)</f>
        <v>13.069699999999999</v>
      </c>
      <c r="F709" s="68">
        <f>13.0697 * CHOOSE(CONTROL!$C$22, $C$13, 100%, $E$13)</f>
        <v>13.069699999999999</v>
      </c>
      <c r="G709" s="68">
        <f>13.0729 * CHOOSE(CONTROL!$C$22, $C$13, 100%, $E$13)</f>
        <v>13.072900000000001</v>
      </c>
      <c r="H709" s="68">
        <f>21.5114* CHOOSE(CONTROL!$C$22, $C$13, 100%, $E$13)</f>
        <v>21.511399999999998</v>
      </c>
      <c r="I709" s="68">
        <f>21.5147 * CHOOSE(CONTROL!$C$22, $C$13, 100%, $E$13)</f>
        <v>21.514700000000001</v>
      </c>
      <c r="J709" s="68">
        <f>13.0697 * CHOOSE(CONTROL!$C$22, $C$13, 100%, $E$13)</f>
        <v>13.069699999999999</v>
      </c>
      <c r="K709" s="68">
        <f>13.0729 * CHOOSE(CONTROL!$C$22, $C$13, 100%, $E$13)</f>
        <v>13.072900000000001</v>
      </c>
    </row>
    <row r="710" spans="1:11" ht="15">
      <c r="A710" s="13">
        <v>62732</v>
      </c>
      <c r="B710" s="67">
        <f>11.451 * CHOOSE(CONTROL!$C$22, $C$13, 100%, $E$13)</f>
        <v>11.451000000000001</v>
      </c>
      <c r="C710" s="67">
        <f>11.451 * CHOOSE(CONTROL!$C$22, $C$13, 100%, $E$13)</f>
        <v>11.451000000000001</v>
      </c>
      <c r="D710" s="67">
        <f>11.452 * CHOOSE(CONTROL!$C$22, $C$13, 100%, $E$13)</f>
        <v>11.452</v>
      </c>
      <c r="E710" s="68">
        <f>13.1516 * CHOOSE(CONTROL!$C$22, $C$13, 100%, $E$13)</f>
        <v>13.1516</v>
      </c>
      <c r="F710" s="68">
        <f>13.1516 * CHOOSE(CONTROL!$C$22, $C$13, 100%, $E$13)</f>
        <v>13.1516</v>
      </c>
      <c r="G710" s="68">
        <f>13.1529 * CHOOSE(CONTROL!$C$22, $C$13, 100%, $E$13)</f>
        <v>13.152900000000001</v>
      </c>
      <c r="H710" s="68">
        <f>21.5562* CHOOSE(CONTROL!$C$22, $C$13, 100%, $E$13)</f>
        <v>21.5562</v>
      </c>
      <c r="I710" s="68">
        <f>21.5575 * CHOOSE(CONTROL!$C$22, $C$13, 100%, $E$13)</f>
        <v>21.557500000000001</v>
      </c>
      <c r="J710" s="68">
        <f>13.1516 * CHOOSE(CONTROL!$C$22, $C$13, 100%, $E$13)</f>
        <v>13.1516</v>
      </c>
      <c r="K710" s="68">
        <f>13.1529 * CHOOSE(CONTROL!$C$22, $C$13, 100%, $E$13)</f>
        <v>13.152900000000001</v>
      </c>
    </row>
    <row r="711" spans="1:11" ht="15">
      <c r="A711" s="13">
        <v>62763</v>
      </c>
      <c r="B711" s="67">
        <f>11.4541 * CHOOSE(CONTROL!$C$22, $C$13, 100%, $E$13)</f>
        <v>11.4541</v>
      </c>
      <c r="C711" s="67">
        <f>11.4541 * CHOOSE(CONTROL!$C$22, $C$13, 100%, $E$13)</f>
        <v>11.4541</v>
      </c>
      <c r="D711" s="67">
        <f>11.455 * CHOOSE(CONTROL!$C$22, $C$13, 100%, $E$13)</f>
        <v>11.455</v>
      </c>
      <c r="E711" s="68">
        <f>13.2015 * CHOOSE(CONTROL!$C$22, $C$13, 100%, $E$13)</f>
        <v>13.201499999999999</v>
      </c>
      <c r="F711" s="68">
        <f>13.2015 * CHOOSE(CONTROL!$C$22, $C$13, 100%, $E$13)</f>
        <v>13.201499999999999</v>
      </c>
      <c r="G711" s="68">
        <f>13.2027 * CHOOSE(CONTROL!$C$22, $C$13, 100%, $E$13)</f>
        <v>13.2027</v>
      </c>
      <c r="H711" s="68">
        <f>21.6011* CHOOSE(CONTROL!$C$22, $C$13, 100%, $E$13)</f>
        <v>21.601099999999999</v>
      </c>
      <c r="I711" s="68">
        <f>21.6024 * CHOOSE(CONTROL!$C$22, $C$13, 100%, $E$13)</f>
        <v>21.602399999999999</v>
      </c>
      <c r="J711" s="68">
        <f>13.2015 * CHOOSE(CONTROL!$C$22, $C$13, 100%, $E$13)</f>
        <v>13.201499999999999</v>
      </c>
      <c r="K711" s="68">
        <f>13.2027 * CHOOSE(CONTROL!$C$22, $C$13, 100%, $E$13)</f>
        <v>13.2027</v>
      </c>
    </row>
    <row r="712" spans="1:11" ht="15">
      <c r="A712" s="13">
        <v>62793</v>
      </c>
      <c r="B712" s="67">
        <f>11.4541 * CHOOSE(CONTROL!$C$22, $C$13, 100%, $E$13)</f>
        <v>11.4541</v>
      </c>
      <c r="C712" s="67">
        <f>11.4541 * CHOOSE(CONTROL!$C$22, $C$13, 100%, $E$13)</f>
        <v>11.4541</v>
      </c>
      <c r="D712" s="67">
        <f>11.455 * CHOOSE(CONTROL!$C$22, $C$13, 100%, $E$13)</f>
        <v>11.455</v>
      </c>
      <c r="E712" s="68">
        <f>13.0822 * CHOOSE(CONTROL!$C$22, $C$13, 100%, $E$13)</f>
        <v>13.0822</v>
      </c>
      <c r="F712" s="68">
        <f>13.0822 * CHOOSE(CONTROL!$C$22, $C$13, 100%, $E$13)</f>
        <v>13.0822</v>
      </c>
      <c r="G712" s="68">
        <f>13.0835 * CHOOSE(CONTROL!$C$22, $C$13, 100%, $E$13)</f>
        <v>13.083500000000001</v>
      </c>
      <c r="H712" s="68">
        <f>21.6461* CHOOSE(CONTROL!$C$22, $C$13, 100%, $E$13)</f>
        <v>21.646100000000001</v>
      </c>
      <c r="I712" s="68">
        <f>21.6474 * CHOOSE(CONTROL!$C$22, $C$13, 100%, $E$13)</f>
        <v>21.647400000000001</v>
      </c>
      <c r="J712" s="68">
        <f>13.0822 * CHOOSE(CONTROL!$C$22, $C$13, 100%, $E$13)</f>
        <v>13.0822</v>
      </c>
      <c r="K712" s="68">
        <f>13.0835 * CHOOSE(CONTROL!$C$22, $C$13, 100%, $E$13)</f>
        <v>13.083500000000001</v>
      </c>
    </row>
    <row r="713" spans="1:11" ht="15">
      <c r="A713" s="13">
        <v>62824</v>
      </c>
      <c r="B713" s="67">
        <f>11.4875 * CHOOSE(CONTROL!$C$22, $C$13, 100%, $E$13)</f>
        <v>11.487500000000001</v>
      </c>
      <c r="C713" s="67">
        <f>11.4875 * CHOOSE(CONTROL!$C$22, $C$13, 100%, $E$13)</f>
        <v>11.487500000000001</v>
      </c>
      <c r="D713" s="67">
        <f>11.4884 * CHOOSE(CONTROL!$C$22, $C$13, 100%, $E$13)</f>
        <v>11.4884</v>
      </c>
      <c r="E713" s="68">
        <f>13.211 * CHOOSE(CONTROL!$C$22, $C$13, 100%, $E$13)</f>
        <v>13.211</v>
      </c>
      <c r="F713" s="68">
        <f>13.211 * CHOOSE(CONTROL!$C$22, $C$13, 100%, $E$13)</f>
        <v>13.211</v>
      </c>
      <c r="G713" s="68">
        <f>13.2123 * CHOOSE(CONTROL!$C$22, $C$13, 100%, $E$13)</f>
        <v>13.212300000000001</v>
      </c>
      <c r="H713" s="68">
        <f>21.5832* CHOOSE(CONTROL!$C$22, $C$13, 100%, $E$13)</f>
        <v>21.583200000000001</v>
      </c>
      <c r="I713" s="68">
        <f>21.5845 * CHOOSE(CONTROL!$C$22, $C$13, 100%, $E$13)</f>
        <v>21.584499999999998</v>
      </c>
      <c r="J713" s="68">
        <f>13.211 * CHOOSE(CONTROL!$C$22, $C$13, 100%, $E$13)</f>
        <v>13.211</v>
      </c>
      <c r="K713" s="68">
        <f>13.2123 * CHOOSE(CONTROL!$C$22, $C$13, 100%, $E$13)</f>
        <v>13.212300000000001</v>
      </c>
    </row>
    <row r="714" spans="1:11" ht="15">
      <c r="A714" s="13">
        <v>62855</v>
      </c>
      <c r="B714" s="67">
        <f>11.4844 * CHOOSE(CONTROL!$C$22, $C$13, 100%, $E$13)</f>
        <v>11.484400000000001</v>
      </c>
      <c r="C714" s="67">
        <f>11.4844 * CHOOSE(CONTROL!$C$22, $C$13, 100%, $E$13)</f>
        <v>11.484400000000001</v>
      </c>
      <c r="D714" s="67">
        <f>11.4854 * CHOOSE(CONTROL!$C$22, $C$13, 100%, $E$13)</f>
        <v>11.4854</v>
      </c>
      <c r="E714" s="68">
        <f>12.9786 * CHOOSE(CONTROL!$C$22, $C$13, 100%, $E$13)</f>
        <v>12.9786</v>
      </c>
      <c r="F714" s="68">
        <f>12.9786 * CHOOSE(CONTROL!$C$22, $C$13, 100%, $E$13)</f>
        <v>12.9786</v>
      </c>
      <c r="G714" s="68">
        <f>12.9799 * CHOOSE(CONTROL!$C$22, $C$13, 100%, $E$13)</f>
        <v>12.979900000000001</v>
      </c>
      <c r="H714" s="68">
        <f>21.6282* CHOOSE(CONTROL!$C$22, $C$13, 100%, $E$13)</f>
        <v>21.6282</v>
      </c>
      <c r="I714" s="68">
        <f>21.6295 * CHOOSE(CONTROL!$C$22, $C$13, 100%, $E$13)</f>
        <v>21.6295</v>
      </c>
      <c r="J714" s="68">
        <f>12.9786 * CHOOSE(CONTROL!$C$22, $C$13, 100%, $E$13)</f>
        <v>12.9786</v>
      </c>
      <c r="K714" s="68">
        <f>12.9799 * CHOOSE(CONTROL!$C$22, $C$13, 100%, $E$13)</f>
        <v>12.979900000000001</v>
      </c>
    </row>
    <row r="715" spans="1:11" ht="15">
      <c r="A715" s="13">
        <v>62884</v>
      </c>
      <c r="B715" s="67">
        <f>11.4814 * CHOOSE(CONTROL!$C$22, $C$13, 100%, $E$13)</f>
        <v>11.481400000000001</v>
      </c>
      <c r="C715" s="67">
        <f>11.4814 * CHOOSE(CONTROL!$C$22, $C$13, 100%, $E$13)</f>
        <v>11.481400000000001</v>
      </c>
      <c r="D715" s="67">
        <f>11.4824 * CHOOSE(CONTROL!$C$22, $C$13, 100%, $E$13)</f>
        <v>11.4824</v>
      </c>
      <c r="E715" s="68">
        <f>13.158 * CHOOSE(CONTROL!$C$22, $C$13, 100%, $E$13)</f>
        <v>13.157999999999999</v>
      </c>
      <c r="F715" s="68">
        <f>13.158 * CHOOSE(CONTROL!$C$22, $C$13, 100%, $E$13)</f>
        <v>13.157999999999999</v>
      </c>
      <c r="G715" s="68">
        <f>13.1593 * CHOOSE(CONTROL!$C$22, $C$13, 100%, $E$13)</f>
        <v>13.1593</v>
      </c>
      <c r="H715" s="68">
        <f>21.6733* CHOOSE(CONTROL!$C$22, $C$13, 100%, $E$13)</f>
        <v>21.673300000000001</v>
      </c>
      <c r="I715" s="68">
        <f>21.6745 * CHOOSE(CONTROL!$C$22, $C$13, 100%, $E$13)</f>
        <v>21.674499999999998</v>
      </c>
      <c r="J715" s="68">
        <f>13.158 * CHOOSE(CONTROL!$C$22, $C$13, 100%, $E$13)</f>
        <v>13.157999999999999</v>
      </c>
      <c r="K715" s="68">
        <f>13.1593 * CHOOSE(CONTROL!$C$22, $C$13, 100%, $E$13)</f>
        <v>13.1593</v>
      </c>
    </row>
    <row r="716" spans="1:11" ht="15">
      <c r="A716" s="13">
        <v>62915</v>
      </c>
      <c r="B716" s="67">
        <f>11.4853 * CHOOSE(CONTROL!$C$22, $C$13, 100%, $E$13)</f>
        <v>11.485300000000001</v>
      </c>
      <c r="C716" s="67">
        <f>11.4853 * CHOOSE(CONTROL!$C$22, $C$13, 100%, $E$13)</f>
        <v>11.485300000000001</v>
      </c>
      <c r="D716" s="67">
        <f>11.4863 * CHOOSE(CONTROL!$C$22, $C$13, 100%, $E$13)</f>
        <v>11.4863</v>
      </c>
      <c r="E716" s="68">
        <f>13.3487 * CHOOSE(CONTROL!$C$22, $C$13, 100%, $E$13)</f>
        <v>13.348699999999999</v>
      </c>
      <c r="F716" s="68">
        <f>13.3487 * CHOOSE(CONTROL!$C$22, $C$13, 100%, $E$13)</f>
        <v>13.348699999999999</v>
      </c>
      <c r="G716" s="68">
        <f>13.35 * CHOOSE(CONTROL!$C$22, $C$13, 100%, $E$13)</f>
        <v>13.35</v>
      </c>
      <c r="H716" s="68">
        <f>21.7184* CHOOSE(CONTROL!$C$22, $C$13, 100%, $E$13)</f>
        <v>21.718399999999999</v>
      </c>
      <c r="I716" s="68">
        <f>21.7197 * CHOOSE(CONTROL!$C$22, $C$13, 100%, $E$13)</f>
        <v>21.7197</v>
      </c>
      <c r="J716" s="68">
        <f>13.3487 * CHOOSE(CONTROL!$C$22, $C$13, 100%, $E$13)</f>
        <v>13.348699999999999</v>
      </c>
      <c r="K716" s="68">
        <f>13.35 * CHOOSE(CONTROL!$C$22, $C$13, 100%, $E$13)</f>
        <v>13.35</v>
      </c>
    </row>
    <row r="717" spans="1:11" ht="15">
      <c r="A717" s="13">
        <v>62945</v>
      </c>
      <c r="B717" s="67">
        <f>11.4853 * CHOOSE(CONTROL!$C$22, $C$13, 100%, $E$13)</f>
        <v>11.485300000000001</v>
      </c>
      <c r="C717" s="67">
        <f>11.4853 * CHOOSE(CONTROL!$C$22, $C$13, 100%, $E$13)</f>
        <v>11.485300000000001</v>
      </c>
      <c r="D717" s="67">
        <f>11.4879 * CHOOSE(CONTROL!$C$22, $C$13, 100%, $E$13)</f>
        <v>11.4879</v>
      </c>
      <c r="E717" s="68">
        <f>13.4219 * CHOOSE(CONTROL!$C$22, $C$13, 100%, $E$13)</f>
        <v>13.421900000000001</v>
      </c>
      <c r="F717" s="68">
        <f>13.4219 * CHOOSE(CONTROL!$C$22, $C$13, 100%, $E$13)</f>
        <v>13.421900000000001</v>
      </c>
      <c r="G717" s="68">
        <f>13.4251 * CHOOSE(CONTROL!$C$22, $C$13, 100%, $E$13)</f>
        <v>13.4251</v>
      </c>
      <c r="H717" s="68">
        <f>21.7637* CHOOSE(CONTROL!$C$22, $C$13, 100%, $E$13)</f>
        <v>21.7637</v>
      </c>
      <c r="I717" s="68">
        <f>21.7669 * CHOOSE(CONTROL!$C$22, $C$13, 100%, $E$13)</f>
        <v>21.7669</v>
      </c>
      <c r="J717" s="68">
        <f>13.4219 * CHOOSE(CONTROL!$C$22, $C$13, 100%, $E$13)</f>
        <v>13.421900000000001</v>
      </c>
      <c r="K717" s="68">
        <f>13.4251 * CHOOSE(CONTROL!$C$22, $C$13, 100%, $E$13)</f>
        <v>13.4251</v>
      </c>
    </row>
    <row r="718" spans="1:11" ht="15">
      <c r="A718" s="13">
        <v>62976</v>
      </c>
      <c r="B718" s="67">
        <f>11.4914 * CHOOSE(CONTROL!$C$22, $C$13, 100%, $E$13)</f>
        <v>11.491400000000001</v>
      </c>
      <c r="C718" s="67">
        <f>11.4914 * CHOOSE(CONTROL!$C$22, $C$13, 100%, $E$13)</f>
        <v>11.491400000000001</v>
      </c>
      <c r="D718" s="67">
        <f>11.494 * CHOOSE(CONTROL!$C$22, $C$13, 100%, $E$13)</f>
        <v>11.494</v>
      </c>
      <c r="E718" s="68">
        <f>13.353 * CHOOSE(CONTROL!$C$22, $C$13, 100%, $E$13)</f>
        <v>13.353</v>
      </c>
      <c r="F718" s="68">
        <f>13.353 * CHOOSE(CONTROL!$C$22, $C$13, 100%, $E$13)</f>
        <v>13.353</v>
      </c>
      <c r="G718" s="68">
        <f>13.3562 * CHOOSE(CONTROL!$C$22, $C$13, 100%, $E$13)</f>
        <v>13.356199999999999</v>
      </c>
      <c r="H718" s="68">
        <f>21.809* CHOOSE(CONTROL!$C$22, $C$13, 100%, $E$13)</f>
        <v>21.809000000000001</v>
      </c>
      <c r="I718" s="68">
        <f>21.8123 * CHOOSE(CONTROL!$C$22, $C$13, 100%, $E$13)</f>
        <v>21.8123</v>
      </c>
      <c r="J718" s="68">
        <f>13.353 * CHOOSE(CONTROL!$C$22, $C$13, 100%, $E$13)</f>
        <v>13.353</v>
      </c>
      <c r="K718" s="68">
        <f>13.3562 * CHOOSE(CONTROL!$C$22, $C$13, 100%, $E$13)</f>
        <v>13.356199999999999</v>
      </c>
    </row>
    <row r="719" spans="1:11" ht="15">
      <c r="A719" s="13">
        <v>63006</v>
      </c>
      <c r="B719" s="67">
        <f>11.6674 * CHOOSE(CONTROL!$C$22, $C$13, 100%, $E$13)</f>
        <v>11.667400000000001</v>
      </c>
      <c r="C719" s="67">
        <f>11.6674 * CHOOSE(CONTROL!$C$22, $C$13, 100%, $E$13)</f>
        <v>11.667400000000001</v>
      </c>
      <c r="D719" s="67">
        <f>11.6701 * CHOOSE(CONTROL!$C$22, $C$13, 100%, $E$13)</f>
        <v>11.6701</v>
      </c>
      <c r="E719" s="68">
        <f>13.5674 * CHOOSE(CONTROL!$C$22, $C$13, 100%, $E$13)</f>
        <v>13.567399999999999</v>
      </c>
      <c r="F719" s="68">
        <f>13.5674 * CHOOSE(CONTROL!$C$22, $C$13, 100%, $E$13)</f>
        <v>13.567399999999999</v>
      </c>
      <c r="G719" s="68">
        <f>13.5706 * CHOOSE(CONTROL!$C$22, $C$13, 100%, $E$13)</f>
        <v>13.570600000000001</v>
      </c>
      <c r="H719" s="68">
        <f>21.8544* CHOOSE(CONTROL!$C$22, $C$13, 100%, $E$13)</f>
        <v>21.854399999999998</v>
      </c>
      <c r="I719" s="68">
        <f>21.8577 * CHOOSE(CONTROL!$C$22, $C$13, 100%, $E$13)</f>
        <v>21.857700000000001</v>
      </c>
      <c r="J719" s="68">
        <f>13.5674 * CHOOSE(CONTROL!$C$22, $C$13, 100%, $E$13)</f>
        <v>13.567399999999999</v>
      </c>
      <c r="K719" s="68">
        <f>13.5706 * CHOOSE(CONTROL!$C$22, $C$13, 100%, $E$13)</f>
        <v>13.570600000000001</v>
      </c>
    </row>
    <row r="720" spans="1:11" ht="15">
      <c r="A720" s="13">
        <v>63037</v>
      </c>
      <c r="B720" s="67">
        <f>11.6741 * CHOOSE(CONTROL!$C$22, $C$13, 100%, $E$13)</f>
        <v>11.674099999999999</v>
      </c>
      <c r="C720" s="67">
        <f>11.6741 * CHOOSE(CONTROL!$C$22, $C$13, 100%, $E$13)</f>
        <v>11.674099999999999</v>
      </c>
      <c r="D720" s="67">
        <f>11.6768 * CHOOSE(CONTROL!$C$22, $C$13, 100%, $E$13)</f>
        <v>11.6768</v>
      </c>
      <c r="E720" s="68">
        <f>13.3527 * CHOOSE(CONTROL!$C$22, $C$13, 100%, $E$13)</f>
        <v>13.3527</v>
      </c>
      <c r="F720" s="68">
        <f>13.3527 * CHOOSE(CONTROL!$C$22, $C$13, 100%, $E$13)</f>
        <v>13.3527</v>
      </c>
      <c r="G720" s="68">
        <f>13.356 * CHOOSE(CONTROL!$C$22, $C$13, 100%, $E$13)</f>
        <v>13.356</v>
      </c>
      <c r="H720" s="68">
        <f>21.9* CHOOSE(CONTROL!$C$22, $C$13, 100%, $E$13)</f>
        <v>21.9</v>
      </c>
      <c r="I720" s="68">
        <f>21.9032 * CHOOSE(CONTROL!$C$22, $C$13, 100%, $E$13)</f>
        <v>21.903199999999998</v>
      </c>
      <c r="J720" s="68">
        <f>13.3527 * CHOOSE(CONTROL!$C$22, $C$13, 100%, $E$13)</f>
        <v>13.3527</v>
      </c>
      <c r="K720" s="68">
        <f>13.356 * CHOOSE(CONTROL!$C$22, $C$13, 100%, $E$13)</f>
        <v>13.356</v>
      </c>
    </row>
    <row r="721" spans="1:11" ht="15">
      <c r="A721" s="13">
        <v>63068</v>
      </c>
      <c r="B721" s="67">
        <f>11.6711 * CHOOSE(CONTROL!$C$22, $C$13, 100%, $E$13)</f>
        <v>11.671099999999999</v>
      </c>
      <c r="C721" s="67">
        <f>11.6711 * CHOOSE(CONTROL!$C$22, $C$13, 100%, $E$13)</f>
        <v>11.671099999999999</v>
      </c>
      <c r="D721" s="67">
        <f>11.6737 * CHOOSE(CONTROL!$C$22, $C$13, 100%, $E$13)</f>
        <v>11.6737</v>
      </c>
      <c r="E721" s="68">
        <f>13.3262 * CHOOSE(CONTROL!$C$22, $C$13, 100%, $E$13)</f>
        <v>13.3262</v>
      </c>
      <c r="F721" s="68">
        <f>13.3262 * CHOOSE(CONTROL!$C$22, $C$13, 100%, $E$13)</f>
        <v>13.3262</v>
      </c>
      <c r="G721" s="68">
        <f>13.3295 * CHOOSE(CONTROL!$C$22, $C$13, 100%, $E$13)</f>
        <v>13.329499999999999</v>
      </c>
      <c r="H721" s="68">
        <f>21.9456* CHOOSE(CONTROL!$C$22, $C$13, 100%, $E$13)</f>
        <v>21.945599999999999</v>
      </c>
      <c r="I721" s="68">
        <f>21.9488 * CHOOSE(CONTROL!$C$22, $C$13, 100%, $E$13)</f>
        <v>21.948799999999999</v>
      </c>
      <c r="J721" s="68">
        <f>13.3262 * CHOOSE(CONTROL!$C$22, $C$13, 100%, $E$13)</f>
        <v>13.3262</v>
      </c>
      <c r="K721" s="68">
        <f>13.3295 * CHOOSE(CONTROL!$C$22, $C$13, 100%, $E$13)</f>
        <v>13.329499999999999</v>
      </c>
    </row>
    <row r="722" spans="1:11" ht="15">
      <c r="A722" s="13">
        <v>63098</v>
      </c>
      <c r="B722" s="67">
        <f>11.691 * CHOOSE(CONTROL!$C$22, $C$13, 100%, $E$13)</f>
        <v>11.691000000000001</v>
      </c>
      <c r="C722" s="67">
        <f>11.691 * CHOOSE(CONTROL!$C$22, $C$13, 100%, $E$13)</f>
        <v>11.691000000000001</v>
      </c>
      <c r="D722" s="67">
        <f>11.6919 * CHOOSE(CONTROL!$C$22, $C$13, 100%, $E$13)</f>
        <v>11.6919</v>
      </c>
      <c r="E722" s="68">
        <f>13.4103 * CHOOSE(CONTROL!$C$22, $C$13, 100%, $E$13)</f>
        <v>13.410299999999999</v>
      </c>
      <c r="F722" s="68">
        <f>13.4103 * CHOOSE(CONTROL!$C$22, $C$13, 100%, $E$13)</f>
        <v>13.410299999999999</v>
      </c>
      <c r="G722" s="68">
        <f>13.4116 * CHOOSE(CONTROL!$C$22, $C$13, 100%, $E$13)</f>
        <v>13.4116</v>
      </c>
      <c r="H722" s="68">
        <f>21.9913* CHOOSE(CONTROL!$C$22, $C$13, 100%, $E$13)</f>
        <v>21.991299999999999</v>
      </c>
      <c r="I722" s="68">
        <f>21.9926 * CHOOSE(CONTROL!$C$22, $C$13, 100%, $E$13)</f>
        <v>21.992599999999999</v>
      </c>
      <c r="J722" s="68">
        <f>13.4103 * CHOOSE(CONTROL!$C$22, $C$13, 100%, $E$13)</f>
        <v>13.410299999999999</v>
      </c>
      <c r="K722" s="68">
        <f>13.4116 * CHOOSE(CONTROL!$C$22, $C$13, 100%, $E$13)</f>
        <v>13.4116</v>
      </c>
    </row>
    <row r="723" spans="1:11" ht="15">
      <c r="A723" s="13">
        <v>63129</v>
      </c>
      <c r="B723" s="67">
        <f>11.694 * CHOOSE(CONTROL!$C$22, $C$13, 100%, $E$13)</f>
        <v>11.694000000000001</v>
      </c>
      <c r="C723" s="67">
        <f>11.694 * CHOOSE(CONTROL!$C$22, $C$13, 100%, $E$13)</f>
        <v>11.694000000000001</v>
      </c>
      <c r="D723" s="67">
        <f>11.695 * CHOOSE(CONTROL!$C$22, $C$13, 100%, $E$13)</f>
        <v>11.695</v>
      </c>
      <c r="E723" s="68">
        <f>13.4611 * CHOOSE(CONTROL!$C$22, $C$13, 100%, $E$13)</f>
        <v>13.4611</v>
      </c>
      <c r="F723" s="68">
        <f>13.4611 * CHOOSE(CONTROL!$C$22, $C$13, 100%, $E$13)</f>
        <v>13.4611</v>
      </c>
      <c r="G723" s="68">
        <f>13.4624 * CHOOSE(CONTROL!$C$22, $C$13, 100%, $E$13)</f>
        <v>13.462400000000001</v>
      </c>
      <c r="H723" s="68">
        <f>22.0371* CHOOSE(CONTROL!$C$22, $C$13, 100%, $E$13)</f>
        <v>22.037099999999999</v>
      </c>
      <c r="I723" s="68">
        <f>22.0384 * CHOOSE(CONTROL!$C$22, $C$13, 100%, $E$13)</f>
        <v>22.038399999999999</v>
      </c>
      <c r="J723" s="68">
        <f>13.4611 * CHOOSE(CONTROL!$C$22, $C$13, 100%, $E$13)</f>
        <v>13.4611</v>
      </c>
      <c r="K723" s="68">
        <f>13.4624 * CHOOSE(CONTROL!$C$22, $C$13, 100%, $E$13)</f>
        <v>13.462400000000001</v>
      </c>
    </row>
    <row r="724" spans="1:11" ht="15">
      <c r="A724" s="13">
        <v>63159</v>
      </c>
      <c r="B724" s="67">
        <f>11.694 * CHOOSE(CONTROL!$C$22, $C$13, 100%, $E$13)</f>
        <v>11.694000000000001</v>
      </c>
      <c r="C724" s="67">
        <f>11.694 * CHOOSE(CONTROL!$C$22, $C$13, 100%, $E$13)</f>
        <v>11.694000000000001</v>
      </c>
      <c r="D724" s="67">
        <f>11.695 * CHOOSE(CONTROL!$C$22, $C$13, 100%, $E$13)</f>
        <v>11.695</v>
      </c>
      <c r="E724" s="68">
        <f>13.3393 * CHOOSE(CONTROL!$C$22, $C$13, 100%, $E$13)</f>
        <v>13.3393</v>
      </c>
      <c r="F724" s="68">
        <f>13.3393 * CHOOSE(CONTROL!$C$22, $C$13, 100%, $E$13)</f>
        <v>13.3393</v>
      </c>
      <c r="G724" s="68">
        <f>13.3406 * CHOOSE(CONTROL!$C$22, $C$13, 100%, $E$13)</f>
        <v>13.3406</v>
      </c>
      <c r="H724" s="68">
        <f>22.083* CHOOSE(CONTROL!$C$22, $C$13, 100%, $E$13)</f>
        <v>22.082999999999998</v>
      </c>
      <c r="I724" s="68">
        <f>22.0843 * CHOOSE(CONTROL!$C$22, $C$13, 100%, $E$13)</f>
        <v>22.084299999999999</v>
      </c>
      <c r="J724" s="68">
        <f>13.3393 * CHOOSE(CONTROL!$C$22, $C$13, 100%, $E$13)</f>
        <v>13.3393</v>
      </c>
      <c r="K724" s="68">
        <f>13.3406 * CHOOSE(CONTROL!$C$22, $C$13, 100%, $E$13)</f>
        <v>13.3406</v>
      </c>
    </row>
    <row r="725" spans="1:11" ht="15">
      <c r="A725" s="13">
        <v>63190</v>
      </c>
      <c r="B725" s="67">
        <f>11.723 * CHOOSE(CONTROL!$C$22, $C$13, 100%, $E$13)</f>
        <v>11.723000000000001</v>
      </c>
      <c r="C725" s="67">
        <f>11.723 * CHOOSE(CONTROL!$C$22, $C$13, 100%, $E$13)</f>
        <v>11.723000000000001</v>
      </c>
      <c r="D725" s="67">
        <f>11.724 * CHOOSE(CONTROL!$C$22, $C$13, 100%, $E$13)</f>
        <v>11.724</v>
      </c>
      <c r="E725" s="68">
        <f>13.4657 * CHOOSE(CONTROL!$C$22, $C$13, 100%, $E$13)</f>
        <v>13.4657</v>
      </c>
      <c r="F725" s="68">
        <f>13.4657 * CHOOSE(CONTROL!$C$22, $C$13, 100%, $E$13)</f>
        <v>13.4657</v>
      </c>
      <c r="G725" s="68">
        <f>13.467 * CHOOSE(CONTROL!$C$22, $C$13, 100%, $E$13)</f>
        <v>13.467000000000001</v>
      </c>
      <c r="H725" s="68">
        <f>22.0103* CHOOSE(CONTROL!$C$22, $C$13, 100%, $E$13)</f>
        <v>22.010300000000001</v>
      </c>
      <c r="I725" s="68">
        <f>22.0115 * CHOOSE(CONTROL!$C$22, $C$13, 100%, $E$13)</f>
        <v>22.011500000000002</v>
      </c>
      <c r="J725" s="68">
        <f>13.4657 * CHOOSE(CONTROL!$C$22, $C$13, 100%, $E$13)</f>
        <v>13.4657</v>
      </c>
      <c r="K725" s="68">
        <f>13.467 * CHOOSE(CONTROL!$C$22, $C$13, 100%, $E$13)</f>
        <v>13.467000000000001</v>
      </c>
    </row>
    <row r="726" spans="1:11" ht="15">
      <c r="A726" s="13">
        <v>63221</v>
      </c>
      <c r="B726" s="67">
        <f>11.72 * CHOOSE(CONTROL!$C$22, $C$13, 100%, $E$13)</f>
        <v>11.72</v>
      </c>
      <c r="C726" s="67">
        <f>11.72 * CHOOSE(CONTROL!$C$22, $C$13, 100%, $E$13)</f>
        <v>11.72</v>
      </c>
      <c r="D726" s="67">
        <f>11.721 * CHOOSE(CONTROL!$C$22, $C$13, 100%, $E$13)</f>
        <v>11.721</v>
      </c>
      <c r="E726" s="68">
        <f>13.2284 * CHOOSE(CONTROL!$C$22, $C$13, 100%, $E$13)</f>
        <v>13.228400000000001</v>
      </c>
      <c r="F726" s="68">
        <f>13.2284 * CHOOSE(CONTROL!$C$22, $C$13, 100%, $E$13)</f>
        <v>13.228400000000001</v>
      </c>
      <c r="G726" s="68">
        <f>13.2297 * CHOOSE(CONTROL!$C$22, $C$13, 100%, $E$13)</f>
        <v>13.229699999999999</v>
      </c>
      <c r="H726" s="68">
        <f>22.0561* CHOOSE(CONTROL!$C$22, $C$13, 100%, $E$13)</f>
        <v>22.056100000000001</v>
      </c>
      <c r="I726" s="68">
        <f>22.0574 * CHOOSE(CONTROL!$C$22, $C$13, 100%, $E$13)</f>
        <v>22.057400000000001</v>
      </c>
      <c r="J726" s="68">
        <f>13.2284 * CHOOSE(CONTROL!$C$22, $C$13, 100%, $E$13)</f>
        <v>13.228400000000001</v>
      </c>
      <c r="K726" s="68">
        <f>13.2297 * CHOOSE(CONTROL!$C$22, $C$13, 100%, $E$13)</f>
        <v>13.229699999999999</v>
      </c>
    </row>
    <row r="727" spans="1:11" ht="15">
      <c r="A727" s="13">
        <v>63249</v>
      </c>
      <c r="B727" s="67">
        <f>11.717 * CHOOSE(CONTROL!$C$22, $C$13, 100%, $E$13)</f>
        <v>11.717000000000001</v>
      </c>
      <c r="C727" s="67">
        <f>11.717 * CHOOSE(CONTROL!$C$22, $C$13, 100%, $E$13)</f>
        <v>11.717000000000001</v>
      </c>
      <c r="D727" s="67">
        <f>11.7179 * CHOOSE(CONTROL!$C$22, $C$13, 100%, $E$13)</f>
        <v>11.7179</v>
      </c>
      <c r="E727" s="68">
        <f>13.4117 * CHOOSE(CONTROL!$C$22, $C$13, 100%, $E$13)</f>
        <v>13.4117</v>
      </c>
      <c r="F727" s="68">
        <f>13.4117 * CHOOSE(CONTROL!$C$22, $C$13, 100%, $E$13)</f>
        <v>13.4117</v>
      </c>
      <c r="G727" s="68">
        <f>13.413 * CHOOSE(CONTROL!$C$22, $C$13, 100%, $E$13)</f>
        <v>13.413</v>
      </c>
      <c r="H727" s="68">
        <f>22.1021* CHOOSE(CONTROL!$C$22, $C$13, 100%, $E$13)</f>
        <v>22.1021</v>
      </c>
      <c r="I727" s="68">
        <f>22.1033 * CHOOSE(CONTROL!$C$22, $C$13, 100%, $E$13)</f>
        <v>22.103300000000001</v>
      </c>
      <c r="J727" s="68">
        <f>13.4117 * CHOOSE(CONTROL!$C$22, $C$13, 100%, $E$13)</f>
        <v>13.4117</v>
      </c>
      <c r="K727" s="68">
        <f>13.413 * CHOOSE(CONTROL!$C$22, $C$13, 100%, $E$13)</f>
        <v>13.413</v>
      </c>
    </row>
    <row r="728" spans="1:11" ht="15">
      <c r="A728" s="13">
        <v>63280</v>
      </c>
      <c r="B728" s="67">
        <f>11.7211 * CHOOSE(CONTROL!$C$22, $C$13, 100%, $E$13)</f>
        <v>11.7211</v>
      </c>
      <c r="C728" s="67">
        <f>11.7211 * CHOOSE(CONTROL!$C$22, $C$13, 100%, $E$13)</f>
        <v>11.7211</v>
      </c>
      <c r="D728" s="67">
        <f>11.7221 * CHOOSE(CONTROL!$C$22, $C$13, 100%, $E$13)</f>
        <v>11.722099999999999</v>
      </c>
      <c r="E728" s="68">
        <f>13.6066 * CHOOSE(CONTROL!$C$22, $C$13, 100%, $E$13)</f>
        <v>13.6066</v>
      </c>
      <c r="F728" s="68">
        <f>13.6066 * CHOOSE(CONTROL!$C$22, $C$13, 100%, $E$13)</f>
        <v>13.6066</v>
      </c>
      <c r="G728" s="68">
        <f>13.6079 * CHOOSE(CONTROL!$C$22, $C$13, 100%, $E$13)</f>
        <v>13.607900000000001</v>
      </c>
      <c r="H728" s="68">
        <f>22.1481* CHOOSE(CONTROL!$C$22, $C$13, 100%, $E$13)</f>
        <v>22.148099999999999</v>
      </c>
      <c r="I728" s="68">
        <f>22.1494 * CHOOSE(CONTROL!$C$22, $C$13, 100%, $E$13)</f>
        <v>22.1494</v>
      </c>
      <c r="J728" s="68">
        <f>13.6066 * CHOOSE(CONTROL!$C$22, $C$13, 100%, $E$13)</f>
        <v>13.6066</v>
      </c>
      <c r="K728" s="68">
        <f>13.6079 * CHOOSE(CONTROL!$C$22, $C$13, 100%, $E$13)</f>
        <v>13.607900000000001</v>
      </c>
    </row>
    <row r="729" spans="1:11" ht="15">
      <c r="A729" s="13">
        <v>63310</v>
      </c>
      <c r="B729" s="67">
        <f>11.7211 * CHOOSE(CONTROL!$C$22, $C$13, 100%, $E$13)</f>
        <v>11.7211</v>
      </c>
      <c r="C729" s="67">
        <f>11.7211 * CHOOSE(CONTROL!$C$22, $C$13, 100%, $E$13)</f>
        <v>11.7211</v>
      </c>
      <c r="D729" s="67">
        <f>11.7237 * CHOOSE(CONTROL!$C$22, $C$13, 100%, $E$13)</f>
        <v>11.723699999999999</v>
      </c>
      <c r="E729" s="68">
        <f>13.6813 * CHOOSE(CONTROL!$C$22, $C$13, 100%, $E$13)</f>
        <v>13.6813</v>
      </c>
      <c r="F729" s="68">
        <f>13.6813 * CHOOSE(CONTROL!$C$22, $C$13, 100%, $E$13)</f>
        <v>13.6813</v>
      </c>
      <c r="G729" s="68">
        <f>13.6845 * CHOOSE(CONTROL!$C$22, $C$13, 100%, $E$13)</f>
        <v>13.6845</v>
      </c>
      <c r="H729" s="68">
        <f>22.1942* CHOOSE(CONTROL!$C$22, $C$13, 100%, $E$13)</f>
        <v>22.194199999999999</v>
      </c>
      <c r="I729" s="68">
        <f>22.1975 * CHOOSE(CONTROL!$C$22, $C$13, 100%, $E$13)</f>
        <v>22.197500000000002</v>
      </c>
      <c r="J729" s="68">
        <f>13.6813 * CHOOSE(CONTROL!$C$22, $C$13, 100%, $E$13)</f>
        <v>13.6813</v>
      </c>
      <c r="K729" s="68">
        <f>13.6845 * CHOOSE(CONTROL!$C$22, $C$13, 100%, $E$13)</f>
        <v>13.6845</v>
      </c>
    </row>
    <row r="730" spans="1:11" ht="15">
      <c r="A730" s="13">
        <v>63341</v>
      </c>
      <c r="B730" s="67">
        <f>11.7272 * CHOOSE(CONTROL!$C$22, $C$13, 100%, $E$13)</f>
        <v>11.7272</v>
      </c>
      <c r="C730" s="67">
        <f>11.7272 * CHOOSE(CONTROL!$C$22, $C$13, 100%, $E$13)</f>
        <v>11.7272</v>
      </c>
      <c r="D730" s="67">
        <f>11.7298 * CHOOSE(CONTROL!$C$22, $C$13, 100%, $E$13)</f>
        <v>11.729799999999999</v>
      </c>
      <c r="E730" s="68">
        <f>13.6108 * CHOOSE(CONTROL!$C$22, $C$13, 100%, $E$13)</f>
        <v>13.610799999999999</v>
      </c>
      <c r="F730" s="68">
        <f>13.6108 * CHOOSE(CONTROL!$C$22, $C$13, 100%, $E$13)</f>
        <v>13.610799999999999</v>
      </c>
      <c r="G730" s="68">
        <f>13.6141 * CHOOSE(CONTROL!$C$22, $C$13, 100%, $E$13)</f>
        <v>13.614100000000001</v>
      </c>
      <c r="H730" s="68">
        <f>22.2405* CHOOSE(CONTROL!$C$22, $C$13, 100%, $E$13)</f>
        <v>22.240500000000001</v>
      </c>
      <c r="I730" s="68">
        <f>22.2437 * CHOOSE(CONTROL!$C$22, $C$13, 100%, $E$13)</f>
        <v>22.2437</v>
      </c>
      <c r="J730" s="68">
        <f>13.6108 * CHOOSE(CONTROL!$C$22, $C$13, 100%, $E$13)</f>
        <v>13.610799999999999</v>
      </c>
      <c r="K730" s="68">
        <f>13.6141 * CHOOSE(CONTROL!$C$22, $C$13, 100%, $E$13)</f>
        <v>13.614100000000001</v>
      </c>
    </row>
    <row r="731" spans="1:11" ht="15">
      <c r="A731" s="13">
        <v>63371</v>
      </c>
      <c r="B731" s="67">
        <f>11.9066 * CHOOSE(CONTROL!$C$22, $C$13, 100%, $E$13)</f>
        <v>11.906599999999999</v>
      </c>
      <c r="C731" s="67">
        <f>11.9066 * CHOOSE(CONTROL!$C$22, $C$13, 100%, $E$13)</f>
        <v>11.906599999999999</v>
      </c>
      <c r="D731" s="67">
        <f>11.9092 * CHOOSE(CONTROL!$C$22, $C$13, 100%, $E$13)</f>
        <v>11.9092</v>
      </c>
      <c r="E731" s="68">
        <f>13.8292 * CHOOSE(CONTROL!$C$22, $C$13, 100%, $E$13)</f>
        <v>13.8292</v>
      </c>
      <c r="F731" s="68">
        <f>13.8292 * CHOOSE(CONTROL!$C$22, $C$13, 100%, $E$13)</f>
        <v>13.8292</v>
      </c>
      <c r="G731" s="68">
        <f>13.8324 * CHOOSE(CONTROL!$C$22, $C$13, 100%, $E$13)</f>
        <v>13.8324</v>
      </c>
      <c r="H731" s="68">
        <f>22.2868* CHOOSE(CONTROL!$C$22, $C$13, 100%, $E$13)</f>
        <v>22.286799999999999</v>
      </c>
      <c r="I731" s="68">
        <f>22.2901 * CHOOSE(CONTROL!$C$22, $C$13, 100%, $E$13)</f>
        <v>22.290099999999999</v>
      </c>
      <c r="J731" s="68">
        <f>13.8292 * CHOOSE(CONTROL!$C$22, $C$13, 100%, $E$13)</f>
        <v>13.8292</v>
      </c>
      <c r="K731" s="68">
        <f>13.8324 * CHOOSE(CONTROL!$C$22, $C$13, 100%, $E$13)</f>
        <v>13.8324</v>
      </c>
    </row>
    <row r="732" spans="1:11" ht="15">
      <c r="A732" s="13">
        <v>63402</v>
      </c>
      <c r="B732" s="67">
        <f>11.9133 * CHOOSE(CONTROL!$C$22, $C$13, 100%, $E$13)</f>
        <v>11.9133</v>
      </c>
      <c r="C732" s="67">
        <f>11.9133 * CHOOSE(CONTROL!$C$22, $C$13, 100%, $E$13)</f>
        <v>11.9133</v>
      </c>
      <c r="D732" s="67">
        <f>11.9159 * CHOOSE(CONTROL!$C$22, $C$13, 100%, $E$13)</f>
        <v>11.915900000000001</v>
      </c>
      <c r="E732" s="68">
        <f>13.6098 * CHOOSE(CONTROL!$C$22, $C$13, 100%, $E$13)</f>
        <v>13.6098</v>
      </c>
      <c r="F732" s="68">
        <f>13.6098 * CHOOSE(CONTROL!$C$22, $C$13, 100%, $E$13)</f>
        <v>13.6098</v>
      </c>
      <c r="G732" s="68">
        <f>13.613 * CHOOSE(CONTROL!$C$22, $C$13, 100%, $E$13)</f>
        <v>13.613</v>
      </c>
      <c r="H732" s="68">
        <f>22.3332* CHOOSE(CONTROL!$C$22, $C$13, 100%, $E$13)</f>
        <v>22.333200000000001</v>
      </c>
      <c r="I732" s="68">
        <f>22.3365 * CHOOSE(CONTROL!$C$22, $C$13, 100%, $E$13)</f>
        <v>22.336500000000001</v>
      </c>
      <c r="J732" s="68">
        <f>13.6098 * CHOOSE(CONTROL!$C$22, $C$13, 100%, $E$13)</f>
        <v>13.6098</v>
      </c>
      <c r="K732" s="68">
        <f>13.613 * CHOOSE(CONTROL!$C$22, $C$13, 100%, $E$13)</f>
        <v>13.613</v>
      </c>
    </row>
    <row r="733" spans="1:11" ht="15">
      <c r="A733" s="13">
        <v>63433</v>
      </c>
      <c r="B733" s="67">
        <f>11.9103 * CHOOSE(CONTROL!$C$22, $C$13, 100%, $E$13)</f>
        <v>11.910299999999999</v>
      </c>
      <c r="C733" s="67">
        <f>11.9103 * CHOOSE(CONTROL!$C$22, $C$13, 100%, $E$13)</f>
        <v>11.910299999999999</v>
      </c>
      <c r="D733" s="67">
        <f>11.9129 * CHOOSE(CONTROL!$C$22, $C$13, 100%, $E$13)</f>
        <v>11.9129</v>
      </c>
      <c r="E733" s="68">
        <f>13.5828 * CHOOSE(CONTROL!$C$22, $C$13, 100%, $E$13)</f>
        <v>13.582800000000001</v>
      </c>
      <c r="F733" s="68">
        <f>13.5828 * CHOOSE(CONTROL!$C$22, $C$13, 100%, $E$13)</f>
        <v>13.582800000000001</v>
      </c>
      <c r="G733" s="68">
        <f>13.586 * CHOOSE(CONTROL!$C$22, $C$13, 100%, $E$13)</f>
        <v>13.586</v>
      </c>
      <c r="H733" s="68">
        <f>22.3798* CHOOSE(CONTROL!$C$22, $C$13, 100%, $E$13)</f>
        <v>22.379799999999999</v>
      </c>
      <c r="I733" s="68">
        <f>22.383 * CHOOSE(CONTROL!$C$22, $C$13, 100%, $E$13)</f>
        <v>22.382999999999999</v>
      </c>
      <c r="J733" s="68">
        <f>13.5828 * CHOOSE(CONTROL!$C$22, $C$13, 100%, $E$13)</f>
        <v>13.582800000000001</v>
      </c>
      <c r="K733" s="68">
        <f>13.586 * CHOOSE(CONTROL!$C$22, $C$13, 100%, $E$13)</f>
        <v>13.586</v>
      </c>
    </row>
    <row r="734" spans="1:11" ht="15">
      <c r="A734" s="13">
        <v>63463</v>
      </c>
      <c r="B734" s="67">
        <f>11.9309 * CHOOSE(CONTROL!$C$22, $C$13, 100%, $E$13)</f>
        <v>11.930899999999999</v>
      </c>
      <c r="C734" s="67">
        <f>11.9309 * CHOOSE(CONTROL!$C$22, $C$13, 100%, $E$13)</f>
        <v>11.930899999999999</v>
      </c>
      <c r="D734" s="67">
        <f>11.9319 * CHOOSE(CONTROL!$C$22, $C$13, 100%, $E$13)</f>
        <v>11.931900000000001</v>
      </c>
      <c r="E734" s="68">
        <f>13.6689 * CHOOSE(CONTROL!$C$22, $C$13, 100%, $E$13)</f>
        <v>13.668900000000001</v>
      </c>
      <c r="F734" s="68">
        <f>13.6689 * CHOOSE(CONTROL!$C$22, $C$13, 100%, $E$13)</f>
        <v>13.668900000000001</v>
      </c>
      <c r="G734" s="68">
        <f>13.6702 * CHOOSE(CONTROL!$C$22, $C$13, 100%, $E$13)</f>
        <v>13.670199999999999</v>
      </c>
      <c r="H734" s="68">
        <f>22.4264* CHOOSE(CONTROL!$C$22, $C$13, 100%, $E$13)</f>
        <v>22.426400000000001</v>
      </c>
      <c r="I734" s="68">
        <f>22.4277 * CHOOSE(CONTROL!$C$22, $C$13, 100%, $E$13)</f>
        <v>22.427700000000002</v>
      </c>
      <c r="J734" s="68">
        <f>13.6689 * CHOOSE(CONTROL!$C$22, $C$13, 100%, $E$13)</f>
        <v>13.668900000000001</v>
      </c>
      <c r="K734" s="68">
        <f>13.6702 * CHOOSE(CONTROL!$C$22, $C$13, 100%, $E$13)</f>
        <v>13.670199999999999</v>
      </c>
    </row>
    <row r="735" spans="1:11" ht="15">
      <c r="A735" s="13">
        <v>63494</v>
      </c>
      <c r="B735" s="67">
        <f>11.9339 * CHOOSE(CONTROL!$C$22, $C$13, 100%, $E$13)</f>
        <v>11.9339</v>
      </c>
      <c r="C735" s="67">
        <f>11.9339 * CHOOSE(CONTROL!$C$22, $C$13, 100%, $E$13)</f>
        <v>11.9339</v>
      </c>
      <c r="D735" s="67">
        <f>11.9349 * CHOOSE(CONTROL!$C$22, $C$13, 100%, $E$13)</f>
        <v>11.934900000000001</v>
      </c>
      <c r="E735" s="68">
        <f>13.7208 * CHOOSE(CONTROL!$C$22, $C$13, 100%, $E$13)</f>
        <v>13.720800000000001</v>
      </c>
      <c r="F735" s="68">
        <f>13.7208 * CHOOSE(CONTROL!$C$22, $C$13, 100%, $E$13)</f>
        <v>13.720800000000001</v>
      </c>
      <c r="G735" s="68">
        <f>13.7221 * CHOOSE(CONTROL!$C$22, $C$13, 100%, $E$13)</f>
        <v>13.722099999999999</v>
      </c>
      <c r="H735" s="68">
        <f>22.4731* CHOOSE(CONTROL!$C$22, $C$13, 100%, $E$13)</f>
        <v>22.473099999999999</v>
      </c>
      <c r="I735" s="68">
        <f>22.4744 * CHOOSE(CONTROL!$C$22, $C$13, 100%, $E$13)</f>
        <v>22.474399999999999</v>
      </c>
      <c r="J735" s="68">
        <f>13.7208 * CHOOSE(CONTROL!$C$22, $C$13, 100%, $E$13)</f>
        <v>13.720800000000001</v>
      </c>
      <c r="K735" s="68">
        <f>13.7221 * CHOOSE(CONTROL!$C$22, $C$13, 100%, $E$13)</f>
        <v>13.722099999999999</v>
      </c>
    </row>
    <row r="736" spans="1:11" ht="15">
      <c r="A736" s="13">
        <v>63524</v>
      </c>
      <c r="B736" s="67">
        <f>11.9339 * CHOOSE(CONTROL!$C$22, $C$13, 100%, $E$13)</f>
        <v>11.9339</v>
      </c>
      <c r="C736" s="67">
        <f>11.9339 * CHOOSE(CONTROL!$C$22, $C$13, 100%, $E$13)</f>
        <v>11.9339</v>
      </c>
      <c r="D736" s="67">
        <f>11.9349 * CHOOSE(CONTROL!$C$22, $C$13, 100%, $E$13)</f>
        <v>11.934900000000001</v>
      </c>
      <c r="E736" s="68">
        <f>13.5964 * CHOOSE(CONTROL!$C$22, $C$13, 100%, $E$13)</f>
        <v>13.596399999999999</v>
      </c>
      <c r="F736" s="68">
        <f>13.5964 * CHOOSE(CONTROL!$C$22, $C$13, 100%, $E$13)</f>
        <v>13.596399999999999</v>
      </c>
      <c r="G736" s="68">
        <f>13.5976 * CHOOSE(CONTROL!$C$22, $C$13, 100%, $E$13)</f>
        <v>13.5976</v>
      </c>
      <c r="H736" s="68">
        <f>22.5199* CHOOSE(CONTROL!$C$22, $C$13, 100%, $E$13)</f>
        <v>22.5199</v>
      </c>
      <c r="I736" s="68">
        <f>22.5212 * CHOOSE(CONTROL!$C$22, $C$13, 100%, $E$13)</f>
        <v>22.5212</v>
      </c>
      <c r="J736" s="68">
        <f>13.5964 * CHOOSE(CONTROL!$C$22, $C$13, 100%, $E$13)</f>
        <v>13.596399999999999</v>
      </c>
      <c r="K736" s="68">
        <f>13.5976 * CHOOSE(CONTROL!$C$22, $C$13, 100%, $E$13)</f>
        <v>13.5976</v>
      </c>
    </row>
    <row r="737" spans="1:11" ht="15">
      <c r="A737" s="13">
        <v>63555</v>
      </c>
      <c r="B737" s="67">
        <f>11.9586 * CHOOSE(CONTROL!$C$22, $C$13, 100%, $E$13)</f>
        <v>11.958600000000001</v>
      </c>
      <c r="C737" s="67">
        <f>11.9586 * CHOOSE(CONTROL!$C$22, $C$13, 100%, $E$13)</f>
        <v>11.958600000000001</v>
      </c>
      <c r="D737" s="67">
        <f>11.9596 * CHOOSE(CONTROL!$C$22, $C$13, 100%, $E$13)</f>
        <v>11.9596</v>
      </c>
      <c r="E737" s="68">
        <f>13.7204 * CHOOSE(CONTROL!$C$22, $C$13, 100%, $E$13)</f>
        <v>13.7204</v>
      </c>
      <c r="F737" s="68">
        <f>13.7204 * CHOOSE(CONTROL!$C$22, $C$13, 100%, $E$13)</f>
        <v>13.7204</v>
      </c>
      <c r="G737" s="68">
        <f>13.7217 * CHOOSE(CONTROL!$C$22, $C$13, 100%, $E$13)</f>
        <v>13.7217</v>
      </c>
      <c r="H737" s="68">
        <f>22.4373* CHOOSE(CONTROL!$C$22, $C$13, 100%, $E$13)</f>
        <v>22.4373</v>
      </c>
      <c r="I737" s="68">
        <f>22.4386 * CHOOSE(CONTROL!$C$22, $C$13, 100%, $E$13)</f>
        <v>22.438600000000001</v>
      </c>
      <c r="J737" s="68">
        <f>13.7204 * CHOOSE(CONTROL!$C$22, $C$13, 100%, $E$13)</f>
        <v>13.7204</v>
      </c>
      <c r="K737" s="68">
        <f>13.7217 * CHOOSE(CONTROL!$C$22, $C$13, 100%, $E$13)</f>
        <v>13.7217</v>
      </c>
    </row>
    <row r="738" spans="1:11" ht="15">
      <c r="A738" s="13">
        <v>63586</v>
      </c>
      <c r="B738" s="67">
        <f>11.9556 * CHOOSE(CONTROL!$C$22, $C$13, 100%, $E$13)</f>
        <v>11.9556</v>
      </c>
      <c r="C738" s="67">
        <f>11.9556 * CHOOSE(CONTROL!$C$22, $C$13, 100%, $E$13)</f>
        <v>11.9556</v>
      </c>
      <c r="D738" s="67">
        <f>11.9565 * CHOOSE(CONTROL!$C$22, $C$13, 100%, $E$13)</f>
        <v>11.9565</v>
      </c>
      <c r="E738" s="68">
        <f>13.4782 * CHOOSE(CONTROL!$C$22, $C$13, 100%, $E$13)</f>
        <v>13.478199999999999</v>
      </c>
      <c r="F738" s="68">
        <f>13.4782 * CHOOSE(CONTROL!$C$22, $C$13, 100%, $E$13)</f>
        <v>13.478199999999999</v>
      </c>
      <c r="G738" s="68">
        <f>13.4795 * CHOOSE(CONTROL!$C$22, $C$13, 100%, $E$13)</f>
        <v>13.4795</v>
      </c>
      <c r="H738" s="68">
        <f>22.484* CHOOSE(CONTROL!$C$22, $C$13, 100%, $E$13)</f>
        <v>22.484000000000002</v>
      </c>
      <c r="I738" s="68">
        <f>22.4853 * CHOOSE(CONTROL!$C$22, $C$13, 100%, $E$13)</f>
        <v>22.485299999999999</v>
      </c>
      <c r="J738" s="68">
        <f>13.4782 * CHOOSE(CONTROL!$C$22, $C$13, 100%, $E$13)</f>
        <v>13.478199999999999</v>
      </c>
      <c r="K738" s="68">
        <f>13.4795 * CHOOSE(CONTROL!$C$22, $C$13, 100%, $E$13)</f>
        <v>13.4795</v>
      </c>
    </row>
    <row r="739" spans="1:11" ht="15">
      <c r="A739" s="13">
        <v>63614</v>
      </c>
      <c r="B739" s="67">
        <f>11.9525 * CHOOSE(CONTROL!$C$22, $C$13, 100%, $E$13)</f>
        <v>11.952500000000001</v>
      </c>
      <c r="C739" s="67">
        <f>11.9525 * CHOOSE(CONTROL!$C$22, $C$13, 100%, $E$13)</f>
        <v>11.952500000000001</v>
      </c>
      <c r="D739" s="67">
        <f>11.9535 * CHOOSE(CONTROL!$C$22, $C$13, 100%, $E$13)</f>
        <v>11.9535</v>
      </c>
      <c r="E739" s="68">
        <f>13.6654 * CHOOSE(CONTROL!$C$22, $C$13, 100%, $E$13)</f>
        <v>13.6654</v>
      </c>
      <c r="F739" s="68">
        <f>13.6654 * CHOOSE(CONTROL!$C$22, $C$13, 100%, $E$13)</f>
        <v>13.6654</v>
      </c>
      <c r="G739" s="68">
        <f>13.6667 * CHOOSE(CONTROL!$C$22, $C$13, 100%, $E$13)</f>
        <v>13.666700000000001</v>
      </c>
      <c r="H739" s="68">
        <f>22.5309* CHOOSE(CONTROL!$C$22, $C$13, 100%, $E$13)</f>
        <v>22.530899999999999</v>
      </c>
      <c r="I739" s="68">
        <f>22.5321 * CHOOSE(CONTROL!$C$22, $C$13, 100%, $E$13)</f>
        <v>22.5321</v>
      </c>
      <c r="J739" s="68">
        <f>13.6654 * CHOOSE(CONTROL!$C$22, $C$13, 100%, $E$13)</f>
        <v>13.6654</v>
      </c>
      <c r="K739" s="68">
        <f>13.6667 * CHOOSE(CONTROL!$C$22, $C$13, 100%, $E$13)</f>
        <v>13.666700000000001</v>
      </c>
    </row>
    <row r="740" spans="1:11" ht="15">
      <c r="A740" s="13">
        <v>63645</v>
      </c>
      <c r="B740" s="67">
        <f>11.9569 * CHOOSE(CONTROL!$C$22, $C$13, 100%, $E$13)</f>
        <v>11.956899999999999</v>
      </c>
      <c r="C740" s="67">
        <f>11.9569 * CHOOSE(CONTROL!$C$22, $C$13, 100%, $E$13)</f>
        <v>11.956899999999999</v>
      </c>
      <c r="D740" s="67">
        <f>11.9578 * CHOOSE(CONTROL!$C$22, $C$13, 100%, $E$13)</f>
        <v>11.957800000000001</v>
      </c>
      <c r="E740" s="68">
        <f>13.8645 * CHOOSE(CONTROL!$C$22, $C$13, 100%, $E$13)</f>
        <v>13.8645</v>
      </c>
      <c r="F740" s="68">
        <f>13.8645 * CHOOSE(CONTROL!$C$22, $C$13, 100%, $E$13)</f>
        <v>13.8645</v>
      </c>
      <c r="G740" s="68">
        <f>13.8657 * CHOOSE(CONTROL!$C$22, $C$13, 100%, $E$13)</f>
        <v>13.8657</v>
      </c>
      <c r="H740" s="68">
        <f>22.5778* CHOOSE(CONTROL!$C$22, $C$13, 100%, $E$13)</f>
        <v>22.5778</v>
      </c>
      <c r="I740" s="68">
        <f>22.5791 * CHOOSE(CONTROL!$C$22, $C$13, 100%, $E$13)</f>
        <v>22.5791</v>
      </c>
      <c r="J740" s="68">
        <f>13.8645 * CHOOSE(CONTROL!$C$22, $C$13, 100%, $E$13)</f>
        <v>13.8645</v>
      </c>
      <c r="K740" s="68">
        <f>13.8657 * CHOOSE(CONTROL!$C$22, $C$13, 100%, $E$13)</f>
        <v>13.8657</v>
      </c>
    </row>
    <row r="741" spans="1:11" ht="15">
      <c r="A741" s="13">
        <v>63675</v>
      </c>
      <c r="B741" s="67">
        <f>11.9569 * CHOOSE(CONTROL!$C$22, $C$13, 100%, $E$13)</f>
        <v>11.956899999999999</v>
      </c>
      <c r="C741" s="67">
        <f>11.9569 * CHOOSE(CONTROL!$C$22, $C$13, 100%, $E$13)</f>
        <v>11.956899999999999</v>
      </c>
      <c r="D741" s="67">
        <f>11.9595 * CHOOSE(CONTROL!$C$22, $C$13, 100%, $E$13)</f>
        <v>11.9595</v>
      </c>
      <c r="E741" s="68">
        <f>13.9407 * CHOOSE(CONTROL!$C$22, $C$13, 100%, $E$13)</f>
        <v>13.9407</v>
      </c>
      <c r="F741" s="68">
        <f>13.9407 * CHOOSE(CONTROL!$C$22, $C$13, 100%, $E$13)</f>
        <v>13.9407</v>
      </c>
      <c r="G741" s="68">
        <f>13.944 * CHOOSE(CONTROL!$C$22, $C$13, 100%, $E$13)</f>
        <v>13.944000000000001</v>
      </c>
      <c r="H741" s="68">
        <f>22.6248* CHOOSE(CONTROL!$C$22, $C$13, 100%, $E$13)</f>
        <v>22.6248</v>
      </c>
      <c r="I741" s="68">
        <f>22.6281 * CHOOSE(CONTROL!$C$22, $C$13, 100%, $E$13)</f>
        <v>22.6281</v>
      </c>
      <c r="J741" s="68">
        <f>13.9407 * CHOOSE(CONTROL!$C$22, $C$13, 100%, $E$13)</f>
        <v>13.9407</v>
      </c>
      <c r="K741" s="68">
        <f>13.944 * CHOOSE(CONTROL!$C$22, $C$13, 100%, $E$13)</f>
        <v>13.944000000000001</v>
      </c>
    </row>
    <row r="742" spans="1:11" ht="15">
      <c r="A742" s="13">
        <v>63706</v>
      </c>
      <c r="B742" s="67">
        <f>11.9629 * CHOOSE(CONTROL!$C$22, $C$13, 100%, $E$13)</f>
        <v>11.962899999999999</v>
      </c>
      <c r="C742" s="67">
        <f>11.9629 * CHOOSE(CONTROL!$C$22, $C$13, 100%, $E$13)</f>
        <v>11.962899999999999</v>
      </c>
      <c r="D742" s="67">
        <f>11.9656 * CHOOSE(CONTROL!$C$22, $C$13, 100%, $E$13)</f>
        <v>11.9656</v>
      </c>
      <c r="E742" s="68">
        <f>13.8687 * CHOOSE(CONTROL!$C$22, $C$13, 100%, $E$13)</f>
        <v>13.8687</v>
      </c>
      <c r="F742" s="68">
        <f>13.8687 * CHOOSE(CONTROL!$C$22, $C$13, 100%, $E$13)</f>
        <v>13.8687</v>
      </c>
      <c r="G742" s="68">
        <f>13.872 * CHOOSE(CONTROL!$C$22, $C$13, 100%, $E$13)</f>
        <v>13.872</v>
      </c>
      <c r="H742" s="68">
        <f>22.672* CHOOSE(CONTROL!$C$22, $C$13, 100%, $E$13)</f>
        <v>22.672000000000001</v>
      </c>
      <c r="I742" s="68">
        <f>22.6752 * CHOOSE(CONTROL!$C$22, $C$13, 100%, $E$13)</f>
        <v>22.6752</v>
      </c>
      <c r="J742" s="68">
        <f>13.8687 * CHOOSE(CONTROL!$C$22, $C$13, 100%, $E$13)</f>
        <v>13.8687</v>
      </c>
      <c r="K742" s="68">
        <f>13.872 * CHOOSE(CONTROL!$C$22, $C$13, 100%, $E$13)</f>
        <v>13.872</v>
      </c>
    </row>
    <row r="743" spans="1:11" ht="15">
      <c r="A743" s="13">
        <v>63736</v>
      </c>
      <c r="B743" s="67">
        <f>12.1458 * CHOOSE(CONTROL!$C$22, $C$13, 100%, $E$13)</f>
        <v>12.145799999999999</v>
      </c>
      <c r="C743" s="67">
        <f>12.1458 * CHOOSE(CONTROL!$C$22, $C$13, 100%, $E$13)</f>
        <v>12.145799999999999</v>
      </c>
      <c r="D743" s="67">
        <f>12.1484 * CHOOSE(CONTROL!$C$22, $C$13, 100%, $E$13)</f>
        <v>12.148400000000001</v>
      </c>
      <c r="E743" s="68">
        <f>14.0909 * CHOOSE(CONTROL!$C$22, $C$13, 100%, $E$13)</f>
        <v>14.0909</v>
      </c>
      <c r="F743" s="68">
        <f>14.0909 * CHOOSE(CONTROL!$C$22, $C$13, 100%, $E$13)</f>
        <v>14.0909</v>
      </c>
      <c r="G743" s="68">
        <f>14.0942 * CHOOSE(CONTROL!$C$22, $C$13, 100%, $E$13)</f>
        <v>14.094200000000001</v>
      </c>
      <c r="H743" s="68">
        <f>22.7192* CHOOSE(CONTROL!$C$22, $C$13, 100%, $E$13)</f>
        <v>22.719200000000001</v>
      </c>
      <c r="I743" s="68">
        <f>22.7225 * CHOOSE(CONTROL!$C$22, $C$13, 100%, $E$13)</f>
        <v>22.7225</v>
      </c>
      <c r="J743" s="68">
        <f>14.0909 * CHOOSE(CONTROL!$C$22, $C$13, 100%, $E$13)</f>
        <v>14.0909</v>
      </c>
      <c r="K743" s="68">
        <f>14.0942 * CHOOSE(CONTROL!$C$22, $C$13, 100%, $E$13)</f>
        <v>14.094200000000001</v>
      </c>
    </row>
    <row r="744" spans="1:11" ht="15">
      <c r="A744" s="13">
        <v>63767</v>
      </c>
      <c r="B744" s="67">
        <f>12.1525 * CHOOSE(CONTROL!$C$22, $C$13, 100%, $E$13)</f>
        <v>12.1525</v>
      </c>
      <c r="C744" s="67">
        <f>12.1525 * CHOOSE(CONTROL!$C$22, $C$13, 100%, $E$13)</f>
        <v>12.1525</v>
      </c>
      <c r="D744" s="67">
        <f>12.1551 * CHOOSE(CONTROL!$C$22, $C$13, 100%, $E$13)</f>
        <v>12.155099999999999</v>
      </c>
      <c r="E744" s="68">
        <f>13.8668 * CHOOSE(CONTROL!$C$22, $C$13, 100%, $E$13)</f>
        <v>13.8668</v>
      </c>
      <c r="F744" s="68">
        <f>13.8668 * CHOOSE(CONTROL!$C$22, $C$13, 100%, $E$13)</f>
        <v>13.8668</v>
      </c>
      <c r="G744" s="68">
        <f>13.8701 * CHOOSE(CONTROL!$C$22, $C$13, 100%, $E$13)</f>
        <v>13.870100000000001</v>
      </c>
      <c r="H744" s="68">
        <f>22.7665* CHOOSE(CONTROL!$C$22, $C$13, 100%, $E$13)</f>
        <v>22.766500000000001</v>
      </c>
      <c r="I744" s="68">
        <f>22.7698 * CHOOSE(CONTROL!$C$22, $C$13, 100%, $E$13)</f>
        <v>22.7698</v>
      </c>
      <c r="J744" s="68">
        <f>13.8668 * CHOOSE(CONTROL!$C$22, $C$13, 100%, $E$13)</f>
        <v>13.8668</v>
      </c>
      <c r="K744" s="68">
        <f>13.8701 * CHOOSE(CONTROL!$C$22, $C$13, 100%, $E$13)</f>
        <v>13.870100000000001</v>
      </c>
    </row>
    <row r="745" spans="1:11" ht="15">
      <c r="A745" s="13">
        <v>63798</v>
      </c>
      <c r="B745" s="67">
        <f>12.1495 * CHOOSE(CONTROL!$C$22, $C$13, 100%, $E$13)</f>
        <v>12.1495</v>
      </c>
      <c r="C745" s="67">
        <f>12.1495 * CHOOSE(CONTROL!$C$22, $C$13, 100%, $E$13)</f>
        <v>12.1495</v>
      </c>
      <c r="D745" s="67">
        <f>12.1521 * CHOOSE(CONTROL!$C$22, $C$13, 100%, $E$13)</f>
        <v>12.152100000000001</v>
      </c>
      <c r="E745" s="68">
        <f>13.8393 * CHOOSE(CONTROL!$C$22, $C$13, 100%, $E$13)</f>
        <v>13.8393</v>
      </c>
      <c r="F745" s="68">
        <f>13.8393 * CHOOSE(CONTROL!$C$22, $C$13, 100%, $E$13)</f>
        <v>13.8393</v>
      </c>
      <c r="G745" s="68">
        <f>13.8426 * CHOOSE(CONTROL!$C$22, $C$13, 100%, $E$13)</f>
        <v>13.842599999999999</v>
      </c>
      <c r="H745" s="68">
        <f>22.814* CHOOSE(CONTROL!$C$22, $C$13, 100%, $E$13)</f>
        <v>22.814</v>
      </c>
      <c r="I745" s="68">
        <f>22.8172 * CHOOSE(CONTROL!$C$22, $C$13, 100%, $E$13)</f>
        <v>22.8172</v>
      </c>
      <c r="J745" s="68">
        <f>13.8393 * CHOOSE(CONTROL!$C$22, $C$13, 100%, $E$13)</f>
        <v>13.8393</v>
      </c>
      <c r="K745" s="68">
        <f>13.8426 * CHOOSE(CONTROL!$C$22, $C$13, 100%, $E$13)</f>
        <v>13.842599999999999</v>
      </c>
    </row>
    <row r="746" spans="1:11" ht="15">
      <c r="A746" s="13">
        <v>63828</v>
      </c>
      <c r="B746" s="67">
        <f>12.1708 * CHOOSE(CONTROL!$C$22, $C$13, 100%, $E$13)</f>
        <v>12.1708</v>
      </c>
      <c r="C746" s="67">
        <f>12.1708 * CHOOSE(CONTROL!$C$22, $C$13, 100%, $E$13)</f>
        <v>12.1708</v>
      </c>
      <c r="D746" s="67">
        <f>12.1718 * CHOOSE(CONTROL!$C$22, $C$13, 100%, $E$13)</f>
        <v>12.171799999999999</v>
      </c>
      <c r="E746" s="68">
        <f>13.9276 * CHOOSE(CONTROL!$C$22, $C$13, 100%, $E$13)</f>
        <v>13.9276</v>
      </c>
      <c r="F746" s="68">
        <f>13.9276 * CHOOSE(CONTROL!$C$22, $C$13, 100%, $E$13)</f>
        <v>13.9276</v>
      </c>
      <c r="G746" s="68">
        <f>13.9288 * CHOOSE(CONTROL!$C$22, $C$13, 100%, $E$13)</f>
        <v>13.928800000000001</v>
      </c>
      <c r="H746" s="68">
        <f>22.8615* CHOOSE(CONTROL!$C$22, $C$13, 100%, $E$13)</f>
        <v>22.861499999999999</v>
      </c>
      <c r="I746" s="68">
        <f>22.8628 * CHOOSE(CONTROL!$C$22, $C$13, 100%, $E$13)</f>
        <v>22.8628</v>
      </c>
      <c r="J746" s="68">
        <f>13.9276 * CHOOSE(CONTROL!$C$22, $C$13, 100%, $E$13)</f>
        <v>13.9276</v>
      </c>
      <c r="K746" s="68">
        <f>13.9288 * CHOOSE(CONTROL!$C$22, $C$13, 100%, $E$13)</f>
        <v>13.928800000000001</v>
      </c>
    </row>
    <row r="747" spans="1:11" ht="15">
      <c r="A747" s="13">
        <v>63859</v>
      </c>
      <c r="B747" s="67">
        <f>12.1739 * CHOOSE(CONTROL!$C$22, $C$13, 100%, $E$13)</f>
        <v>12.1739</v>
      </c>
      <c r="C747" s="67">
        <f>12.1739 * CHOOSE(CONTROL!$C$22, $C$13, 100%, $E$13)</f>
        <v>12.1739</v>
      </c>
      <c r="D747" s="67">
        <f>12.1749 * CHOOSE(CONTROL!$C$22, $C$13, 100%, $E$13)</f>
        <v>12.174899999999999</v>
      </c>
      <c r="E747" s="68">
        <f>13.9805 * CHOOSE(CONTROL!$C$22, $C$13, 100%, $E$13)</f>
        <v>13.980499999999999</v>
      </c>
      <c r="F747" s="68">
        <f>13.9805 * CHOOSE(CONTROL!$C$22, $C$13, 100%, $E$13)</f>
        <v>13.980499999999999</v>
      </c>
      <c r="G747" s="68">
        <f>13.9818 * CHOOSE(CONTROL!$C$22, $C$13, 100%, $E$13)</f>
        <v>13.9818</v>
      </c>
      <c r="H747" s="68">
        <f>22.9091* CHOOSE(CONTROL!$C$22, $C$13, 100%, $E$13)</f>
        <v>22.909099999999999</v>
      </c>
      <c r="I747" s="68">
        <f>22.9104 * CHOOSE(CONTROL!$C$22, $C$13, 100%, $E$13)</f>
        <v>22.910399999999999</v>
      </c>
      <c r="J747" s="68">
        <f>13.9805 * CHOOSE(CONTROL!$C$22, $C$13, 100%, $E$13)</f>
        <v>13.980499999999999</v>
      </c>
      <c r="K747" s="68">
        <f>13.9818 * CHOOSE(CONTROL!$C$22, $C$13, 100%, $E$13)</f>
        <v>13.9818</v>
      </c>
    </row>
    <row r="748" spans="1:11" ht="15">
      <c r="A748" s="13">
        <v>63889</v>
      </c>
      <c r="B748" s="67">
        <f>12.1739 * CHOOSE(CONTROL!$C$22, $C$13, 100%, $E$13)</f>
        <v>12.1739</v>
      </c>
      <c r="C748" s="67">
        <f>12.1739 * CHOOSE(CONTROL!$C$22, $C$13, 100%, $E$13)</f>
        <v>12.1739</v>
      </c>
      <c r="D748" s="67">
        <f>12.1749 * CHOOSE(CONTROL!$C$22, $C$13, 100%, $E$13)</f>
        <v>12.174899999999999</v>
      </c>
      <c r="E748" s="68">
        <f>13.8534 * CHOOSE(CONTROL!$C$22, $C$13, 100%, $E$13)</f>
        <v>13.853400000000001</v>
      </c>
      <c r="F748" s="68">
        <f>13.8534 * CHOOSE(CONTROL!$C$22, $C$13, 100%, $E$13)</f>
        <v>13.853400000000001</v>
      </c>
      <c r="G748" s="68">
        <f>13.8547 * CHOOSE(CONTROL!$C$22, $C$13, 100%, $E$13)</f>
        <v>13.854699999999999</v>
      </c>
      <c r="H748" s="68">
        <f>22.9569* CHOOSE(CONTROL!$C$22, $C$13, 100%, $E$13)</f>
        <v>22.956900000000001</v>
      </c>
      <c r="I748" s="68">
        <f>22.9581 * CHOOSE(CONTROL!$C$22, $C$13, 100%, $E$13)</f>
        <v>22.958100000000002</v>
      </c>
      <c r="J748" s="68">
        <f>13.8534 * CHOOSE(CONTROL!$C$22, $C$13, 100%, $E$13)</f>
        <v>13.853400000000001</v>
      </c>
      <c r="K748" s="68">
        <f>13.8547 * CHOOSE(CONTROL!$C$22, $C$13, 100%, $E$13)</f>
        <v>13.854699999999999</v>
      </c>
    </row>
    <row r="749" spans="1:11" ht="15">
      <c r="A749" s="13">
        <v>63920</v>
      </c>
      <c r="B749" s="67">
        <f>12.1942 * CHOOSE(CONTROL!$C$22, $C$13, 100%, $E$13)</f>
        <v>12.1942</v>
      </c>
      <c r="C749" s="67">
        <f>12.1942 * CHOOSE(CONTROL!$C$22, $C$13, 100%, $E$13)</f>
        <v>12.1942</v>
      </c>
      <c r="D749" s="67">
        <f>12.1952 * CHOOSE(CONTROL!$C$22, $C$13, 100%, $E$13)</f>
        <v>12.1952</v>
      </c>
      <c r="E749" s="68">
        <f>13.9752 * CHOOSE(CONTROL!$C$22, $C$13, 100%, $E$13)</f>
        <v>13.975199999999999</v>
      </c>
      <c r="F749" s="68">
        <f>13.9752 * CHOOSE(CONTROL!$C$22, $C$13, 100%, $E$13)</f>
        <v>13.975199999999999</v>
      </c>
      <c r="G749" s="68">
        <f>13.9764 * CHOOSE(CONTROL!$C$22, $C$13, 100%, $E$13)</f>
        <v>13.9764</v>
      </c>
      <c r="H749" s="68">
        <f>22.8643* CHOOSE(CONTROL!$C$22, $C$13, 100%, $E$13)</f>
        <v>22.8643</v>
      </c>
      <c r="I749" s="68">
        <f>22.8656 * CHOOSE(CONTROL!$C$22, $C$13, 100%, $E$13)</f>
        <v>22.865600000000001</v>
      </c>
      <c r="J749" s="68">
        <f>13.9752 * CHOOSE(CONTROL!$C$22, $C$13, 100%, $E$13)</f>
        <v>13.975199999999999</v>
      </c>
      <c r="K749" s="68">
        <f>13.9764 * CHOOSE(CONTROL!$C$22, $C$13, 100%, $E$13)</f>
        <v>13.9764</v>
      </c>
    </row>
    <row r="750" spans="1:11" ht="15">
      <c r="A750" s="13">
        <v>63951</v>
      </c>
      <c r="B750" s="67">
        <f>12.1911 * CHOOSE(CONTROL!$C$22, $C$13, 100%, $E$13)</f>
        <v>12.1911</v>
      </c>
      <c r="C750" s="67">
        <f>12.1911 * CHOOSE(CONTROL!$C$22, $C$13, 100%, $E$13)</f>
        <v>12.1911</v>
      </c>
      <c r="D750" s="67">
        <f>12.1921 * CHOOSE(CONTROL!$C$22, $C$13, 100%, $E$13)</f>
        <v>12.1921</v>
      </c>
      <c r="E750" s="68">
        <f>13.728 * CHOOSE(CONTROL!$C$22, $C$13, 100%, $E$13)</f>
        <v>13.728</v>
      </c>
      <c r="F750" s="68">
        <f>13.728 * CHOOSE(CONTROL!$C$22, $C$13, 100%, $E$13)</f>
        <v>13.728</v>
      </c>
      <c r="G750" s="68">
        <f>13.7292 * CHOOSE(CONTROL!$C$22, $C$13, 100%, $E$13)</f>
        <v>13.729200000000001</v>
      </c>
      <c r="H750" s="68">
        <f>22.9119* CHOOSE(CONTROL!$C$22, $C$13, 100%, $E$13)</f>
        <v>22.911899999999999</v>
      </c>
      <c r="I750" s="68">
        <f>22.9132 * CHOOSE(CONTROL!$C$22, $C$13, 100%, $E$13)</f>
        <v>22.9132</v>
      </c>
      <c r="J750" s="68">
        <f>13.728 * CHOOSE(CONTROL!$C$22, $C$13, 100%, $E$13)</f>
        <v>13.728</v>
      </c>
      <c r="K750" s="68">
        <f>13.7292 * CHOOSE(CONTROL!$C$22, $C$13, 100%, $E$13)</f>
        <v>13.729200000000001</v>
      </c>
    </row>
    <row r="751" spans="1:11" ht="15">
      <c r="A751" s="13">
        <v>63979</v>
      </c>
      <c r="B751" s="67">
        <f>12.1881 * CHOOSE(CONTROL!$C$22, $C$13, 100%, $E$13)</f>
        <v>12.1881</v>
      </c>
      <c r="C751" s="67">
        <f>12.1881 * CHOOSE(CONTROL!$C$22, $C$13, 100%, $E$13)</f>
        <v>12.1881</v>
      </c>
      <c r="D751" s="67">
        <f>12.1891 * CHOOSE(CONTROL!$C$22, $C$13, 100%, $E$13)</f>
        <v>12.1891</v>
      </c>
      <c r="E751" s="68">
        <f>13.9191 * CHOOSE(CONTROL!$C$22, $C$13, 100%, $E$13)</f>
        <v>13.9191</v>
      </c>
      <c r="F751" s="68">
        <f>13.9191 * CHOOSE(CONTROL!$C$22, $C$13, 100%, $E$13)</f>
        <v>13.9191</v>
      </c>
      <c r="G751" s="68">
        <f>13.9203 * CHOOSE(CONTROL!$C$22, $C$13, 100%, $E$13)</f>
        <v>13.920299999999999</v>
      </c>
      <c r="H751" s="68">
        <f>22.9597* CHOOSE(CONTROL!$C$22, $C$13, 100%, $E$13)</f>
        <v>22.959700000000002</v>
      </c>
      <c r="I751" s="68">
        <f>22.9609 * CHOOSE(CONTROL!$C$22, $C$13, 100%, $E$13)</f>
        <v>22.960899999999999</v>
      </c>
      <c r="J751" s="68">
        <f>13.9191 * CHOOSE(CONTROL!$C$22, $C$13, 100%, $E$13)</f>
        <v>13.9191</v>
      </c>
      <c r="K751" s="68">
        <f>13.9203 * CHOOSE(CONTROL!$C$22, $C$13, 100%, $E$13)</f>
        <v>13.920299999999999</v>
      </c>
    </row>
    <row r="752" spans="1:11" ht="15">
      <c r="A752" s="13">
        <v>64010</v>
      </c>
      <c r="B752" s="67">
        <f>12.1926 * CHOOSE(CONTROL!$C$22, $C$13, 100%, $E$13)</f>
        <v>12.192600000000001</v>
      </c>
      <c r="C752" s="67">
        <f>12.1926 * CHOOSE(CONTROL!$C$22, $C$13, 100%, $E$13)</f>
        <v>12.192600000000001</v>
      </c>
      <c r="D752" s="67">
        <f>12.1936 * CHOOSE(CONTROL!$C$22, $C$13, 100%, $E$13)</f>
        <v>12.1936</v>
      </c>
      <c r="E752" s="68">
        <f>14.1223 * CHOOSE(CONTROL!$C$22, $C$13, 100%, $E$13)</f>
        <v>14.122299999999999</v>
      </c>
      <c r="F752" s="68">
        <f>14.1223 * CHOOSE(CONTROL!$C$22, $C$13, 100%, $E$13)</f>
        <v>14.122299999999999</v>
      </c>
      <c r="G752" s="68">
        <f>14.1236 * CHOOSE(CONTROL!$C$22, $C$13, 100%, $E$13)</f>
        <v>14.1236</v>
      </c>
      <c r="H752" s="68">
        <f>23.0075* CHOOSE(CONTROL!$C$22, $C$13, 100%, $E$13)</f>
        <v>23.0075</v>
      </c>
      <c r="I752" s="68">
        <f>23.0088 * CHOOSE(CONTROL!$C$22, $C$13, 100%, $E$13)</f>
        <v>23.008800000000001</v>
      </c>
      <c r="J752" s="68">
        <f>14.1223 * CHOOSE(CONTROL!$C$22, $C$13, 100%, $E$13)</f>
        <v>14.122299999999999</v>
      </c>
      <c r="K752" s="68">
        <f>14.1236 * CHOOSE(CONTROL!$C$22, $C$13, 100%, $E$13)</f>
        <v>14.1236</v>
      </c>
    </row>
    <row r="753" spans="1:11" ht="15">
      <c r="A753" s="13">
        <v>64040</v>
      </c>
      <c r="B753" s="67">
        <f>12.1926 * CHOOSE(CONTROL!$C$22, $C$13, 100%, $E$13)</f>
        <v>12.192600000000001</v>
      </c>
      <c r="C753" s="67">
        <f>12.1926 * CHOOSE(CONTROL!$C$22, $C$13, 100%, $E$13)</f>
        <v>12.192600000000001</v>
      </c>
      <c r="D753" s="67">
        <f>12.1952 * CHOOSE(CONTROL!$C$22, $C$13, 100%, $E$13)</f>
        <v>12.1952</v>
      </c>
      <c r="E753" s="68">
        <f>14.2001 * CHOOSE(CONTROL!$C$22, $C$13, 100%, $E$13)</f>
        <v>14.200100000000001</v>
      </c>
      <c r="F753" s="68">
        <f>14.2001 * CHOOSE(CONTROL!$C$22, $C$13, 100%, $E$13)</f>
        <v>14.200100000000001</v>
      </c>
      <c r="G753" s="68">
        <f>14.2034 * CHOOSE(CONTROL!$C$22, $C$13, 100%, $E$13)</f>
        <v>14.2034</v>
      </c>
      <c r="H753" s="68">
        <f>23.0554* CHOOSE(CONTROL!$C$22, $C$13, 100%, $E$13)</f>
        <v>23.055399999999999</v>
      </c>
      <c r="I753" s="68">
        <f>23.0587 * CHOOSE(CONTROL!$C$22, $C$13, 100%, $E$13)</f>
        <v>23.058700000000002</v>
      </c>
      <c r="J753" s="68">
        <f>14.2001 * CHOOSE(CONTROL!$C$22, $C$13, 100%, $E$13)</f>
        <v>14.200100000000001</v>
      </c>
      <c r="K753" s="68">
        <f>14.2034 * CHOOSE(CONTROL!$C$22, $C$13, 100%, $E$13)</f>
        <v>14.2034</v>
      </c>
    </row>
    <row r="754" spans="1:11" ht="15">
      <c r="A754" s="13">
        <v>64071</v>
      </c>
      <c r="B754" s="67">
        <f>12.1987 * CHOOSE(CONTROL!$C$22, $C$13, 100%, $E$13)</f>
        <v>12.198700000000001</v>
      </c>
      <c r="C754" s="67">
        <f>12.1987 * CHOOSE(CONTROL!$C$22, $C$13, 100%, $E$13)</f>
        <v>12.198700000000001</v>
      </c>
      <c r="D754" s="67">
        <f>12.2013 * CHOOSE(CONTROL!$C$22, $C$13, 100%, $E$13)</f>
        <v>12.2013</v>
      </c>
      <c r="E754" s="68">
        <f>14.1266 * CHOOSE(CONTROL!$C$22, $C$13, 100%, $E$13)</f>
        <v>14.1266</v>
      </c>
      <c r="F754" s="68">
        <f>14.1266 * CHOOSE(CONTROL!$C$22, $C$13, 100%, $E$13)</f>
        <v>14.1266</v>
      </c>
      <c r="G754" s="68">
        <f>14.1298 * CHOOSE(CONTROL!$C$22, $C$13, 100%, $E$13)</f>
        <v>14.129799999999999</v>
      </c>
      <c r="H754" s="68">
        <f>23.1035* CHOOSE(CONTROL!$C$22, $C$13, 100%, $E$13)</f>
        <v>23.1035</v>
      </c>
      <c r="I754" s="68">
        <f>23.1067 * CHOOSE(CONTROL!$C$22, $C$13, 100%, $E$13)</f>
        <v>23.1067</v>
      </c>
      <c r="J754" s="68">
        <f>14.1266 * CHOOSE(CONTROL!$C$22, $C$13, 100%, $E$13)</f>
        <v>14.1266</v>
      </c>
      <c r="K754" s="68">
        <f>14.1298 * CHOOSE(CONTROL!$C$22, $C$13, 100%, $E$13)</f>
        <v>14.129799999999999</v>
      </c>
    </row>
    <row r="755" spans="1:11" ht="15">
      <c r="A755" s="13">
        <v>64101</v>
      </c>
      <c r="B755" s="67">
        <f>12.385 * CHOOSE(CONTROL!$C$22, $C$13, 100%, $E$13)</f>
        <v>12.385</v>
      </c>
      <c r="C755" s="67">
        <f>12.385 * CHOOSE(CONTROL!$C$22, $C$13, 100%, $E$13)</f>
        <v>12.385</v>
      </c>
      <c r="D755" s="67">
        <f>12.3876 * CHOOSE(CONTROL!$C$22, $C$13, 100%, $E$13)</f>
        <v>12.387600000000001</v>
      </c>
      <c r="E755" s="68">
        <f>14.3527 * CHOOSE(CONTROL!$C$22, $C$13, 100%, $E$13)</f>
        <v>14.3527</v>
      </c>
      <c r="F755" s="68">
        <f>14.3527 * CHOOSE(CONTROL!$C$22, $C$13, 100%, $E$13)</f>
        <v>14.3527</v>
      </c>
      <c r="G755" s="68">
        <f>14.356 * CHOOSE(CONTROL!$C$22, $C$13, 100%, $E$13)</f>
        <v>14.356</v>
      </c>
      <c r="H755" s="68">
        <f>23.1516* CHOOSE(CONTROL!$C$22, $C$13, 100%, $E$13)</f>
        <v>23.151599999999998</v>
      </c>
      <c r="I755" s="68">
        <f>23.1548 * CHOOSE(CONTROL!$C$22, $C$13, 100%, $E$13)</f>
        <v>23.154800000000002</v>
      </c>
      <c r="J755" s="68">
        <f>14.3527 * CHOOSE(CONTROL!$C$22, $C$13, 100%, $E$13)</f>
        <v>14.3527</v>
      </c>
      <c r="K755" s="68">
        <f>14.356 * CHOOSE(CONTROL!$C$22, $C$13, 100%, $E$13)</f>
        <v>14.356</v>
      </c>
    </row>
    <row r="756" spans="1:11" ht="15">
      <c r="A756" s="13">
        <v>64132</v>
      </c>
      <c r="B756" s="67">
        <f>12.3917 * CHOOSE(CONTROL!$C$22, $C$13, 100%, $E$13)</f>
        <v>12.3917</v>
      </c>
      <c r="C756" s="67">
        <f>12.3917 * CHOOSE(CONTROL!$C$22, $C$13, 100%, $E$13)</f>
        <v>12.3917</v>
      </c>
      <c r="D756" s="67">
        <f>12.3943 * CHOOSE(CONTROL!$C$22, $C$13, 100%, $E$13)</f>
        <v>12.394299999999999</v>
      </c>
      <c r="E756" s="68">
        <f>14.1239 * CHOOSE(CONTROL!$C$22, $C$13, 100%, $E$13)</f>
        <v>14.123900000000001</v>
      </c>
      <c r="F756" s="68">
        <f>14.1239 * CHOOSE(CONTROL!$C$22, $C$13, 100%, $E$13)</f>
        <v>14.123900000000001</v>
      </c>
      <c r="G756" s="68">
        <f>14.1272 * CHOOSE(CONTROL!$C$22, $C$13, 100%, $E$13)</f>
        <v>14.1272</v>
      </c>
      <c r="H756" s="68">
        <f>23.1998* CHOOSE(CONTROL!$C$22, $C$13, 100%, $E$13)</f>
        <v>23.1998</v>
      </c>
      <c r="I756" s="68">
        <f>23.2031 * CHOOSE(CONTROL!$C$22, $C$13, 100%, $E$13)</f>
        <v>23.203099999999999</v>
      </c>
      <c r="J756" s="68">
        <f>14.1239 * CHOOSE(CONTROL!$C$22, $C$13, 100%, $E$13)</f>
        <v>14.123900000000001</v>
      </c>
      <c r="K756" s="68">
        <f>14.1272 * CHOOSE(CONTROL!$C$22, $C$13, 100%, $E$13)</f>
        <v>14.1272</v>
      </c>
    </row>
    <row r="757" spans="1:11" ht="15">
      <c r="A757" s="13">
        <v>64163</v>
      </c>
      <c r="B757" s="67">
        <f>12.3886 * CHOOSE(CONTROL!$C$22, $C$13, 100%, $E$13)</f>
        <v>12.3886</v>
      </c>
      <c r="C757" s="67">
        <f>12.3886 * CHOOSE(CONTROL!$C$22, $C$13, 100%, $E$13)</f>
        <v>12.3886</v>
      </c>
      <c r="D757" s="67">
        <f>12.3913 * CHOOSE(CONTROL!$C$22, $C$13, 100%, $E$13)</f>
        <v>12.391299999999999</v>
      </c>
      <c r="E757" s="68">
        <f>14.0959 * CHOOSE(CONTROL!$C$22, $C$13, 100%, $E$13)</f>
        <v>14.0959</v>
      </c>
      <c r="F757" s="68">
        <f>14.0959 * CHOOSE(CONTROL!$C$22, $C$13, 100%, $E$13)</f>
        <v>14.0959</v>
      </c>
      <c r="G757" s="68">
        <f>14.0991 * CHOOSE(CONTROL!$C$22, $C$13, 100%, $E$13)</f>
        <v>14.0991</v>
      </c>
      <c r="H757" s="68">
        <f>23.2482* CHOOSE(CONTROL!$C$22, $C$13, 100%, $E$13)</f>
        <v>23.248200000000001</v>
      </c>
      <c r="I757" s="68">
        <f>23.2514 * CHOOSE(CONTROL!$C$22, $C$13, 100%, $E$13)</f>
        <v>23.2514</v>
      </c>
      <c r="J757" s="68">
        <f>14.0959 * CHOOSE(CONTROL!$C$22, $C$13, 100%, $E$13)</f>
        <v>14.0959</v>
      </c>
      <c r="K757" s="68">
        <f>14.0991 * CHOOSE(CONTROL!$C$22, $C$13, 100%, $E$13)</f>
        <v>14.0991</v>
      </c>
    </row>
    <row r="758" spans="1:11" ht="15">
      <c r="A758" s="13">
        <v>64193</v>
      </c>
      <c r="B758" s="67">
        <f>12.4108 * CHOOSE(CONTROL!$C$22, $C$13, 100%, $E$13)</f>
        <v>12.4108</v>
      </c>
      <c r="C758" s="67">
        <f>12.4108 * CHOOSE(CONTROL!$C$22, $C$13, 100%, $E$13)</f>
        <v>12.4108</v>
      </c>
      <c r="D758" s="67">
        <f>12.4118 * CHOOSE(CONTROL!$C$22, $C$13, 100%, $E$13)</f>
        <v>12.411799999999999</v>
      </c>
      <c r="E758" s="68">
        <f>14.1862 * CHOOSE(CONTROL!$C$22, $C$13, 100%, $E$13)</f>
        <v>14.186199999999999</v>
      </c>
      <c r="F758" s="68">
        <f>14.1862 * CHOOSE(CONTROL!$C$22, $C$13, 100%, $E$13)</f>
        <v>14.186199999999999</v>
      </c>
      <c r="G758" s="68">
        <f>14.1875 * CHOOSE(CONTROL!$C$22, $C$13, 100%, $E$13)</f>
        <v>14.1875</v>
      </c>
      <c r="H758" s="68">
        <f>23.2966* CHOOSE(CONTROL!$C$22, $C$13, 100%, $E$13)</f>
        <v>23.296600000000002</v>
      </c>
      <c r="I758" s="68">
        <f>23.2979 * CHOOSE(CONTROL!$C$22, $C$13, 100%, $E$13)</f>
        <v>23.297899999999998</v>
      </c>
      <c r="J758" s="68">
        <f>14.1862 * CHOOSE(CONTROL!$C$22, $C$13, 100%, $E$13)</f>
        <v>14.186199999999999</v>
      </c>
      <c r="K758" s="68">
        <f>14.1875 * CHOOSE(CONTROL!$C$22, $C$13, 100%, $E$13)</f>
        <v>14.1875</v>
      </c>
    </row>
    <row r="759" spans="1:11" ht="15">
      <c r="A759" s="13">
        <v>64224</v>
      </c>
      <c r="B759" s="67">
        <f>12.4138 * CHOOSE(CONTROL!$C$22, $C$13, 100%, $E$13)</f>
        <v>12.4138</v>
      </c>
      <c r="C759" s="67">
        <f>12.4138 * CHOOSE(CONTROL!$C$22, $C$13, 100%, $E$13)</f>
        <v>12.4138</v>
      </c>
      <c r="D759" s="67">
        <f>12.4148 * CHOOSE(CONTROL!$C$22, $C$13, 100%, $E$13)</f>
        <v>12.4148</v>
      </c>
      <c r="E759" s="68">
        <f>14.2402 * CHOOSE(CONTROL!$C$22, $C$13, 100%, $E$13)</f>
        <v>14.2402</v>
      </c>
      <c r="F759" s="68">
        <f>14.2402 * CHOOSE(CONTROL!$C$22, $C$13, 100%, $E$13)</f>
        <v>14.2402</v>
      </c>
      <c r="G759" s="68">
        <f>14.2415 * CHOOSE(CONTROL!$C$22, $C$13, 100%, $E$13)</f>
        <v>14.2415</v>
      </c>
      <c r="H759" s="68">
        <f>23.3451* CHOOSE(CONTROL!$C$22, $C$13, 100%, $E$13)</f>
        <v>23.345099999999999</v>
      </c>
      <c r="I759" s="68">
        <f>23.3464 * CHOOSE(CONTROL!$C$22, $C$13, 100%, $E$13)</f>
        <v>23.346399999999999</v>
      </c>
      <c r="J759" s="68">
        <f>14.2402 * CHOOSE(CONTROL!$C$22, $C$13, 100%, $E$13)</f>
        <v>14.2402</v>
      </c>
      <c r="K759" s="68">
        <f>14.2415 * CHOOSE(CONTROL!$C$22, $C$13, 100%, $E$13)</f>
        <v>14.2415</v>
      </c>
    </row>
    <row r="760" spans="1:11" ht="15">
      <c r="A760" s="13">
        <v>64254</v>
      </c>
      <c r="B760" s="67">
        <f>12.4138 * CHOOSE(CONTROL!$C$22, $C$13, 100%, $E$13)</f>
        <v>12.4138</v>
      </c>
      <c r="C760" s="67">
        <f>12.4138 * CHOOSE(CONTROL!$C$22, $C$13, 100%, $E$13)</f>
        <v>12.4138</v>
      </c>
      <c r="D760" s="67">
        <f>12.4148 * CHOOSE(CONTROL!$C$22, $C$13, 100%, $E$13)</f>
        <v>12.4148</v>
      </c>
      <c r="E760" s="68">
        <f>14.1105 * CHOOSE(CONTROL!$C$22, $C$13, 100%, $E$13)</f>
        <v>14.1105</v>
      </c>
      <c r="F760" s="68">
        <f>14.1105 * CHOOSE(CONTROL!$C$22, $C$13, 100%, $E$13)</f>
        <v>14.1105</v>
      </c>
      <c r="G760" s="68">
        <f>14.1118 * CHOOSE(CONTROL!$C$22, $C$13, 100%, $E$13)</f>
        <v>14.111800000000001</v>
      </c>
      <c r="H760" s="68">
        <f>23.3938* CHOOSE(CONTROL!$C$22, $C$13, 100%, $E$13)</f>
        <v>23.393799999999999</v>
      </c>
      <c r="I760" s="68">
        <f>23.395 * CHOOSE(CONTROL!$C$22, $C$13, 100%, $E$13)</f>
        <v>23.395</v>
      </c>
      <c r="J760" s="68">
        <f>14.1105 * CHOOSE(CONTROL!$C$22, $C$13, 100%, $E$13)</f>
        <v>14.1105</v>
      </c>
      <c r="K760" s="68">
        <f>14.1118 * CHOOSE(CONTROL!$C$22, $C$13, 100%, $E$13)</f>
        <v>14.111800000000001</v>
      </c>
    </row>
    <row r="761" spans="1:11" ht="15">
      <c r="A761" s="13">
        <v>64285</v>
      </c>
      <c r="B761" s="67">
        <f>12.4297 * CHOOSE(CONTROL!$C$22, $C$13, 100%, $E$13)</f>
        <v>12.4297</v>
      </c>
      <c r="C761" s="67">
        <f>12.4297 * CHOOSE(CONTROL!$C$22, $C$13, 100%, $E$13)</f>
        <v>12.4297</v>
      </c>
      <c r="D761" s="67">
        <f>12.4307 * CHOOSE(CONTROL!$C$22, $C$13, 100%, $E$13)</f>
        <v>12.4307</v>
      </c>
      <c r="E761" s="68">
        <f>14.2299 * CHOOSE(CONTROL!$C$22, $C$13, 100%, $E$13)</f>
        <v>14.229900000000001</v>
      </c>
      <c r="F761" s="68">
        <f>14.2299 * CHOOSE(CONTROL!$C$22, $C$13, 100%, $E$13)</f>
        <v>14.229900000000001</v>
      </c>
      <c r="G761" s="68">
        <f>14.2312 * CHOOSE(CONTROL!$C$22, $C$13, 100%, $E$13)</f>
        <v>14.231199999999999</v>
      </c>
      <c r="H761" s="68">
        <f>23.2913* CHOOSE(CONTROL!$C$22, $C$13, 100%, $E$13)</f>
        <v>23.2913</v>
      </c>
      <c r="I761" s="68">
        <f>23.2926 * CHOOSE(CONTROL!$C$22, $C$13, 100%, $E$13)</f>
        <v>23.2926</v>
      </c>
      <c r="J761" s="68">
        <f>14.2299 * CHOOSE(CONTROL!$C$22, $C$13, 100%, $E$13)</f>
        <v>14.229900000000001</v>
      </c>
      <c r="K761" s="68">
        <f>14.2312 * CHOOSE(CONTROL!$C$22, $C$13, 100%, $E$13)</f>
        <v>14.231199999999999</v>
      </c>
    </row>
    <row r="762" spans="1:11" ht="15">
      <c r="A762" s="13">
        <v>64316</v>
      </c>
      <c r="B762" s="67">
        <f>12.4267 * CHOOSE(CONTROL!$C$22, $C$13, 100%, $E$13)</f>
        <v>12.4267</v>
      </c>
      <c r="C762" s="67">
        <f>12.4267 * CHOOSE(CONTROL!$C$22, $C$13, 100%, $E$13)</f>
        <v>12.4267</v>
      </c>
      <c r="D762" s="67">
        <f>12.4277 * CHOOSE(CONTROL!$C$22, $C$13, 100%, $E$13)</f>
        <v>12.4277</v>
      </c>
      <c r="E762" s="68">
        <f>13.9777 * CHOOSE(CONTROL!$C$22, $C$13, 100%, $E$13)</f>
        <v>13.9777</v>
      </c>
      <c r="F762" s="68">
        <f>13.9777 * CHOOSE(CONTROL!$C$22, $C$13, 100%, $E$13)</f>
        <v>13.9777</v>
      </c>
      <c r="G762" s="68">
        <f>13.979 * CHOOSE(CONTROL!$C$22, $C$13, 100%, $E$13)</f>
        <v>13.978999999999999</v>
      </c>
      <c r="H762" s="68">
        <f>23.3398* CHOOSE(CONTROL!$C$22, $C$13, 100%, $E$13)</f>
        <v>23.3398</v>
      </c>
      <c r="I762" s="68">
        <f>23.3411 * CHOOSE(CONTROL!$C$22, $C$13, 100%, $E$13)</f>
        <v>23.341100000000001</v>
      </c>
      <c r="J762" s="68">
        <f>13.9777 * CHOOSE(CONTROL!$C$22, $C$13, 100%, $E$13)</f>
        <v>13.9777</v>
      </c>
      <c r="K762" s="68">
        <f>13.979 * CHOOSE(CONTROL!$C$22, $C$13, 100%, $E$13)</f>
        <v>13.978999999999999</v>
      </c>
    </row>
    <row r="763" spans="1:11" ht="15">
      <c r="A763" s="13">
        <v>64345</v>
      </c>
      <c r="B763" s="67">
        <f>12.4237 * CHOOSE(CONTROL!$C$22, $C$13, 100%, $E$13)</f>
        <v>12.4237</v>
      </c>
      <c r="C763" s="67">
        <f>12.4237 * CHOOSE(CONTROL!$C$22, $C$13, 100%, $E$13)</f>
        <v>12.4237</v>
      </c>
      <c r="D763" s="67">
        <f>12.4246 * CHOOSE(CONTROL!$C$22, $C$13, 100%, $E$13)</f>
        <v>12.4246</v>
      </c>
      <c r="E763" s="68">
        <f>14.1727 * CHOOSE(CONTROL!$C$22, $C$13, 100%, $E$13)</f>
        <v>14.172700000000001</v>
      </c>
      <c r="F763" s="68">
        <f>14.1727 * CHOOSE(CONTROL!$C$22, $C$13, 100%, $E$13)</f>
        <v>14.172700000000001</v>
      </c>
      <c r="G763" s="68">
        <f>14.174 * CHOOSE(CONTROL!$C$22, $C$13, 100%, $E$13)</f>
        <v>14.173999999999999</v>
      </c>
      <c r="H763" s="68">
        <f>23.3885* CHOOSE(CONTROL!$C$22, $C$13, 100%, $E$13)</f>
        <v>23.388500000000001</v>
      </c>
      <c r="I763" s="68">
        <f>23.3897 * CHOOSE(CONTROL!$C$22, $C$13, 100%, $E$13)</f>
        <v>23.389700000000001</v>
      </c>
      <c r="J763" s="68">
        <f>14.1727 * CHOOSE(CONTROL!$C$22, $C$13, 100%, $E$13)</f>
        <v>14.172700000000001</v>
      </c>
      <c r="K763" s="68">
        <f>14.174 * CHOOSE(CONTROL!$C$22, $C$13, 100%, $E$13)</f>
        <v>14.173999999999999</v>
      </c>
    </row>
    <row r="764" spans="1:11" ht="15">
      <c r="A764" s="13">
        <v>64376</v>
      </c>
      <c r="B764" s="67">
        <f>12.4284 * CHOOSE(CONTROL!$C$22, $C$13, 100%, $E$13)</f>
        <v>12.4284</v>
      </c>
      <c r="C764" s="67">
        <f>12.4284 * CHOOSE(CONTROL!$C$22, $C$13, 100%, $E$13)</f>
        <v>12.4284</v>
      </c>
      <c r="D764" s="67">
        <f>12.4294 * CHOOSE(CONTROL!$C$22, $C$13, 100%, $E$13)</f>
        <v>12.429399999999999</v>
      </c>
      <c r="E764" s="68">
        <f>14.3802 * CHOOSE(CONTROL!$C$22, $C$13, 100%, $E$13)</f>
        <v>14.3802</v>
      </c>
      <c r="F764" s="68">
        <f>14.3802 * CHOOSE(CONTROL!$C$22, $C$13, 100%, $E$13)</f>
        <v>14.3802</v>
      </c>
      <c r="G764" s="68">
        <f>14.3815 * CHOOSE(CONTROL!$C$22, $C$13, 100%, $E$13)</f>
        <v>14.381500000000001</v>
      </c>
      <c r="H764" s="68">
        <f>23.4372* CHOOSE(CONTROL!$C$22, $C$13, 100%, $E$13)</f>
        <v>23.437200000000001</v>
      </c>
      <c r="I764" s="68">
        <f>23.4385 * CHOOSE(CONTROL!$C$22, $C$13, 100%, $E$13)</f>
        <v>23.438500000000001</v>
      </c>
      <c r="J764" s="68">
        <f>14.3802 * CHOOSE(CONTROL!$C$22, $C$13, 100%, $E$13)</f>
        <v>14.3802</v>
      </c>
      <c r="K764" s="68">
        <f>14.3815 * CHOOSE(CONTROL!$C$22, $C$13, 100%, $E$13)</f>
        <v>14.381500000000001</v>
      </c>
    </row>
    <row r="765" spans="1:11" ht="15">
      <c r="A765" s="13">
        <v>64406</v>
      </c>
      <c r="B765" s="67">
        <f>12.4284 * CHOOSE(CONTROL!$C$22, $C$13, 100%, $E$13)</f>
        <v>12.4284</v>
      </c>
      <c r="C765" s="67">
        <f>12.4284 * CHOOSE(CONTROL!$C$22, $C$13, 100%, $E$13)</f>
        <v>12.4284</v>
      </c>
      <c r="D765" s="67">
        <f>12.431 * CHOOSE(CONTROL!$C$22, $C$13, 100%, $E$13)</f>
        <v>12.430999999999999</v>
      </c>
      <c r="E765" s="68">
        <f>14.4596 * CHOOSE(CONTROL!$C$22, $C$13, 100%, $E$13)</f>
        <v>14.4596</v>
      </c>
      <c r="F765" s="68">
        <f>14.4596 * CHOOSE(CONTROL!$C$22, $C$13, 100%, $E$13)</f>
        <v>14.4596</v>
      </c>
      <c r="G765" s="68">
        <f>14.4628 * CHOOSE(CONTROL!$C$22, $C$13, 100%, $E$13)</f>
        <v>14.4628</v>
      </c>
      <c r="H765" s="68">
        <f>23.486* CHOOSE(CONTROL!$C$22, $C$13, 100%, $E$13)</f>
        <v>23.486000000000001</v>
      </c>
      <c r="I765" s="68">
        <f>23.4893 * CHOOSE(CONTROL!$C$22, $C$13, 100%, $E$13)</f>
        <v>23.4893</v>
      </c>
      <c r="J765" s="68">
        <f>14.4596 * CHOOSE(CONTROL!$C$22, $C$13, 100%, $E$13)</f>
        <v>14.4596</v>
      </c>
      <c r="K765" s="68">
        <f>14.4628 * CHOOSE(CONTROL!$C$22, $C$13, 100%, $E$13)</f>
        <v>14.4628</v>
      </c>
    </row>
    <row r="766" spans="1:11" ht="15">
      <c r="A766" s="13">
        <v>64437</v>
      </c>
      <c r="B766" s="67">
        <f>12.4345 * CHOOSE(CONTROL!$C$22, $C$13, 100%, $E$13)</f>
        <v>12.4345</v>
      </c>
      <c r="C766" s="67">
        <f>12.4345 * CHOOSE(CONTROL!$C$22, $C$13, 100%, $E$13)</f>
        <v>12.4345</v>
      </c>
      <c r="D766" s="67">
        <f>12.4371 * CHOOSE(CONTROL!$C$22, $C$13, 100%, $E$13)</f>
        <v>12.437099999999999</v>
      </c>
      <c r="E766" s="68">
        <f>14.3844 * CHOOSE(CONTROL!$C$22, $C$13, 100%, $E$13)</f>
        <v>14.384399999999999</v>
      </c>
      <c r="F766" s="68">
        <f>14.3844 * CHOOSE(CONTROL!$C$22, $C$13, 100%, $E$13)</f>
        <v>14.384399999999999</v>
      </c>
      <c r="G766" s="68">
        <f>14.3877 * CHOOSE(CONTROL!$C$22, $C$13, 100%, $E$13)</f>
        <v>14.387700000000001</v>
      </c>
      <c r="H766" s="68">
        <f>23.5349* CHOOSE(CONTROL!$C$22, $C$13, 100%, $E$13)</f>
        <v>23.5349</v>
      </c>
      <c r="I766" s="68">
        <f>23.5382 * CHOOSE(CONTROL!$C$22, $C$13, 100%, $E$13)</f>
        <v>23.5382</v>
      </c>
      <c r="J766" s="68">
        <f>14.3844 * CHOOSE(CONTROL!$C$22, $C$13, 100%, $E$13)</f>
        <v>14.384399999999999</v>
      </c>
      <c r="K766" s="68">
        <f>14.3877 * CHOOSE(CONTROL!$C$22, $C$13, 100%, $E$13)</f>
        <v>14.387700000000001</v>
      </c>
    </row>
    <row r="767" spans="1:11" ht="15">
      <c r="A767" s="13">
        <v>64467</v>
      </c>
      <c r="B767" s="67">
        <f>12.6242 * CHOOSE(CONTROL!$C$22, $C$13, 100%, $E$13)</f>
        <v>12.6242</v>
      </c>
      <c r="C767" s="67">
        <f>12.6242 * CHOOSE(CONTROL!$C$22, $C$13, 100%, $E$13)</f>
        <v>12.6242</v>
      </c>
      <c r="D767" s="67">
        <f>12.6268 * CHOOSE(CONTROL!$C$22, $C$13, 100%, $E$13)</f>
        <v>12.626799999999999</v>
      </c>
      <c r="E767" s="68">
        <f>14.6145 * CHOOSE(CONTROL!$C$22, $C$13, 100%, $E$13)</f>
        <v>14.6145</v>
      </c>
      <c r="F767" s="68">
        <f>14.6145 * CHOOSE(CONTROL!$C$22, $C$13, 100%, $E$13)</f>
        <v>14.6145</v>
      </c>
      <c r="G767" s="68">
        <f>14.6177 * CHOOSE(CONTROL!$C$22, $C$13, 100%, $E$13)</f>
        <v>14.617699999999999</v>
      </c>
      <c r="H767" s="68">
        <f>23.584* CHOOSE(CONTROL!$C$22, $C$13, 100%, $E$13)</f>
        <v>23.584</v>
      </c>
      <c r="I767" s="68">
        <f>23.5872 * CHOOSE(CONTROL!$C$22, $C$13, 100%, $E$13)</f>
        <v>23.587199999999999</v>
      </c>
      <c r="J767" s="68">
        <f>14.6145 * CHOOSE(CONTROL!$C$22, $C$13, 100%, $E$13)</f>
        <v>14.6145</v>
      </c>
      <c r="K767" s="68">
        <f>14.6177 * CHOOSE(CONTROL!$C$22, $C$13, 100%, $E$13)</f>
        <v>14.617699999999999</v>
      </c>
    </row>
    <row r="768" spans="1:11" ht="15">
      <c r="A768" s="13">
        <v>64498</v>
      </c>
      <c r="B768" s="67">
        <f>12.6309 * CHOOSE(CONTROL!$C$22, $C$13, 100%, $E$13)</f>
        <v>12.6309</v>
      </c>
      <c r="C768" s="67">
        <f>12.6309 * CHOOSE(CONTROL!$C$22, $C$13, 100%, $E$13)</f>
        <v>12.6309</v>
      </c>
      <c r="D768" s="67">
        <f>12.6335 * CHOOSE(CONTROL!$C$22, $C$13, 100%, $E$13)</f>
        <v>12.6335</v>
      </c>
      <c r="E768" s="68">
        <f>14.381 * CHOOSE(CONTROL!$C$22, $C$13, 100%, $E$13)</f>
        <v>14.381</v>
      </c>
      <c r="F768" s="68">
        <f>14.381 * CHOOSE(CONTROL!$C$22, $C$13, 100%, $E$13)</f>
        <v>14.381</v>
      </c>
      <c r="G768" s="68">
        <f>14.3842 * CHOOSE(CONTROL!$C$22, $C$13, 100%, $E$13)</f>
        <v>14.3842</v>
      </c>
      <c r="H768" s="68">
        <f>23.6331* CHOOSE(CONTROL!$C$22, $C$13, 100%, $E$13)</f>
        <v>23.633099999999999</v>
      </c>
      <c r="I768" s="68">
        <f>23.6364 * CHOOSE(CONTROL!$C$22, $C$13, 100%, $E$13)</f>
        <v>23.636399999999998</v>
      </c>
      <c r="J768" s="68">
        <f>14.381 * CHOOSE(CONTROL!$C$22, $C$13, 100%, $E$13)</f>
        <v>14.381</v>
      </c>
      <c r="K768" s="68">
        <f>14.3842 * CHOOSE(CONTROL!$C$22, $C$13, 100%, $E$13)</f>
        <v>14.3842</v>
      </c>
    </row>
    <row r="769" spans="1:11" ht="15">
      <c r="A769" s="13">
        <v>64529</v>
      </c>
      <c r="B769" s="67">
        <f>12.6278 * CHOOSE(CONTROL!$C$22, $C$13, 100%, $E$13)</f>
        <v>12.627800000000001</v>
      </c>
      <c r="C769" s="67">
        <f>12.6278 * CHOOSE(CONTROL!$C$22, $C$13, 100%, $E$13)</f>
        <v>12.627800000000001</v>
      </c>
      <c r="D769" s="67">
        <f>12.6304 * CHOOSE(CONTROL!$C$22, $C$13, 100%, $E$13)</f>
        <v>12.6304</v>
      </c>
      <c r="E769" s="68">
        <f>14.3524 * CHOOSE(CONTROL!$C$22, $C$13, 100%, $E$13)</f>
        <v>14.352399999999999</v>
      </c>
      <c r="F769" s="68">
        <f>14.3524 * CHOOSE(CONTROL!$C$22, $C$13, 100%, $E$13)</f>
        <v>14.352399999999999</v>
      </c>
      <c r="G769" s="68">
        <f>14.3557 * CHOOSE(CONTROL!$C$22, $C$13, 100%, $E$13)</f>
        <v>14.355700000000001</v>
      </c>
      <c r="H769" s="68">
        <f>23.6823* CHOOSE(CONTROL!$C$22, $C$13, 100%, $E$13)</f>
        <v>23.682300000000001</v>
      </c>
      <c r="I769" s="68">
        <f>23.6856 * CHOOSE(CONTROL!$C$22, $C$13, 100%, $E$13)</f>
        <v>23.685600000000001</v>
      </c>
      <c r="J769" s="68">
        <f>14.3524 * CHOOSE(CONTROL!$C$22, $C$13, 100%, $E$13)</f>
        <v>14.352399999999999</v>
      </c>
      <c r="K769" s="68">
        <f>14.3557 * CHOOSE(CONTROL!$C$22, $C$13, 100%, $E$13)</f>
        <v>14.355700000000001</v>
      </c>
    </row>
    <row r="770" spans="1:11" ht="15">
      <c r="A770" s="13">
        <v>64559</v>
      </c>
      <c r="B770" s="67">
        <f>12.6507 * CHOOSE(CONTROL!$C$22, $C$13, 100%, $E$13)</f>
        <v>12.650700000000001</v>
      </c>
      <c r="C770" s="67">
        <f>12.6507 * CHOOSE(CONTROL!$C$22, $C$13, 100%, $E$13)</f>
        <v>12.650700000000001</v>
      </c>
      <c r="D770" s="67">
        <f>12.6517 * CHOOSE(CONTROL!$C$22, $C$13, 100%, $E$13)</f>
        <v>12.6517</v>
      </c>
      <c r="E770" s="68">
        <f>14.4448 * CHOOSE(CONTROL!$C$22, $C$13, 100%, $E$13)</f>
        <v>14.444800000000001</v>
      </c>
      <c r="F770" s="68">
        <f>14.4448 * CHOOSE(CONTROL!$C$22, $C$13, 100%, $E$13)</f>
        <v>14.444800000000001</v>
      </c>
      <c r="G770" s="68">
        <f>14.4461 * CHOOSE(CONTROL!$C$22, $C$13, 100%, $E$13)</f>
        <v>14.446099999999999</v>
      </c>
      <c r="H770" s="68">
        <f>23.7317* CHOOSE(CONTROL!$C$22, $C$13, 100%, $E$13)</f>
        <v>23.7317</v>
      </c>
      <c r="I770" s="68">
        <f>23.733 * CHOOSE(CONTROL!$C$22, $C$13, 100%, $E$13)</f>
        <v>23.733000000000001</v>
      </c>
      <c r="J770" s="68">
        <f>14.4448 * CHOOSE(CONTROL!$C$22, $C$13, 100%, $E$13)</f>
        <v>14.444800000000001</v>
      </c>
      <c r="K770" s="68">
        <f>14.4461 * CHOOSE(CONTROL!$C$22, $C$13, 100%, $E$13)</f>
        <v>14.446099999999999</v>
      </c>
    </row>
    <row r="771" spans="1:11" ht="15">
      <c r="A771" s="13">
        <v>64590</v>
      </c>
      <c r="B771" s="67">
        <f>12.6538 * CHOOSE(CONTROL!$C$22, $C$13, 100%, $E$13)</f>
        <v>12.6538</v>
      </c>
      <c r="C771" s="67">
        <f>12.6538 * CHOOSE(CONTROL!$C$22, $C$13, 100%, $E$13)</f>
        <v>12.6538</v>
      </c>
      <c r="D771" s="67">
        <f>12.6547 * CHOOSE(CONTROL!$C$22, $C$13, 100%, $E$13)</f>
        <v>12.6547</v>
      </c>
      <c r="E771" s="68">
        <f>14.4999 * CHOOSE(CONTROL!$C$22, $C$13, 100%, $E$13)</f>
        <v>14.4999</v>
      </c>
      <c r="F771" s="68">
        <f>14.4999 * CHOOSE(CONTROL!$C$22, $C$13, 100%, $E$13)</f>
        <v>14.4999</v>
      </c>
      <c r="G771" s="68">
        <f>14.5012 * CHOOSE(CONTROL!$C$22, $C$13, 100%, $E$13)</f>
        <v>14.501200000000001</v>
      </c>
      <c r="H771" s="68">
        <f>23.7811* CHOOSE(CONTROL!$C$22, $C$13, 100%, $E$13)</f>
        <v>23.781099999999999</v>
      </c>
      <c r="I771" s="68">
        <f>23.7824 * CHOOSE(CONTROL!$C$22, $C$13, 100%, $E$13)</f>
        <v>23.782399999999999</v>
      </c>
      <c r="J771" s="68">
        <f>14.4999 * CHOOSE(CONTROL!$C$22, $C$13, 100%, $E$13)</f>
        <v>14.4999</v>
      </c>
      <c r="K771" s="68">
        <f>14.5012 * CHOOSE(CONTROL!$C$22, $C$13, 100%, $E$13)</f>
        <v>14.501200000000001</v>
      </c>
    </row>
    <row r="772" spans="1:11" ht="15">
      <c r="A772" s="13">
        <v>64620</v>
      </c>
      <c r="B772" s="67">
        <f>12.6538 * CHOOSE(CONTROL!$C$22, $C$13, 100%, $E$13)</f>
        <v>12.6538</v>
      </c>
      <c r="C772" s="67">
        <f>12.6538 * CHOOSE(CONTROL!$C$22, $C$13, 100%, $E$13)</f>
        <v>12.6538</v>
      </c>
      <c r="D772" s="67">
        <f>12.6547 * CHOOSE(CONTROL!$C$22, $C$13, 100%, $E$13)</f>
        <v>12.6547</v>
      </c>
      <c r="E772" s="68">
        <f>14.3676 * CHOOSE(CONTROL!$C$22, $C$13, 100%, $E$13)</f>
        <v>14.367599999999999</v>
      </c>
      <c r="F772" s="68">
        <f>14.3676 * CHOOSE(CONTROL!$C$22, $C$13, 100%, $E$13)</f>
        <v>14.367599999999999</v>
      </c>
      <c r="G772" s="68">
        <f>14.3689 * CHOOSE(CONTROL!$C$22, $C$13, 100%, $E$13)</f>
        <v>14.3689</v>
      </c>
      <c r="H772" s="68">
        <f>23.8307* CHOOSE(CONTROL!$C$22, $C$13, 100%, $E$13)</f>
        <v>23.8307</v>
      </c>
      <c r="I772" s="68">
        <f>23.832 * CHOOSE(CONTROL!$C$22, $C$13, 100%, $E$13)</f>
        <v>23.832000000000001</v>
      </c>
      <c r="J772" s="68">
        <f>14.3676 * CHOOSE(CONTROL!$C$22, $C$13, 100%, $E$13)</f>
        <v>14.367599999999999</v>
      </c>
      <c r="K772" s="68">
        <f>14.3689 * CHOOSE(CONTROL!$C$22, $C$13, 100%, $E$13)</f>
        <v>14.3689</v>
      </c>
    </row>
    <row r="773" spans="1:11" ht="15">
      <c r="A773" s="13">
        <v>64651</v>
      </c>
      <c r="B773" s="67">
        <f>12.6653 * CHOOSE(CONTROL!$C$22, $C$13, 100%, $E$13)</f>
        <v>12.6653</v>
      </c>
      <c r="C773" s="67">
        <f>12.6653 * CHOOSE(CONTROL!$C$22, $C$13, 100%, $E$13)</f>
        <v>12.6653</v>
      </c>
      <c r="D773" s="67">
        <f>12.6663 * CHOOSE(CONTROL!$C$22, $C$13, 100%, $E$13)</f>
        <v>12.6663</v>
      </c>
      <c r="E773" s="68">
        <f>14.4846 * CHOOSE(CONTROL!$C$22, $C$13, 100%, $E$13)</f>
        <v>14.4846</v>
      </c>
      <c r="F773" s="68">
        <f>14.4846 * CHOOSE(CONTROL!$C$22, $C$13, 100%, $E$13)</f>
        <v>14.4846</v>
      </c>
      <c r="G773" s="68">
        <f>14.4859 * CHOOSE(CONTROL!$C$22, $C$13, 100%, $E$13)</f>
        <v>14.485900000000001</v>
      </c>
      <c r="H773" s="68">
        <f>23.7183* CHOOSE(CONTROL!$C$22, $C$13, 100%, $E$13)</f>
        <v>23.718299999999999</v>
      </c>
      <c r="I773" s="68">
        <f>23.7196 * CHOOSE(CONTROL!$C$22, $C$13, 100%, $E$13)</f>
        <v>23.7196</v>
      </c>
      <c r="J773" s="68">
        <f>14.4846 * CHOOSE(CONTROL!$C$22, $C$13, 100%, $E$13)</f>
        <v>14.4846</v>
      </c>
      <c r="K773" s="68">
        <f>14.4859 * CHOOSE(CONTROL!$C$22, $C$13, 100%, $E$13)</f>
        <v>14.485900000000001</v>
      </c>
    </row>
    <row r="774" spans="1:11" ht="15">
      <c r="A774" s="13">
        <v>64682</v>
      </c>
      <c r="B774" s="67">
        <f>12.6623 * CHOOSE(CONTROL!$C$22, $C$13, 100%, $E$13)</f>
        <v>12.6623</v>
      </c>
      <c r="C774" s="67">
        <f>12.6623 * CHOOSE(CONTROL!$C$22, $C$13, 100%, $E$13)</f>
        <v>12.6623</v>
      </c>
      <c r="D774" s="67">
        <f>12.6633 * CHOOSE(CONTROL!$C$22, $C$13, 100%, $E$13)</f>
        <v>12.6633</v>
      </c>
      <c r="E774" s="68">
        <f>14.2275 * CHOOSE(CONTROL!$C$22, $C$13, 100%, $E$13)</f>
        <v>14.227499999999999</v>
      </c>
      <c r="F774" s="68">
        <f>14.2275 * CHOOSE(CONTROL!$C$22, $C$13, 100%, $E$13)</f>
        <v>14.227499999999999</v>
      </c>
      <c r="G774" s="68">
        <f>14.2288 * CHOOSE(CONTROL!$C$22, $C$13, 100%, $E$13)</f>
        <v>14.2288</v>
      </c>
      <c r="H774" s="68">
        <f>23.7678* CHOOSE(CONTROL!$C$22, $C$13, 100%, $E$13)</f>
        <v>23.767800000000001</v>
      </c>
      <c r="I774" s="68">
        <f>23.769 * CHOOSE(CONTROL!$C$22, $C$13, 100%, $E$13)</f>
        <v>23.768999999999998</v>
      </c>
      <c r="J774" s="68">
        <f>14.2275 * CHOOSE(CONTROL!$C$22, $C$13, 100%, $E$13)</f>
        <v>14.227499999999999</v>
      </c>
      <c r="K774" s="68">
        <f>14.2288 * CHOOSE(CONTROL!$C$22, $C$13, 100%, $E$13)</f>
        <v>14.2288</v>
      </c>
    </row>
    <row r="775" spans="1:11" ht="15">
      <c r="A775" s="13">
        <v>64710</v>
      </c>
      <c r="B775" s="67">
        <f>12.6592 * CHOOSE(CONTROL!$C$22, $C$13, 100%, $E$13)</f>
        <v>12.6592</v>
      </c>
      <c r="C775" s="67">
        <f>12.6592 * CHOOSE(CONTROL!$C$22, $C$13, 100%, $E$13)</f>
        <v>12.6592</v>
      </c>
      <c r="D775" s="67">
        <f>12.6602 * CHOOSE(CONTROL!$C$22, $C$13, 100%, $E$13)</f>
        <v>12.6602</v>
      </c>
      <c r="E775" s="68">
        <f>14.4264 * CHOOSE(CONTROL!$C$22, $C$13, 100%, $E$13)</f>
        <v>14.426399999999999</v>
      </c>
      <c r="F775" s="68">
        <f>14.4264 * CHOOSE(CONTROL!$C$22, $C$13, 100%, $E$13)</f>
        <v>14.426399999999999</v>
      </c>
      <c r="G775" s="68">
        <f>14.4277 * CHOOSE(CONTROL!$C$22, $C$13, 100%, $E$13)</f>
        <v>14.4277</v>
      </c>
      <c r="H775" s="68">
        <f>23.8173* CHOOSE(CONTROL!$C$22, $C$13, 100%, $E$13)</f>
        <v>23.817299999999999</v>
      </c>
      <c r="I775" s="68">
        <f>23.8186 * CHOOSE(CONTROL!$C$22, $C$13, 100%, $E$13)</f>
        <v>23.8186</v>
      </c>
      <c r="J775" s="68">
        <f>14.4264 * CHOOSE(CONTROL!$C$22, $C$13, 100%, $E$13)</f>
        <v>14.426399999999999</v>
      </c>
      <c r="K775" s="68">
        <f>14.4277 * CHOOSE(CONTROL!$C$22, $C$13, 100%, $E$13)</f>
        <v>14.4277</v>
      </c>
    </row>
    <row r="776" spans="1:11" ht="15">
      <c r="A776" s="13">
        <v>64741</v>
      </c>
      <c r="B776" s="67">
        <f>12.6642 * CHOOSE(CONTROL!$C$22, $C$13, 100%, $E$13)</f>
        <v>12.664199999999999</v>
      </c>
      <c r="C776" s="67">
        <f>12.6642 * CHOOSE(CONTROL!$C$22, $C$13, 100%, $E$13)</f>
        <v>12.664199999999999</v>
      </c>
      <c r="D776" s="67">
        <f>12.6651 * CHOOSE(CONTROL!$C$22, $C$13, 100%, $E$13)</f>
        <v>12.665100000000001</v>
      </c>
      <c r="E776" s="68">
        <f>14.638 * CHOOSE(CONTROL!$C$22, $C$13, 100%, $E$13)</f>
        <v>14.638</v>
      </c>
      <c r="F776" s="68">
        <f>14.638 * CHOOSE(CONTROL!$C$22, $C$13, 100%, $E$13)</f>
        <v>14.638</v>
      </c>
      <c r="G776" s="68">
        <f>14.6393 * CHOOSE(CONTROL!$C$22, $C$13, 100%, $E$13)</f>
        <v>14.6393</v>
      </c>
      <c r="H776" s="68">
        <f>23.8669* CHOOSE(CONTROL!$C$22, $C$13, 100%, $E$13)</f>
        <v>23.866900000000001</v>
      </c>
      <c r="I776" s="68">
        <f>23.8682 * CHOOSE(CONTROL!$C$22, $C$13, 100%, $E$13)</f>
        <v>23.868200000000002</v>
      </c>
      <c r="J776" s="68">
        <f>14.638 * CHOOSE(CONTROL!$C$22, $C$13, 100%, $E$13)</f>
        <v>14.638</v>
      </c>
      <c r="K776" s="68">
        <f>14.6393 * CHOOSE(CONTROL!$C$22, $C$13, 100%, $E$13)</f>
        <v>14.6393</v>
      </c>
    </row>
    <row r="777" spans="1:11" ht="15">
      <c r="A777" s="13">
        <v>64771</v>
      </c>
      <c r="B777" s="67">
        <f>12.6642 * CHOOSE(CONTROL!$C$22, $C$13, 100%, $E$13)</f>
        <v>12.664199999999999</v>
      </c>
      <c r="C777" s="67">
        <f>12.6642 * CHOOSE(CONTROL!$C$22, $C$13, 100%, $E$13)</f>
        <v>12.664199999999999</v>
      </c>
      <c r="D777" s="67">
        <f>12.6668 * CHOOSE(CONTROL!$C$22, $C$13, 100%, $E$13)</f>
        <v>12.6668</v>
      </c>
      <c r="E777" s="68">
        <f>14.719 * CHOOSE(CONTROL!$C$22, $C$13, 100%, $E$13)</f>
        <v>14.718999999999999</v>
      </c>
      <c r="F777" s="68">
        <f>14.719 * CHOOSE(CONTROL!$C$22, $C$13, 100%, $E$13)</f>
        <v>14.718999999999999</v>
      </c>
      <c r="G777" s="68">
        <f>14.7222 * CHOOSE(CONTROL!$C$22, $C$13, 100%, $E$13)</f>
        <v>14.722200000000001</v>
      </c>
      <c r="H777" s="68">
        <f>23.9166* CHOOSE(CONTROL!$C$22, $C$13, 100%, $E$13)</f>
        <v>23.916599999999999</v>
      </c>
      <c r="I777" s="68">
        <f>23.9199 * CHOOSE(CONTROL!$C$22, $C$13, 100%, $E$13)</f>
        <v>23.919899999999998</v>
      </c>
      <c r="J777" s="68">
        <f>14.719 * CHOOSE(CONTROL!$C$22, $C$13, 100%, $E$13)</f>
        <v>14.718999999999999</v>
      </c>
      <c r="K777" s="68">
        <f>14.7222 * CHOOSE(CONTROL!$C$22, $C$13, 100%, $E$13)</f>
        <v>14.722200000000001</v>
      </c>
    </row>
    <row r="778" spans="1:11" ht="15">
      <c r="A778" s="13">
        <v>64802</v>
      </c>
      <c r="B778" s="67">
        <f>12.6702 * CHOOSE(CONTROL!$C$22, $C$13, 100%, $E$13)</f>
        <v>12.670199999999999</v>
      </c>
      <c r="C778" s="67">
        <f>12.6702 * CHOOSE(CONTROL!$C$22, $C$13, 100%, $E$13)</f>
        <v>12.670199999999999</v>
      </c>
      <c r="D778" s="67">
        <f>12.6729 * CHOOSE(CONTROL!$C$22, $C$13, 100%, $E$13)</f>
        <v>12.6729</v>
      </c>
      <c r="E778" s="68">
        <f>14.6423 * CHOOSE(CONTROL!$C$22, $C$13, 100%, $E$13)</f>
        <v>14.642300000000001</v>
      </c>
      <c r="F778" s="68">
        <f>14.6423 * CHOOSE(CONTROL!$C$22, $C$13, 100%, $E$13)</f>
        <v>14.642300000000001</v>
      </c>
      <c r="G778" s="68">
        <f>14.6455 * CHOOSE(CONTROL!$C$22, $C$13, 100%, $E$13)</f>
        <v>14.6455</v>
      </c>
      <c r="H778" s="68">
        <f>23.9664* CHOOSE(CONTROL!$C$22, $C$13, 100%, $E$13)</f>
        <v>23.9664</v>
      </c>
      <c r="I778" s="68">
        <f>23.9697 * CHOOSE(CONTROL!$C$22, $C$13, 100%, $E$13)</f>
        <v>23.9697</v>
      </c>
      <c r="J778" s="68">
        <f>14.6423 * CHOOSE(CONTROL!$C$22, $C$13, 100%, $E$13)</f>
        <v>14.642300000000001</v>
      </c>
      <c r="K778" s="68">
        <f>14.6455 * CHOOSE(CONTROL!$C$22, $C$13, 100%, $E$13)</f>
        <v>14.6455</v>
      </c>
    </row>
    <row r="779" spans="1:11" ht="15">
      <c r="A779" s="13">
        <v>64832</v>
      </c>
      <c r="B779" s="67">
        <f>12.8633 * CHOOSE(CONTROL!$C$22, $C$13, 100%, $E$13)</f>
        <v>12.863300000000001</v>
      </c>
      <c r="C779" s="67">
        <f>12.8633 * CHOOSE(CONTROL!$C$22, $C$13, 100%, $E$13)</f>
        <v>12.863300000000001</v>
      </c>
      <c r="D779" s="67">
        <f>12.866 * CHOOSE(CONTROL!$C$22, $C$13, 100%, $E$13)</f>
        <v>12.866</v>
      </c>
      <c r="E779" s="68">
        <f>14.8762 * CHOOSE(CONTROL!$C$22, $C$13, 100%, $E$13)</f>
        <v>14.876200000000001</v>
      </c>
      <c r="F779" s="68">
        <f>14.8762 * CHOOSE(CONTROL!$C$22, $C$13, 100%, $E$13)</f>
        <v>14.876200000000001</v>
      </c>
      <c r="G779" s="68">
        <f>14.8795 * CHOOSE(CONTROL!$C$22, $C$13, 100%, $E$13)</f>
        <v>14.8795</v>
      </c>
      <c r="H779" s="68">
        <f>24.0164* CHOOSE(CONTROL!$C$22, $C$13, 100%, $E$13)</f>
        <v>24.016400000000001</v>
      </c>
      <c r="I779" s="68">
        <f>24.0196 * CHOOSE(CONTROL!$C$22, $C$13, 100%, $E$13)</f>
        <v>24.019600000000001</v>
      </c>
      <c r="J779" s="68">
        <f>14.8762 * CHOOSE(CONTROL!$C$22, $C$13, 100%, $E$13)</f>
        <v>14.876200000000001</v>
      </c>
      <c r="K779" s="68">
        <f>14.8795 * CHOOSE(CONTROL!$C$22, $C$13, 100%, $E$13)</f>
        <v>14.8795</v>
      </c>
    </row>
    <row r="780" spans="1:11" ht="15">
      <c r="A780" s="13">
        <v>64863</v>
      </c>
      <c r="B780" s="67">
        <f>12.87 * CHOOSE(CONTROL!$C$22, $C$13, 100%, $E$13)</f>
        <v>12.87</v>
      </c>
      <c r="C780" s="67">
        <f>12.87 * CHOOSE(CONTROL!$C$22, $C$13, 100%, $E$13)</f>
        <v>12.87</v>
      </c>
      <c r="D780" s="67">
        <f>12.8727 * CHOOSE(CONTROL!$C$22, $C$13, 100%, $E$13)</f>
        <v>12.8727</v>
      </c>
      <c r="E780" s="68">
        <f>14.6381 * CHOOSE(CONTROL!$C$22, $C$13, 100%, $E$13)</f>
        <v>14.6381</v>
      </c>
      <c r="F780" s="68">
        <f>14.6381 * CHOOSE(CONTROL!$C$22, $C$13, 100%, $E$13)</f>
        <v>14.6381</v>
      </c>
      <c r="G780" s="68">
        <f>14.6413 * CHOOSE(CONTROL!$C$22, $C$13, 100%, $E$13)</f>
        <v>14.641299999999999</v>
      </c>
      <c r="H780" s="68">
        <f>24.0664* CHOOSE(CONTROL!$C$22, $C$13, 100%, $E$13)</f>
        <v>24.066400000000002</v>
      </c>
      <c r="I780" s="68">
        <f>24.0697 * CHOOSE(CONTROL!$C$22, $C$13, 100%, $E$13)</f>
        <v>24.069700000000001</v>
      </c>
      <c r="J780" s="68">
        <f>14.6381 * CHOOSE(CONTROL!$C$22, $C$13, 100%, $E$13)</f>
        <v>14.6381</v>
      </c>
      <c r="K780" s="68">
        <f>14.6413 * CHOOSE(CONTROL!$C$22, $C$13, 100%, $E$13)</f>
        <v>14.641299999999999</v>
      </c>
    </row>
    <row r="781" spans="1:11" ht="15">
      <c r="A781" s="13">
        <v>64894</v>
      </c>
      <c r="B781" s="67">
        <f>12.867 * CHOOSE(CONTROL!$C$22, $C$13, 100%, $E$13)</f>
        <v>12.867000000000001</v>
      </c>
      <c r="C781" s="67">
        <f>12.867 * CHOOSE(CONTROL!$C$22, $C$13, 100%, $E$13)</f>
        <v>12.867000000000001</v>
      </c>
      <c r="D781" s="67">
        <f>12.8696 * CHOOSE(CONTROL!$C$22, $C$13, 100%, $E$13)</f>
        <v>12.8696</v>
      </c>
      <c r="E781" s="68">
        <f>14.609 * CHOOSE(CONTROL!$C$22, $C$13, 100%, $E$13)</f>
        <v>14.609</v>
      </c>
      <c r="F781" s="68">
        <f>14.609 * CHOOSE(CONTROL!$C$22, $C$13, 100%, $E$13)</f>
        <v>14.609</v>
      </c>
      <c r="G781" s="68">
        <f>14.6122 * CHOOSE(CONTROL!$C$22, $C$13, 100%, $E$13)</f>
        <v>14.6122</v>
      </c>
      <c r="H781" s="68">
        <f>24.1165* CHOOSE(CONTROL!$C$22, $C$13, 100%, $E$13)</f>
        <v>24.116499999999998</v>
      </c>
      <c r="I781" s="68">
        <f>24.1198 * CHOOSE(CONTROL!$C$22, $C$13, 100%, $E$13)</f>
        <v>24.119800000000001</v>
      </c>
      <c r="J781" s="68">
        <f>14.609 * CHOOSE(CONTROL!$C$22, $C$13, 100%, $E$13)</f>
        <v>14.609</v>
      </c>
      <c r="K781" s="68">
        <f>14.6122 * CHOOSE(CONTROL!$C$22, $C$13, 100%, $E$13)</f>
        <v>14.6122</v>
      </c>
    </row>
    <row r="782" spans="1:11" ht="15">
      <c r="A782" s="13">
        <v>64924</v>
      </c>
      <c r="B782" s="67">
        <f>12.8907 * CHOOSE(CONTROL!$C$22, $C$13, 100%, $E$13)</f>
        <v>12.890700000000001</v>
      </c>
      <c r="C782" s="67">
        <f>12.8907 * CHOOSE(CONTROL!$C$22, $C$13, 100%, $E$13)</f>
        <v>12.890700000000001</v>
      </c>
      <c r="D782" s="67">
        <f>12.8916 * CHOOSE(CONTROL!$C$22, $C$13, 100%, $E$13)</f>
        <v>12.8916</v>
      </c>
      <c r="E782" s="68">
        <f>14.7035 * CHOOSE(CONTROL!$C$22, $C$13, 100%, $E$13)</f>
        <v>14.7035</v>
      </c>
      <c r="F782" s="68">
        <f>14.7035 * CHOOSE(CONTROL!$C$22, $C$13, 100%, $E$13)</f>
        <v>14.7035</v>
      </c>
      <c r="G782" s="68">
        <f>14.7048 * CHOOSE(CONTROL!$C$22, $C$13, 100%, $E$13)</f>
        <v>14.704800000000001</v>
      </c>
      <c r="H782" s="68">
        <f>24.1668* CHOOSE(CONTROL!$C$22, $C$13, 100%, $E$13)</f>
        <v>24.166799999999999</v>
      </c>
      <c r="I782" s="68">
        <f>24.1681 * CHOOSE(CONTROL!$C$22, $C$13, 100%, $E$13)</f>
        <v>24.168099999999999</v>
      </c>
      <c r="J782" s="68">
        <f>14.7035 * CHOOSE(CONTROL!$C$22, $C$13, 100%, $E$13)</f>
        <v>14.7035</v>
      </c>
      <c r="K782" s="68">
        <f>14.7048 * CHOOSE(CONTROL!$C$22, $C$13, 100%, $E$13)</f>
        <v>14.704800000000001</v>
      </c>
    </row>
    <row r="783" spans="1:11" ht="15">
      <c r="A783" s="13">
        <v>64955</v>
      </c>
      <c r="B783" s="67">
        <f>12.8937 * CHOOSE(CONTROL!$C$22, $C$13, 100%, $E$13)</f>
        <v>12.893700000000001</v>
      </c>
      <c r="C783" s="67">
        <f>12.8937 * CHOOSE(CONTROL!$C$22, $C$13, 100%, $E$13)</f>
        <v>12.893700000000001</v>
      </c>
      <c r="D783" s="67">
        <f>12.8947 * CHOOSE(CONTROL!$C$22, $C$13, 100%, $E$13)</f>
        <v>12.8947</v>
      </c>
      <c r="E783" s="68">
        <f>14.7596 * CHOOSE(CONTROL!$C$22, $C$13, 100%, $E$13)</f>
        <v>14.759600000000001</v>
      </c>
      <c r="F783" s="68">
        <f>14.7596 * CHOOSE(CONTROL!$C$22, $C$13, 100%, $E$13)</f>
        <v>14.759600000000001</v>
      </c>
      <c r="G783" s="68">
        <f>14.7608 * CHOOSE(CONTROL!$C$22, $C$13, 100%, $E$13)</f>
        <v>14.7608</v>
      </c>
      <c r="H783" s="68">
        <f>24.2171* CHOOSE(CONTROL!$C$22, $C$13, 100%, $E$13)</f>
        <v>24.217099999999999</v>
      </c>
      <c r="I783" s="68">
        <f>24.2184 * CHOOSE(CONTROL!$C$22, $C$13, 100%, $E$13)</f>
        <v>24.218399999999999</v>
      </c>
      <c r="J783" s="68">
        <f>14.7596 * CHOOSE(CONTROL!$C$22, $C$13, 100%, $E$13)</f>
        <v>14.759600000000001</v>
      </c>
      <c r="K783" s="68">
        <f>14.7608 * CHOOSE(CONTROL!$C$22, $C$13, 100%, $E$13)</f>
        <v>14.7608</v>
      </c>
    </row>
    <row r="784" spans="1:11" ht="15">
      <c r="A784" s="13">
        <v>64985</v>
      </c>
      <c r="B784" s="67">
        <f>12.8937 * CHOOSE(CONTROL!$C$22, $C$13, 100%, $E$13)</f>
        <v>12.893700000000001</v>
      </c>
      <c r="C784" s="67">
        <f>12.8937 * CHOOSE(CONTROL!$C$22, $C$13, 100%, $E$13)</f>
        <v>12.893700000000001</v>
      </c>
      <c r="D784" s="67">
        <f>12.8947 * CHOOSE(CONTROL!$C$22, $C$13, 100%, $E$13)</f>
        <v>12.8947</v>
      </c>
      <c r="E784" s="68">
        <f>14.6246 * CHOOSE(CONTROL!$C$22, $C$13, 100%, $E$13)</f>
        <v>14.624599999999999</v>
      </c>
      <c r="F784" s="68">
        <f>14.6246 * CHOOSE(CONTROL!$C$22, $C$13, 100%, $E$13)</f>
        <v>14.624599999999999</v>
      </c>
      <c r="G784" s="68">
        <f>14.6259 * CHOOSE(CONTROL!$C$22, $C$13, 100%, $E$13)</f>
        <v>14.6259</v>
      </c>
      <c r="H784" s="68">
        <f>24.2676* CHOOSE(CONTROL!$C$22, $C$13, 100%, $E$13)</f>
        <v>24.267600000000002</v>
      </c>
      <c r="I784" s="68">
        <f>24.2689 * CHOOSE(CONTROL!$C$22, $C$13, 100%, $E$13)</f>
        <v>24.268899999999999</v>
      </c>
      <c r="J784" s="68">
        <f>14.6246 * CHOOSE(CONTROL!$C$22, $C$13, 100%, $E$13)</f>
        <v>14.624599999999999</v>
      </c>
      <c r="K784" s="68">
        <f>14.6259 * CHOOSE(CONTROL!$C$22, $C$13, 100%, $E$13)</f>
        <v>14.6259</v>
      </c>
    </row>
    <row r="785" spans="1:11" ht="15">
      <c r="A785" s="13">
        <v>65016</v>
      </c>
      <c r="B785" s="67">
        <f>12.9009 * CHOOSE(CONTROL!$C$22, $C$13, 100%, $E$13)</f>
        <v>12.9009</v>
      </c>
      <c r="C785" s="67">
        <f>12.9009 * CHOOSE(CONTROL!$C$22, $C$13, 100%, $E$13)</f>
        <v>12.9009</v>
      </c>
      <c r="D785" s="67">
        <f>12.9019 * CHOOSE(CONTROL!$C$22, $C$13, 100%, $E$13)</f>
        <v>12.901899999999999</v>
      </c>
      <c r="E785" s="68">
        <f>14.7393 * CHOOSE(CONTROL!$C$22, $C$13, 100%, $E$13)</f>
        <v>14.7393</v>
      </c>
      <c r="F785" s="68">
        <f>14.7393 * CHOOSE(CONTROL!$C$22, $C$13, 100%, $E$13)</f>
        <v>14.7393</v>
      </c>
      <c r="G785" s="68">
        <f>14.7406 * CHOOSE(CONTROL!$C$22, $C$13, 100%, $E$13)</f>
        <v>14.740600000000001</v>
      </c>
      <c r="H785" s="68">
        <f>24.1454* CHOOSE(CONTROL!$C$22, $C$13, 100%, $E$13)</f>
        <v>24.145399999999999</v>
      </c>
      <c r="I785" s="68">
        <f>24.1466 * CHOOSE(CONTROL!$C$22, $C$13, 100%, $E$13)</f>
        <v>24.146599999999999</v>
      </c>
      <c r="J785" s="68">
        <f>14.7393 * CHOOSE(CONTROL!$C$22, $C$13, 100%, $E$13)</f>
        <v>14.7393</v>
      </c>
      <c r="K785" s="68">
        <f>14.7406 * CHOOSE(CONTROL!$C$22, $C$13, 100%, $E$13)</f>
        <v>14.740600000000001</v>
      </c>
    </row>
    <row r="786" spans="1:11" ht="15">
      <c r="A786" s="13">
        <v>65047</v>
      </c>
      <c r="B786" s="67">
        <f>12.8978 * CHOOSE(CONTROL!$C$22, $C$13, 100%, $E$13)</f>
        <v>12.8978</v>
      </c>
      <c r="C786" s="67">
        <f>12.8978 * CHOOSE(CONTROL!$C$22, $C$13, 100%, $E$13)</f>
        <v>12.8978</v>
      </c>
      <c r="D786" s="67">
        <f>12.8988 * CHOOSE(CONTROL!$C$22, $C$13, 100%, $E$13)</f>
        <v>12.8988</v>
      </c>
      <c r="E786" s="68">
        <f>14.4773 * CHOOSE(CONTROL!$C$22, $C$13, 100%, $E$13)</f>
        <v>14.4773</v>
      </c>
      <c r="F786" s="68">
        <f>14.4773 * CHOOSE(CONTROL!$C$22, $C$13, 100%, $E$13)</f>
        <v>14.4773</v>
      </c>
      <c r="G786" s="68">
        <f>14.4786 * CHOOSE(CONTROL!$C$22, $C$13, 100%, $E$13)</f>
        <v>14.4786</v>
      </c>
      <c r="H786" s="68">
        <f>24.1957* CHOOSE(CONTROL!$C$22, $C$13, 100%, $E$13)</f>
        <v>24.195699999999999</v>
      </c>
      <c r="I786" s="68">
        <f>24.1969 * CHOOSE(CONTROL!$C$22, $C$13, 100%, $E$13)</f>
        <v>24.196899999999999</v>
      </c>
      <c r="J786" s="68">
        <f>14.4773 * CHOOSE(CONTROL!$C$22, $C$13, 100%, $E$13)</f>
        <v>14.4773</v>
      </c>
      <c r="K786" s="68">
        <f>14.4786 * CHOOSE(CONTROL!$C$22, $C$13, 100%, $E$13)</f>
        <v>14.4786</v>
      </c>
    </row>
    <row r="787" spans="1:11" ht="15">
      <c r="A787" s="13">
        <v>65075</v>
      </c>
      <c r="B787" s="67">
        <f>12.8948 * CHOOSE(CONTROL!$C$22, $C$13, 100%, $E$13)</f>
        <v>12.8948</v>
      </c>
      <c r="C787" s="67">
        <f>12.8948 * CHOOSE(CONTROL!$C$22, $C$13, 100%, $E$13)</f>
        <v>12.8948</v>
      </c>
      <c r="D787" s="67">
        <f>12.8958 * CHOOSE(CONTROL!$C$22, $C$13, 100%, $E$13)</f>
        <v>12.895799999999999</v>
      </c>
      <c r="E787" s="68">
        <f>14.6801 * CHOOSE(CONTROL!$C$22, $C$13, 100%, $E$13)</f>
        <v>14.680099999999999</v>
      </c>
      <c r="F787" s="68">
        <f>14.6801 * CHOOSE(CONTROL!$C$22, $C$13, 100%, $E$13)</f>
        <v>14.680099999999999</v>
      </c>
      <c r="G787" s="68">
        <f>14.6814 * CHOOSE(CONTROL!$C$22, $C$13, 100%, $E$13)</f>
        <v>14.6814</v>
      </c>
      <c r="H787" s="68">
        <f>24.2461* CHOOSE(CONTROL!$C$22, $C$13, 100%, $E$13)</f>
        <v>24.246099999999998</v>
      </c>
      <c r="I787" s="68">
        <f>24.2474 * CHOOSE(CONTROL!$C$22, $C$13, 100%, $E$13)</f>
        <v>24.247399999999999</v>
      </c>
      <c r="J787" s="68">
        <f>14.6801 * CHOOSE(CONTROL!$C$22, $C$13, 100%, $E$13)</f>
        <v>14.680099999999999</v>
      </c>
      <c r="K787" s="68">
        <f>14.6814 * CHOOSE(CONTROL!$C$22, $C$13, 100%, $E$13)</f>
        <v>14.6814</v>
      </c>
    </row>
    <row r="788" spans="1:11" ht="15">
      <c r="A788" s="13">
        <v>65106</v>
      </c>
      <c r="B788" s="67">
        <f>12.8999 * CHOOSE(CONTROL!$C$22, $C$13, 100%, $E$13)</f>
        <v>12.899900000000001</v>
      </c>
      <c r="C788" s="67">
        <f>12.8999 * CHOOSE(CONTROL!$C$22, $C$13, 100%, $E$13)</f>
        <v>12.899900000000001</v>
      </c>
      <c r="D788" s="67">
        <f>12.9009 * CHOOSE(CONTROL!$C$22, $C$13, 100%, $E$13)</f>
        <v>12.9009</v>
      </c>
      <c r="E788" s="68">
        <f>14.8959 * CHOOSE(CONTROL!$C$22, $C$13, 100%, $E$13)</f>
        <v>14.895899999999999</v>
      </c>
      <c r="F788" s="68">
        <f>14.8959 * CHOOSE(CONTROL!$C$22, $C$13, 100%, $E$13)</f>
        <v>14.895899999999999</v>
      </c>
      <c r="G788" s="68">
        <f>14.8972 * CHOOSE(CONTROL!$C$22, $C$13, 100%, $E$13)</f>
        <v>14.8972</v>
      </c>
      <c r="H788" s="68">
        <f>24.2966* CHOOSE(CONTROL!$C$22, $C$13, 100%, $E$13)</f>
        <v>24.296600000000002</v>
      </c>
      <c r="I788" s="68">
        <f>24.2979 * CHOOSE(CONTROL!$C$22, $C$13, 100%, $E$13)</f>
        <v>24.297899999999998</v>
      </c>
      <c r="J788" s="68">
        <f>14.8959 * CHOOSE(CONTROL!$C$22, $C$13, 100%, $E$13)</f>
        <v>14.895899999999999</v>
      </c>
      <c r="K788" s="68">
        <f>14.8972 * CHOOSE(CONTROL!$C$22, $C$13, 100%, $E$13)</f>
        <v>14.8972</v>
      </c>
    </row>
    <row r="789" spans="1:11" ht="15">
      <c r="A789" s="13">
        <v>65136</v>
      </c>
      <c r="B789" s="67">
        <f>12.8999 * CHOOSE(CONTROL!$C$22, $C$13, 100%, $E$13)</f>
        <v>12.899900000000001</v>
      </c>
      <c r="C789" s="67">
        <f>12.8999 * CHOOSE(CONTROL!$C$22, $C$13, 100%, $E$13)</f>
        <v>12.899900000000001</v>
      </c>
      <c r="D789" s="67">
        <f>12.9025 * CHOOSE(CONTROL!$C$22, $C$13, 100%, $E$13)</f>
        <v>12.9025</v>
      </c>
      <c r="E789" s="68">
        <f>14.9784 * CHOOSE(CONTROL!$C$22, $C$13, 100%, $E$13)</f>
        <v>14.978400000000001</v>
      </c>
      <c r="F789" s="68">
        <f>14.9784 * CHOOSE(CONTROL!$C$22, $C$13, 100%, $E$13)</f>
        <v>14.978400000000001</v>
      </c>
      <c r="G789" s="68">
        <f>14.9817 * CHOOSE(CONTROL!$C$22, $C$13, 100%, $E$13)</f>
        <v>14.9817</v>
      </c>
      <c r="H789" s="68">
        <f>24.3472* CHOOSE(CONTROL!$C$22, $C$13, 100%, $E$13)</f>
        <v>24.347200000000001</v>
      </c>
      <c r="I789" s="68">
        <f>24.3505 * CHOOSE(CONTROL!$C$22, $C$13, 100%, $E$13)</f>
        <v>24.3505</v>
      </c>
      <c r="J789" s="68">
        <f>14.9784 * CHOOSE(CONTROL!$C$22, $C$13, 100%, $E$13)</f>
        <v>14.978400000000001</v>
      </c>
      <c r="K789" s="68">
        <f>14.9817 * CHOOSE(CONTROL!$C$22, $C$13, 100%, $E$13)</f>
        <v>14.9817</v>
      </c>
    </row>
    <row r="790" spans="1:11" ht="15">
      <c r="A790" s="13">
        <v>65167</v>
      </c>
      <c r="B790" s="67">
        <f>12.906 * CHOOSE(CONTROL!$C$22, $C$13, 100%, $E$13)</f>
        <v>12.906000000000001</v>
      </c>
      <c r="C790" s="67">
        <f>12.906 * CHOOSE(CONTROL!$C$22, $C$13, 100%, $E$13)</f>
        <v>12.906000000000001</v>
      </c>
      <c r="D790" s="67">
        <f>12.9086 * CHOOSE(CONTROL!$C$22, $C$13, 100%, $E$13)</f>
        <v>12.9086</v>
      </c>
      <c r="E790" s="68">
        <f>14.9001 * CHOOSE(CONTROL!$C$22, $C$13, 100%, $E$13)</f>
        <v>14.9001</v>
      </c>
      <c r="F790" s="68">
        <f>14.9001 * CHOOSE(CONTROL!$C$22, $C$13, 100%, $E$13)</f>
        <v>14.9001</v>
      </c>
      <c r="G790" s="68">
        <f>14.9034 * CHOOSE(CONTROL!$C$22, $C$13, 100%, $E$13)</f>
        <v>14.9034</v>
      </c>
      <c r="H790" s="68">
        <f>24.3979* CHOOSE(CONTROL!$C$22, $C$13, 100%, $E$13)</f>
        <v>24.3979</v>
      </c>
      <c r="I790" s="68">
        <f>24.4012 * CHOOSE(CONTROL!$C$22, $C$13, 100%, $E$13)</f>
        <v>24.401199999999999</v>
      </c>
      <c r="J790" s="68">
        <f>14.9001 * CHOOSE(CONTROL!$C$22, $C$13, 100%, $E$13)</f>
        <v>14.9001</v>
      </c>
      <c r="K790" s="68">
        <f>14.9034 * CHOOSE(CONTROL!$C$22, $C$13, 100%, $E$13)</f>
        <v>14.9034</v>
      </c>
    </row>
    <row r="791" spans="1:11" ht="15">
      <c r="A791" s="13">
        <v>65197</v>
      </c>
      <c r="B791" s="67">
        <f>13.1025 * CHOOSE(CONTROL!$C$22, $C$13, 100%, $E$13)</f>
        <v>13.102499999999999</v>
      </c>
      <c r="C791" s="67">
        <f>13.1025 * CHOOSE(CONTROL!$C$22, $C$13, 100%, $E$13)</f>
        <v>13.102499999999999</v>
      </c>
      <c r="D791" s="67">
        <f>13.1051 * CHOOSE(CONTROL!$C$22, $C$13, 100%, $E$13)</f>
        <v>13.1051</v>
      </c>
      <c r="E791" s="68">
        <f>15.138 * CHOOSE(CONTROL!$C$22, $C$13, 100%, $E$13)</f>
        <v>15.138</v>
      </c>
      <c r="F791" s="68">
        <f>15.138 * CHOOSE(CONTROL!$C$22, $C$13, 100%, $E$13)</f>
        <v>15.138</v>
      </c>
      <c r="G791" s="68">
        <f>15.1413 * CHOOSE(CONTROL!$C$22, $C$13, 100%, $E$13)</f>
        <v>15.141299999999999</v>
      </c>
      <c r="H791" s="68">
        <f>24.4488* CHOOSE(CONTROL!$C$22, $C$13, 100%, $E$13)</f>
        <v>24.448799999999999</v>
      </c>
      <c r="I791" s="68">
        <f>24.452 * CHOOSE(CONTROL!$C$22, $C$13, 100%, $E$13)</f>
        <v>24.452000000000002</v>
      </c>
      <c r="J791" s="68">
        <f>15.138 * CHOOSE(CONTROL!$C$22, $C$13, 100%, $E$13)</f>
        <v>15.138</v>
      </c>
      <c r="K791" s="68">
        <f>15.1413 * CHOOSE(CONTROL!$C$22, $C$13, 100%, $E$13)</f>
        <v>15.141299999999999</v>
      </c>
    </row>
    <row r="792" spans="1:11" ht="15">
      <c r="A792" s="13">
        <v>65228</v>
      </c>
      <c r="B792" s="67">
        <f>13.1092 * CHOOSE(CONTROL!$C$22, $C$13, 100%, $E$13)</f>
        <v>13.1092</v>
      </c>
      <c r="C792" s="67">
        <f>13.1092 * CHOOSE(CONTROL!$C$22, $C$13, 100%, $E$13)</f>
        <v>13.1092</v>
      </c>
      <c r="D792" s="67">
        <f>13.1118 * CHOOSE(CONTROL!$C$22, $C$13, 100%, $E$13)</f>
        <v>13.111800000000001</v>
      </c>
      <c r="E792" s="68">
        <f>14.8951 * CHOOSE(CONTROL!$C$22, $C$13, 100%, $E$13)</f>
        <v>14.895099999999999</v>
      </c>
      <c r="F792" s="68">
        <f>14.8951 * CHOOSE(CONTROL!$C$22, $C$13, 100%, $E$13)</f>
        <v>14.895099999999999</v>
      </c>
      <c r="G792" s="68">
        <f>14.8984 * CHOOSE(CONTROL!$C$22, $C$13, 100%, $E$13)</f>
        <v>14.898400000000001</v>
      </c>
      <c r="H792" s="68">
        <f>24.4997* CHOOSE(CONTROL!$C$22, $C$13, 100%, $E$13)</f>
        <v>24.499700000000001</v>
      </c>
      <c r="I792" s="68">
        <f>24.5029 * CHOOSE(CONTROL!$C$22, $C$13, 100%, $E$13)</f>
        <v>24.5029</v>
      </c>
      <c r="J792" s="68">
        <f>14.8951 * CHOOSE(CONTROL!$C$22, $C$13, 100%, $E$13)</f>
        <v>14.895099999999999</v>
      </c>
      <c r="K792" s="68">
        <f>14.8984 * CHOOSE(CONTROL!$C$22, $C$13, 100%, $E$13)</f>
        <v>14.898400000000001</v>
      </c>
    </row>
    <row r="793" spans="1:11" ht="15">
      <c r="A793" s="13">
        <v>65259</v>
      </c>
      <c r="B793" s="67">
        <f>13.1062 * CHOOSE(CONTROL!$C$22, $C$13, 100%, $E$13)</f>
        <v>13.106199999999999</v>
      </c>
      <c r="C793" s="67">
        <f>13.1062 * CHOOSE(CONTROL!$C$22, $C$13, 100%, $E$13)</f>
        <v>13.106199999999999</v>
      </c>
      <c r="D793" s="67">
        <f>13.1088 * CHOOSE(CONTROL!$C$22, $C$13, 100%, $E$13)</f>
        <v>13.1088</v>
      </c>
      <c r="E793" s="68">
        <f>14.8655 * CHOOSE(CONTROL!$C$22, $C$13, 100%, $E$13)</f>
        <v>14.865500000000001</v>
      </c>
      <c r="F793" s="68">
        <f>14.8655 * CHOOSE(CONTROL!$C$22, $C$13, 100%, $E$13)</f>
        <v>14.865500000000001</v>
      </c>
      <c r="G793" s="68">
        <f>14.8688 * CHOOSE(CONTROL!$C$22, $C$13, 100%, $E$13)</f>
        <v>14.8688</v>
      </c>
      <c r="H793" s="68">
        <f>24.5507* CHOOSE(CONTROL!$C$22, $C$13, 100%, $E$13)</f>
        <v>24.550699999999999</v>
      </c>
      <c r="I793" s="68">
        <f>24.554 * CHOOSE(CONTROL!$C$22, $C$13, 100%, $E$13)</f>
        <v>24.553999999999998</v>
      </c>
      <c r="J793" s="68">
        <f>14.8655 * CHOOSE(CONTROL!$C$22, $C$13, 100%, $E$13)</f>
        <v>14.865500000000001</v>
      </c>
      <c r="K793" s="68">
        <f>14.8688 * CHOOSE(CONTROL!$C$22, $C$13, 100%, $E$13)</f>
        <v>14.8688</v>
      </c>
    </row>
    <row r="794" spans="1:11" ht="15">
      <c r="A794" s="13">
        <v>65289</v>
      </c>
      <c r="B794" s="67">
        <f>13.1306 * CHOOSE(CONTROL!$C$22, $C$13, 100%, $E$13)</f>
        <v>13.130599999999999</v>
      </c>
      <c r="C794" s="67">
        <f>13.1306 * CHOOSE(CONTROL!$C$22, $C$13, 100%, $E$13)</f>
        <v>13.130599999999999</v>
      </c>
      <c r="D794" s="67">
        <f>13.1316 * CHOOSE(CONTROL!$C$22, $C$13, 100%, $E$13)</f>
        <v>13.131600000000001</v>
      </c>
      <c r="E794" s="68">
        <f>14.9621 * CHOOSE(CONTROL!$C$22, $C$13, 100%, $E$13)</f>
        <v>14.9621</v>
      </c>
      <c r="F794" s="68">
        <f>14.9621 * CHOOSE(CONTROL!$C$22, $C$13, 100%, $E$13)</f>
        <v>14.9621</v>
      </c>
      <c r="G794" s="68">
        <f>14.9634 * CHOOSE(CONTROL!$C$22, $C$13, 100%, $E$13)</f>
        <v>14.9634</v>
      </c>
      <c r="H794" s="68">
        <f>24.6019* CHOOSE(CONTROL!$C$22, $C$13, 100%, $E$13)</f>
        <v>24.601900000000001</v>
      </c>
      <c r="I794" s="68">
        <f>24.6032 * CHOOSE(CONTROL!$C$22, $C$13, 100%, $E$13)</f>
        <v>24.603200000000001</v>
      </c>
      <c r="J794" s="68">
        <f>14.9621 * CHOOSE(CONTROL!$C$22, $C$13, 100%, $E$13)</f>
        <v>14.9621</v>
      </c>
      <c r="K794" s="68">
        <f>14.9634 * CHOOSE(CONTROL!$C$22, $C$13, 100%, $E$13)</f>
        <v>14.9634</v>
      </c>
    </row>
    <row r="795" spans="1:11" ht="15">
      <c r="A795" s="13">
        <v>65320</v>
      </c>
      <c r="B795" s="67">
        <f>13.1336 * CHOOSE(CONTROL!$C$22, $C$13, 100%, $E$13)</f>
        <v>13.133599999999999</v>
      </c>
      <c r="C795" s="67">
        <f>13.1336 * CHOOSE(CONTROL!$C$22, $C$13, 100%, $E$13)</f>
        <v>13.133599999999999</v>
      </c>
      <c r="D795" s="67">
        <f>13.1346 * CHOOSE(CONTROL!$C$22, $C$13, 100%, $E$13)</f>
        <v>13.134600000000001</v>
      </c>
      <c r="E795" s="68">
        <f>15.0192 * CHOOSE(CONTROL!$C$22, $C$13, 100%, $E$13)</f>
        <v>15.0192</v>
      </c>
      <c r="F795" s="68">
        <f>15.0192 * CHOOSE(CONTROL!$C$22, $C$13, 100%, $E$13)</f>
        <v>15.0192</v>
      </c>
      <c r="G795" s="68">
        <f>15.0205 * CHOOSE(CONTROL!$C$22, $C$13, 100%, $E$13)</f>
        <v>15.0205</v>
      </c>
      <c r="H795" s="68">
        <f>24.6531* CHOOSE(CONTROL!$C$22, $C$13, 100%, $E$13)</f>
        <v>24.653099999999998</v>
      </c>
      <c r="I795" s="68">
        <f>24.6544 * CHOOSE(CONTROL!$C$22, $C$13, 100%, $E$13)</f>
        <v>24.654399999999999</v>
      </c>
      <c r="J795" s="68">
        <f>15.0192 * CHOOSE(CONTROL!$C$22, $C$13, 100%, $E$13)</f>
        <v>15.0192</v>
      </c>
      <c r="K795" s="68">
        <f>15.0205 * CHOOSE(CONTROL!$C$22, $C$13, 100%, $E$13)</f>
        <v>15.0205</v>
      </c>
    </row>
    <row r="796" spans="1:11" ht="15">
      <c r="A796" s="13">
        <v>65350</v>
      </c>
      <c r="B796" s="67">
        <f>13.1336 * CHOOSE(CONTROL!$C$22, $C$13, 100%, $E$13)</f>
        <v>13.133599999999999</v>
      </c>
      <c r="C796" s="67">
        <f>13.1336 * CHOOSE(CONTROL!$C$22, $C$13, 100%, $E$13)</f>
        <v>13.133599999999999</v>
      </c>
      <c r="D796" s="67">
        <f>13.1346 * CHOOSE(CONTROL!$C$22, $C$13, 100%, $E$13)</f>
        <v>13.134600000000001</v>
      </c>
      <c r="E796" s="68">
        <f>14.8817 * CHOOSE(CONTROL!$C$22, $C$13, 100%, $E$13)</f>
        <v>14.8817</v>
      </c>
      <c r="F796" s="68">
        <f>14.8817 * CHOOSE(CONTROL!$C$22, $C$13, 100%, $E$13)</f>
        <v>14.8817</v>
      </c>
      <c r="G796" s="68">
        <f>14.883 * CHOOSE(CONTROL!$C$22, $C$13, 100%, $E$13)</f>
        <v>14.882999999999999</v>
      </c>
      <c r="H796" s="68">
        <f>24.7045* CHOOSE(CONTROL!$C$22, $C$13, 100%, $E$13)</f>
        <v>24.704499999999999</v>
      </c>
      <c r="I796" s="68">
        <f>24.7058 * CHOOSE(CONTROL!$C$22, $C$13, 100%, $E$13)</f>
        <v>24.7058</v>
      </c>
      <c r="J796" s="68">
        <f>14.8817 * CHOOSE(CONTROL!$C$22, $C$13, 100%, $E$13)</f>
        <v>14.8817</v>
      </c>
      <c r="K796" s="68">
        <f>14.883 * CHOOSE(CONTROL!$C$22, $C$13, 100%, $E$13)</f>
        <v>14.882999999999999</v>
      </c>
    </row>
    <row r="797" spans="1:11" ht="15">
      <c r="A797" s="13">
        <v>65381</v>
      </c>
      <c r="B797" s="67">
        <f>13.1365 * CHOOSE(CONTROL!$C$22, $C$13, 100%, $E$13)</f>
        <v>13.1365</v>
      </c>
      <c r="C797" s="67">
        <f>13.1365 * CHOOSE(CONTROL!$C$22, $C$13, 100%, $E$13)</f>
        <v>13.1365</v>
      </c>
      <c r="D797" s="67">
        <f>13.1374 * CHOOSE(CONTROL!$C$22, $C$13, 100%, $E$13)</f>
        <v>13.1374</v>
      </c>
      <c r="E797" s="68">
        <f>14.9941 * CHOOSE(CONTROL!$C$22, $C$13, 100%, $E$13)</f>
        <v>14.9941</v>
      </c>
      <c r="F797" s="68">
        <f>14.9941 * CHOOSE(CONTROL!$C$22, $C$13, 100%, $E$13)</f>
        <v>14.9941</v>
      </c>
      <c r="G797" s="68">
        <f>14.9953 * CHOOSE(CONTROL!$C$22, $C$13, 100%, $E$13)</f>
        <v>14.9953</v>
      </c>
      <c r="H797" s="68">
        <f>24.5724* CHOOSE(CONTROL!$C$22, $C$13, 100%, $E$13)</f>
        <v>24.572399999999998</v>
      </c>
      <c r="I797" s="68">
        <f>24.5737 * CHOOSE(CONTROL!$C$22, $C$13, 100%, $E$13)</f>
        <v>24.573699999999999</v>
      </c>
      <c r="J797" s="68">
        <f>14.9941 * CHOOSE(CONTROL!$C$22, $C$13, 100%, $E$13)</f>
        <v>14.9941</v>
      </c>
      <c r="K797" s="68">
        <f>14.9953 * CHOOSE(CONTROL!$C$22, $C$13, 100%, $E$13)</f>
        <v>14.9953</v>
      </c>
    </row>
    <row r="798" spans="1:11" ht="15">
      <c r="A798" s="13">
        <v>65412</v>
      </c>
      <c r="B798" s="67">
        <f>13.1334 * CHOOSE(CONTROL!$C$22, $C$13, 100%, $E$13)</f>
        <v>13.1334</v>
      </c>
      <c r="C798" s="67">
        <f>13.1334 * CHOOSE(CONTROL!$C$22, $C$13, 100%, $E$13)</f>
        <v>13.1334</v>
      </c>
      <c r="D798" s="67">
        <f>13.1344 * CHOOSE(CONTROL!$C$22, $C$13, 100%, $E$13)</f>
        <v>13.134399999999999</v>
      </c>
      <c r="E798" s="68">
        <f>14.7271 * CHOOSE(CONTROL!$C$22, $C$13, 100%, $E$13)</f>
        <v>14.7271</v>
      </c>
      <c r="F798" s="68">
        <f>14.7271 * CHOOSE(CONTROL!$C$22, $C$13, 100%, $E$13)</f>
        <v>14.7271</v>
      </c>
      <c r="G798" s="68">
        <f>14.7284 * CHOOSE(CONTROL!$C$22, $C$13, 100%, $E$13)</f>
        <v>14.728400000000001</v>
      </c>
      <c r="H798" s="68">
        <f>24.6236* CHOOSE(CONTROL!$C$22, $C$13, 100%, $E$13)</f>
        <v>24.6236</v>
      </c>
      <c r="I798" s="68">
        <f>24.6249 * CHOOSE(CONTROL!$C$22, $C$13, 100%, $E$13)</f>
        <v>24.6249</v>
      </c>
      <c r="J798" s="68">
        <f>14.7271 * CHOOSE(CONTROL!$C$22, $C$13, 100%, $E$13)</f>
        <v>14.7271</v>
      </c>
      <c r="K798" s="68">
        <f>14.7284 * CHOOSE(CONTROL!$C$22, $C$13, 100%, $E$13)</f>
        <v>14.728400000000001</v>
      </c>
    </row>
    <row r="799" spans="1:11" ht="15">
      <c r="A799" s="13">
        <v>65440</v>
      </c>
      <c r="B799" s="67">
        <f>13.1304 * CHOOSE(CONTROL!$C$22, $C$13, 100%, $E$13)</f>
        <v>13.1304</v>
      </c>
      <c r="C799" s="67">
        <f>13.1304 * CHOOSE(CONTROL!$C$22, $C$13, 100%, $E$13)</f>
        <v>13.1304</v>
      </c>
      <c r="D799" s="67">
        <f>13.1314 * CHOOSE(CONTROL!$C$22, $C$13, 100%, $E$13)</f>
        <v>13.131399999999999</v>
      </c>
      <c r="E799" s="68">
        <f>14.9338 * CHOOSE(CONTROL!$C$22, $C$13, 100%, $E$13)</f>
        <v>14.9338</v>
      </c>
      <c r="F799" s="68">
        <f>14.9338 * CHOOSE(CONTROL!$C$22, $C$13, 100%, $E$13)</f>
        <v>14.9338</v>
      </c>
      <c r="G799" s="68">
        <f>14.9351 * CHOOSE(CONTROL!$C$22, $C$13, 100%, $E$13)</f>
        <v>14.9351</v>
      </c>
      <c r="H799" s="68">
        <f>24.6749* CHOOSE(CONTROL!$C$22, $C$13, 100%, $E$13)</f>
        <v>24.674900000000001</v>
      </c>
      <c r="I799" s="68">
        <f>24.6762 * CHOOSE(CONTROL!$C$22, $C$13, 100%, $E$13)</f>
        <v>24.676200000000001</v>
      </c>
      <c r="J799" s="68">
        <f>14.9338 * CHOOSE(CONTROL!$C$22, $C$13, 100%, $E$13)</f>
        <v>14.9338</v>
      </c>
      <c r="K799" s="68">
        <f>14.9351 * CHOOSE(CONTROL!$C$22, $C$13, 100%, $E$13)</f>
        <v>14.9351</v>
      </c>
    </row>
    <row r="800" spans="1:11" ht="15">
      <c r="A800" s="13">
        <v>65471</v>
      </c>
      <c r="B800" s="67">
        <f>13.1357 * CHOOSE(CONTROL!$C$22, $C$13, 100%, $E$13)</f>
        <v>13.1357</v>
      </c>
      <c r="C800" s="67">
        <f>13.1357 * CHOOSE(CONTROL!$C$22, $C$13, 100%, $E$13)</f>
        <v>13.1357</v>
      </c>
      <c r="D800" s="67">
        <f>13.1367 * CHOOSE(CONTROL!$C$22, $C$13, 100%, $E$13)</f>
        <v>13.136699999999999</v>
      </c>
      <c r="E800" s="68">
        <f>15.1538 * CHOOSE(CONTROL!$C$22, $C$13, 100%, $E$13)</f>
        <v>15.1538</v>
      </c>
      <c r="F800" s="68">
        <f>15.1538 * CHOOSE(CONTROL!$C$22, $C$13, 100%, $E$13)</f>
        <v>15.1538</v>
      </c>
      <c r="G800" s="68">
        <f>15.155 * CHOOSE(CONTROL!$C$22, $C$13, 100%, $E$13)</f>
        <v>15.154999999999999</v>
      </c>
      <c r="H800" s="68">
        <f>24.7263* CHOOSE(CONTROL!$C$22, $C$13, 100%, $E$13)</f>
        <v>24.726299999999998</v>
      </c>
      <c r="I800" s="68">
        <f>24.7276 * CHOOSE(CONTROL!$C$22, $C$13, 100%, $E$13)</f>
        <v>24.727599999999999</v>
      </c>
      <c r="J800" s="68">
        <f>15.1538 * CHOOSE(CONTROL!$C$22, $C$13, 100%, $E$13)</f>
        <v>15.1538</v>
      </c>
      <c r="K800" s="68">
        <f>15.155 * CHOOSE(CONTROL!$C$22, $C$13, 100%, $E$13)</f>
        <v>15.154999999999999</v>
      </c>
    </row>
    <row r="801" spans="1:11" ht="15">
      <c r="A801" s="13">
        <v>65501</v>
      </c>
      <c r="B801" s="67">
        <f>13.1357 * CHOOSE(CONTROL!$C$22, $C$13, 100%, $E$13)</f>
        <v>13.1357</v>
      </c>
      <c r="C801" s="67">
        <f>13.1357 * CHOOSE(CONTROL!$C$22, $C$13, 100%, $E$13)</f>
        <v>13.1357</v>
      </c>
      <c r="D801" s="67">
        <f>13.1383 * CHOOSE(CONTROL!$C$22, $C$13, 100%, $E$13)</f>
        <v>13.138299999999999</v>
      </c>
      <c r="E801" s="68">
        <f>15.2378 * CHOOSE(CONTROL!$C$22, $C$13, 100%, $E$13)</f>
        <v>15.2378</v>
      </c>
      <c r="F801" s="68">
        <f>15.2378 * CHOOSE(CONTROL!$C$22, $C$13, 100%, $E$13)</f>
        <v>15.2378</v>
      </c>
      <c r="G801" s="68">
        <f>15.2411 * CHOOSE(CONTROL!$C$22, $C$13, 100%, $E$13)</f>
        <v>15.241099999999999</v>
      </c>
      <c r="H801" s="68">
        <f>24.7778* CHOOSE(CONTROL!$C$22, $C$13, 100%, $E$13)</f>
        <v>24.777799999999999</v>
      </c>
      <c r="I801" s="68">
        <f>24.781 * CHOOSE(CONTROL!$C$22, $C$13, 100%, $E$13)</f>
        <v>24.780999999999999</v>
      </c>
      <c r="J801" s="68">
        <f>15.2378 * CHOOSE(CONTROL!$C$22, $C$13, 100%, $E$13)</f>
        <v>15.2378</v>
      </c>
      <c r="K801" s="68">
        <f>15.2411 * CHOOSE(CONTROL!$C$22, $C$13, 100%, $E$13)</f>
        <v>15.241099999999999</v>
      </c>
    </row>
    <row r="802" spans="1:11" ht="15">
      <c r="A802" s="13">
        <v>65532</v>
      </c>
      <c r="B802" s="67">
        <f>13.1418 * CHOOSE(CONTROL!$C$22, $C$13, 100%, $E$13)</f>
        <v>13.1418</v>
      </c>
      <c r="C802" s="67">
        <f>13.1418 * CHOOSE(CONTROL!$C$22, $C$13, 100%, $E$13)</f>
        <v>13.1418</v>
      </c>
      <c r="D802" s="67">
        <f>13.1444 * CHOOSE(CONTROL!$C$22, $C$13, 100%, $E$13)</f>
        <v>13.144399999999999</v>
      </c>
      <c r="E802" s="68">
        <f>15.158 * CHOOSE(CONTROL!$C$22, $C$13, 100%, $E$13)</f>
        <v>15.157999999999999</v>
      </c>
      <c r="F802" s="68">
        <f>15.158 * CHOOSE(CONTROL!$C$22, $C$13, 100%, $E$13)</f>
        <v>15.157999999999999</v>
      </c>
      <c r="G802" s="68">
        <f>15.1613 * CHOOSE(CONTROL!$C$22, $C$13, 100%, $E$13)</f>
        <v>15.161300000000001</v>
      </c>
      <c r="H802" s="68">
        <f>24.8294* CHOOSE(CONTROL!$C$22, $C$13, 100%, $E$13)</f>
        <v>24.8294</v>
      </c>
      <c r="I802" s="68">
        <f>24.8327 * CHOOSE(CONTROL!$C$22, $C$13, 100%, $E$13)</f>
        <v>24.832699999999999</v>
      </c>
      <c r="J802" s="68">
        <f>15.158 * CHOOSE(CONTROL!$C$22, $C$13, 100%, $E$13)</f>
        <v>15.157999999999999</v>
      </c>
      <c r="K802" s="68">
        <f>15.1613 * CHOOSE(CONTROL!$C$22, $C$13, 100%, $E$13)</f>
        <v>15.161300000000001</v>
      </c>
    </row>
    <row r="803" spans="1:11" ht="15">
      <c r="A803" s="13">
        <v>65562</v>
      </c>
      <c r="B803" s="67">
        <f>13.3417 * CHOOSE(CONTROL!$C$22, $C$13, 100%, $E$13)</f>
        <v>13.341699999999999</v>
      </c>
      <c r="C803" s="67">
        <f>13.3417 * CHOOSE(CONTROL!$C$22, $C$13, 100%, $E$13)</f>
        <v>13.341699999999999</v>
      </c>
      <c r="D803" s="67">
        <f>13.3443 * CHOOSE(CONTROL!$C$22, $C$13, 100%, $E$13)</f>
        <v>13.3443</v>
      </c>
      <c r="E803" s="68">
        <f>15.3998 * CHOOSE(CONTROL!$C$22, $C$13, 100%, $E$13)</f>
        <v>15.399800000000001</v>
      </c>
      <c r="F803" s="68">
        <f>15.3998 * CHOOSE(CONTROL!$C$22, $C$13, 100%, $E$13)</f>
        <v>15.399800000000001</v>
      </c>
      <c r="G803" s="68">
        <f>15.4031 * CHOOSE(CONTROL!$C$22, $C$13, 100%, $E$13)</f>
        <v>15.4031</v>
      </c>
      <c r="H803" s="68">
        <f>24.8811* CHOOSE(CONTROL!$C$22, $C$13, 100%, $E$13)</f>
        <v>24.8811</v>
      </c>
      <c r="I803" s="68">
        <f>24.8844 * CHOOSE(CONTROL!$C$22, $C$13, 100%, $E$13)</f>
        <v>24.884399999999999</v>
      </c>
      <c r="J803" s="68">
        <f>15.3998 * CHOOSE(CONTROL!$C$22, $C$13, 100%, $E$13)</f>
        <v>15.399800000000001</v>
      </c>
      <c r="K803" s="68">
        <f>15.4031 * CHOOSE(CONTROL!$C$22, $C$13, 100%, $E$13)</f>
        <v>15.4031</v>
      </c>
    </row>
    <row r="804" spans="1:11" ht="15">
      <c r="A804" s="13">
        <v>65593</v>
      </c>
      <c r="B804" s="67">
        <f>13.3484 * CHOOSE(CONTROL!$C$22, $C$13, 100%, $E$13)</f>
        <v>13.3484</v>
      </c>
      <c r="C804" s="67">
        <f>13.3484 * CHOOSE(CONTROL!$C$22, $C$13, 100%, $E$13)</f>
        <v>13.3484</v>
      </c>
      <c r="D804" s="67">
        <f>13.351 * CHOOSE(CONTROL!$C$22, $C$13, 100%, $E$13)</f>
        <v>13.351000000000001</v>
      </c>
      <c r="E804" s="68">
        <f>15.1522 * CHOOSE(CONTROL!$C$22, $C$13, 100%, $E$13)</f>
        <v>15.152200000000001</v>
      </c>
      <c r="F804" s="68">
        <f>15.1522 * CHOOSE(CONTROL!$C$22, $C$13, 100%, $E$13)</f>
        <v>15.152200000000001</v>
      </c>
      <c r="G804" s="68">
        <f>15.1555 * CHOOSE(CONTROL!$C$22, $C$13, 100%, $E$13)</f>
        <v>15.1555</v>
      </c>
      <c r="H804" s="68">
        <f>24.933* CHOOSE(CONTROL!$C$22, $C$13, 100%, $E$13)</f>
        <v>24.933</v>
      </c>
      <c r="I804" s="68">
        <f>24.9362 * CHOOSE(CONTROL!$C$22, $C$13, 100%, $E$13)</f>
        <v>24.936199999999999</v>
      </c>
      <c r="J804" s="68">
        <f>15.1522 * CHOOSE(CONTROL!$C$22, $C$13, 100%, $E$13)</f>
        <v>15.152200000000001</v>
      </c>
      <c r="K804" s="68">
        <f>15.1555 * CHOOSE(CONTROL!$C$22, $C$13, 100%, $E$13)</f>
        <v>15.1555</v>
      </c>
    </row>
    <row r="805" spans="1:11" ht="15">
      <c r="A805" s="13">
        <v>65624</v>
      </c>
      <c r="B805" s="67">
        <f>13.3454 * CHOOSE(CONTROL!$C$22, $C$13, 100%, $E$13)</f>
        <v>13.3454</v>
      </c>
      <c r="C805" s="67">
        <f>13.3454 * CHOOSE(CONTROL!$C$22, $C$13, 100%, $E$13)</f>
        <v>13.3454</v>
      </c>
      <c r="D805" s="67">
        <f>13.348 * CHOOSE(CONTROL!$C$22, $C$13, 100%, $E$13)</f>
        <v>13.348000000000001</v>
      </c>
      <c r="E805" s="68">
        <f>15.1221 * CHOOSE(CONTROL!$C$22, $C$13, 100%, $E$13)</f>
        <v>15.1221</v>
      </c>
      <c r="F805" s="68">
        <f>15.1221 * CHOOSE(CONTROL!$C$22, $C$13, 100%, $E$13)</f>
        <v>15.1221</v>
      </c>
      <c r="G805" s="68">
        <f>15.1253 * CHOOSE(CONTROL!$C$22, $C$13, 100%, $E$13)</f>
        <v>15.125299999999999</v>
      </c>
      <c r="H805" s="68">
        <f>24.9849* CHOOSE(CONTROL!$C$22, $C$13, 100%, $E$13)</f>
        <v>24.9849</v>
      </c>
      <c r="I805" s="68">
        <f>24.9882 * CHOOSE(CONTROL!$C$22, $C$13, 100%, $E$13)</f>
        <v>24.988199999999999</v>
      </c>
      <c r="J805" s="68">
        <f>15.1221 * CHOOSE(CONTROL!$C$22, $C$13, 100%, $E$13)</f>
        <v>15.1221</v>
      </c>
      <c r="K805" s="68">
        <f>15.1253 * CHOOSE(CONTROL!$C$22, $C$13, 100%, $E$13)</f>
        <v>15.125299999999999</v>
      </c>
    </row>
    <row r="806" spans="1:11" ht="15">
      <c r="A806" s="13">
        <v>65654</v>
      </c>
      <c r="B806" s="67">
        <f>13.3705 * CHOOSE(CONTROL!$C$22, $C$13, 100%, $E$13)</f>
        <v>13.3705</v>
      </c>
      <c r="C806" s="67">
        <f>13.3705 * CHOOSE(CONTROL!$C$22, $C$13, 100%, $E$13)</f>
        <v>13.3705</v>
      </c>
      <c r="D806" s="67">
        <f>13.3715 * CHOOSE(CONTROL!$C$22, $C$13, 100%, $E$13)</f>
        <v>13.371499999999999</v>
      </c>
      <c r="E806" s="68">
        <f>15.2207 * CHOOSE(CONTROL!$C$22, $C$13, 100%, $E$13)</f>
        <v>15.220700000000001</v>
      </c>
      <c r="F806" s="68">
        <f>15.2207 * CHOOSE(CONTROL!$C$22, $C$13, 100%, $E$13)</f>
        <v>15.220700000000001</v>
      </c>
      <c r="G806" s="68">
        <f>15.222 * CHOOSE(CONTROL!$C$22, $C$13, 100%, $E$13)</f>
        <v>15.222</v>
      </c>
      <c r="H806" s="68">
        <f>25.037* CHOOSE(CONTROL!$C$22, $C$13, 100%, $E$13)</f>
        <v>25.036999999999999</v>
      </c>
      <c r="I806" s="68">
        <f>25.0383 * CHOOSE(CONTROL!$C$22, $C$13, 100%, $E$13)</f>
        <v>25.0383</v>
      </c>
      <c r="J806" s="68">
        <f>15.2207 * CHOOSE(CONTROL!$C$22, $C$13, 100%, $E$13)</f>
        <v>15.220700000000001</v>
      </c>
      <c r="K806" s="68">
        <f>15.222 * CHOOSE(CONTROL!$C$22, $C$13, 100%, $E$13)</f>
        <v>15.222</v>
      </c>
    </row>
    <row r="807" spans="1:11" ht="15">
      <c r="A807" s="13">
        <v>65685</v>
      </c>
      <c r="B807" s="67">
        <f>13.3736 * CHOOSE(CONTROL!$C$22, $C$13, 100%, $E$13)</f>
        <v>13.3736</v>
      </c>
      <c r="C807" s="67">
        <f>13.3736 * CHOOSE(CONTROL!$C$22, $C$13, 100%, $E$13)</f>
        <v>13.3736</v>
      </c>
      <c r="D807" s="67">
        <f>13.3746 * CHOOSE(CONTROL!$C$22, $C$13, 100%, $E$13)</f>
        <v>13.374599999999999</v>
      </c>
      <c r="E807" s="68">
        <f>15.2789 * CHOOSE(CONTROL!$C$22, $C$13, 100%, $E$13)</f>
        <v>15.2789</v>
      </c>
      <c r="F807" s="68">
        <f>15.2789 * CHOOSE(CONTROL!$C$22, $C$13, 100%, $E$13)</f>
        <v>15.2789</v>
      </c>
      <c r="G807" s="68">
        <f>15.2802 * CHOOSE(CONTROL!$C$22, $C$13, 100%, $E$13)</f>
        <v>15.280200000000001</v>
      </c>
      <c r="H807" s="68">
        <f>25.0891* CHOOSE(CONTROL!$C$22, $C$13, 100%, $E$13)</f>
        <v>25.089099999999998</v>
      </c>
      <c r="I807" s="68">
        <f>25.0904 * CHOOSE(CONTROL!$C$22, $C$13, 100%, $E$13)</f>
        <v>25.090399999999999</v>
      </c>
      <c r="J807" s="68">
        <f>15.2789 * CHOOSE(CONTROL!$C$22, $C$13, 100%, $E$13)</f>
        <v>15.2789</v>
      </c>
      <c r="K807" s="68">
        <f>15.2802 * CHOOSE(CONTROL!$C$22, $C$13, 100%, $E$13)</f>
        <v>15.280200000000001</v>
      </c>
    </row>
    <row r="808" spans="1:11" ht="15">
      <c r="A808" s="13">
        <v>65715</v>
      </c>
      <c r="B808" s="67">
        <f>13.3736 * CHOOSE(CONTROL!$C$22, $C$13, 100%, $E$13)</f>
        <v>13.3736</v>
      </c>
      <c r="C808" s="67">
        <f>13.3736 * CHOOSE(CONTROL!$C$22, $C$13, 100%, $E$13)</f>
        <v>13.3736</v>
      </c>
      <c r="D808" s="67">
        <f>13.3746 * CHOOSE(CONTROL!$C$22, $C$13, 100%, $E$13)</f>
        <v>13.374599999999999</v>
      </c>
      <c r="E808" s="68">
        <f>15.1388 * CHOOSE(CONTROL!$C$22, $C$13, 100%, $E$13)</f>
        <v>15.1388</v>
      </c>
      <c r="F808" s="68">
        <f>15.1388 * CHOOSE(CONTROL!$C$22, $C$13, 100%, $E$13)</f>
        <v>15.1388</v>
      </c>
      <c r="G808" s="68">
        <f>15.1401 * CHOOSE(CONTROL!$C$22, $C$13, 100%, $E$13)</f>
        <v>15.1401</v>
      </c>
      <c r="H808" s="68">
        <f>25.1414* CHOOSE(CONTROL!$C$22, $C$13, 100%, $E$13)</f>
        <v>25.141400000000001</v>
      </c>
      <c r="I808" s="68">
        <f>25.1427 * CHOOSE(CONTROL!$C$22, $C$13, 100%, $E$13)</f>
        <v>25.142700000000001</v>
      </c>
      <c r="J808" s="68">
        <f>15.1388 * CHOOSE(CONTROL!$C$22, $C$13, 100%, $E$13)</f>
        <v>15.1388</v>
      </c>
      <c r="K808" s="68">
        <f>15.1401 * CHOOSE(CONTROL!$C$22, $C$13, 100%, $E$13)</f>
        <v>15.1401</v>
      </c>
    </row>
    <row r="809" spans="1:11" ht="15">
      <c r="A809" s="13">
        <v>65746</v>
      </c>
      <c r="B809" s="67">
        <f>13.372 * CHOOSE(CONTROL!$C$22, $C$13, 100%, $E$13)</f>
        <v>13.372</v>
      </c>
      <c r="C809" s="67">
        <f>13.372 * CHOOSE(CONTROL!$C$22, $C$13, 100%, $E$13)</f>
        <v>13.372</v>
      </c>
      <c r="D809" s="67">
        <f>13.373 * CHOOSE(CONTROL!$C$22, $C$13, 100%, $E$13)</f>
        <v>13.372999999999999</v>
      </c>
      <c r="E809" s="68">
        <f>15.2488 * CHOOSE(CONTROL!$C$22, $C$13, 100%, $E$13)</f>
        <v>15.248799999999999</v>
      </c>
      <c r="F809" s="68">
        <f>15.2488 * CHOOSE(CONTROL!$C$22, $C$13, 100%, $E$13)</f>
        <v>15.248799999999999</v>
      </c>
      <c r="G809" s="68">
        <f>15.2501 * CHOOSE(CONTROL!$C$22, $C$13, 100%, $E$13)</f>
        <v>15.2501</v>
      </c>
      <c r="H809" s="68">
        <f>24.9994* CHOOSE(CONTROL!$C$22, $C$13, 100%, $E$13)</f>
        <v>24.999400000000001</v>
      </c>
      <c r="I809" s="68">
        <f>25.0007 * CHOOSE(CONTROL!$C$22, $C$13, 100%, $E$13)</f>
        <v>25.000699999999998</v>
      </c>
      <c r="J809" s="68">
        <f>15.2488 * CHOOSE(CONTROL!$C$22, $C$13, 100%, $E$13)</f>
        <v>15.248799999999999</v>
      </c>
      <c r="K809" s="68">
        <f>15.2501 * CHOOSE(CONTROL!$C$22, $C$13, 100%, $E$13)</f>
        <v>15.2501</v>
      </c>
    </row>
    <row r="810" spans="1:11" ht="15">
      <c r="A810" s="13">
        <v>65777</v>
      </c>
      <c r="B810" s="67">
        <f>13.369 * CHOOSE(CONTROL!$C$22, $C$13, 100%, $E$13)</f>
        <v>13.369</v>
      </c>
      <c r="C810" s="67">
        <f>13.369 * CHOOSE(CONTROL!$C$22, $C$13, 100%, $E$13)</f>
        <v>13.369</v>
      </c>
      <c r="D810" s="67">
        <f>13.37 * CHOOSE(CONTROL!$C$22, $C$13, 100%, $E$13)</f>
        <v>13.37</v>
      </c>
      <c r="E810" s="68">
        <f>14.9769 * CHOOSE(CONTROL!$C$22, $C$13, 100%, $E$13)</f>
        <v>14.976900000000001</v>
      </c>
      <c r="F810" s="68">
        <f>14.9769 * CHOOSE(CONTROL!$C$22, $C$13, 100%, $E$13)</f>
        <v>14.976900000000001</v>
      </c>
      <c r="G810" s="68">
        <f>14.9782 * CHOOSE(CONTROL!$C$22, $C$13, 100%, $E$13)</f>
        <v>14.978199999999999</v>
      </c>
      <c r="H810" s="68">
        <f>25.0515* CHOOSE(CONTROL!$C$22, $C$13, 100%, $E$13)</f>
        <v>25.051500000000001</v>
      </c>
      <c r="I810" s="68">
        <f>25.0528 * CHOOSE(CONTROL!$C$22, $C$13, 100%, $E$13)</f>
        <v>25.052800000000001</v>
      </c>
      <c r="J810" s="68">
        <f>14.9769 * CHOOSE(CONTROL!$C$22, $C$13, 100%, $E$13)</f>
        <v>14.976900000000001</v>
      </c>
      <c r="K810" s="68">
        <f>14.9782 * CHOOSE(CONTROL!$C$22, $C$13, 100%, $E$13)</f>
        <v>14.978199999999999</v>
      </c>
    </row>
    <row r="811" spans="1:11" ht="15">
      <c r="A811" s="13">
        <v>65806</v>
      </c>
      <c r="B811" s="67">
        <f>13.3659 * CHOOSE(CONTROL!$C$22, $C$13, 100%, $E$13)</f>
        <v>13.3659</v>
      </c>
      <c r="C811" s="67">
        <f>13.3659 * CHOOSE(CONTROL!$C$22, $C$13, 100%, $E$13)</f>
        <v>13.3659</v>
      </c>
      <c r="D811" s="67">
        <f>13.3669 * CHOOSE(CONTROL!$C$22, $C$13, 100%, $E$13)</f>
        <v>13.366899999999999</v>
      </c>
      <c r="E811" s="68">
        <f>15.1874 * CHOOSE(CONTROL!$C$22, $C$13, 100%, $E$13)</f>
        <v>15.1874</v>
      </c>
      <c r="F811" s="68">
        <f>15.1874 * CHOOSE(CONTROL!$C$22, $C$13, 100%, $E$13)</f>
        <v>15.1874</v>
      </c>
      <c r="G811" s="68">
        <f>15.1887 * CHOOSE(CONTROL!$C$22, $C$13, 100%, $E$13)</f>
        <v>15.188700000000001</v>
      </c>
      <c r="H811" s="68">
        <f>25.1037* CHOOSE(CONTROL!$C$22, $C$13, 100%, $E$13)</f>
        <v>25.1037</v>
      </c>
      <c r="I811" s="68">
        <f>25.105 * CHOOSE(CONTROL!$C$22, $C$13, 100%, $E$13)</f>
        <v>25.105</v>
      </c>
      <c r="J811" s="68">
        <f>15.1874 * CHOOSE(CONTROL!$C$22, $C$13, 100%, $E$13)</f>
        <v>15.1874</v>
      </c>
      <c r="K811" s="68">
        <f>15.1887 * CHOOSE(CONTROL!$C$22, $C$13, 100%, $E$13)</f>
        <v>15.188700000000001</v>
      </c>
    </row>
    <row r="812" spans="1:11" ht="15">
      <c r="A812" s="13">
        <v>65837</v>
      </c>
      <c r="B812" s="67">
        <f>13.3715 * CHOOSE(CONTROL!$C$22, $C$13, 100%, $E$13)</f>
        <v>13.371499999999999</v>
      </c>
      <c r="C812" s="67">
        <f>13.3715 * CHOOSE(CONTROL!$C$22, $C$13, 100%, $E$13)</f>
        <v>13.371499999999999</v>
      </c>
      <c r="D812" s="67">
        <f>13.3724 * CHOOSE(CONTROL!$C$22, $C$13, 100%, $E$13)</f>
        <v>13.372400000000001</v>
      </c>
      <c r="E812" s="68">
        <f>15.4116 * CHOOSE(CONTROL!$C$22, $C$13, 100%, $E$13)</f>
        <v>15.4116</v>
      </c>
      <c r="F812" s="68">
        <f>15.4116 * CHOOSE(CONTROL!$C$22, $C$13, 100%, $E$13)</f>
        <v>15.4116</v>
      </c>
      <c r="G812" s="68">
        <f>15.4129 * CHOOSE(CONTROL!$C$22, $C$13, 100%, $E$13)</f>
        <v>15.4129</v>
      </c>
      <c r="H812" s="68">
        <f>25.156* CHOOSE(CONTROL!$C$22, $C$13, 100%, $E$13)</f>
        <v>25.155999999999999</v>
      </c>
      <c r="I812" s="68">
        <f>25.1573 * CHOOSE(CONTROL!$C$22, $C$13, 100%, $E$13)</f>
        <v>25.157299999999999</v>
      </c>
      <c r="J812" s="68">
        <f>15.4116 * CHOOSE(CONTROL!$C$22, $C$13, 100%, $E$13)</f>
        <v>15.4116</v>
      </c>
      <c r="K812" s="68">
        <f>15.4129 * CHOOSE(CONTROL!$C$22, $C$13, 100%, $E$13)</f>
        <v>15.4129</v>
      </c>
    </row>
    <row r="813" spans="1:11" ht="15">
      <c r="A813" s="13">
        <v>65867</v>
      </c>
      <c r="B813" s="67">
        <f>13.3715 * CHOOSE(CONTROL!$C$22, $C$13, 100%, $E$13)</f>
        <v>13.371499999999999</v>
      </c>
      <c r="C813" s="67">
        <f>13.3715 * CHOOSE(CONTROL!$C$22, $C$13, 100%, $E$13)</f>
        <v>13.371499999999999</v>
      </c>
      <c r="D813" s="67">
        <f>13.3741 * CHOOSE(CONTROL!$C$22, $C$13, 100%, $E$13)</f>
        <v>13.3741</v>
      </c>
      <c r="E813" s="68">
        <f>15.4973 * CHOOSE(CONTROL!$C$22, $C$13, 100%, $E$13)</f>
        <v>15.497299999999999</v>
      </c>
      <c r="F813" s="68">
        <f>15.4973 * CHOOSE(CONTROL!$C$22, $C$13, 100%, $E$13)</f>
        <v>15.497299999999999</v>
      </c>
      <c r="G813" s="68">
        <f>15.5005 * CHOOSE(CONTROL!$C$22, $C$13, 100%, $E$13)</f>
        <v>15.500500000000001</v>
      </c>
      <c r="H813" s="68">
        <f>25.2084* CHOOSE(CONTROL!$C$22, $C$13, 100%, $E$13)</f>
        <v>25.208400000000001</v>
      </c>
      <c r="I813" s="68">
        <f>25.2116 * CHOOSE(CONTROL!$C$22, $C$13, 100%, $E$13)</f>
        <v>25.211600000000001</v>
      </c>
      <c r="J813" s="68">
        <f>15.4973 * CHOOSE(CONTROL!$C$22, $C$13, 100%, $E$13)</f>
        <v>15.497299999999999</v>
      </c>
      <c r="K813" s="68">
        <f>15.5005 * CHOOSE(CONTROL!$C$22, $C$13, 100%, $E$13)</f>
        <v>15.500500000000001</v>
      </c>
    </row>
    <row r="814" spans="1:11" ht="15">
      <c r="A814" s="13">
        <v>65898</v>
      </c>
      <c r="B814" s="67">
        <f>13.3775 * CHOOSE(CONTROL!$C$22, $C$13, 100%, $E$13)</f>
        <v>13.3775</v>
      </c>
      <c r="C814" s="67">
        <f>13.3775 * CHOOSE(CONTROL!$C$22, $C$13, 100%, $E$13)</f>
        <v>13.3775</v>
      </c>
      <c r="D814" s="67">
        <f>13.3801 * CHOOSE(CONTROL!$C$22, $C$13, 100%, $E$13)</f>
        <v>13.380100000000001</v>
      </c>
      <c r="E814" s="68">
        <f>15.4159 * CHOOSE(CONTROL!$C$22, $C$13, 100%, $E$13)</f>
        <v>15.415900000000001</v>
      </c>
      <c r="F814" s="68">
        <f>15.4159 * CHOOSE(CONTROL!$C$22, $C$13, 100%, $E$13)</f>
        <v>15.415900000000001</v>
      </c>
      <c r="G814" s="68">
        <f>15.4191 * CHOOSE(CONTROL!$C$22, $C$13, 100%, $E$13)</f>
        <v>15.4191</v>
      </c>
      <c r="H814" s="68">
        <f>25.2609* CHOOSE(CONTROL!$C$22, $C$13, 100%, $E$13)</f>
        <v>25.260899999999999</v>
      </c>
      <c r="I814" s="68">
        <f>25.2642 * CHOOSE(CONTROL!$C$22, $C$13, 100%, $E$13)</f>
        <v>25.264199999999999</v>
      </c>
      <c r="J814" s="68">
        <f>15.4159 * CHOOSE(CONTROL!$C$22, $C$13, 100%, $E$13)</f>
        <v>15.415900000000001</v>
      </c>
      <c r="K814" s="68">
        <f>15.4191 * CHOOSE(CONTROL!$C$22, $C$13, 100%, $E$13)</f>
        <v>15.4191</v>
      </c>
    </row>
    <row r="815" spans="1:11" ht="15">
      <c r="A815" s="13">
        <v>65928</v>
      </c>
      <c r="B815" s="67">
        <f>13.5809 * CHOOSE(CONTROL!$C$22, $C$13, 100%, $E$13)</f>
        <v>13.5809</v>
      </c>
      <c r="C815" s="67">
        <f>13.5809 * CHOOSE(CONTROL!$C$22, $C$13, 100%, $E$13)</f>
        <v>13.5809</v>
      </c>
      <c r="D815" s="67">
        <f>13.5835 * CHOOSE(CONTROL!$C$22, $C$13, 100%, $E$13)</f>
        <v>13.583500000000001</v>
      </c>
      <c r="E815" s="68">
        <f>15.6616 * CHOOSE(CONTROL!$C$22, $C$13, 100%, $E$13)</f>
        <v>15.6616</v>
      </c>
      <c r="F815" s="68">
        <f>15.6616 * CHOOSE(CONTROL!$C$22, $C$13, 100%, $E$13)</f>
        <v>15.6616</v>
      </c>
      <c r="G815" s="68">
        <f>15.6648 * CHOOSE(CONTROL!$C$22, $C$13, 100%, $E$13)</f>
        <v>15.6648</v>
      </c>
      <c r="H815" s="68">
        <f>25.3135* CHOOSE(CONTROL!$C$22, $C$13, 100%, $E$13)</f>
        <v>25.313500000000001</v>
      </c>
      <c r="I815" s="68">
        <f>25.3168 * CHOOSE(CONTROL!$C$22, $C$13, 100%, $E$13)</f>
        <v>25.316800000000001</v>
      </c>
      <c r="J815" s="68">
        <f>15.6616 * CHOOSE(CONTROL!$C$22, $C$13, 100%, $E$13)</f>
        <v>15.6616</v>
      </c>
      <c r="K815" s="68">
        <f>15.6648 * CHOOSE(CONTROL!$C$22, $C$13, 100%, $E$13)</f>
        <v>15.6648</v>
      </c>
    </row>
    <row r="816" spans="1:11" ht="15">
      <c r="A816" s="13">
        <v>65959</v>
      </c>
      <c r="B816" s="67">
        <f>13.5876 * CHOOSE(CONTROL!$C$22, $C$13, 100%, $E$13)</f>
        <v>13.5876</v>
      </c>
      <c r="C816" s="67">
        <f>13.5876 * CHOOSE(CONTROL!$C$22, $C$13, 100%, $E$13)</f>
        <v>13.5876</v>
      </c>
      <c r="D816" s="67">
        <f>13.5902 * CHOOSE(CONTROL!$C$22, $C$13, 100%, $E$13)</f>
        <v>13.590199999999999</v>
      </c>
      <c r="E816" s="68">
        <f>15.4093 * CHOOSE(CONTROL!$C$22, $C$13, 100%, $E$13)</f>
        <v>15.4093</v>
      </c>
      <c r="F816" s="68">
        <f>15.4093 * CHOOSE(CONTROL!$C$22, $C$13, 100%, $E$13)</f>
        <v>15.4093</v>
      </c>
      <c r="G816" s="68">
        <f>15.4125 * CHOOSE(CONTROL!$C$22, $C$13, 100%, $E$13)</f>
        <v>15.4125</v>
      </c>
      <c r="H816" s="68">
        <f>25.3663* CHOOSE(CONTROL!$C$22, $C$13, 100%, $E$13)</f>
        <v>25.366299999999999</v>
      </c>
      <c r="I816" s="68">
        <f>25.3695 * CHOOSE(CONTROL!$C$22, $C$13, 100%, $E$13)</f>
        <v>25.369499999999999</v>
      </c>
      <c r="J816" s="68">
        <f>15.4093 * CHOOSE(CONTROL!$C$22, $C$13, 100%, $E$13)</f>
        <v>15.4093</v>
      </c>
      <c r="K816" s="68">
        <f>15.4125 * CHOOSE(CONTROL!$C$22, $C$13, 100%, $E$13)</f>
        <v>15.4125</v>
      </c>
    </row>
    <row r="817" spans="1:11" ht="15">
      <c r="A817" s="13">
        <v>65990</v>
      </c>
      <c r="B817" s="67">
        <f>13.5845 * CHOOSE(CONTROL!$C$22, $C$13, 100%, $E$13)</f>
        <v>13.5845</v>
      </c>
      <c r="C817" s="67">
        <f>13.5845 * CHOOSE(CONTROL!$C$22, $C$13, 100%, $E$13)</f>
        <v>13.5845</v>
      </c>
      <c r="D817" s="67">
        <f>13.5871 * CHOOSE(CONTROL!$C$22, $C$13, 100%, $E$13)</f>
        <v>13.5871</v>
      </c>
      <c r="E817" s="68">
        <f>15.3786 * CHOOSE(CONTROL!$C$22, $C$13, 100%, $E$13)</f>
        <v>15.3786</v>
      </c>
      <c r="F817" s="68">
        <f>15.3786 * CHOOSE(CONTROL!$C$22, $C$13, 100%, $E$13)</f>
        <v>15.3786</v>
      </c>
      <c r="G817" s="68">
        <f>15.3819 * CHOOSE(CONTROL!$C$22, $C$13, 100%, $E$13)</f>
        <v>15.3819</v>
      </c>
      <c r="H817" s="68">
        <f>25.4191* CHOOSE(CONTROL!$C$22, $C$13, 100%, $E$13)</f>
        <v>25.4191</v>
      </c>
      <c r="I817" s="68">
        <f>25.4224 * CHOOSE(CONTROL!$C$22, $C$13, 100%, $E$13)</f>
        <v>25.4224</v>
      </c>
      <c r="J817" s="68">
        <f>15.3786 * CHOOSE(CONTROL!$C$22, $C$13, 100%, $E$13)</f>
        <v>15.3786</v>
      </c>
      <c r="K817" s="68">
        <f>15.3819 * CHOOSE(CONTROL!$C$22, $C$13, 100%, $E$13)</f>
        <v>15.3819</v>
      </c>
    </row>
    <row r="818" spans="1:11" ht="15">
      <c r="A818" s="13">
        <v>66020</v>
      </c>
      <c r="B818" s="67">
        <f>13.6105 * CHOOSE(CONTROL!$C$22, $C$13, 100%, $E$13)</f>
        <v>13.6105</v>
      </c>
      <c r="C818" s="67">
        <f>13.6105 * CHOOSE(CONTROL!$C$22, $C$13, 100%, $E$13)</f>
        <v>13.6105</v>
      </c>
      <c r="D818" s="67">
        <f>13.6115 * CHOOSE(CONTROL!$C$22, $C$13, 100%, $E$13)</f>
        <v>13.611499999999999</v>
      </c>
      <c r="E818" s="68">
        <f>15.4794 * CHOOSE(CONTROL!$C$22, $C$13, 100%, $E$13)</f>
        <v>15.4794</v>
      </c>
      <c r="F818" s="68">
        <f>15.4794 * CHOOSE(CONTROL!$C$22, $C$13, 100%, $E$13)</f>
        <v>15.4794</v>
      </c>
      <c r="G818" s="68">
        <f>15.4807 * CHOOSE(CONTROL!$C$22, $C$13, 100%, $E$13)</f>
        <v>15.480700000000001</v>
      </c>
      <c r="H818" s="68">
        <f>25.4721* CHOOSE(CONTROL!$C$22, $C$13, 100%, $E$13)</f>
        <v>25.472100000000001</v>
      </c>
      <c r="I818" s="68">
        <f>25.4733 * CHOOSE(CONTROL!$C$22, $C$13, 100%, $E$13)</f>
        <v>25.473299999999998</v>
      </c>
      <c r="J818" s="68">
        <f>15.4794 * CHOOSE(CONTROL!$C$22, $C$13, 100%, $E$13)</f>
        <v>15.4794</v>
      </c>
      <c r="K818" s="68">
        <f>15.4807 * CHOOSE(CONTROL!$C$22, $C$13, 100%, $E$13)</f>
        <v>15.480700000000001</v>
      </c>
    </row>
    <row r="819" spans="1:11" ht="15">
      <c r="A819" s="13">
        <v>66051</v>
      </c>
      <c r="B819" s="67">
        <f>13.6135 * CHOOSE(CONTROL!$C$22, $C$13, 100%, $E$13)</f>
        <v>13.6135</v>
      </c>
      <c r="C819" s="67">
        <f>13.6135 * CHOOSE(CONTROL!$C$22, $C$13, 100%, $E$13)</f>
        <v>13.6135</v>
      </c>
      <c r="D819" s="67">
        <f>13.6145 * CHOOSE(CONTROL!$C$22, $C$13, 100%, $E$13)</f>
        <v>13.6145</v>
      </c>
      <c r="E819" s="68">
        <f>15.5386 * CHOOSE(CONTROL!$C$22, $C$13, 100%, $E$13)</f>
        <v>15.538600000000001</v>
      </c>
      <c r="F819" s="68">
        <f>15.5386 * CHOOSE(CONTROL!$C$22, $C$13, 100%, $E$13)</f>
        <v>15.538600000000001</v>
      </c>
      <c r="G819" s="68">
        <f>15.5399 * CHOOSE(CONTROL!$C$22, $C$13, 100%, $E$13)</f>
        <v>15.539899999999999</v>
      </c>
      <c r="H819" s="68">
        <f>25.5251* CHOOSE(CONTROL!$C$22, $C$13, 100%, $E$13)</f>
        <v>25.525099999999998</v>
      </c>
      <c r="I819" s="68">
        <f>25.5264 * CHOOSE(CONTROL!$C$22, $C$13, 100%, $E$13)</f>
        <v>25.526399999999999</v>
      </c>
      <c r="J819" s="68">
        <f>15.5386 * CHOOSE(CONTROL!$C$22, $C$13, 100%, $E$13)</f>
        <v>15.538600000000001</v>
      </c>
      <c r="K819" s="68">
        <f>15.5399 * CHOOSE(CONTROL!$C$22, $C$13, 100%, $E$13)</f>
        <v>15.539899999999999</v>
      </c>
    </row>
    <row r="820" spans="1:11" ht="15">
      <c r="A820" s="13">
        <v>66081</v>
      </c>
      <c r="B820" s="67">
        <f>13.6135 * CHOOSE(CONTROL!$C$22, $C$13, 100%, $E$13)</f>
        <v>13.6135</v>
      </c>
      <c r="C820" s="67">
        <f>13.6135 * CHOOSE(CONTROL!$C$22, $C$13, 100%, $E$13)</f>
        <v>13.6135</v>
      </c>
      <c r="D820" s="67">
        <f>13.6145 * CHOOSE(CONTROL!$C$22, $C$13, 100%, $E$13)</f>
        <v>13.6145</v>
      </c>
      <c r="E820" s="68">
        <f>15.3959 * CHOOSE(CONTROL!$C$22, $C$13, 100%, $E$13)</f>
        <v>15.395899999999999</v>
      </c>
      <c r="F820" s="68">
        <f>15.3959 * CHOOSE(CONTROL!$C$22, $C$13, 100%, $E$13)</f>
        <v>15.395899999999999</v>
      </c>
      <c r="G820" s="68">
        <f>15.3971 * CHOOSE(CONTROL!$C$22, $C$13, 100%, $E$13)</f>
        <v>15.3971</v>
      </c>
      <c r="H820" s="68">
        <f>25.5783* CHOOSE(CONTROL!$C$22, $C$13, 100%, $E$13)</f>
        <v>25.578299999999999</v>
      </c>
      <c r="I820" s="68">
        <f>25.5796 * CHOOSE(CONTROL!$C$22, $C$13, 100%, $E$13)</f>
        <v>25.579599999999999</v>
      </c>
      <c r="J820" s="68">
        <f>15.3959 * CHOOSE(CONTROL!$C$22, $C$13, 100%, $E$13)</f>
        <v>15.395899999999999</v>
      </c>
      <c r="K820" s="68">
        <f>15.3971 * CHOOSE(CONTROL!$C$22, $C$13, 100%, $E$13)</f>
        <v>15.3971</v>
      </c>
    </row>
    <row r="821" spans="1:11" ht="15">
      <c r="A821" s="13">
        <v>66112</v>
      </c>
      <c r="B821" s="67">
        <f>13.6076 * CHOOSE(CONTROL!$C$22, $C$13, 100%, $E$13)</f>
        <v>13.6076</v>
      </c>
      <c r="C821" s="67">
        <f>13.6076 * CHOOSE(CONTROL!$C$22, $C$13, 100%, $E$13)</f>
        <v>13.6076</v>
      </c>
      <c r="D821" s="67">
        <f>13.6086 * CHOOSE(CONTROL!$C$22, $C$13, 100%, $E$13)</f>
        <v>13.608599999999999</v>
      </c>
      <c r="E821" s="68">
        <f>15.5035 * CHOOSE(CONTROL!$C$22, $C$13, 100%, $E$13)</f>
        <v>15.503500000000001</v>
      </c>
      <c r="F821" s="68">
        <f>15.5035 * CHOOSE(CONTROL!$C$22, $C$13, 100%, $E$13)</f>
        <v>15.503500000000001</v>
      </c>
      <c r="G821" s="68">
        <f>15.5048 * CHOOSE(CONTROL!$C$22, $C$13, 100%, $E$13)</f>
        <v>15.504799999999999</v>
      </c>
      <c r="H821" s="68">
        <f>25.4264* CHOOSE(CONTROL!$C$22, $C$13, 100%, $E$13)</f>
        <v>25.426400000000001</v>
      </c>
      <c r="I821" s="68">
        <f>25.4277 * CHOOSE(CONTROL!$C$22, $C$13, 100%, $E$13)</f>
        <v>25.427700000000002</v>
      </c>
      <c r="J821" s="68">
        <f>15.5035 * CHOOSE(CONTROL!$C$22, $C$13, 100%, $E$13)</f>
        <v>15.503500000000001</v>
      </c>
      <c r="K821" s="68">
        <f>15.5048 * CHOOSE(CONTROL!$C$22, $C$13, 100%, $E$13)</f>
        <v>15.504799999999999</v>
      </c>
    </row>
    <row r="822" spans="1:11" ht="15">
      <c r="A822" s="13">
        <v>66143</v>
      </c>
      <c r="B822" s="67">
        <f>13.6046 * CHOOSE(CONTROL!$C$22, $C$13, 100%, $E$13)</f>
        <v>13.6046</v>
      </c>
      <c r="C822" s="67">
        <f>13.6046 * CHOOSE(CONTROL!$C$22, $C$13, 100%, $E$13)</f>
        <v>13.6046</v>
      </c>
      <c r="D822" s="67">
        <f>13.6055 * CHOOSE(CONTROL!$C$22, $C$13, 100%, $E$13)</f>
        <v>13.605499999999999</v>
      </c>
      <c r="E822" s="68">
        <f>15.2267 * CHOOSE(CONTROL!$C$22, $C$13, 100%, $E$13)</f>
        <v>15.226699999999999</v>
      </c>
      <c r="F822" s="68">
        <f>15.2267 * CHOOSE(CONTROL!$C$22, $C$13, 100%, $E$13)</f>
        <v>15.226699999999999</v>
      </c>
      <c r="G822" s="68">
        <f>15.228 * CHOOSE(CONTROL!$C$22, $C$13, 100%, $E$13)</f>
        <v>15.228</v>
      </c>
      <c r="H822" s="68">
        <f>25.4794* CHOOSE(CONTROL!$C$22, $C$13, 100%, $E$13)</f>
        <v>25.479399999999998</v>
      </c>
      <c r="I822" s="68">
        <f>25.4807 * CHOOSE(CONTROL!$C$22, $C$13, 100%, $E$13)</f>
        <v>25.480699999999999</v>
      </c>
      <c r="J822" s="68">
        <f>15.2267 * CHOOSE(CONTROL!$C$22, $C$13, 100%, $E$13)</f>
        <v>15.226699999999999</v>
      </c>
      <c r="K822" s="68">
        <f>15.228 * CHOOSE(CONTROL!$C$22, $C$13, 100%, $E$13)</f>
        <v>15.228</v>
      </c>
    </row>
    <row r="823" spans="1:11" ht="15">
      <c r="A823" s="13">
        <v>66171</v>
      </c>
      <c r="B823" s="67">
        <f>13.6015 * CHOOSE(CONTROL!$C$22, $C$13, 100%, $E$13)</f>
        <v>13.6015</v>
      </c>
      <c r="C823" s="67">
        <f>13.6015 * CHOOSE(CONTROL!$C$22, $C$13, 100%, $E$13)</f>
        <v>13.6015</v>
      </c>
      <c r="D823" s="67">
        <f>13.6025 * CHOOSE(CONTROL!$C$22, $C$13, 100%, $E$13)</f>
        <v>13.602499999999999</v>
      </c>
      <c r="E823" s="68">
        <f>15.4411 * CHOOSE(CONTROL!$C$22, $C$13, 100%, $E$13)</f>
        <v>15.4411</v>
      </c>
      <c r="F823" s="68">
        <f>15.4411 * CHOOSE(CONTROL!$C$22, $C$13, 100%, $E$13)</f>
        <v>15.4411</v>
      </c>
      <c r="G823" s="68">
        <f>15.4424 * CHOOSE(CONTROL!$C$22, $C$13, 100%, $E$13)</f>
        <v>15.442399999999999</v>
      </c>
      <c r="H823" s="68">
        <f>25.5325* CHOOSE(CONTROL!$C$22, $C$13, 100%, $E$13)</f>
        <v>25.532499999999999</v>
      </c>
      <c r="I823" s="68">
        <f>25.5338 * CHOOSE(CONTROL!$C$22, $C$13, 100%, $E$13)</f>
        <v>25.533799999999999</v>
      </c>
      <c r="J823" s="68">
        <f>15.4411 * CHOOSE(CONTROL!$C$22, $C$13, 100%, $E$13)</f>
        <v>15.4411</v>
      </c>
      <c r="K823" s="68">
        <f>15.4424 * CHOOSE(CONTROL!$C$22, $C$13, 100%, $E$13)</f>
        <v>15.442399999999999</v>
      </c>
    </row>
    <row r="824" spans="1:11" ht="15">
      <c r="A824" s="13">
        <v>66202</v>
      </c>
      <c r="B824" s="67">
        <f>13.6072 * CHOOSE(CONTROL!$C$22, $C$13, 100%, $E$13)</f>
        <v>13.607200000000001</v>
      </c>
      <c r="C824" s="67">
        <f>13.6072 * CHOOSE(CONTROL!$C$22, $C$13, 100%, $E$13)</f>
        <v>13.607200000000001</v>
      </c>
      <c r="D824" s="67">
        <f>13.6082 * CHOOSE(CONTROL!$C$22, $C$13, 100%, $E$13)</f>
        <v>13.6082</v>
      </c>
      <c r="E824" s="68">
        <f>15.6695 * CHOOSE(CONTROL!$C$22, $C$13, 100%, $E$13)</f>
        <v>15.669499999999999</v>
      </c>
      <c r="F824" s="68">
        <f>15.6695 * CHOOSE(CONTROL!$C$22, $C$13, 100%, $E$13)</f>
        <v>15.669499999999999</v>
      </c>
      <c r="G824" s="68">
        <f>15.6708 * CHOOSE(CONTROL!$C$22, $C$13, 100%, $E$13)</f>
        <v>15.6708</v>
      </c>
      <c r="H824" s="68">
        <f>25.5857* CHOOSE(CONTROL!$C$22, $C$13, 100%, $E$13)</f>
        <v>25.585699999999999</v>
      </c>
      <c r="I824" s="68">
        <f>25.587 * CHOOSE(CONTROL!$C$22, $C$13, 100%, $E$13)</f>
        <v>25.587</v>
      </c>
      <c r="J824" s="68">
        <f>15.6695 * CHOOSE(CONTROL!$C$22, $C$13, 100%, $E$13)</f>
        <v>15.669499999999999</v>
      </c>
      <c r="K824" s="68">
        <f>15.6708 * CHOOSE(CONTROL!$C$22, $C$13, 100%, $E$13)</f>
        <v>15.6708</v>
      </c>
    </row>
    <row r="825" spans="1:11" ht="15">
      <c r="A825" s="13">
        <v>66232</v>
      </c>
      <c r="B825" s="67">
        <f>13.6072 * CHOOSE(CONTROL!$C$22, $C$13, 100%, $E$13)</f>
        <v>13.607200000000001</v>
      </c>
      <c r="C825" s="67">
        <f>13.6072 * CHOOSE(CONTROL!$C$22, $C$13, 100%, $E$13)</f>
        <v>13.607200000000001</v>
      </c>
      <c r="D825" s="67">
        <f>13.6098 * CHOOSE(CONTROL!$C$22, $C$13, 100%, $E$13)</f>
        <v>13.6098</v>
      </c>
      <c r="E825" s="68">
        <f>15.7567 * CHOOSE(CONTROL!$C$22, $C$13, 100%, $E$13)</f>
        <v>15.7567</v>
      </c>
      <c r="F825" s="68">
        <f>15.7567 * CHOOSE(CONTROL!$C$22, $C$13, 100%, $E$13)</f>
        <v>15.7567</v>
      </c>
      <c r="G825" s="68">
        <f>15.76 * CHOOSE(CONTROL!$C$22, $C$13, 100%, $E$13)</f>
        <v>15.76</v>
      </c>
      <c r="H825" s="68">
        <f>25.639* CHOOSE(CONTROL!$C$22, $C$13, 100%, $E$13)</f>
        <v>25.638999999999999</v>
      </c>
      <c r="I825" s="68">
        <f>25.6422 * CHOOSE(CONTROL!$C$22, $C$13, 100%, $E$13)</f>
        <v>25.642199999999999</v>
      </c>
      <c r="J825" s="68">
        <f>15.7567 * CHOOSE(CONTROL!$C$22, $C$13, 100%, $E$13)</f>
        <v>15.7567</v>
      </c>
      <c r="K825" s="68">
        <f>15.76 * CHOOSE(CONTROL!$C$22, $C$13, 100%, $E$13)</f>
        <v>15.76</v>
      </c>
    </row>
    <row r="826" spans="1:11" ht="15">
      <c r="A826" s="13">
        <v>66263</v>
      </c>
      <c r="B826" s="67">
        <f>13.6133 * CHOOSE(CONTROL!$C$22, $C$13, 100%, $E$13)</f>
        <v>13.613300000000001</v>
      </c>
      <c r="C826" s="67">
        <f>13.6133 * CHOOSE(CONTROL!$C$22, $C$13, 100%, $E$13)</f>
        <v>13.613300000000001</v>
      </c>
      <c r="D826" s="67">
        <f>13.6159 * CHOOSE(CONTROL!$C$22, $C$13, 100%, $E$13)</f>
        <v>13.6159</v>
      </c>
      <c r="E826" s="68">
        <f>15.6737 * CHOOSE(CONTROL!$C$22, $C$13, 100%, $E$13)</f>
        <v>15.6737</v>
      </c>
      <c r="F826" s="68">
        <f>15.6737 * CHOOSE(CONTROL!$C$22, $C$13, 100%, $E$13)</f>
        <v>15.6737</v>
      </c>
      <c r="G826" s="68">
        <f>15.677 * CHOOSE(CONTROL!$C$22, $C$13, 100%, $E$13)</f>
        <v>15.677</v>
      </c>
      <c r="H826" s="68">
        <f>25.6924* CHOOSE(CONTROL!$C$22, $C$13, 100%, $E$13)</f>
        <v>25.692399999999999</v>
      </c>
      <c r="I826" s="68">
        <f>25.6956 * CHOOSE(CONTROL!$C$22, $C$13, 100%, $E$13)</f>
        <v>25.695599999999999</v>
      </c>
      <c r="J826" s="68">
        <f>15.6737 * CHOOSE(CONTROL!$C$22, $C$13, 100%, $E$13)</f>
        <v>15.6737</v>
      </c>
      <c r="K826" s="68">
        <f>15.677 * CHOOSE(CONTROL!$C$22, $C$13, 100%, $E$13)</f>
        <v>15.677</v>
      </c>
    </row>
    <row r="827" spans="1:11" ht="15">
      <c r="A827" s="13">
        <v>66293</v>
      </c>
      <c r="B827" s="67">
        <f>13.8201 * CHOOSE(CONTROL!$C$22, $C$13, 100%, $E$13)</f>
        <v>13.8201</v>
      </c>
      <c r="C827" s="67">
        <f>13.8201 * CHOOSE(CONTROL!$C$22, $C$13, 100%, $E$13)</f>
        <v>13.8201</v>
      </c>
      <c r="D827" s="67">
        <f>13.8227 * CHOOSE(CONTROL!$C$22, $C$13, 100%, $E$13)</f>
        <v>13.822699999999999</v>
      </c>
      <c r="E827" s="68">
        <f>15.9233 * CHOOSE(CONTROL!$C$22, $C$13, 100%, $E$13)</f>
        <v>15.923299999999999</v>
      </c>
      <c r="F827" s="68">
        <f>15.9233 * CHOOSE(CONTROL!$C$22, $C$13, 100%, $E$13)</f>
        <v>15.923299999999999</v>
      </c>
      <c r="G827" s="68">
        <f>15.9266 * CHOOSE(CONTROL!$C$22, $C$13, 100%, $E$13)</f>
        <v>15.926600000000001</v>
      </c>
      <c r="H827" s="68">
        <f>25.7459* CHOOSE(CONTROL!$C$22, $C$13, 100%, $E$13)</f>
        <v>25.745899999999999</v>
      </c>
      <c r="I827" s="68">
        <f>25.7492 * CHOOSE(CONTROL!$C$22, $C$13, 100%, $E$13)</f>
        <v>25.749199999999998</v>
      </c>
      <c r="J827" s="68">
        <f>15.9233 * CHOOSE(CONTROL!$C$22, $C$13, 100%, $E$13)</f>
        <v>15.923299999999999</v>
      </c>
      <c r="K827" s="68">
        <f>15.9266 * CHOOSE(CONTROL!$C$22, $C$13, 100%, $E$13)</f>
        <v>15.926600000000001</v>
      </c>
    </row>
    <row r="828" spans="1:11" ht="15">
      <c r="A828" s="13">
        <v>66324</v>
      </c>
      <c r="B828" s="67">
        <f>13.8268 * CHOOSE(CONTROL!$C$22, $C$13, 100%, $E$13)</f>
        <v>13.8268</v>
      </c>
      <c r="C828" s="67">
        <f>13.8268 * CHOOSE(CONTROL!$C$22, $C$13, 100%, $E$13)</f>
        <v>13.8268</v>
      </c>
      <c r="D828" s="67">
        <f>13.8294 * CHOOSE(CONTROL!$C$22, $C$13, 100%, $E$13)</f>
        <v>13.8294</v>
      </c>
      <c r="E828" s="68">
        <f>15.6663 * CHOOSE(CONTROL!$C$22, $C$13, 100%, $E$13)</f>
        <v>15.6663</v>
      </c>
      <c r="F828" s="68">
        <f>15.6663 * CHOOSE(CONTROL!$C$22, $C$13, 100%, $E$13)</f>
        <v>15.6663</v>
      </c>
      <c r="G828" s="68">
        <f>15.6696 * CHOOSE(CONTROL!$C$22, $C$13, 100%, $E$13)</f>
        <v>15.669600000000001</v>
      </c>
      <c r="H828" s="68">
        <f>25.7995* CHOOSE(CONTROL!$C$22, $C$13, 100%, $E$13)</f>
        <v>25.799499999999998</v>
      </c>
      <c r="I828" s="68">
        <f>25.8028 * CHOOSE(CONTROL!$C$22, $C$13, 100%, $E$13)</f>
        <v>25.802800000000001</v>
      </c>
      <c r="J828" s="68">
        <f>15.6663 * CHOOSE(CONTROL!$C$22, $C$13, 100%, $E$13)</f>
        <v>15.6663</v>
      </c>
      <c r="K828" s="68">
        <f>15.6696 * CHOOSE(CONTROL!$C$22, $C$13, 100%, $E$13)</f>
        <v>15.669600000000001</v>
      </c>
    </row>
    <row r="829" spans="1:11" ht="15">
      <c r="A829" s="13">
        <v>66355</v>
      </c>
      <c r="B829" s="67">
        <f>13.8237 * CHOOSE(CONTROL!$C$22, $C$13, 100%, $E$13)</f>
        <v>13.823700000000001</v>
      </c>
      <c r="C829" s="67">
        <f>13.8237 * CHOOSE(CONTROL!$C$22, $C$13, 100%, $E$13)</f>
        <v>13.823700000000001</v>
      </c>
      <c r="D829" s="67">
        <f>13.8263 * CHOOSE(CONTROL!$C$22, $C$13, 100%, $E$13)</f>
        <v>13.8263</v>
      </c>
      <c r="E829" s="68">
        <f>15.6351 * CHOOSE(CONTROL!$C$22, $C$13, 100%, $E$13)</f>
        <v>15.6351</v>
      </c>
      <c r="F829" s="68">
        <f>15.6351 * CHOOSE(CONTROL!$C$22, $C$13, 100%, $E$13)</f>
        <v>15.6351</v>
      </c>
      <c r="G829" s="68">
        <f>15.6384 * CHOOSE(CONTROL!$C$22, $C$13, 100%, $E$13)</f>
        <v>15.638400000000001</v>
      </c>
      <c r="H829" s="68">
        <f>25.8533* CHOOSE(CONTROL!$C$22, $C$13, 100%, $E$13)</f>
        <v>25.853300000000001</v>
      </c>
      <c r="I829" s="68">
        <f>25.8566 * CHOOSE(CONTROL!$C$22, $C$13, 100%, $E$13)</f>
        <v>25.8566</v>
      </c>
      <c r="J829" s="68">
        <f>15.6351 * CHOOSE(CONTROL!$C$22, $C$13, 100%, $E$13)</f>
        <v>15.6351</v>
      </c>
      <c r="K829" s="68">
        <f>15.6384 * CHOOSE(CONTROL!$C$22, $C$13, 100%, $E$13)</f>
        <v>15.638400000000001</v>
      </c>
    </row>
    <row r="830" spans="1:11" ht="15">
      <c r="A830" s="13">
        <v>66385</v>
      </c>
      <c r="B830" s="67">
        <f>13.8504 * CHOOSE(CONTROL!$C$22, $C$13, 100%, $E$13)</f>
        <v>13.8504</v>
      </c>
      <c r="C830" s="67">
        <f>13.8504 * CHOOSE(CONTROL!$C$22, $C$13, 100%, $E$13)</f>
        <v>13.8504</v>
      </c>
      <c r="D830" s="67">
        <f>13.8514 * CHOOSE(CONTROL!$C$22, $C$13, 100%, $E$13)</f>
        <v>13.8514</v>
      </c>
      <c r="E830" s="68">
        <f>15.738 * CHOOSE(CONTROL!$C$22, $C$13, 100%, $E$13)</f>
        <v>15.738</v>
      </c>
      <c r="F830" s="68">
        <f>15.738 * CHOOSE(CONTROL!$C$22, $C$13, 100%, $E$13)</f>
        <v>15.738</v>
      </c>
      <c r="G830" s="68">
        <f>15.7393 * CHOOSE(CONTROL!$C$22, $C$13, 100%, $E$13)</f>
        <v>15.7393</v>
      </c>
      <c r="H830" s="68">
        <f>25.9072* CHOOSE(CONTROL!$C$22, $C$13, 100%, $E$13)</f>
        <v>25.9072</v>
      </c>
      <c r="I830" s="68">
        <f>25.9084 * CHOOSE(CONTROL!$C$22, $C$13, 100%, $E$13)</f>
        <v>25.9084</v>
      </c>
      <c r="J830" s="68">
        <f>15.738 * CHOOSE(CONTROL!$C$22, $C$13, 100%, $E$13)</f>
        <v>15.738</v>
      </c>
      <c r="K830" s="68">
        <f>15.7393 * CHOOSE(CONTROL!$C$22, $C$13, 100%, $E$13)</f>
        <v>15.7393</v>
      </c>
    </row>
    <row r="831" spans="1:11" ht="15">
      <c r="A831" s="13">
        <v>66416</v>
      </c>
      <c r="B831" s="67">
        <f>13.8535 * CHOOSE(CONTROL!$C$22, $C$13, 100%, $E$13)</f>
        <v>13.8535</v>
      </c>
      <c r="C831" s="67">
        <f>13.8535 * CHOOSE(CONTROL!$C$22, $C$13, 100%, $E$13)</f>
        <v>13.8535</v>
      </c>
      <c r="D831" s="67">
        <f>13.8544 * CHOOSE(CONTROL!$C$22, $C$13, 100%, $E$13)</f>
        <v>13.8544</v>
      </c>
      <c r="E831" s="68">
        <f>15.7983 * CHOOSE(CONTROL!$C$22, $C$13, 100%, $E$13)</f>
        <v>15.798299999999999</v>
      </c>
      <c r="F831" s="68">
        <f>15.7983 * CHOOSE(CONTROL!$C$22, $C$13, 100%, $E$13)</f>
        <v>15.798299999999999</v>
      </c>
      <c r="G831" s="68">
        <f>15.7996 * CHOOSE(CONTROL!$C$22, $C$13, 100%, $E$13)</f>
        <v>15.7996</v>
      </c>
      <c r="H831" s="68">
        <f>25.9611* CHOOSE(CONTROL!$C$22, $C$13, 100%, $E$13)</f>
        <v>25.961099999999998</v>
      </c>
      <c r="I831" s="68">
        <f>25.9624 * CHOOSE(CONTROL!$C$22, $C$13, 100%, $E$13)</f>
        <v>25.962399999999999</v>
      </c>
      <c r="J831" s="68">
        <f>15.7983 * CHOOSE(CONTROL!$C$22, $C$13, 100%, $E$13)</f>
        <v>15.798299999999999</v>
      </c>
      <c r="K831" s="68">
        <f>15.7996 * CHOOSE(CONTROL!$C$22, $C$13, 100%, $E$13)</f>
        <v>15.7996</v>
      </c>
    </row>
    <row r="832" spans="1:11" ht="15">
      <c r="A832" s="13">
        <v>66446</v>
      </c>
      <c r="B832" s="67">
        <f>13.8535 * CHOOSE(CONTROL!$C$22, $C$13, 100%, $E$13)</f>
        <v>13.8535</v>
      </c>
      <c r="C832" s="67">
        <f>13.8535 * CHOOSE(CONTROL!$C$22, $C$13, 100%, $E$13)</f>
        <v>13.8535</v>
      </c>
      <c r="D832" s="67">
        <f>13.8544 * CHOOSE(CONTROL!$C$22, $C$13, 100%, $E$13)</f>
        <v>13.8544</v>
      </c>
      <c r="E832" s="68">
        <f>15.6529 * CHOOSE(CONTROL!$C$22, $C$13, 100%, $E$13)</f>
        <v>15.652900000000001</v>
      </c>
      <c r="F832" s="68">
        <f>15.6529 * CHOOSE(CONTROL!$C$22, $C$13, 100%, $E$13)</f>
        <v>15.652900000000001</v>
      </c>
      <c r="G832" s="68">
        <f>15.6542 * CHOOSE(CONTROL!$C$22, $C$13, 100%, $E$13)</f>
        <v>15.654199999999999</v>
      </c>
      <c r="H832" s="68">
        <f>26.0152* CHOOSE(CONTROL!$C$22, $C$13, 100%, $E$13)</f>
        <v>26.0152</v>
      </c>
      <c r="I832" s="68">
        <f>26.0165 * CHOOSE(CONTROL!$C$22, $C$13, 100%, $E$13)</f>
        <v>26.016500000000001</v>
      </c>
      <c r="J832" s="68">
        <f>15.6529 * CHOOSE(CONTROL!$C$22, $C$13, 100%, $E$13)</f>
        <v>15.652900000000001</v>
      </c>
      <c r="K832" s="68">
        <f>15.6542 * CHOOSE(CONTROL!$C$22, $C$13, 100%, $E$13)</f>
        <v>15.654199999999999</v>
      </c>
    </row>
    <row r="833" spans="1:11" ht="15">
      <c r="A833" s="13">
        <v>66477</v>
      </c>
      <c r="B833" s="67">
        <f>13.8432 * CHOOSE(CONTROL!$C$22, $C$13, 100%, $E$13)</f>
        <v>13.8432</v>
      </c>
      <c r="C833" s="67">
        <f>13.8432 * CHOOSE(CONTROL!$C$22, $C$13, 100%, $E$13)</f>
        <v>13.8432</v>
      </c>
      <c r="D833" s="67">
        <f>13.8441 * CHOOSE(CONTROL!$C$22, $C$13, 100%, $E$13)</f>
        <v>13.844099999999999</v>
      </c>
      <c r="E833" s="68">
        <f>15.7582 * CHOOSE(CONTROL!$C$22, $C$13, 100%, $E$13)</f>
        <v>15.7582</v>
      </c>
      <c r="F833" s="68">
        <f>15.7582 * CHOOSE(CONTROL!$C$22, $C$13, 100%, $E$13)</f>
        <v>15.7582</v>
      </c>
      <c r="G833" s="68">
        <f>15.7595 * CHOOSE(CONTROL!$C$22, $C$13, 100%, $E$13)</f>
        <v>15.759499999999999</v>
      </c>
      <c r="H833" s="68">
        <f>25.8534* CHOOSE(CONTROL!$C$22, $C$13, 100%, $E$13)</f>
        <v>25.853400000000001</v>
      </c>
      <c r="I833" s="68">
        <f>25.8547 * CHOOSE(CONTROL!$C$22, $C$13, 100%, $E$13)</f>
        <v>25.854700000000001</v>
      </c>
      <c r="J833" s="68">
        <f>15.7582 * CHOOSE(CONTROL!$C$22, $C$13, 100%, $E$13)</f>
        <v>15.7582</v>
      </c>
      <c r="K833" s="68">
        <f>15.7595 * CHOOSE(CONTROL!$C$22, $C$13, 100%, $E$13)</f>
        <v>15.759499999999999</v>
      </c>
    </row>
    <row r="834" spans="1:11" ht="15">
      <c r="A834" s="13">
        <v>66508</v>
      </c>
      <c r="B834" s="67">
        <f>13.8401 * CHOOSE(CONTROL!$C$22, $C$13, 100%, $E$13)</f>
        <v>13.8401</v>
      </c>
      <c r="C834" s="67">
        <f>13.8401 * CHOOSE(CONTROL!$C$22, $C$13, 100%, $E$13)</f>
        <v>13.8401</v>
      </c>
      <c r="D834" s="67">
        <f>13.8411 * CHOOSE(CONTROL!$C$22, $C$13, 100%, $E$13)</f>
        <v>13.841100000000001</v>
      </c>
      <c r="E834" s="68">
        <f>15.4765 * CHOOSE(CONTROL!$C$22, $C$13, 100%, $E$13)</f>
        <v>15.4765</v>
      </c>
      <c r="F834" s="68">
        <f>15.4765 * CHOOSE(CONTROL!$C$22, $C$13, 100%, $E$13)</f>
        <v>15.4765</v>
      </c>
      <c r="G834" s="68">
        <f>15.4777 * CHOOSE(CONTROL!$C$22, $C$13, 100%, $E$13)</f>
        <v>15.4777</v>
      </c>
      <c r="H834" s="68">
        <f>25.9073* CHOOSE(CONTROL!$C$22, $C$13, 100%, $E$13)</f>
        <v>25.907299999999999</v>
      </c>
      <c r="I834" s="68">
        <f>25.9086 * CHOOSE(CONTROL!$C$22, $C$13, 100%, $E$13)</f>
        <v>25.9086</v>
      </c>
      <c r="J834" s="68">
        <f>15.4765 * CHOOSE(CONTROL!$C$22, $C$13, 100%, $E$13)</f>
        <v>15.4765</v>
      </c>
      <c r="K834" s="68">
        <f>15.4777 * CHOOSE(CONTROL!$C$22, $C$13, 100%, $E$13)</f>
        <v>15.4777</v>
      </c>
    </row>
    <row r="835" spans="1:11" ht="15">
      <c r="A835" s="13">
        <v>66536</v>
      </c>
      <c r="B835" s="67">
        <f>13.8371 * CHOOSE(CONTROL!$C$22, $C$13, 100%, $E$13)</f>
        <v>13.8371</v>
      </c>
      <c r="C835" s="67">
        <f>13.8371 * CHOOSE(CONTROL!$C$22, $C$13, 100%, $E$13)</f>
        <v>13.8371</v>
      </c>
      <c r="D835" s="67">
        <f>13.8381 * CHOOSE(CONTROL!$C$22, $C$13, 100%, $E$13)</f>
        <v>13.838100000000001</v>
      </c>
      <c r="E835" s="68">
        <f>15.6948 * CHOOSE(CONTROL!$C$22, $C$13, 100%, $E$13)</f>
        <v>15.694800000000001</v>
      </c>
      <c r="F835" s="68">
        <f>15.6948 * CHOOSE(CONTROL!$C$22, $C$13, 100%, $E$13)</f>
        <v>15.694800000000001</v>
      </c>
      <c r="G835" s="68">
        <f>15.6961 * CHOOSE(CONTROL!$C$22, $C$13, 100%, $E$13)</f>
        <v>15.696099999999999</v>
      </c>
      <c r="H835" s="68">
        <f>25.9613* CHOOSE(CONTROL!$C$22, $C$13, 100%, $E$13)</f>
        <v>25.961300000000001</v>
      </c>
      <c r="I835" s="68">
        <f>25.9626 * CHOOSE(CONTROL!$C$22, $C$13, 100%, $E$13)</f>
        <v>25.962599999999998</v>
      </c>
      <c r="J835" s="68">
        <f>15.6948 * CHOOSE(CONTROL!$C$22, $C$13, 100%, $E$13)</f>
        <v>15.694800000000001</v>
      </c>
      <c r="K835" s="68">
        <f>15.6961 * CHOOSE(CONTROL!$C$22, $C$13, 100%, $E$13)</f>
        <v>15.696099999999999</v>
      </c>
    </row>
    <row r="836" spans="1:11" ht="15">
      <c r="A836" s="13">
        <v>66567</v>
      </c>
      <c r="B836" s="67">
        <f>13.843 * CHOOSE(CONTROL!$C$22, $C$13, 100%, $E$13)</f>
        <v>13.843</v>
      </c>
      <c r="C836" s="67">
        <f>13.843 * CHOOSE(CONTROL!$C$22, $C$13, 100%, $E$13)</f>
        <v>13.843</v>
      </c>
      <c r="D836" s="67">
        <f>13.844 * CHOOSE(CONTROL!$C$22, $C$13, 100%, $E$13)</f>
        <v>13.843999999999999</v>
      </c>
      <c r="E836" s="68">
        <f>15.9273 * CHOOSE(CONTROL!$C$22, $C$13, 100%, $E$13)</f>
        <v>15.927300000000001</v>
      </c>
      <c r="F836" s="68">
        <f>15.9273 * CHOOSE(CONTROL!$C$22, $C$13, 100%, $E$13)</f>
        <v>15.927300000000001</v>
      </c>
      <c r="G836" s="68">
        <f>15.9286 * CHOOSE(CONTROL!$C$22, $C$13, 100%, $E$13)</f>
        <v>15.928599999999999</v>
      </c>
      <c r="H836" s="68">
        <f>26.0154* CHOOSE(CONTROL!$C$22, $C$13, 100%, $E$13)</f>
        <v>26.0154</v>
      </c>
      <c r="I836" s="68">
        <f>26.0166 * CHOOSE(CONTROL!$C$22, $C$13, 100%, $E$13)</f>
        <v>26.0166</v>
      </c>
      <c r="J836" s="68">
        <f>15.9273 * CHOOSE(CONTROL!$C$22, $C$13, 100%, $E$13)</f>
        <v>15.927300000000001</v>
      </c>
      <c r="K836" s="68">
        <f>15.9286 * CHOOSE(CONTROL!$C$22, $C$13, 100%, $E$13)</f>
        <v>15.928599999999999</v>
      </c>
    </row>
    <row r="837" spans="1:11" ht="15">
      <c r="A837" s="13">
        <v>66597</v>
      </c>
      <c r="B837" s="67">
        <f>13.843 * CHOOSE(CONTROL!$C$22, $C$13, 100%, $E$13)</f>
        <v>13.843</v>
      </c>
      <c r="C837" s="67">
        <f>13.843 * CHOOSE(CONTROL!$C$22, $C$13, 100%, $E$13)</f>
        <v>13.843</v>
      </c>
      <c r="D837" s="67">
        <f>13.8456 * CHOOSE(CONTROL!$C$22, $C$13, 100%, $E$13)</f>
        <v>13.845599999999999</v>
      </c>
      <c r="E837" s="68">
        <f>16.0161 * CHOOSE(CONTROL!$C$22, $C$13, 100%, $E$13)</f>
        <v>16.016100000000002</v>
      </c>
      <c r="F837" s="68">
        <f>16.0161 * CHOOSE(CONTROL!$C$22, $C$13, 100%, $E$13)</f>
        <v>16.016100000000002</v>
      </c>
      <c r="G837" s="68">
        <f>16.0194 * CHOOSE(CONTROL!$C$22, $C$13, 100%, $E$13)</f>
        <v>16.019400000000001</v>
      </c>
      <c r="H837" s="68">
        <f>26.0696* CHOOSE(CONTROL!$C$22, $C$13, 100%, $E$13)</f>
        <v>26.069600000000001</v>
      </c>
      <c r="I837" s="68">
        <f>26.0728 * CHOOSE(CONTROL!$C$22, $C$13, 100%, $E$13)</f>
        <v>26.072800000000001</v>
      </c>
      <c r="J837" s="68">
        <f>16.0161 * CHOOSE(CONTROL!$C$22, $C$13, 100%, $E$13)</f>
        <v>16.016100000000002</v>
      </c>
      <c r="K837" s="68">
        <f>16.0194 * CHOOSE(CONTROL!$C$22, $C$13, 100%, $E$13)</f>
        <v>16.019400000000001</v>
      </c>
    </row>
    <row r="838" spans="1:11" ht="15">
      <c r="A838" s="13">
        <v>66628</v>
      </c>
      <c r="B838" s="67">
        <f>13.8491 * CHOOSE(CONTROL!$C$22, $C$13, 100%, $E$13)</f>
        <v>13.8491</v>
      </c>
      <c r="C838" s="67">
        <f>13.8491 * CHOOSE(CONTROL!$C$22, $C$13, 100%, $E$13)</f>
        <v>13.8491</v>
      </c>
      <c r="D838" s="67">
        <f>13.8517 * CHOOSE(CONTROL!$C$22, $C$13, 100%, $E$13)</f>
        <v>13.851699999999999</v>
      </c>
      <c r="E838" s="68">
        <f>15.9316 * CHOOSE(CONTROL!$C$22, $C$13, 100%, $E$13)</f>
        <v>15.9316</v>
      </c>
      <c r="F838" s="68">
        <f>15.9316 * CHOOSE(CONTROL!$C$22, $C$13, 100%, $E$13)</f>
        <v>15.9316</v>
      </c>
      <c r="G838" s="68">
        <f>15.9348 * CHOOSE(CONTROL!$C$22, $C$13, 100%, $E$13)</f>
        <v>15.934799999999999</v>
      </c>
      <c r="H838" s="68">
        <f>26.1239* CHOOSE(CONTROL!$C$22, $C$13, 100%, $E$13)</f>
        <v>26.123899999999999</v>
      </c>
      <c r="I838" s="68">
        <f>26.1271 * CHOOSE(CONTROL!$C$22, $C$13, 100%, $E$13)</f>
        <v>26.127099999999999</v>
      </c>
      <c r="J838" s="68">
        <f>15.9316 * CHOOSE(CONTROL!$C$22, $C$13, 100%, $E$13)</f>
        <v>15.9316</v>
      </c>
      <c r="K838" s="68">
        <f>15.9348 * CHOOSE(CONTROL!$C$22, $C$13, 100%, $E$13)</f>
        <v>15.934799999999999</v>
      </c>
    </row>
    <row r="839" spans="1:11" ht="15">
      <c r="A839" s="13">
        <v>66658</v>
      </c>
      <c r="B839" s="67">
        <f>14.0592 * CHOOSE(CONTROL!$C$22, $C$13, 100%, $E$13)</f>
        <v>14.059200000000001</v>
      </c>
      <c r="C839" s="67">
        <f>14.0592 * CHOOSE(CONTROL!$C$22, $C$13, 100%, $E$13)</f>
        <v>14.059200000000001</v>
      </c>
      <c r="D839" s="67">
        <f>14.0619 * CHOOSE(CONTROL!$C$22, $C$13, 100%, $E$13)</f>
        <v>14.0619</v>
      </c>
      <c r="E839" s="68">
        <f>16.1851 * CHOOSE(CONTROL!$C$22, $C$13, 100%, $E$13)</f>
        <v>16.185099999999998</v>
      </c>
      <c r="F839" s="68">
        <f>16.1851 * CHOOSE(CONTROL!$C$22, $C$13, 100%, $E$13)</f>
        <v>16.185099999999998</v>
      </c>
      <c r="G839" s="68">
        <f>16.1884 * CHOOSE(CONTROL!$C$22, $C$13, 100%, $E$13)</f>
        <v>16.188400000000001</v>
      </c>
      <c r="H839" s="68">
        <f>26.1783* CHOOSE(CONTROL!$C$22, $C$13, 100%, $E$13)</f>
        <v>26.1783</v>
      </c>
      <c r="I839" s="68">
        <f>26.1816 * CHOOSE(CONTROL!$C$22, $C$13, 100%, $E$13)</f>
        <v>26.1816</v>
      </c>
      <c r="J839" s="68">
        <f>16.1851 * CHOOSE(CONTROL!$C$22, $C$13, 100%, $E$13)</f>
        <v>16.185099999999998</v>
      </c>
      <c r="K839" s="68">
        <f>16.1884 * CHOOSE(CONTROL!$C$22, $C$13, 100%, $E$13)</f>
        <v>16.188400000000001</v>
      </c>
    </row>
    <row r="840" spans="1:11" ht="15">
      <c r="A840" s="13">
        <v>66689</v>
      </c>
      <c r="B840" s="67">
        <f>14.0659 * CHOOSE(CONTROL!$C$22, $C$13, 100%, $E$13)</f>
        <v>14.065899999999999</v>
      </c>
      <c r="C840" s="67">
        <f>14.0659 * CHOOSE(CONTROL!$C$22, $C$13, 100%, $E$13)</f>
        <v>14.065899999999999</v>
      </c>
      <c r="D840" s="67">
        <f>14.0685 * CHOOSE(CONTROL!$C$22, $C$13, 100%, $E$13)</f>
        <v>14.0685</v>
      </c>
      <c r="E840" s="68">
        <f>15.9234 * CHOOSE(CONTROL!$C$22, $C$13, 100%, $E$13)</f>
        <v>15.923400000000001</v>
      </c>
      <c r="F840" s="68">
        <f>15.9234 * CHOOSE(CONTROL!$C$22, $C$13, 100%, $E$13)</f>
        <v>15.923400000000001</v>
      </c>
      <c r="G840" s="68">
        <f>15.9267 * CHOOSE(CONTROL!$C$22, $C$13, 100%, $E$13)</f>
        <v>15.9267</v>
      </c>
      <c r="H840" s="68">
        <f>26.2328* CHOOSE(CONTROL!$C$22, $C$13, 100%, $E$13)</f>
        <v>26.232800000000001</v>
      </c>
      <c r="I840" s="68">
        <f>26.2361 * CHOOSE(CONTROL!$C$22, $C$13, 100%, $E$13)</f>
        <v>26.2361</v>
      </c>
      <c r="J840" s="68">
        <f>15.9234 * CHOOSE(CONTROL!$C$22, $C$13, 100%, $E$13)</f>
        <v>15.923400000000001</v>
      </c>
      <c r="K840" s="68">
        <f>15.9267 * CHOOSE(CONTROL!$C$22, $C$13, 100%, $E$13)</f>
        <v>15.9267</v>
      </c>
    </row>
    <row r="841" spans="1:11" ht="15">
      <c r="A841" s="13">
        <v>66720</v>
      </c>
      <c r="B841" s="67">
        <f>14.0629 * CHOOSE(CONTROL!$C$22, $C$13, 100%, $E$13)</f>
        <v>14.062900000000001</v>
      </c>
      <c r="C841" s="67">
        <f>14.0629 * CHOOSE(CONTROL!$C$22, $C$13, 100%, $E$13)</f>
        <v>14.062900000000001</v>
      </c>
      <c r="D841" s="67">
        <f>14.0655 * CHOOSE(CONTROL!$C$22, $C$13, 100%, $E$13)</f>
        <v>14.0655</v>
      </c>
      <c r="E841" s="68">
        <f>15.8917 * CHOOSE(CONTROL!$C$22, $C$13, 100%, $E$13)</f>
        <v>15.8917</v>
      </c>
      <c r="F841" s="68">
        <f>15.8917 * CHOOSE(CONTROL!$C$22, $C$13, 100%, $E$13)</f>
        <v>15.8917</v>
      </c>
      <c r="G841" s="68">
        <f>15.8949 * CHOOSE(CONTROL!$C$22, $C$13, 100%, $E$13)</f>
        <v>15.8949</v>
      </c>
      <c r="H841" s="68">
        <f>26.2875* CHOOSE(CONTROL!$C$22, $C$13, 100%, $E$13)</f>
        <v>26.287500000000001</v>
      </c>
      <c r="I841" s="68">
        <f>26.2907 * CHOOSE(CONTROL!$C$22, $C$13, 100%, $E$13)</f>
        <v>26.290700000000001</v>
      </c>
      <c r="J841" s="68">
        <f>15.8917 * CHOOSE(CONTROL!$C$22, $C$13, 100%, $E$13)</f>
        <v>15.8917</v>
      </c>
      <c r="K841" s="68">
        <f>15.8949 * CHOOSE(CONTROL!$C$22, $C$13, 100%, $E$13)</f>
        <v>15.8949</v>
      </c>
    </row>
    <row r="842" spans="1:11" ht="15">
      <c r="A842" s="13">
        <v>66750</v>
      </c>
      <c r="B842" s="67">
        <f>14.0904 * CHOOSE(CONTROL!$C$22, $C$13, 100%, $E$13)</f>
        <v>14.090400000000001</v>
      </c>
      <c r="C842" s="67">
        <f>14.0904 * CHOOSE(CONTROL!$C$22, $C$13, 100%, $E$13)</f>
        <v>14.090400000000001</v>
      </c>
      <c r="D842" s="67">
        <f>14.0913 * CHOOSE(CONTROL!$C$22, $C$13, 100%, $E$13)</f>
        <v>14.0913</v>
      </c>
      <c r="E842" s="68">
        <f>15.9967 * CHOOSE(CONTROL!$C$22, $C$13, 100%, $E$13)</f>
        <v>15.996700000000001</v>
      </c>
      <c r="F842" s="68">
        <f>15.9967 * CHOOSE(CONTROL!$C$22, $C$13, 100%, $E$13)</f>
        <v>15.996700000000001</v>
      </c>
      <c r="G842" s="68">
        <f>15.9979 * CHOOSE(CONTROL!$C$22, $C$13, 100%, $E$13)</f>
        <v>15.9979</v>
      </c>
      <c r="H842" s="68">
        <f>26.3423* CHOOSE(CONTROL!$C$22, $C$13, 100%, $E$13)</f>
        <v>26.342300000000002</v>
      </c>
      <c r="I842" s="68">
        <f>26.3435 * CHOOSE(CONTROL!$C$22, $C$13, 100%, $E$13)</f>
        <v>26.343499999999999</v>
      </c>
      <c r="J842" s="68">
        <f>15.9967 * CHOOSE(CONTROL!$C$22, $C$13, 100%, $E$13)</f>
        <v>15.996700000000001</v>
      </c>
      <c r="K842" s="68">
        <f>15.9979 * CHOOSE(CONTROL!$C$22, $C$13, 100%, $E$13)</f>
        <v>15.9979</v>
      </c>
    </row>
    <row r="843" spans="1:11" ht="15">
      <c r="A843" s="13">
        <v>66781</v>
      </c>
      <c r="B843" s="67">
        <f>14.0934 * CHOOSE(CONTROL!$C$22, $C$13, 100%, $E$13)</f>
        <v>14.093400000000001</v>
      </c>
      <c r="C843" s="67">
        <f>14.0934 * CHOOSE(CONTROL!$C$22, $C$13, 100%, $E$13)</f>
        <v>14.093400000000001</v>
      </c>
      <c r="D843" s="67">
        <f>14.0944 * CHOOSE(CONTROL!$C$22, $C$13, 100%, $E$13)</f>
        <v>14.0944</v>
      </c>
      <c r="E843" s="68">
        <f>16.058 * CHOOSE(CONTROL!$C$22, $C$13, 100%, $E$13)</f>
        <v>16.058</v>
      </c>
      <c r="F843" s="68">
        <f>16.058 * CHOOSE(CONTROL!$C$22, $C$13, 100%, $E$13)</f>
        <v>16.058</v>
      </c>
      <c r="G843" s="68">
        <f>16.0593 * CHOOSE(CONTROL!$C$22, $C$13, 100%, $E$13)</f>
        <v>16.0593</v>
      </c>
      <c r="H843" s="68">
        <f>26.3971* CHOOSE(CONTROL!$C$22, $C$13, 100%, $E$13)</f>
        <v>26.397099999999998</v>
      </c>
      <c r="I843" s="68">
        <f>26.3984 * CHOOSE(CONTROL!$C$22, $C$13, 100%, $E$13)</f>
        <v>26.398399999999999</v>
      </c>
      <c r="J843" s="68">
        <f>16.058 * CHOOSE(CONTROL!$C$22, $C$13, 100%, $E$13)</f>
        <v>16.058</v>
      </c>
      <c r="K843" s="68">
        <f>16.0593 * CHOOSE(CONTROL!$C$22, $C$13, 100%, $E$13)</f>
        <v>16.0593</v>
      </c>
    </row>
    <row r="844" spans="1:11" ht="15">
      <c r="A844" s="13">
        <v>66811</v>
      </c>
      <c r="B844" s="67">
        <f>14.0934 * CHOOSE(CONTROL!$C$22, $C$13, 100%, $E$13)</f>
        <v>14.093400000000001</v>
      </c>
      <c r="C844" s="67">
        <f>14.0934 * CHOOSE(CONTROL!$C$22, $C$13, 100%, $E$13)</f>
        <v>14.093400000000001</v>
      </c>
      <c r="D844" s="67">
        <f>14.0944 * CHOOSE(CONTROL!$C$22, $C$13, 100%, $E$13)</f>
        <v>14.0944</v>
      </c>
      <c r="E844" s="68">
        <f>15.91 * CHOOSE(CONTROL!$C$22, $C$13, 100%, $E$13)</f>
        <v>15.91</v>
      </c>
      <c r="F844" s="68">
        <f>15.91 * CHOOSE(CONTROL!$C$22, $C$13, 100%, $E$13)</f>
        <v>15.91</v>
      </c>
      <c r="G844" s="68">
        <f>15.9113 * CHOOSE(CONTROL!$C$22, $C$13, 100%, $E$13)</f>
        <v>15.911300000000001</v>
      </c>
      <c r="H844" s="68">
        <f>26.4521* CHOOSE(CONTROL!$C$22, $C$13, 100%, $E$13)</f>
        <v>26.452100000000002</v>
      </c>
      <c r="I844" s="68">
        <f>26.4534 * CHOOSE(CONTROL!$C$22, $C$13, 100%, $E$13)</f>
        <v>26.453399999999998</v>
      </c>
      <c r="J844" s="68">
        <f>15.91 * CHOOSE(CONTROL!$C$22, $C$13, 100%, $E$13)</f>
        <v>15.91</v>
      </c>
      <c r="K844" s="68">
        <f>15.9113 * CHOOSE(CONTROL!$C$22, $C$13, 100%, $E$13)</f>
        <v>15.911300000000001</v>
      </c>
    </row>
    <row r="845" spans="1:11" ht="15">
      <c r="A845" s="13">
        <v>66842</v>
      </c>
      <c r="B845" s="67">
        <f>14.0787 * CHOOSE(CONTROL!$C$22, $C$13, 100%, $E$13)</f>
        <v>14.0787</v>
      </c>
      <c r="C845" s="67">
        <f>14.0787 * CHOOSE(CONTROL!$C$22, $C$13, 100%, $E$13)</f>
        <v>14.0787</v>
      </c>
      <c r="D845" s="67">
        <f>14.0797 * CHOOSE(CONTROL!$C$22, $C$13, 100%, $E$13)</f>
        <v>14.079700000000001</v>
      </c>
      <c r="E845" s="68">
        <f>16.013 * CHOOSE(CONTROL!$C$22, $C$13, 100%, $E$13)</f>
        <v>16.013000000000002</v>
      </c>
      <c r="F845" s="68">
        <f>16.013 * CHOOSE(CONTROL!$C$22, $C$13, 100%, $E$13)</f>
        <v>16.013000000000002</v>
      </c>
      <c r="G845" s="68">
        <f>16.0142 * CHOOSE(CONTROL!$C$22, $C$13, 100%, $E$13)</f>
        <v>16.014199999999999</v>
      </c>
      <c r="H845" s="68">
        <f>26.2805* CHOOSE(CONTROL!$C$22, $C$13, 100%, $E$13)</f>
        <v>26.2805</v>
      </c>
      <c r="I845" s="68">
        <f>26.2817 * CHOOSE(CONTROL!$C$22, $C$13, 100%, $E$13)</f>
        <v>26.281700000000001</v>
      </c>
      <c r="J845" s="68">
        <f>16.013 * CHOOSE(CONTROL!$C$22, $C$13, 100%, $E$13)</f>
        <v>16.013000000000002</v>
      </c>
      <c r="K845" s="68">
        <f>16.0142 * CHOOSE(CONTROL!$C$22, $C$13, 100%, $E$13)</f>
        <v>16.014199999999999</v>
      </c>
    </row>
    <row r="846" spans="1:11" ht="15">
      <c r="A846" s="13">
        <v>66873</v>
      </c>
      <c r="B846" s="67">
        <f>14.0757 * CHOOSE(CONTROL!$C$22, $C$13, 100%, $E$13)</f>
        <v>14.075699999999999</v>
      </c>
      <c r="C846" s="67">
        <f>14.0757 * CHOOSE(CONTROL!$C$22, $C$13, 100%, $E$13)</f>
        <v>14.075699999999999</v>
      </c>
      <c r="D846" s="67">
        <f>14.0767 * CHOOSE(CONTROL!$C$22, $C$13, 100%, $E$13)</f>
        <v>14.076700000000001</v>
      </c>
      <c r="E846" s="68">
        <f>15.7262 * CHOOSE(CONTROL!$C$22, $C$13, 100%, $E$13)</f>
        <v>15.7262</v>
      </c>
      <c r="F846" s="68">
        <f>15.7262 * CHOOSE(CONTROL!$C$22, $C$13, 100%, $E$13)</f>
        <v>15.7262</v>
      </c>
      <c r="G846" s="68">
        <f>15.7275 * CHOOSE(CONTROL!$C$22, $C$13, 100%, $E$13)</f>
        <v>15.727499999999999</v>
      </c>
      <c r="H846" s="68">
        <f>26.3352* CHOOSE(CONTROL!$C$22, $C$13, 100%, $E$13)</f>
        <v>26.3352</v>
      </c>
      <c r="I846" s="68">
        <f>26.3365 * CHOOSE(CONTROL!$C$22, $C$13, 100%, $E$13)</f>
        <v>26.336500000000001</v>
      </c>
      <c r="J846" s="68">
        <f>15.7262 * CHOOSE(CONTROL!$C$22, $C$13, 100%, $E$13)</f>
        <v>15.7262</v>
      </c>
      <c r="K846" s="68">
        <f>15.7275 * CHOOSE(CONTROL!$C$22, $C$13, 100%, $E$13)</f>
        <v>15.727499999999999</v>
      </c>
    </row>
    <row r="847" spans="1:11" ht="15">
      <c r="A847" s="13">
        <v>66901</v>
      </c>
      <c r="B847" s="67">
        <f>14.0727 * CHOOSE(CONTROL!$C$22, $C$13, 100%, $E$13)</f>
        <v>14.072699999999999</v>
      </c>
      <c r="C847" s="67">
        <f>14.0727 * CHOOSE(CONTROL!$C$22, $C$13, 100%, $E$13)</f>
        <v>14.072699999999999</v>
      </c>
      <c r="D847" s="67">
        <f>14.0736 * CHOOSE(CONTROL!$C$22, $C$13, 100%, $E$13)</f>
        <v>14.073600000000001</v>
      </c>
      <c r="E847" s="68">
        <f>15.9485 * CHOOSE(CONTROL!$C$22, $C$13, 100%, $E$13)</f>
        <v>15.948499999999999</v>
      </c>
      <c r="F847" s="68">
        <f>15.9485 * CHOOSE(CONTROL!$C$22, $C$13, 100%, $E$13)</f>
        <v>15.948499999999999</v>
      </c>
      <c r="G847" s="68">
        <f>15.9498 * CHOOSE(CONTROL!$C$22, $C$13, 100%, $E$13)</f>
        <v>15.9498</v>
      </c>
      <c r="H847" s="68">
        <f>26.3901* CHOOSE(CONTROL!$C$22, $C$13, 100%, $E$13)</f>
        <v>26.3901</v>
      </c>
      <c r="I847" s="68">
        <f>26.3914 * CHOOSE(CONTROL!$C$22, $C$13, 100%, $E$13)</f>
        <v>26.391400000000001</v>
      </c>
      <c r="J847" s="68">
        <f>15.9485 * CHOOSE(CONTROL!$C$22, $C$13, 100%, $E$13)</f>
        <v>15.948499999999999</v>
      </c>
      <c r="K847" s="68">
        <f>15.9498 * CHOOSE(CONTROL!$C$22, $C$13, 100%, $E$13)</f>
        <v>15.9498</v>
      </c>
    </row>
    <row r="848" spans="1:11" ht="15">
      <c r="A848" s="13">
        <v>66932</v>
      </c>
      <c r="B848" s="67">
        <f>14.0787 * CHOOSE(CONTROL!$C$22, $C$13, 100%, $E$13)</f>
        <v>14.0787</v>
      </c>
      <c r="C848" s="67">
        <f>14.0787 * CHOOSE(CONTROL!$C$22, $C$13, 100%, $E$13)</f>
        <v>14.0787</v>
      </c>
      <c r="D848" s="67">
        <f>14.0797 * CHOOSE(CONTROL!$C$22, $C$13, 100%, $E$13)</f>
        <v>14.079700000000001</v>
      </c>
      <c r="E848" s="68">
        <f>16.1852 * CHOOSE(CONTROL!$C$22, $C$13, 100%, $E$13)</f>
        <v>16.185199999999998</v>
      </c>
      <c r="F848" s="68">
        <f>16.1852 * CHOOSE(CONTROL!$C$22, $C$13, 100%, $E$13)</f>
        <v>16.185199999999998</v>
      </c>
      <c r="G848" s="68">
        <f>16.1865 * CHOOSE(CONTROL!$C$22, $C$13, 100%, $E$13)</f>
        <v>16.186499999999999</v>
      </c>
      <c r="H848" s="68">
        <f>26.4451* CHOOSE(CONTROL!$C$22, $C$13, 100%, $E$13)</f>
        <v>26.4451</v>
      </c>
      <c r="I848" s="68">
        <f>26.4463 * CHOOSE(CONTROL!$C$22, $C$13, 100%, $E$13)</f>
        <v>26.446300000000001</v>
      </c>
      <c r="J848" s="68">
        <f>16.1852 * CHOOSE(CONTROL!$C$22, $C$13, 100%, $E$13)</f>
        <v>16.185199999999998</v>
      </c>
      <c r="K848" s="68">
        <f>16.1865 * CHOOSE(CONTROL!$C$22, $C$13, 100%, $E$13)</f>
        <v>16.186499999999999</v>
      </c>
    </row>
    <row r="849" spans="1:11" ht="15">
      <c r="A849" s="13">
        <v>66962</v>
      </c>
      <c r="B849" s="67">
        <f>14.0787 * CHOOSE(CONTROL!$C$22, $C$13, 100%, $E$13)</f>
        <v>14.0787</v>
      </c>
      <c r="C849" s="67">
        <f>14.0787 * CHOOSE(CONTROL!$C$22, $C$13, 100%, $E$13)</f>
        <v>14.0787</v>
      </c>
      <c r="D849" s="67">
        <f>14.0814 * CHOOSE(CONTROL!$C$22, $C$13, 100%, $E$13)</f>
        <v>14.0814</v>
      </c>
      <c r="E849" s="68">
        <f>16.2756 * CHOOSE(CONTROL!$C$22, $C$13, 100%, $E$13)</f>
        <v>16.275600000000001</v>
      </c>
      <c r="F849" s="68">
        <f>16.2756 * CHOOSE(CONTROL!$C$22, $C$13, 100%, $E$13)</f>
        <v>16.275600000000001</v>
      </c>
      <c r="G849" s="68">
        <f>16.2788 * CHOOSE(CONTROL!$C$22, $C$13, 100%, $E$13)</f>
        <v>16.2788</v>
      </c>
      <c r="H849" s="68">
        <f>26.5002* CHOOSE(CONTROL!$C$22, $C$13, 100%, $E$13)</f>
        <v>26.5002</v>
      </c>
      <c r="I849" s="68">
        <f>26.5034 * CHOOSE(CONTROL!$C$22, $C$13, 100%, $E$13)</f>
        <v>26.503399999999999</v>
      </c>
      <c r="J849" s="68">
        <f>16.2756 * CHOOSE(CONTROL!$C$22, $C$13, 100%, $E$13)</f>
        <v>16.275600000000001</v>
      </c>
      <c r="K849" s="68">
        <f>16.2788 * CHOOSE(CONTROL!$C$22, $C$13, 100%, $E$13)</f>
        <v>16.2788</v>
      </c>
    </row>
    <row r="850" spans="1:11" ht="15">
      <c r="A850" s="13">
        <v>66993</v>
      </c>
      <c r="B850" s="67">
        <f>14.0848 * CHOOSE(CONTROL!$C$22, $C$13, 100%, $E$13)</f>
        <v>14.0848</v>
      </c>
      <c r="C850" s="67">
        <f>14.0848 * CHOOSE(CONTROL!$C$22, $C$13, 100%, $E$13)</f>
        <v>14.0848</v>
      </c>
      <c r="D850" s="67">
        <f>14.0874 * CHOOSE(CONTROL!$C$22, $C$13, 100%, $E$13)</f>
        <v>14.087400000000001</v>
      </c>
      <c r="E850" s="68">
        <f>16.1894 * CHOOSE(CONTROL!$C$22, $C$13, 100%, $E$13)</f>
        <v>16.189399999999999</v>
      </c>
      <c r="F850" s="68">
        <f>16.1894 * CHOOSE(CONTROL!$C$22, $C$13, 100%, $E$13)</f>
        <v>16.189399999999999</v>
      </c>
      <c r="G850" s="68">
        <f>16.1927 * CHOOSE(CONTROL!$C$22, $C$13, 100%, $E$13)</f>
        <v>16.192699999999999</v>
      </c>
      <c r="H850" s="68">
        <f>26.5554* CHOOSE(CONTROL!$C$22, $C$13, 100%, $E$13)</f>
        <v>26.555399999999999</v>
      </c>
      <c r="I850" s="68">
        <f>26.5586 * CHOOSE(CONTROL!$C$22, $C$13, 100%, $E$13)</f>
        <v>26.558599999999998</v>
      </c>
      <c r="J850" s="68">
        <f>16.1894 * CHOOSE(CONTROL!$C$22, $C$13, 100%, $E$13)</f>
        <v>16.189399999999999</v>
      </c>
      <c r="K850" s="68">
        <f>16.1927 * CHOOSE(CONTROL!$C$22, $C$13, 100%, $E$13)</f>
        <v>16.192699999999999</v>
      </c>
    </row>
    <row r="851" spans="1:11" ht="15">
      <c r="A851" s="13">
        <v>67023</v>
      </c>
      <c r="B851" s="67">
        <f>14.2984 * CHOOSE(CONTROL!$C$22, $C$13, 100%, $E$13)</f>
        <v>14.298400000000001</v>
      </c>
      <c r="C851" s="67">
        <f>14.2984 * CHOOSE(CONTROL!$C$22, $C$13, 100%, $E$13)</f>
        <v>14.298400000000001</v>
      </c>
      <c r="D851" s="67">
        <f>14.301 * CHOOSE(CONTROL!$C$22, $C$13, 100%, $E$13)</f>
        <v>14.301</v>
      </c>
      <c r="E851" s="68">
        <f>16.4469 * CHOOSE(CONTROL!$C$22, $C$13, 100%, $E$13)</f>
        <v>16.446899999999999</v>
      </c>
      <c r="F851" s="68">
        <f>16.4469 * CHOOSE(CONTROL!$C$22, $C$13, 100%, $E$13)</f>
        <v>16.446899999999999</v>
      </c>
      <c r="G851" s="68">
        <f>16.4501 * CHOOSE(CONTROL!$C$22, $C$13, 100%, $E$13)</f>
        <v>16.450099999999999</v>
      </c>
      <c r="H851" s="68">
        <f>26.6107* CHOOSE(CONTROL!$C$22, $C$13, 100%, $E$13)</f>
        <v>26.610700000000001</v>
      </c>
      <c r="I851" s="68">
        <f>26.6139 * CHOOSE(CONTROL!$C$22, $C$13, 100%, $E$13)</f>
        <v>26.613900000000001</v>
      </c>
      <c r="J851" s="68">
        <f>16.4469 * CHOOSE(CONTROL!$C$22, $C$13, 100%, $E$13)</f>
        <v>16.446899999999999</v>
      </c>
      <c r="K851" s="68">
        <f>16.4501 * CHOOSE(CONTROL!$C$22, $C$13, 100%, $E$13)</f>
        <v>16.450099999999999</v>
      </c>
    </row>
    <row r="852" spans="1:11" ht="15">
      <c r="A852" s="13">
        <v>67054</v>
      </c>
      <c r="B852" s="67">
        <f>14.3051 * CHOOSE(CONTROL!$C$22, $C$13, 100%, $E$13)</f>
        <v>14.305099999999999</v>
      </c>
      <c r="C852" s="67">
        <f>14.3051 * CHOOSE(CONTROL!$C$22, $C$13, 100%, $E$13)</f>
        <v>14.305099999999999</v>
      </c>
      <c r="D852" s="67">
        <f>14.3077 * CHOOSE(CONTROL!$C$22, $C$13, 100%, $E$13)</f>
        <v>14.307700000000001</v>
      </c>
      <c r="E852" s="68">
        <f>16.1805 * CHOOSE(CONTROL!$C$22, $C$13, 100%, $E$13)</f>
        <v>16.180499999999999</v>
      </c>
      <c r="F852" s="68">
        <f>16.1805 * CHOOSE(CONTROL!$C$22, $C$13, 100%, $E$13)</f>
        <v>16.180499999999999</v>
      </c>
      <c r="G852" s="68">
        <f>16.1837 * CHOOSE(CONTROL!$C$22, $C$13, 100%, $E$13)</f>
        <v>16.183700000000002</v>
      </c>
      <c r="H852" s="68">
        <f>26.6661* CHOOSE(CONTROL!$C$22, $C$13, 100%, $E$13)</f>
        <v>26.6661</v>
      </c>
      <c r="I852" s="68">
        <f>26.6694 * CHOOSE(CONTROL!$C$22, $C$13, 100%, $E$13)</f>
        <v>26.6694</v>
      </c>
      <c r="J852" s="68">
        <f>16.1805 * CHOOSE(CONTROL!$C$22, $C$13, 100%, $E$13)</f>
        <v>16.180499999999999</v>
      </c>
      <c r="K852" s="68">
        <f>16.1837 * CHOOSE(CONTROL!$C$22, $C$13, 100%, $E$13)</f>
        <v>16.183700000000002</v>
      </c>
    </row>
    <row r="853" spans="1:11" ht="15">
      <c r="A853" s="13">
        <v>67085</v>
      </c>
      <c r="B853" s="67">
        <f>14.3021 * CHOOSE(CONTROL!$C$22, $C$13, 100%, $E$13)</f>
        <v>14.302099999999999</v>
      </c>
      <c r="C853" s="67">
        <f>14.3021 * CHOOSE(CONTROL!$C$22, $C$13, 100%, $E$13)</f>
        <v>14.302099999999999</v>
      </c>
      <c r="D853" s="67">
        <f>14.3047 * CHOOSE(CONTROL!$C$22, $C$13, 100%, $E$13)</f>
        <v>14.3047</v>
      </c>
      <c r="E853" s="68">
        <f>16.1482 * CHOOSE(CONTROL!$C$22, $C$13, 100%, $E$13)</f>
        <v>16.148199999999999</v>
      </c>
      <c r="F853" s="68">
        <f>16.1482 * CHOOSE(CONTROL!$C$22, $C$13, 100%, $E$13)</f>
        <v>16.148199999999999</v>
      </c>
      <c r="G853" s="68">
        <f>16.1515 * CHOOSE(CONTROL!$C$22, $C$13, 100%, $E$13)</f>
        <v>16.151499999999999</v>
      </c>
      <c r="H853" s="68">
        <f>26.7217* CHOOSE(CONTROL!$C$22, $C$13, 100%, $E$13)</f>
        <v>26.721699999999998</v>
      </c>
      <c r="I853" s="68">
        <f>26.7249 * CHOOSE(CONTROL!$C$22, $C$13, 100%, $E$13)</f>
        <v>26.724900000000002</v>
      </c>
      <c r="J853" s="68">
        <f>16.1482 * CHOOSE(CONTROL!$C$22, $C$13, 100%, $E$13)</f>
        <v>16.148199999999999</v>
      </c>
      <c r="K853" s="68">
        <f>16.1515 * CHOOSE(CONTROL!$C$22, $C$13, 100%, $E$13)</f>
        <v>16.151499999999999</v>
      </c>
    </row>
    <row r="854" spans="1:11" ht="15">
      <c r="A854" s="13">
        <v>67115</v>
      </c>
      <c r="B854" s="67">
        <f>14.3303 * CHOOSE(CONTROL!$C$22, $C$13, 100%, $E$13)</f>
        <v>14.330299999999999</v>
      </c>
      <c r="C854" s="67">
        <f>14.3303 * CHOOSE(CONTROL!$C$22, $C$13, 100%, $E$13)</f>
        <v>14.330299999999999</v>
      </c>
      <c r="D854" s="67">
        <f>14.3313 * CHOOSE(CONTROL!$C$22, $C$13, 100%, $E$13)</f>
        <v>14.331300000000001</v>
      </c>
      <c r="E854" s="68">
        <f>16.2553 * CHOOSE(CONTROL!$C$22, $C$13, 100%, $E$13)</f>
        <v>16.255299999999998</v>
      </c>
      <c r="F854" s="68">
        <f>16.2553 * CHOOSE(CONTROL!$C$22, $C$13, 100%, $E$13)</f>
        <v>16.255299999999998</v>
      </c>
      <c r="G854" s="68">
        <f>16.2566 * CHOOSE(CONTROL!$C$22, $C$13, 100%, $E$13)</f>
        <v>16.256599999999999</v>
      </c>
      <c r="H854" s="68">
        <f>26.7773* CHOOSE(CONTROL!$C$22, $C$13, 100%, $E$13)</f>
        <v>26.7773</v>
      </c>
      <c r="I854" s="68">
        <f>26.7786 * CHOOSE(CONTROL!$C$22, $C$13, 100%, $E$13)</f>
        <v>26.778600000000001</v>
      </c>
      <c r="J854" s="68">
        <f>16.2553 * CHOOSE(CONTROL!$C$22, $C$13, 100%, $E$13)</f>
        <v>16.255299999999998</v>
      </c>
      <c r="K854" s="68">
        <f>16.2566 * CHOOSE(CONTROL!$C$22, $C$13, 100%, $E$13)</f>
        <v>16.256599999999999</v>
      </c>
    </row>
    <row r="855" spans="1:11" ht="15">
      <c r="A855" s="13">
        <v>67146</v>
      </c>
      <c r="B855" s="67">
        <f>14.3333 * CHOOSE(CONTROL!$C$22, $C$13, 100%, $E$13)</f>
        <v>14.333299999999999</v>
      </c>
      <c r="C855" s="67">
        <f>14.3333 * CHOOSE(CONTROL!$C$22, $C$13, 100%, $E$13)</f>
        <v>14.333299999999999</v>
      </c>
      <c r="D855" s="67">
        <f>14.3343 * CHOOSE(CONTROL!$C$22, $C$13, 100%, $E$13)</f>
        <v>14.334300000000001</v>
      </c>
      <c r="E855" s="68">
        <f>16.3177 * CHOOSE(CONTROL!$C$22, $C$13, 100%, $E$13)</f>
        <v>16.317699999999999</v>
      </c>
      <c r="F855" s="68">
        <f>16.3177 * CHOOSE(CONTROL!$C$22, $C$13, 100%, $E$13)</f>
        <v>16.317699999999999</v>
      </c>
      <c r="G855" s="68">
        <f>16.3189 * CHOOSE(CONTROL!$C$22, $C$13, 100%, $E$13)</f>
        <v>16.318899999999999</v>
      </c>
      <c r="H855" s="68">
        <f>26.8331* CHOOSE(CONTROL!$C$22, $C$13, 100%, $E$13)</f>
        <v>26.833100000000002</v>
      </c>
      <c r="I855" s="68">
        <f>26.8344 * CHOOSE(CONTROL!$C$22, $C$13, 100%, $E$13)</f>
        <v>26.834399999999999</v>
      </c>
      <c r="J855" s="68">
        <f>16.3177 * CHOOSE(CONTROL!$C$22, $C$13, 100%, $E$13)</f>
        <v>16.317699999999999</v>
      </c>
      <c r="K855" s="68">
        <f>16.3189 * CHOOSE(CONTROL!$C$22, $C$13, 100%, $E$13)</f>
        <v>16.318899999999999</v>
      </c>
    </row>
    <row r="856" spans="1:11" ht="15">
      <c r="A856" s="13">
        <v>67176</v>
      </c>
      <c r="B856" s="67">
        <f>14.3333 * CHOOSE(CONTROL!$C$22, $C$13, 100%, $E$13)</f>
        <v>14.333299999999999</v>
      </c>
      <c r="C856" s="67">
        <f>14.3333 * CHOOSE(CONTROL!$C$22, $C$13, 100%, $E$13)</f>
        <v>14.333299999999999</v>
      </c>
      <c r="D856" s="67">
        <f>14.3343 * CHOOSE(CONTROL!$C$22, $C$13, 100%, $E$13)</f>
        <v>14.334300000000001</v>
      </c>
      <c r="E856" s="68">
        <f>16.1671 * CHOOSE(CONTROL!$C$22, $C$13, 100%, $E$13)</f>
        <v>16.167100000000001</v>
      </c>
      <c r="F856" s="68">
        <f>16.1671 * CHOOSE(CONTROL!$C$22, $C$13, 100%, $E$13)</f>
        <v>16.167100000000001</v>
      </c>
      <c r="G856" s="68">
        <f>16.1683 * CHOOSE(CONTROL!$C$22, $C$13, 100%, $E$13)</f>
        <v>16.168299999999999</v>
      </c>
      <c r="H856" s="68">
        <f>26.889* CHOOSE(CONTROL!$C$22, $C$13, 100%, $E$13)</f>
        <v>26.888999999999999</v>
      </c>
      <c r="I856" s="68">
        <f>26.8903 * CHOOSE(CONTROL!$C$22, $C$13, 100%, $E$13)</f>
        <v>26.8903</v>
      </c>
      <c r="J856" s="68">
        <f>16.1671 * CHOOSE(CONTROL!$C$22, $C$13, 100%, $E$13)</f>
        <v>16.167100000000001</v>
      </c>
      <c r="K856" s="68">
        <f>16.1683 * CHOOSE(CONTROL!$C$22, $C$13, 100%, $E$13)</f>
        <v>16.168299999999999</v>
      </c>
    </row>
    <row r="857" spans="1:11" ht="15">
      <c r="A857" s="13">
        <v>67207</v>
      </c>
      <c r="B857" s="67">
        <f>14.3143 * CHOOSE(CONTROL!$C$22, $C$13, 100%, $E$13)</f>
        <v>14.314299999999999</v>
      </c>
      <c r="C857" s="67">
        <f>14.3143 * CHOOSE(CONTROL!$C$22, $C$13, 100%, $E$13)</f>
        <v>14.314299999999999</v>
      </c>
      <c r="D857" s="67">
        <f>14.3153 * CHOOSE(CONTROL!$C$22, $C$13, 100%, $E$13)</f>
        <v>14.315300000000001</v>
      </c>
      <c r="E857" s="68">
        <f>16.2677 * CHOOSE(CONTROL!$C$22, $C$13, 100%, $E$13)</f>
        <v>16.267700000000001</v>
      </c>
      <c r="F857" s="68">
        <f>16.2677 * CHOOSE(CONTROL!$C$22, $C$13, 100%, $E$13)</f>
        <v>16.267700000000001</v>
      </c>
      <c r="G857" s="68">
        <f>16.269 * CHOOSE(CONTROL!$C$22, $C$13, 100%, $E$13)</f>
        <v>16.268999999999998</v>
      </c>
      <c r="H857" s="68">
        <f>26.7075* CHOOSE(CONTROL!$C$22, $C$13, 100%, $E$13)</f>
        <v>26.7075</v>
      </c>
      <c r="I857" s="68">
        <f>26.7088 * CHOOSE(CONTROL!$C$22, $C$13, 100%, $E$13)</f>
        <v>26.7088</v>
      </c>
      <c r="J857" s="68">
        <f>16.2677 * CHOOSE(CONTROL!$C$22, $C$13, 100%, $E$13)</f>
        <v>16.267700000000001</v>
      </c>
      <c r="K857" s="68">
        <f>16.269 * CHOOSE(CONTROL!$C$22, $C$13, 100%, $E$13)</f>
        <v>16.268999999999998</v>
      </c>
    </row>
    <row r="858" spans="1:11" ht="15">
      <c r="A858" s="13">
        <v>67238</v>
      </c>
      <c r="B858" s="67">
        <f>14.3113 * CHOOSE(CONTROL!$C$22, $C$13, 100%, $E$13)</f>
        <v>14.311299999999999</v>
      </c>
      <c r="C858" s="67">
        <f>14.3113 * CHOOSE(CONTROL!$C$22, $C$13, 100%, $E$13)</f>
        <v>14.311299999999999</v>
      </c>
      <c r="D858" s="67">
        <f>14.3122 * CHOOSE(CONTROL!$C$22, $C$13, 100%, $E$13)</f>
        <v>14.312200000000001</v>
      </c>
      <c r="E858" s="68">
        <f>15.976 * CHOOSE(CONTROL!$C$22, $C$13, 100%, $E$13)</f>
        <v>15.976000000000001</v>
      </c>
      <c r="F858" s="68">
        <f>15.976 * CHOOSE(CONTROL!$C$22, $C$13, 100%, $E$13)</f>
        <v>15.976000000000001</v>
      </c>
      <c r="G858" s="68">
        <f>15.9773 * CHOOSE(CONTROL!$C$22, $C$13, 100%, $E$13)</f>
        <v>15.9773</v>
      </c>
      <c r="H858" s="68">
        <f>26.7631* CHOOSE(CONTROL!$C$22, $C$13, 100%, $E$13)</f>
        <v>26.763100000000001</v>
      </c>
      <c r="I858" s="68">
        <f>26.7644 * CHOOSE(CONTROL!$C$22, $C$13, 100%, $E$13)</f>
        <v>26.764399999999998</v>
      </c>
      <c r="J858" s="68">
        <f>15.976 * CHOOSE(CONTROL!$C$22, $C$13, 100%, $E$13)</f>
        <v>15.976000000000001</v>
      </c>
      <c r="K858" s="68">
        <f>15.9773 * CHOOSE(CONTROL!$C$22, $C$13, 100%, $E$13)</f>
        <v>15.9773</v>
      </c>
    </row>
    <row r="859" spans="1:11" ht="15">
      <c r="A859" s="13">
        <v>67267</v>
      </c>
      <c r="B859" s="67">
        <f>14.3082 * CHOOSE(CONTROL!$C$22, $C$13, 100%, $E$13)</f>
        <v>14.308199999999999</v>
      </c>
      <c r="C859" s="67">
        <f>14.3082 * CHOOSE(CONTROL!$C$22, $C$13, 100%, $E$13)</f>
        <v>14.308199999999999</v>
      </c>
      <c r="D859" s="67">
        <f>14.3092 * CHOOSE(CONTROL!$C$22, $C$13, 100%, $E$13)</f>
        <v>14.309200000000001</v>
      </c>
      <c r="E859" s="68">
        <f>16.2022 * CHOOSE(CONTROL!$C$22, $C$13, 100%, $E$13)</f>
        <v>16.202200000000001</v>
      </c>
      <c r="F859" s="68">
        <f>16.2022 * CHOOSE(CONTROL!$C$22, $C$13, 100%, $E$13)</f>
        <v>16.202200000000001</v>
      </c>
      <c r="G859" s="68">
        <f>16.2034 * CHOOSE(CONTROL!$C$22, $C$13, 100%, $E$13)</f>
        <v>16.203399999999998</v>
      </c>
      <c r="H859" s="68">
        <f>26.8189* CHOOSE(CONTROL!$C$22, $C$13, 100%, $E$13)</f>
        <v>26.818899999999999</v>
      </c>
      <c r="I859" s="68">
        <f>26.8202 * CHOOSE(CONTROL!$C$22, $C$13, 100%, $E$13)</f>
        <v>26.8202</v>
      </c>
      <c r="J859" s="68">
        <f>16.2022 * CHOOSE(CONTROL!$C$22, $C$13, 100%, $E$13)</f>
        <v>16.202200000000001</v>
      </c>
      <c r="K859" s="68">
        <f>16.2034 * CHOOSE(CONTROL!$C$22, $C$13, 100%, $E$13)</f>
        <v>16.203399999999998</v>
      </c>
    </row>
    <row r="860" spans="1:11" ht="15">
      <c r="A860" s="13">
        <v>67298</v>
      </c>
      <c r="B860" s="67">
        <f>14.3145 * CHOOSE(CONTROL!$C$22, $C$13, 100%, $E$13)</f>
        <v>14.314500000000001</v>
      </c>
      <c r="C860" s="67">
        <f>14.3145 * CHOOSE(CONTROL!$C$22, $C$13, 100%, $E$13)</f>
        <v>14.314500000000001</v>
      </c>
      <c r="D860" s="67">
        <f>14.3155 * CHOOSE(CONTROL!$C$22, $C$13, 100%, $E$13)</f>
        <v>14.3155</v>
      </c>
      <c r="E860" s="68">
        <f>16.4431 * CHOOSE(CONTROL!$C$22, $C$13, 100%, $E$13)</f>
        <v>16.443100000000001</v>
      </c>
      <c r="F860" s="68">
        <f>16.4431 * CHOOSE(CONTROL!$C$22, $C$13, 100%, $E$13)</f>
        <v>16.443100000000001</v>
      </c>
      <c r="G860" s="68">
        <f>16.4443 * CHOOSE(CONTROL!$C$22, $C$13, 100%, $E$13)</f>
        <v>16.444299999999998</v>
      </c>
      <c r="H860" s="68">
        <f>26.8748* CHOOSE(CONTROL!$C$22, $C$13, 100%, $E$13)</f>
        <v>26.8748</v>
      </c>
      <c r="I860" s="68">
        <f>26.876 * CHOOSE(CONTROL!$C$22, $C$13, 100%, $E$13)</f>
        <v>26.876000000000001</v>
      </c>
      <c r="J860" s="68">
        <f>16.4431 * CHOOSE(CONTROL!$C$22, $C$13, 100%, $E$13)</f>
        <v>16.443100000000001</v>
      </c>
      <c r="K860" s="68">
        <f>16.4443 * CHOOSE(CONTROL!$C$22, $C$13, 100%, $E$13)</f>
        <v>16.444299999999998</v>
      </c>
    </row>
    <row r="861" spans="1:11" ht="15">
      <c r="A861" s="13">
        <v>67328</v>
      </c>
      <c r="B861" s="67">
        <f>14.3145 * CHOOSE(CONTROL!$C$22, $C$13, 100%, $E$13)</f>
        <v>14.314500000000001</v>
      </c>
      <c r="C861" s="67">
        <f>14.3145 * CHOOSE(CONTROL!$C$22, $C$13, 100%, $E$13)</f>
        <v>14.314500000000001</v>
      </c>
      <c r="D861" s="67">
        <f>14.3171 * CHOOSE(CONTROL!$C$22, $C$13, 100%, $E$13)</f>
        <v>14.3171</v>
      </c>
      <c r="E861" s="68">
        <f>16.535 * CHOOSE(CONTROL!$C$22, $C$13, 100%, $E$13)</f>
        <v>16.535</v>
      </c>
      <c r="F861" s="68">
        <f>16.535 * CHOOSE(CONTROL!$C$22, $C$13, 100%, $E$13)</f>
        <v>16.535</v>
      </c>
      <c r="G861" s="68">
        <f>16.5382 * CHOOSE(CONTROL!$C$22, $C$13, 100%, $E$13)</f>
        <v>16.5382</v>
      </c>
      <c r="H861" s="68">
        <f>26.9307* CHOOSE(CONTROL!$C$22, $C$13, 100%, $E$13)</f>
        <v>26.930700000000002</v>
      </c>
      <c r="I861" s="68">
        <f>26.934 * CHOOSE(CONTROL!$C$22, $C$13, 100%, $E$13)</f>
        <v>26.934000000000001</v>
      </c>
      <c r="J861" s="68">
        <f>16.535 * CHOOSE(CONTROL!$C$22, $C$13, 100%, $E$13)</f>
        <v>16.535</v>
      </c>
      <c r="K861" s="68">
        <f>16.5382 * CHOOSE(CONTROL!$C$22, $C$13, 100%, $E$13)</f>
        <v>16.5382</v>
      </c>
    </row>
    <row r="862" spans="1:11" ht="15">
      <c r="A862" s="13">
        <v>67359</v>
      </c>
      <c r="B862" s="67">
        <f>14.3206 * CHOOSE(CONTROL!$C$22, $C$13, 100%, $E$13)</f>
        <v>14.320600000000001</v>
      </c>
      <c r="C862" s="67">
        <f>14.3206 * CHOOSE(CONTROL!$C$22, $C$13, 100%, $E$13)</f>
        <v>14.320600000000001</v>
      </c>
      <c r="D862" s="67">
        <f>14.3232 * CHOOSE(CONTROL!$C$22, $C$13, 100%, $E$13)</f>
        <v>14.3232</v>
      </c>
      <c r="E862" s="68">
        <f>16.4473 * CHOOSE(CONTROL!$C$22, $C$13, 100%, $E$13)</f>
        <v>16.447299999999998</v>
      </c>
      <c r="F862" s="68">
        <f>16.4473 * CHOOSE(CONTROL!$C$22, $C$13, 100%, $E$13)</f>
        <v>16.447299999999998</v>
      </c>
      <c r="G862" s="68">
        <f>16.4506 * CHOOSE(CONTROL!$C$22, $C$13, 100%, $E$13)</f>
        <v>16.450600000000001</v>
      </c>
      <c r="H862" s="68">
        <f>26.9868* CHOOSE(CONTROL!$C$22, $C$13, 100%, $E$13)</f>
        <v>26.986799999999999</v>
      </c>
      <c r="I862" s="68">
        <f>26.9901 * CHOOSE(CONTROL!$C$22, $C$13, 100%, $E$13)</f>
        <v>26.990100000000002</v>
      </c>
      <c r="J862" s="68">
        <f>16.4473 * CHOOSE(CONTROL!$C$22, $C$13, 100%, $E$13)</f>
        <v>16.447299999999998</v>
      </c>
      <c r="K862" s="68">
        <f>16.4506 * CHOOSE(CONTROL!$C$22, $C$13, 100%, $E$13)</f>
        <v>16.450600000000001</v>
      </c>
    </row>
    <row r="863" spans="1:11" ht="15">
      <c r="A863" s="13">
        <v>67389</v>
      </c>
      <c r="B863" s="67">
        <f>14.5376 * CHOOSE(CONTROL!$C$22, $C$13, 100%, $E$13)</f>
        <v>14.537599999999999</v>
      </c>
      <c r="C863" s="67">
        <f>14.5376 * CHOOSE(CONTROL!$C$22, $C$13, 100%, $E$13)</f>
        <v>14.537599999999999</v>
      </c>
      <c r="D863" s="67">
        <f>14.5402 * CHOOSE(CONTROL!$C$22, $C$13, 100%, $E$13)</f>
        <v>14.5402</v>
      </c>
      <c r="E863" s="68">
        <f>16.7087 * CHOOSE(CONTROL!$C$22, $C$13, 100%, $E$13)</f>
        <v>16.7087</v>
      </c>
      <c r="F863" s="68">
        <f>16.7087 * CHOOSE(CONTROL!$C$22, $C$13, 100%, $E$13)</f>
        <v>16.7087</v>
      </c>
      <c r="G863" s="68">
        <f>16.7119 * CHOOSE(CONTROL!$C$22, $C$13, 100%, $E$13)</f>
        <v>16.7119</v>
      </c>
      <c r="H863" s="68">
        <f>27.0431* CHOOSE(CONTROL!$C$22, $C$13, 100%, $E$13)</f>
        <v>27.043099999999999</v>
      </c>
      <c r="I863" s="68">
        <f>27.0463 * CHOOSE(CONTROL!$C$22, $C$13, 100%, $E$13)</f>
        <v>27.046299999999999</v>
      </c>
      <c r="J863" s="68">
        <f>16.7087 * CHOOSE(CONTROL!$C$22, $C$13, 100%, $E$13)</f>
        <v>16.7087</v>
      </c>
      <c r="K863" s="68">
        <f>16.7119 * CHOOSE(CONTROL!$C$22, $C$13, 100%, $E$13)</f>
        <v>16.7119</v>
      </c>
    </row>
    <row r="864" spans="1:11" ht="15">
      <c r="A864" s="13">
        <v>67420</v>
      </c>
      <c r="B864" s="67">
        <f>14.5443 * CHOOSE(CONTROL!$C$22, $C$13, 100%, $E$13)</f>
        <v>14.5443</v>
      </c>
      <c r="C864" s="67">
        <f>14.5443 * CHOOSE(CONTROL!$C$22, $C$13, 100%, $E$13)</f>
        <v>14.5443</v>
      </c>
      <c r="D864" s="67">
        <f>14.5469 * CHOOSE(CONTROL!$C$22, $C$13, 100%, $E$13)</f>
        <v>14.546900000000001</v>
      </c>
      <c r="E864" s="68">
        <f>16.4375 * CHOOSE(CONTROL!$C$22, $C$13, 100%, $E$13)</f>
        <v>16.4375</v>
      </c>
      <c r="F864" s="68">
        <f>16.4375 * CHOOSE(CONTROL!$C$22, $C$13, 100%, $E$13)</f>
        <v>16.4375</v>
      </c>
      <c r="G864" s="68">
        <f>16.4408 * CHOOSE(CONTROL!$C$22, $C$13, 100%, $E$13)</f>
        <v>16.440799999999999</v>
      </c>
      <c r="H864" s="68">
        <f>27.0994* CHOOSE(CONTROL!$C$22, $C$13, 100%, $E$13)</f>
        <v>27.099399999999999</v>
      </c>
      <c r="I864" s="68">
        <f>27.1027 * CHOOSE(CONTROL!$C$22, $C$13, 100%, $E$13)</f>
        <v>27.102699999999999</v>
      </c>
      <c r="J864" s="68">
        <f>16.4375 * CHOOSE(CONTROL!$C$22, $C$13, 100%, $E$13)</f>
        <v>16.4375</v>
      </c>
      <c r="K864" s="68">
        <f>16.4408 * CHOOSE(CONTROL!$C$22, $C$13, 100%, $E$13)</f>
        <v>16.440799999999999</v>
      </c>
    </row>
    <row r="865" spans="1:11" ht="15">
      <c r="A865" s="13">
        <v>67451</v>
      </c>
      <c r="B865" s="67">
        <f>14.5412 * CHOOSE(CONTROL!$C$22, $C$13, 100%, $E$13)</f>
        <v>14.5412</v>
      </c>
      <c r="C865" s="67">
        <f>14.5412 * CHOOSE(CONTROL!$C$22, $C$13, 100%, $E$13)</f>
        <v>14.5412</v>
      </c>
      <c r="D865" s="67">
        <f>14.5439 * CHOOSE(CONTROL!$C$22, $C$13, 100%, $E$13)</f>
        <v>14.543900000000001</v>
      </c>
      <c r="E865" s="68">
        <f>16.4048 * CHOOSE(CONTROL!$C$22, $C$13, 100%, $E$13)</f>
        <v>16.404800000000002</v>
      </c>
      <c r="F865" s="68">
        <f>16.4048 * CHOOSE(CONTROL!$C$22, $C$13, 100%, $E$13)</f>
        <v>16.404800000000002</v>
      </c>
      <c r="G865" s="68">
        <f>16.408 * CHOOSE(CONTROL!$C$22, $C$13, 100%, $E$13)</f>
        <v>16.408000000000001</v>
      </c>
      <c r="H865" s="68">
        <f>27.1559* CHOOSE(CONTROL!$C$22, $C$13, 100%, $E$13)</f>
        <v>27.155899999999999</v>
      </c>
      <c r="I865" s="68">
        <f>27.1591 * CHOOSE(CONTROL!$C$22, $C$13, 100%, $E$13)</f>
        <v>27.159099999999999</v>
      </c>
      <c r="J865" s="68">
        <f>16.4048 * CHOOSE(CONTROL!$C$22, $C$13, 100%, $E$13)</f>
        <v>16.404800000000002</v>
      </c>
      <c r="K865" s="68">
        <f>16.408 * CHOOSE(CONTROL!$C$22, $C$13, 100%, $E$13)</f>
        <v>16.408000000000001</v>
      </c>
    </row>
    <row r="866" spans="1:11" ht="15">
      <c r="A866" s="13">
        <v>67481</v>
      </c>
      <c r="B866" s="67">
        <f>14.5702 * CHOOSE(CONTROL!$C$22, $C$13, 100%, $E$13)</f>
        <v>14.5702</v>
      </c>
      <c r="C866" s="67">
        <f>14.5702 * CHOOSE(CONTROL!$C$22, $C$13, 100%, $E$13)</f>
        <v>14.5702</v>
      </c>
      <c r="D866" s="67">
        <f>14.5712 * CHOOSE(CONTROL!$C$22, $C$13, 100%, $E$13)</f>
        <v>14.571199999999999</v>
      </c>
      <c r="E866" s="68">
        <f>16.5139 * CHOOSE(CONTROL!$C$22, $C$13, 100%, $E$13)</f>
        <v>16.5139</v>
      </c>
      <c r="F866" s="68">
        <f>16.5139 * CHOOSE(CONTROL!$C$22, $C$13, 100%, $E$13)</f>
        <v>16.5139</v>
      </c>
      <c r="G866" s="68">
        <f>16.5152 * CHOOSE(CONTROL!$C$22, $C$13, 100%, $E$13)</f>
        <v>16.5152</v>
      </c>
      <c r="H866" s="68">
        <f>27.2124* CHOOSE(CONTROL!$C$22, $C$13, 100%, $E$13)</f>
        <v>27.212399999999999</v>
      </c>
      <c r="I866" s="68">
        <f>27.2137 * CHOOSE(CONTROL!$C$22, $C$13, 100%, $E$13)</f>
        <v>27.213699999999999</v>
      </c>
      <c r="J866" s="68">
        <f>16.5139 * CHOOSE(CONTROL!$C$22, $C$13, 100%, $E$13)</f>
        <v>16.5139</v>
      </c>
      <c r="K866" s="68">
        <f>16.5152 * CHOOSE(CONTROL!$C$22, $C$13, 100%, $E$13)</f>
        <v>16.5152</v>
      </c>
    </row>
    <row r="867" spans="1:11" ht="15">
      <c r="A867" s="13">
        <v>67512</v>
      </c>
      <c r="B867" s="67">
        <f>14.5733 * CHOOSE(CONTROL!$C$22, $C$13, 100%, $E$13)</f>
        <v>14.5733</v>
      </c>
      <c r="C867" s="67">
        <f>14.5733 * CHOOSE(CONTROL!$C$22, $C$13, 100%, $E$13)</f>
        <v>14.5733</v>
      </c>
      <c r="D867" s="67">
        <f>14.5743 * CHOOSE(CONTROL!$C$22, $C$13, 100%, $E$13)</f>
        <v>14.574299999999999</v>
      </c>
      <c r="E867" s="68">
        <f>16.5773 * CHOOSE(CONTROL!$C$22, $C$13, 100%, $E$13)</f>
        <v>16.577300000000001</v>
      </c>
      <c r="F867" s="68">
        <f>16.5773 * CHOOSE(CONTROL!$C$22, $C$13, 100%, $E$13)</f>
        <v>16.577300000000001</v>
      </c>
      <c r="G867" s="68">
        <f>16.5786 * CHOOSE(CONTROL!$C$22, $C$13, 100%, $E$13)</f>
        <v>16.578600000000002</v>
      </c>
      <c r="H867" s="68">
        <f>27.2691* CHOOSE(CONTROL!$C$22, $C$13, 100%, $E$13)</f>
        <v>27.269100000000002</v>
      </c>
      <c r="I867" s="68">
        <f>27.2704 * CHOOSE(CONTROL!$C$22, $C$13, 100%, $E$13)</f>
        <v>27.270399999999999</v>
      </c>
      <c r="J867" s="68">
        <f>16.5773 * CHOOSE(CONTROL!$C$22, $C$13, 100%, $E$13)</f>
        <v>16.577300000000001</v>
      </c>
      <c r="K867" s="68">
        <f>16.5786 * CHOOSE(CONTROL!$C$22, $C$13, 100%, $E$13)</f>
        <v>16.578600000000002</v>
      </c>
    </row>
    <row r="868" spans="1:11" ht="15">
      <c r="A868" s="13">
        <v>67542</v>
      </c>
      <c r="B868" s="67">
        <f>14.5733 * CHOOSE(CONTROL!$C$22, $C$13, 100%, $E$13)</f>
        <v>14.5733</v>
      </c>
      <c r="C868" s="67">
        <f>14.5733 * CHOOSE(CONTROL!$C$22, $C$13, 100%, $E$13)</f>
        <v>14.5733</v>
      </c>
      <c r="D868" s="67">
        <f>14.5743 * CHOOSE(CONTROL!$C$22, $C$13, 100%, $E$13)</f>
        <v>14.574299999999999</v>
      </c>
      <c r="E868" s="68">
        <f>16.4241 * CHOOSE(CONTROL!$C$22, $C$13, 100%, $E$13)</f>
        <v>16.424099999999999</v>
      </c>
      <c r="F868" s="68">
        <f>16.4241 * CHOOSE(CONTROL!$C$22, $C$13, 100%, $E$13)</f>
        <v>16.424099999999999</v>
      </c>
      <c r="G868" s="68">
        <f>16.4254 * CHOOSE(CONTROL!$C$22, $C$13, 100%, $E$13)</f>
        <v>16.4254</v>
      </c>
      <c r="H868" s="68">
        <f>27.3259* CHOOSE(CONTROL!$C$22, $C$13, 100%, $E$13)</f>
        <v>27.325900000000001</v>
      </c>
      <c r="I868" s="68">
        <f>27.3272 * CHOOSE(CONTROL!$C$22, $C$13, 100%, $E$13)</f>
        <v>27.327200000000001</v>
      </c>
      <c r="J868" s="68">
        <f>16.4241 * CHOOSE(CONTROL!$C$22, $C$13, 100%, $E$13)</f>
        <v>16.424099999999999</v>
      </c>
      <c r="K868" s="68">
        <f>16.4254 * CHOOSE(CONTROL!$C$22, $C$13, 100%, $E$13)</f>
        <v>16.4254</v>
      </c>
    </row>
    <row r="869" spans="1:11" ht="15">
      <c r="A869" s="13">
        <v>67573</v>
      </c>
      <c r="B869" s="67">
        <f>14.5499 * CHOOSE(CONTROL!$C$22, $C$13, 100%, $E$13)</f>
        <v>14.549899999999999</v>
      </c>
      <c r="C869" s="67">
        <f>14.5499 * CHOOSE(CONTROL!$C$22, $C$13, 100%, $E$13)</f>
        <v>14.549899999999999</v>
      </c>
      <c r="D869" s="67">
        <f>14.5509 * CHOOSE(CONTROL!$C$22, $C$13, 100%, $E$13)</f>
        <v>14.5509</v>
      </c>
      <c r="E869" s="68">
        <f>16.5224 * CHOOSE(CONTROL!$C$22, $C$13, 100%, $E$13)</f>
        <v>16.522400000000001</v>
      </c>
      <c r="F869" s="68">
        <f>16.5224 * CHOOSE(CONTROL!$C$22, $C$13, 100%, $E$13)</f>
        <v>16.522400000000001</v>
      </c>
      <c r="G869" s="68">
        <f>16.5237 * CHOOSE(CONTROL!$C$22, $C$13, 100%, $E$13)</f>
        <v>16.523700000000002</v>
      </c>
      <c r="H869" s="68">
        <f>27.1345* CHOOSE(CONTROL!$C$22, $C$13, 100%, $E$13)</f>
        <v>27.134499999999999</v>
      </c>
      <c r="I869" s="68">
        <f>27.1358 * CHOOSE(CONTROL!$C$22, $C$13, 100%, $E$13)</f>
        <v>27.1358</v>
      </c>
      <c r="J869" s="68">
        <f>16.5224 * CHOOSE(CONTROL!$C$22, $C$13, 100%, $E$13)</f>
        <v>16.522400000000001</v>
      </c>
      <c r="K869" s="68">
        <f>16.5237 * CHOOSE(CONTROL!$C$22, $C$13, 100%, $E$13)</f>
        <v>16.523700000000002</v>
      </c>
    </row>
    <row r="870" spans="1:11" ht="15">
      <c r="A870" s="13">
        <v>67604</v>
      </c>
      <c r="B870" s="67">
        <f>14.5468 * CHOOSE(CONTROL!$C$22, $C$13, 100%, $E$13)</f>
        <v>14.546799999999999</v>
      </c>
      <c r="C870" s="67">
        <f>14.5468 * CHOOSE(CONTROL!$C$22, $C$13, 100%, $E$13)</f>
        <v>14.546799999999999</v>
      </c>
      <c r="D870" s="67">
        <f>14.5478 * CHOOSE(CONTROL!$C$22, $C$13, 100%, $E$13)</f>
        <v>14.547800000000001</v>
      </c>
      <c r="E870" s="68">
        <f>16.2258 * CHOOSE(CONTROL!$C$22, $C$13, 100%, $E$13)</f>
        <v>16.2258</v>
      </c>
      <c r="F870" s="68">
        <f>16.2258 * CHOOSE(CONTROL!$C$22, $C$13, 100%, $E$13)</f>
        <v>16.2258</v>
      </c>
      <c r="G870" s="68">
        <f>16.2271 * CHOOSE(CONTROL!$C$22, $C$13, 100%, $E$13)</f>
        <v>16.2271</v>
      </c>
      <c r="H870" s="68">
        <f>27.191* CHOOSE(CONTROL!$C$22, $C$13, 100%, $E$13)</f>
        <v>27.190999999999999</v>
      </c>
      <c r="I870" s="68">
        <f>27.1923 * CHOOSE(CONTROL!$C$22, $C$13, 100%, $E$13)</f>
        <v>27.192299999999999</v>
      </c>
      <c r="J870" s="68">
        <f>16.2258 * CHOOSE(CONTROL!$C$22, $C$13, 100%, $E$13)</f>
        <v>16.2258</v>
      </c>
      <c r="K870" s="68">
        <f>16.2271 * CHOOSE(CONTROL!$C$22, $C$13, 100%, $E$13)</f>
        <v>16.2271</v>
      </c>
    </row>
    <row r="871" spans="1:11" ht="15">
      <c r="A871" s="13">
        <v>67632</v>
      </c>
      <c r="B871" s="67">
        <f>14.5438 * CHOOSE(CONTROL!$C$22, $C$13, 100%, $E$13)</f>
        <v>14.543799999999999</v>
      </c>
      <c r="C871" s="67">
        <f>14.5438 * CHOOSE(CONTROL!$C$22, $C$13, 100%, $E$13)</f>
        <v>14.543799999999999</v>
      </c>
      <c r="D871" s="67">
        <f>14.5448 * CHOOSE(CONTROL!$C$22, $C$13, 100%, $E$13)</f>
        <v>14.5448</v>
      </c>
      <c r="E871" s="68">
        <f>16.4558 * CHOOSE(CONTROL!$C$22, $C$13, 100%, $E$13)</f>
        <v>16.4558</v>
      </c>
      <c r="F871" s="68">
        <f>16.4558 * CHOOSE(CONTROL!$C$22, $C$13, 100%, $E$13)</f>
        <v>16.4558</v>
      </c>
      <c r="G871" s="68">
        <f>16.4571 * CHOOSE(CONTROL!$C$22, $C$13, 100%, $E$13)</f>
        <v>16.457100000000001</v>
      </c>
      <c r="H871" s="68">
        <f>27.2477* CHOOSE(CONTROL!$C$22, $C$13, 100%, $E$13)</f>
        <v>27.247699999999998</v>
      </c>
      <c r="I871" s="68">
        <f>27.249 * CHOOSE(CONTROL!$C$22, $C$13, 100%, $E$13)</f>
        <v>27.248999999999999</v>
      </c>
      <c r="J871" s="68">
        <f>16.4558 * CHOOSE(CONTROL!$C$22, $C$13, 100%, $E$13)</f>
        <v>16.4558</v>
      </c>
      <c r="K871" s="68">
        <f>16.4571 * CHOOSE(CONTROL!$C$22, $C$13, 100%, $E$13)</f>
        <v>16.457100000000001</v>
      </c>
    </row>
    <row r="872" spans="1:11" ht="15">
      <c r="A872" s="13">
        <v>67663</v>
      </c>
      <c r="B872" s="67">
        <f>14.5503 * CHOOSE(CONTROL!$C$22, $C$13, 100%, $E$13)</f>
        <v>14.5503</v>
      </c>
      <c r="C872" s="67">
        <f>14.5503 * CHOOSE(CONTROL!$C$22, $C$13, 100%, $E$13)</f>
        <v>14.5503</v>
      </c>
      <c r="D872" s="67">
        <f>14.5513 * CHOOSE(CONTROL!$C$22, $C$13, 100%, $E$13)</f>
        <v>14.551299999999999</v>
      </c>
      <c r="E872" s="68">
        <f>16.7009 * CHOOSE(CONTROL!$C$22, $C$13, 100%, $E$13)</f>
        <v>16.700900000000001</v>
      </c>
      <c r="F872" s="68">
        <f>16.7009 * CHOOSE(CONTROL!$C$22, $C$13, 100%, $E$13)</f>
        <v>16.700900000000001</v>
      </c>
      <c r="G872" s="68">
        <f>16.7022 * CHOOSE(CONTROL!$C$22, $C$13, 100%, $E$13)</f>
        <v>16.702200000000001</v>
      </c>
      <c r="H872" s="68">
        <f>27.3044* CHOOSE(CONTROL!$C$22, $C$13, 100%, $E$13)</f>
        <v>27.304400000000001</v>
      </c>
      <c r="I872" s="68">
        <f>27.3057 * CHOOSE(CONTROL!$C$22, $C$13, 100%, $E$13)</f>
        <v>27.305700000000002</v>
      </c>
      <c r="J872" s="68">
        <f>16.7009 * CHOOSE(CONTROL!$C$22, $C$13, 100%, $E$13)</f>
        <v>16.700900000000001</v>
      </c>
      <c r="K872" s="68">
        <f>16.7022 * CHOOSE(CONTROL!$C$22, $C$13, 100%, $E$13)</f>
        <v>16.702200000000001</v>
      </c>
    </row>
    <row r="873" spans="1:11" ht="15">
      <c r="A873" s="13">
        <v>67693</v>
      </c>
      <c r="B873" s="67">
        <f>14.5503 * CHOOSE(CONTROL!$C$22, $C$13, 100%, $E$13)</f>
        <v>14.5503</v>
      </c>
      <c r="C873" s="67">
        <f>14.5503 * CHOOSE(CONTROL!$C$22, $C$13, 100%, $E$13)</f>
        <v>14.5503</v>
      </c>
      <c r="D873" s="67">
        <f>14.5529 * CHOOSE(CONTROL!$C$22, $C$13, 100%, $E$13)</f>
        <v>14.552899999999999</v>
      </c>
      <c r="E873" s="68">
        <f>16.7944 * CHOOSE(CONTROL!$C$22, $C$13, 100%, $E$13)</f>
        <v>16.7944</v>
      </c>
      <c r="F873" s="68">
        <f>16.7944 * CHOOSE(CONTROL!$C$22, $C$13, 100%, $E$13)</f>
        <v>16.7944</v>
      </c>
      <c r="G873" s="68">
        <f>16.7977 * CHOOSE(CONTROL!$C$22, $C$13, 100%, $E$13)</f>
        <v>16.797699999999999</v>
      </c>
      <c r="H873" s="68">
        <f>27.3613* CHOOSE(CONTROL!$C$22, $C$13, 100%, $E$13)</f>
        <v>27.3613</v>
      </c>
      <c r="I873" s="68">
        <f>27.3646 * CHOOSE(CONTROL!$C$22, $C$13, 100%, $E$13)</f>
        <v>27.364599999999999</v>
      </c>
      <c r="J873" s="68">
        <f>16.7944 * CHOOSE(CONTROL!$C$22, $C$13, 100%, $E$13)</f>
        <v>16.7944</v>
      </c>
      <c r="K873" s="68">
        <f>16.7977 * CHOOSE(CONTROL!$C$22, $C$13, 100%, $E$13)</f>
        <v>16.797699999999999</v>
      </c>
    </row>
    <row r="874" spans="1:11" ht="15">
      <c r="A874" s="13">
        <v>67724</v>
      </c>
      <c r="B874" s="67">
        <f>14.5564 * CHOOSE(CONTROL!$C$22, $C$13, 100%, $E$13)</f>
        <v>14.5564</v>
      </c>
      <c r="C874" s="67">
        <f>14.5564 * CHOOSE(CONTROL!$C$22, $C$13, 100%, $E$13)</f>
        <v>14.5564</v>
      </c>
      <c r="D874" s="67">
        <f>14.559 * CHOOSE(CONTROL!$C$22, $C$13, 100%, $E$13)</f>
        <v>14.558999999999999</v>
      </c>
      <c r="E874" s="68">
        <f>16.7052 * CHOOSE(CONTROL!$C$22, $C$13, 100%, $E$13)</f>
        <v>16.705200000000001</v>
      </c>
      <c r="F874" s="68">
        <f>16.7052 * CHOOSE(CONTROL!$C$22, $C$13, 100%, $E$13)</f>
        <v>16.705200000000001</v>
      </c>
      <c r="G874" s="68">
        <f>16.7084 * CHOOSE(CONTROL!$C$22, $C$13, 100%, $E$13)</f>
        <v>16.708400000000001</v>
      </c>
      <c r="H874" s="68">
        <f>27.4183* CHOOSE(CONTROL!$C$22, $C$13, 100%, $E$13)</f>
        <v>27.418299999999999</v>
      </c>
      <c r="I874" s="68">
        <f>27.4216 * CHOOSE(CONTROL!$C$22, $C$13, 100%, $E$13)</f>
        <v>27.421600000000002</v>
      </c>
      <c r="J874" s="68">
        <f>16.7052 * CHOOSE(CONTROL!$C$22, $C$13, 100%, $E$13)</f>
        <v>16.705200000000001</v>
      </c>
      <c r="K874" s="68">
        <f>16.7084 * CHOOSE(CONTROL!$C$22, $C$13, 100%, $E$13)</f>
        <v>16.708400000000001</v>
      </c>
    </row>
    <row r="875" spans="1:11" ht="15">
      <c r="A875" s="13">
        <v>67754</v>
      </c>
      <c r="B875" s="67">
        <f>14.7768 * CHOOSE(CONTROL!$C$22, $C$13, 100%, $E$13)</f>
        <v>14.7768</v>
      </c>
      <c r="C875" s="67">
        <f>14.7768 * CHOOSE(CONTROL!$C$22, $C$13, 100%, $E$13)</f>
        <v>14.7768</v>
      </c>
      <c r="D875" s="67">
        <f>14.7794 * CHOOSE(CONTROL!$C$22, $C$13, 100%, $E$13)</f>
        <v>14.779400000000001</v>
      </c>
      <c r="E875" s="68">
        <f>16.9704 * CHOOSE(CONTROL!$C$22, $C$13, 100%, $E$13)</f>
        <v>16.970400000000001</v>
      </c>
      <c r="F875" s="68">
        <f>16.9704 * CHOOSE(CONTROL!$C$22, $C$13, 100%, $E$13)</f>
        <v>16.970400000000001</v>
      </c>
      <c r="G875" s="68">
        <f>16.9737 * CHOOSE(CONTROL!$C$22, $C$13, 100%, $E$13)</f>
        <v>16.973700000000001</v>
      </c>
      <c r="H875" s="68">
        <f>27.4755* CHOOSE(CONTROL!$C$22, $C$13, 100%, $E$13)</f>
        <v>27.4755</v>
      </c>
      <c r="I875" s="68">
        <f>27.4787 * CHOOSE(CONTROL!$C$22, $C$13, 100%, $E$13)</f>
        <v>27.4787</v>
      </c>
      <c r="J875" s="68">
        <f>16.9704 * CHOOSE(CONTROL!$C$22, $C$13, 100%, $E$13)</f>
        <v>16.970400000000001</v>
      </c>
      <c r="K875" s="68">
        <f>16.9737 * CHOOSE(CONTROL!$C$22, $C$13, 100%, $E$13)</f>
        <v>16.973700000000001</v>
      </c>
    </row>
    <row r="876" spans="1:11" ht="15">
      <c r="A876" s="13">
        <v>67785</v>
      </c>
      <c r="B876" s="67">
        <f>14.7835 * CHOOSE(CONTROL!$C$22, $C$13, 100%, $E$13)</f>
        <v>14.7835</v>
      </c>
      <c r="C876" s="67">
        <f>14.7835 * CHOOSE(CONTROL!$C$22, $C$13, 100%, $E$13)</f>
        <v>14.7835</v>
      </c>
      <c r="D876" s="67">
        <f>14.7861 * CHOOSE(CONTROL!$C$22, $C$13, 100%, $E$13)</f>
        <v>14.786099999999999</v>
      </c>
      <c r="E876" s="68">
        <f>16.6946 * CHOOSE(CONTROL!$C$22, $C$13, 100%, $E$13)</f>
        <v>16.694600000000001</v>
      </c>
      <c r="F876" s="68">
        <f>16.6946 * CHOOSE(CONTROL!$C$22, $C$13, 100%, $E$13)</f>
        <v>16.694600000000001</v>
      </c>
      <c r="G876" s="68">
        <f>16.6979 * CHOOSE(CONTROL!$C$22, $C$13, 100%, $E$13)</f>
        <v>16.697900000000001</v>
      </c>
      <c r="H876" s="68">
        <f>27.5327* CHOOSE(CONTROL!$C$22, $C$13, 100%, $E$13)</f>
        <v>27.532699999999998</v>
      </c>
      <c r="I876" s="68">
        <f>27.536 * CHOOSE(CONTROL!$C$22, $C$13, 100%, $E$13)</f>
        <v>27.536000000000001</v>
      </c>
      <c r="J876" s="68">
        <f>16.6946 * CHOOSE(CONTROL!$C$22, $C$13, 100%, $E$13)</f>
        <v>16.694600000000001</v>
      </c>
      <c r="K876" s="68">
        <f>16.6979 * CHOOSE(CONTROL!$C$22, $C$13, 100%, $E$13)</f>
        <v>16.697900000000001</v>
      </c>
    </row>
    <row r="877" spans="1:11" ht="15">
      <c r="A877" s="13">
        <v>67816</v>
      </c>
      <c r="B877" s="67">
        <f>14.7804 * CHOOSE(CONTROL!$C$22, $C$13, 100%, $E$13)</f>
        <v>14.7804</v>
      </c>
      <c r="C877" s="67">
        <f>14.7804 * CHOOSE(CONTROL!$C$22, $C$13, 100%, $E$13)</f>
        <v>14.7804</v>
      </c>
      <c r="D877" s="67">
        <f>14.783 * CHOOSE(CONTROL!$C$22, $C$13, 100%, $E$13)</f>
        <v>14.782999999999999</v>
      </c>
      <c r="E877" s="68">
        <f>16.6613 * CHOOSE(CONTROL!$C$22, $C$13, 100%, $E$13)</f>
        <v>16.661300000000001</v>
      </c>
      <c r="F877" s="68">
        <f>16.6613 * CHOOSE(CONTROL!$C$22, $C$13, 100%, $E$13)</f>
        <v>16.661300000000001</v>
      </c>
      <c r="G877" s="68">
        <f>16.6646 * CHOOSE(CONTROL!$C$22, $C$13, 100%, $E$13)</f>
        <v>16.6646</v>
      </c>
      <c r="H877" s="68">
        <f>27.5901* CHOOSE(CONTROL!$C$22, $C$13, 100%, $E$13)</f>
        <v>27.5901</v>
      </c>
      <c r="I877" s="68">
        <f>27.5933 * CHOOSE(CONTROL!$C$22, $C$13, 100%, $E$13)</f>
        <v>27.593299999999999</v>
      </c>
      <c r="J877" s="68">
        <f>16.6613 * CHOOSE(CONTROL!$C$22, $C$13, 100%, $E$13)</f>
        <v>16.661300000000001</v>
      </c>
      <c r="K877" s="68">
        <f>16.6646 * CHOOSE(CONTROL!$C$22, $C$13, 100%, $E$13)</f>
        <v>16.6646</v>
      </c>
    </row>
    <row r="878" spans="1:11" ht="15">
      <c r="A878" s="13">
        <v>67846</v>
      </c>
      <c r="B878" s="67">
        <f>14.8102 * CHOOSE(CONTROL!$C$22, $C$13, 100%, $E$13)</f>
        <v>14.8102</v>
      </c>
      <c r="C878" s="67">
        <f>14.8102 * CHOOSE(CONTROL!$C$22, $C$13, 100%, $E$13)</f>
        <v>14.8102</v>
      </c>
      <c r="D878" s="67">
        <f>14.8112 * CHOOSE(CONTROL!$C$22, $C$13, 100%, $E$13)</f>
        <v>14.811199999999999</v>
      </c>
      <c r="E878" s="68">
        <f>16.7726 * CHOOSE(CONTROL!$C$22, $C$13, 100%, $E$13)</f>
        <v>16.772600000000001</v>
      </c>
      <c r="F878" s="68">
        <f>16.7726 * CHOOSE(CONTROL!$C$22, $C$13, 100%, $E$13)</f>
        <v>16.772600000000001</v>
      </c>
      <c r="G878" s="68">
        <f>16.7739 * CHOOSE(CONTROL!$C$22, $C$13, 100%, $E$13)</f>
        <v>16.773900000000001</v>
      </c>
      <c r="H878" s="68">
        <f>27.6475* CHOOSE(CONTROL!$C$22, $C$13, 100%, $E$13)</f>
        <v>27.647500000000001</v>
      </c>
      <c r="I878" s="68">
        <f>27.6488 * CHOOSE(CONTROL!$C$22, $C$13, 100%, $E$13)</f>
        <v>27.648800000000001</v>
      </c>
      <c r="J878" s="68">
        <f>16.7726 * CHOOSE(CONTROL!$C$22, $C$13, 100%, $E$13)</f>
        <v>16.772600000000001</v>
      </c>
      <c r="K878" s="68">
        <f>16.7739 * CHOOSE(CONTROL!$C$22, $C$13, 100%, $E$13)</f>
        <v>16.773900000000001</v>
      </c>
    </row>
    <row r="879" spans="1:11" ht="15">
      <c r="A879" s="13">
        <v>67877</v>
      </c>
      <c r="B879" s="67">
        <f>14.8132 * CHOOSE(CONTROL!$C$22, $C$13, 100%, $E$13)</f>
        <v>14.8132</v>
      </c>
      <c r="C879" s="67">
        <f>14.8132 * CHOOSE(CONTROL!$C$22, $C$13, 100%, $E$13)</f>
        <v>14.8132</v>
      </c>
      <c r="D879" s="67">
        <f>14.8142 * CHOOSE(CONTROL!$C$22, $C$13, 100%, $E$13)</f>
        <v>14.8142</v>
      </c>
      <c r="E879" s="68">
        <f>16.837 * CHOOSE(CONTROL!$C$22, $C$13, 100%, $E$13)</f>
        <v>16.837</v>
      </c>
      <c r="F879" s="68">
        <f>16.837 * CHOOSE(CONTROL!$C$22, $C$13, 100%, $E$13)</f>
        <v>16.837</v>
      </c>
      <c r="G879" s="68">
        <f>16.8383 * CHOOSE(CONTROL!$C$22, $C$13, 100%, $E$13)</f>
        <v>16.8383</v>
      </c>
      <c r="H879" s="68">
        <f>27.7051* CHOOSE(CONTROL!$C$22, $C$13, 100%, $E$13)</f>
        <v>27.705100000000002</v>
      </c>
      <c r="I879" s="68">
        <f>27.7064 * CHOOSE(CONTROL!$C$22, $C$13, 100%, $E$13)</f>
        <v>27.706399999999999</v>
      </c>
      <c r="J879" s="68">
        <f>16.837 * CHOOSE(CONTROL!$C$22, $C$13, 100%, $E$13)</f>
        <v>16.837</v>
      </c>
      <c r="K879" s="68">
        <f>16.8383 * CHOOSE(CONTROL!$C$22, $C$13, 100%, $E$13)</f>
        <v>16.8383</v>
      </c>
    </row>
    <row r="880" spans="1:11" ht="15">
      <c r="A880" s="13">
        <v>67907</v>
      </c>
      <c r="B880" s="67">
        <f>14.8132 * CHOOSE(CONTROL!$C$22, $C$13, 100%, $E$13)</f>
        <v>14.8132</v>
      </c>
      <c r="C880" s="67">
        <f>14.8132 * CHOOSE(CONTROL!$C$22, $C$13, 100%, $E$13)</f>
        <v>14.8132</v>
      </c>
      <c r="D880" s="67">
        <f>14.8142 * CHOOSE(CONTROL!$C$22, $C$13, 100%, $E$13)</f>
        <v>14.8142</v>
      </c>
      <c r="E880" s="68">
        <f>16.6812 * CHOOSE(CONTROL!$C$22, $C$13, 100%, $E$13)</f>
        <v>16.6812</v>
      </c>
      <c r="F880" s="68">
        <f>16.6812 * CHOOSE(CONTROL!$C$22, $C$13, 100%, $E$13)</f>
        <v>16.6812</v>
      </c>
      <c r="G880" s="68">
        <f>16.6825 * CHOOSE(CONTROL!$C$22, $C$13, 100%, $E$13)</f>
        <v>16.682500000000001</v>
      </c>
      <c r="H880" s="68">
        <f>27.7629* CHOOSE(CONTROL!$C$22, $C$13, 100%, $E$13)</f>
        <v>27.762899999999998</v>
      </c>
      <c r="I880" s="68">
        <f>27.7641 * CHOOSE(CONTROL!$C$22, $C$13, 100%, $E$13)</f>
        <v>27.764099999999999</v>
      </c>
      <c r="J880" s="68">
        <f>16.6812 * CHOOSE(CONTROL!$C$22, $C$13, 100%, $E$13)</f>
        <v>16.6812</v>
      </c>
      <c r="K880" s="68">
        <f>16.6825 * CHOOSE(CONTROL!$C$22, $C$13, 100%, $E$13)</f>
        <v>16.682500000000001</v>
      </c>
    </row>
    <row r="881" spans="1:11" ht="15">
      <c r="A881" s="13">
        <v>67938</v>
      </c>
      <c r="B881" s="67">
        <f>14.7854 * CHOOSE(CONTROL!$C$22, $C$13, 100%, $E$13)</f>
        <v>14.785399999999999</v>
      </c>
      <c r="C881" s="67">
        <f>14.7854 * CHOOSE(CONTROL!$C$22, $C$13, 100%, $E$13)</f>
        <v>14.785399999999999</v>
      </c>
      <c r="D881" s="67">
        <f>14.7864 * CHOOSE(CONTROL!$C$22, $C$13, 100%, $E$13)</f>
        <v>14.7864</v>
      </c>
      <c r="E881" s="68">
        <f>16.7771 * CHOOSE(CONTROL!$C$22, $C$13, 100%, $E$13)</f>
        <v>16.777100000000001</v>
      </c>
      <c r="F881" s="68">
        <f>16.7771 * CHOOSE(CONTROL!$C$22, $C$13, 100%, $E$13)</f>
        <v>16.777100000000001</v>
      </c>
      <c r="G881" s="68">
        <f>16.7784 * CHOOSE(CONTROL!$C$22, $C$13, 100%, $E$13)</f>
        <v>16.778400000000001</v>
      </c>
      <c r="H881" s="68">
        <f>27.5615* CHOOSE(CONTROL!$C$22, $C$13, 100%, $E$13)</f>
        <v>27.561499999999999</v>
      </c>
      <c r="I881" s="68">
        <f>27.5628 * CHOOSE(CONTROL!$C$22, $C$13, 100%, $E$13)</f>
        <v>27.562799999999999</v>
      </c>
      <c r="J881" s="68">
        <f>16.7771 * CHOOSE(CONTROL!$C$22, $C$13, 100%, $E$13)</f>
        <v>16.777100000000001</v>
      </c>
      <c r="K881" s="68">
        <f>16.7784 * CHOOSE(CONTROL!$C$22, $C$13, 100%, $E$13)</f>
        <v>16.778400000000001</v>
      </c>
    </row>
    <row r="882" spans="1:11" ht="15">
      <c r="A882" s="13">
        <v>67969</v>
      </c>
      <c r="B882" s="67">
        <f>14.7824 * CHOOSE(CONTROL!$C$22, $C$13, 100%, $E$13)</f>
        <v>14.782400000000001</v>
      </c>
      <c r="C882" s="67">
        <f>14.7824 * CHOOSE(CONTROL!$C$22, $C$13, 100%, $E$13)</f>
        <v>14.782400000000001</v>
      </c>
      <c r="D882" s="67">
        <f>14.7834 * CHOOSE(CONTROL!$C$22, $C$13, 100%, $E$13)</f>
        <v>14.7834</v>
      </c>
      <c r="E882" s="68">
        <f>16.4756 * CHOOSE(CONTROL!$C$22, $C$13, 100%, $E$13)</f>
        <v>16.4756</v>
      </c>
      <c r="F882" s="68">
        <f>16.4756 * CHOOSE(CONTROL!$C$22, $C$13, 100%, $E$13)</f>
        <v>16.4756</v>
      </c>
      <c r="G882" s="68">
        <f>16.4769 * CHOOSE(CONTROL!$C$22, $C$13, 100%, $E$13)</f>
        <v>16.476900000000001</v>
      </c>
      <c r="H882" s="68">
        <f>27.6189* CHOOSE(CONTROL!$C$22, $C$13, 100%, $E$13)</f>
        <v>27.6189</v>
      </c>
      <c r="I882" s="68">
        <f>27.6202 * CHOOSE(CONTROL!$C$22, $C$13, 100%, $E$13)</f>
        <v>27.620200000000001</v>
      </c>
      <c r="J882" s="68">
        <f>16.4756 * CHOOSE(CONTROL!$C$22, $C$13, 100%, $E$13)</f>
        <v>16.4756</v>
      </c>
      <c r="K882" s="68">
        <f>16.4769 * CHOOSE(CONTROL!$C$22, $C$13, 100%, $E$13)</f>
        <v>16.476900000000001</v>
      </c>
    </row>
    <row r="883" spans="1:11" ht="15">
      <c r="A883" s="13">
        <v>67997</v>
      </c>
      <c r="B883" s="67">
        <f>14.7794 * CHOOSE(CONTROL!$C$22, $C$13, 100%, $E$13)</f>
        <v>14.779400000000001</v>
      </c>
      <c r="C883" s="67">
        <f>14.7794 * CHOOSE(CONTROL!$C$22, $C$13, 100%, $E$13)</f>
        <v>14.779400000000001</v>
      </c>
      <c r="D883" s="67">
        <f>14.7804 * CHOOSE(CONTROL!$C$22, $C$13, 100%, $E$13)</f>
        <v>14.7804</v>
      </c>
      <c r="E883" s="68">
        <f>16.7095 * CHOOSE(CONTROL!$C$22, $C$13, 100%, $E$13)</f>
        <v>16.709499999999998</v>
      </c>
      <c r="F883" s="68">
        <f>16.7095 * CHOOSE(CONTROL!$C$22, $C$13, 100%, $E$13)</f>
        <v>16.709499999999998</v>
      </c>
      <c r="G883" s="68">
        <f>16.7108 * CHOOSE(CONTROL!$C$22, $C$13, 100%, $E$13)</f>
        <v>16.710799999999999</v>
      </c>
      <c r="H883" s="68">
        <f>27.6765* CHOOSE(CONTROL!$C$22, $C$13, 100%, $E$13)</f>
        <v>27.676500000000001</v>
      </c>
      <c r="I883" s="68">
        <f>27.6778 * CHOOSE(CONTROL!$C$22, $C$13, 100%, $E$13)</f>
        <v>27.677800000000001</v>
      </c>
      <c r="J883" s="68">
        <f>16.7095 * CHOOSE(CONTROL!$C$22, $C$13, 100%, $E$13)</f>
        <v>16.709499999999998</v>
      </c>
      <c r="K883" s="68">
        <f>16.7108 * CHOOSE(CONTROL!$C$22, $C$13, 100%, $E$13)</f>
        <v>16.710799999999999</v>
      </c>
    </row>
    <row r="884" spans="1:11" ht="15">
      <c r="A884" s="13">
        <v>68028</v>
      </c>
      <c r="B884" s="67">
        <f>14.786 * CHOOSE(CONTROL!$C$22, $C$13, 100%, $E$13)</f>
        <v>14.786</v>
      </c>
      <c r="C884" s="67">
        <f>14.786 * CHOOSE(CONTROL!$C$22, $C$13, 100%, $E$13)</f>
        <v>14.786</v>
      </c>
      <c r="D884" s="67">
        <f>14.787 * CHOOSE(CONTROL!$C$22, $C$13, 100%, $E$13)</f>
        <v>14.787000000000001</v>
      </c>
      <c r="E884" s="68">
        <f>16.9588 * CHOOSE(CONTROL!$C$22, $C$13, 100%, $E$13)</f>
        <v>16.9588</v>
      </c>
      <c r="F884" s="68">
        <f>16.9588 * CHOOSE(CONTROL!$C$22, $C$13, 100%, $E$13)</f>
        <v>16.9588</v>
      </c>
      <c r="G884" s="68">
        <f>16.9601 * CHOOSE(CONTROL!$C$22, $C$13, 100%, $E$13)</f>
        <v>16.960100000000001</v>
      </c>
      <c r="H884" s="68">
        <f>27.7341* CHOOSE(CONTROL!$C$22, $C$13, 100%, $E$13)</f>
        <v>27.734100000000002</v>
      </c>
      <c r="I884" s="68">
        <f>27.7354 * CHOOSE(CONTROL!$C$22, $C$13, 100%, $E$13)</f>
        <v>27.735399999999998</v>
      </c>
      <c r="J884" s="68">
        <f>16.9588 * CHOOSE(CONTROL!$C$22, $C$13, 100%, $E$13)</f>
        <v>16.9588</v>
      </c>
      <c r="K884" s="68">
        <f>16.9601 * CHOOSE(CONTROL!$C$22, $C$13, 100%, $E$13)</f>
        <v>16.960100000000001</v>
      </c>
    </row>
    <row r="885" spans="1:11" ht="15">
      <c r="A885" s="13">
        <v>68058</v>
      </c>
      <c r="B885" s="67">
        <f>14.786 * CHOOSE(CONTROL!$C$22, $C$13, 100%, $E$13)</f>
        <v>14.786</v>
      </c>
      <c r="C885" s="67">
        <f>14.786 * CHOOSE(CONTROL!$C$22, $C$13, 100%, $E$13)</f>
        <v>14.786</v>
      </c>
      <c r="D885" s="67">
        <f>14.7887 * CHOOSE(CONTROL!$C$22, $C$13, 100%, $E$13)</f>
        <v>14.7887</v>
      </c>
      <c r="E885" s="68">
        <f>17.0538 * CHOOSE(CONTROL!$C$22, $C$13, 100%, $E$13)</f>
        <v>17.053799999999999</v>
      </c>
      <c r="F885" s="68">
        <f>17.0538 * CHOOSE(CONTROL!$C$22, $C$13, 100%, $E$13)</f>
        <v>17.053799999999999</v>
      </c>
      <c r="G885" s="68">
        <f>17.0571 * CHOOSE(CONTROL!$C$22, $C$13, 100%, $E$13)</f>
        <v>17.057099999999998</v>
      </c>
      <c r="H885" s="68">
        <f>27.7919* CHOOSE(CONTROL!$C$22, $C$13, 100%, $E$13)</f>
        <v>27.791899999999998</v>
      </c>
      <c r="I885" s="68">
        <f>27.7952 * CHOOSE(CONTROL!$C$22, $C$13, 100%, $E$13)</f>
        <v>27.795200000000001</v>
      </c>
      <c r="J885" s="68">
        <f>17.0538 * CHOOSE(CONTROL!$C$22, $C$13, 100%, $E$13)</f>
        <v>17.053799999999999</v>
      </c>
      <c r="K885" s="68">
        <f>17.0571 * CHOOSE(CONTROL!$C$22, $C$13, 100%, $E$13)</f>
        <v>17.057099999999998</v>
      </c>
    </row>
    <row r="886" spans="1:11" ht="15">
      <c r="A886" s="13">
        <v>68089</v>
      </c>
      <c r="B886" s="67">
        <f>14.7921 * CHOOSE(CONTROL!$C$22, $C$13, 100%, $E$13)</f>
        <v>14.7921</v>
      </c>
      <c r="C886" s="67">
        <f>14.7921 * CHOOSE(CONTROL!$C$22, $C$13, 100%, $E$13)</f>
        <v>14.7921</v>
      </c>
      <c r="D886" s="67">
        <f>14.7947 * CHOOSE(CONTROL!$C$22, $C$13, 100%, $E$13)</f>
        <v>14.794700000000001</v>
      </c>
      <c r="E886" s="68">
        <f>16.963 * CHOOSE(CONTROL!$C$22, $C$13, 100%, $E$13)</f>
        <v>16.963000000000001</v>
      </c>
      <c r="F886" s="68">
        <f>16.963 * CHOOSE(CONTROL!$C$22, $C$13, 100%, $E$13)</f>
        <v>16.963000000000001</v>
      </c>
      <c r="G886" s="68">
        <f>16.9663 * CHOOSE(CONTROL!$C$22, $C$13, 100%, $E$13)</f>
        <v>16.9663</v>
      </c>
      <c r="H886" s="68">
        <f>27.8498* CHOOSE(CONTROL!$C$22, $C$13, 100%, $E$13)</f>
        <v>27.849799999999998</v>
      </c>
      <c r="I886" s="68">
        <f>27.8531 * CHOOSE(CONTROL!$C$22, $C$13, 100%, $E$13)</f>
        <v>27.853100000000001</v>
      </c>
      <c r="J886" s="68">
        <f>16.963 * CHOOSE(CONTROL!$C$22, $C$13, 100%, $E$13)</f>
        <v>16.963000000000001</v>
      </c>
      <c r="K886" s="68">
        <f>16.9663 * CHOOSE(CONTROL!$C$22, $C$13, 100%, $E$13)</f>
        <v>16.9663</v>
      </c>
    </row>
    <row r="887" spans="1:11" ht="15">
      <c r="A887" s="13">
        <v>68119</v>
      </c>
      <c r="B887" s="67">
        <f>15.016 * CHOOSE(CONTROL!$C$22, $C$13, 100%, $E$13)</f>
        <v>15.016</v>
      </c>
      <c r="C887" s="67">
        <f>15.016 * CHOOSE(CONTROL!$C$22, $C$13, 100%, $E$13)</f>
        <v>15.016</v>
      </c>
      <c r="D887" s="67">
        <f>15.0186 * CHOOSE(CONTROL!$C$22, $C$13, 100%, $E$13)</f>
        <v>15.018599999999999</v>
      </c>
      <c r="E887" s="68">
        <f>17.2322 * CHOOSE(CONTROL!$C$22, $C$13, 100%, $E$13)</f>
        <v>17.232199999999999</v>
      </c>
      <c r="F887" s="68">
        <f>17.2322 * CHOOSE(CONTROL!$C$22, $C$13, 100%, $E$13)</f>
        <v>17.232199999999999</v>
      </c>
      <c r="G887" s="68">
        <f>17.2355 * CHOOSE(CONTROL!$C$22, $C$13, 100%, $E$13)</f>
        <v>17.235499999999998</v>
      </c>
      <c r="H887" s="68">
        <f>27.9078* CHOOSE(CONTROL!$C$22, $C$13, 100%, $E$13)</f>
        <v>27.907800000000002</v>
      </c>
      <c r="I887" s="68">
        <f>27.9111 * CHOOSE(CONTROL!$C$22, $C$13, 100%, $E$13)</f>
        <v>27.911100000000001</v>
      </c>
      <c r="J887" s="68">
        <f>17.2322 * CHOOSE(CONTROL!$C$22, $C$13, 100%, $E$13)</f>
        <v>17.232199999999999</v>
      </c>
      <c r="K887" s="68">
        <f>17.2355 * CHOOSE(CONTROL!$C$22, $C$13, 100%, $E$13)</f>
        <v>17.235499999999998</v>
      </c>
    </row>
    <row r="888" spans="1:11" ht="15">
      <c r="A888" s="13">
        <v>68150</v>
      </c>
      <c r="B888" s="67">
        <f>15.0226 * CHOOSE(CONTROL!$C$22, $C$13, 100%, $E$13)</f>
        <v>15.022600000000001</v>
      </c>
      <c r="C888" s="67">
        <f>15.0226 * CHOOSE(CONTROL!$C$22, $C$13, 100%, $E$13)</f>
        <v>15.022600000000001</v>
      </c>
      <c r="D888" s="67">
        <f>15.0253 * CHOOSE(CONTROL!$C$22, $C$13, 100%, $E$13)</f>
        <v>15.0253</v>
      </c>
      <c r="E888" s="68">
        <f>16.9517 * CHOOSE(CONTROL!$C$22, $C$13, 100%, $E$13)</f>
        <v>16.951699999999999</v>
      </c>
      <c r="F888" s="68">
        <f>16.9517 * CHOOSE(CONTROL!$C$22, $C$13, 100%, $E$13)</f>
        <v>16.951699999999999</v>
      </c>
      <c r="G888" s="68">
        <f>16.9549 * CHOOSE(CONTROL!$C$22, $C$13, 100%, $E$13)</f>
        <v>16.954899999999999</v>
      </c>
      <c r="H888" s="68">
        <f>27.966* CHOOSE(CONTROL!$C$22, $C$13, 100%, $E$13)</f>
        <v>27.966000000000001</v>
      </c>
      <c r="I888" s="68">
        <f>27.9692 * CHOOSE(CONTROL!$C$22, $C$13, 100%, $E$13)</f>
        <v>27.969200000000001</v>
      </c>
      <c r="J888" s="68">
        <f>16.9517 * CHOOSE(CONTROL!$C$22, $C$13, 100%, $E$13)</f>
        <v>16.951699999999999</v>
      </c>
      <c r="K888" s="68">
        <f>16.9549 * CHOOSE(CONTROL!$C$22, $C$13, 100%, $E$13)</f>
        <v>16.954899999999999</v>
      </c>
    </row>
    <row r="889" spans="1:11" ht="15">
      <c r="A889" s="13">
        <v>68181</v>
      </c>
      <c r="B889" s="67">
        <f>15.0196 * CHOOSE(CONTROL!$C$22, $C$13, 100%, $E$13)</f>
        <v>15.019600000000001</v>
      </c>
      <c r="C889" s="67">
        <f>15.0196 * CHOOSE(CONTROL!$C$22, $C$13, 100%, $E$13)</f>
        <v>15.019600000000001</v>
      </c>
      <c r="D889" s="67">
        <f>15.0222 * CHOOSE(CONTROL!$C$22, $C$13, 100%, $E$13)</f>
        <v>15.0222</v>
      </c>
      <c r="E889" s="68">
        <f>16.9179 * CHOOSE(CONTROL!$C$22, $C$13, 100%, $E$13)</f>
        <v>16.917899999999999</v>
      </c>
      <c r="F889" s="68">
        <f>16.9179 * CHOOSE(CONTROL!$C$22, $C$13, 100%, $E$13)</f>
        <v>16.917899999999999</v>
      </c>
      <c r="G889" s="68">
        <f>16.9211 * CHOOSE(CONTROL!$C$22, $C$13, 100%, $E$13)</f>
        <v>16.921099999999999</v>
      </c>
      <c r="H889" s="68">
        <f>28.0242* CHOOSE(CONTROL!$C$22, $C$13, 100%, $E$13)</f>
        <v>28.0242</v>
      </c>
      <c r="I889" s="68">
        <f>28.0275 * CHOOSE(CONTROL!$C$22, $C$13, 100%, $E$13)</f>
        <v>28.0275</v>
      </c>
      <c r="J889" s="68">
        <f>16.9179 * CHOOSE(CONTROL!$C$22, $C$13, 100%, $E$13)</f>
        <v>16.917899999999999</v>
      </c>
      <c r="K889" s="68">
        <f>16.9211 * CHOOSE(CONTROL!$C$22, $C$13, 100%, $E$13)</f>
        <v>16.921099999999999</v>
      </c>
    </row>
    <row r="890" spans="1:11" ht="15">
      <c r="A890" s="13">
        <v>68211</v>
      </c>
      <c r="B890" s="67">
        <f>15.0501 * CHOOSE(CONTROL!$C$22, $C$13, 100%, $E$13)</f>
        <v>15.0501</v>
      </c>
      <c r="C890" s="67">
        <f>15.0501 * CHOOSE(CONTROL!$C$22, $C$13, 100%, $E$13)</f>
        <v>15.0501</v>
      </c>
      <c r="D890" s="67">
        <f>15.0511 * CHOOSE(CONTROL!$C$22, $C$13, 100%, $E$13)</f>
        <v>15.0511</v>
      </c>
      <c r="E890" s="68">
        <f>17.0312 * CHOOSE(CONTROL!$C$22, $C$13, 100%, $E$13)</f>
        <v>17.031199999999998</v>
      </c>
      <c r="F890" s="68">
        <f>17.0312 * CHOOSE(CONTROL!$C$22, $C$13, 100%, $E$13)</f>
        <v>17.031199999999998</v>
      </c>
      <c r="G890" s="68">
        <f>17.0325 * CHOOSE(CONTROL!$C$22, $C$13, 100%, $E$13)</f>
        <v>17.032499999999999</v>
      </c>
      <c r="H890" s="68">
        <f>28.0826* CHOOSE(CONTROL!$C$22, $C$13, 100%, $E$13)</f>
        <v>28.082599999999999</v>
      </c>
      <c r="I890" s="68">
        <f>28.0839 * CHOOSE(CONTROL!$C$22, $C$13, 100%, $E$13)</f>
        <v>28.0839</v>
      </c>
      <c r="J890" s="68">
        <f>17.0312 * CHOOSE(CONTROL!$C$22, $C$13, 100%, $E$13)</f>
        <v>17.031199999999998</v>
      </c>
      <c r="K890" s="68">
        <f>17.0325 * CHOOSE(CONTROL!$C$22, $C$13, 100%, $E$13)</f>
        <v>17.032499999999999</v>
      </c>
    </row>
    <row r="891" spans="1:11" ht="15">
      <c r="A891" s="13">
        <v>68242</v>
      </c>
      <c r="B891" s="67">
        <f>15.0532 * CHOOSE(CONTROL!$C$22, $C$13, 100%, $E$13)</f>
        <v>15.0532</v>
      </c>
      <c r="C891" s="67">
        <f>15.0532 * CHOOSE(CONTROL!$C$22, $C$13, 100%, $E$13)</f>
        <v>15.0532</v>
      </c>
      <c r="D891" s="67">
        <f>15.0541 * CHOOSE(CONTROL!$C$22, $C$13, 100%, $E$13)</f>
        <v>15.0541</v>
      </c>
      <c r="E891" s="68">
        <f>17.0967 * CHOOSE(CONTROL!$C$22, $C$13, 100%, $E$13)</f>
        <v>17.096699999999998</v>
      </c>
      <c r="F891" s="68">
        <f>17.0967 * CHOOSE(CONTROL!$C$22, $C$13, 100%, $E$13)</f>
        <v>17.096699999999998</v>
      </c>
      <c r="G891" s="68">
        <f>17.098 * CHOOSE(CONTROL!$C$22, $C$13, 100%, $E$13)</f>
        <v>17.097999999999999</v>
      </c>
      <c r="H891" s="68">
        <f>28.1411* CHOOSE(CONTROL!$C$22, $C$13, 100%, $E$13)</f>
        <v>28.141100000000002</v>
      </c>
      <c r="I891" s="68">
        <f>28.1424 * CHOOSE(CONTROL!$C$22, $C$13, 100%, $E$13)</f>
        <v>28.142399999999999</v>
      </c>
      <c r="J891" s="68">
        <f>17.0967 * CHOOSE(CONTROL!$C$22, $C$13, 100%, $E$13)</f>
        <v>17.096699999999998</v>
      </c>
      <c r="K891" s="68">
        <f>17.098 * CHOOSE(CONTROL!$C$22, $C$13, 100%, $E$13)</f>
        <v>17.097999999999999</v>
      </c>
    </row>
    <row r="892" spans="1:11" ht="15">
      <c r="A892" s="13">
        <v>68272</v>
      </c>
      <c r="B892" s="67">
        <f>15.0532 * CHOOSE(CONTROL!$C$22, $C$13, 100%, $E$13)</f>
        <v>15.0532</v>
      </c>
      <c r="C892" s="67">
        <f>15.0532 * CHOOSE(CONTROL!$C$22, $C$13, 100%, $E$13)</f>
        <v>15.0532</v>
      </c>
      <c r="D892" s="67">
        <f>15.0541 * CHOOSE(CONTROL!$C$22, $C$13, 100%, $E$13)</f>
        <v>15.0541</v>
      </c>
      <c r="E892" s="68">
        <f>16.9383 * CHOOSE(CONTROL!$C$22, $C$13, 100%, $E$13)</f>
        <v>16.938300000000002</v>
      </c>
      <c r="F892" s="68">
        <f>16.9383 * CHOOSE(CONTROL!$C$22, $C$13, 100%, $E$13)</f>
        <v>16.938300000000002</v>
      </c>
      <c r="G892" s="68">
        <f>16.9396 * CHOOSE(CONTROL!$C$22, $C$13, 100%, $E$13)</f>
        <v>16.939599999999999</v>
      </c>
      <c r="H892" s="68">
        <f>28.1998* CHOOSE(CONTROL!$C$22, $C$13, 100%, $E$13)</f>
        <v>28.1998</v>
      </c>
      <c r="I892" s="68">
        <f>28.201 * CHOOSE(CONTROL!$C$22, $C$13, 100%, $E$13)</f>
        <v>28.201000000000001</v>
      </c>
      <c r="J892" s="68">
        <f>16.9383 * CHOOSE(CONTROL!$C$22, $C$13, 100%, $E$13)</f>
        <v>16.938300000000002</v>
      </c>
      <c r="K892" s="68">
        <f>16.9396 * CHOOSE(CONTROL!$C$22, $C$13, 100%, $E$13)</f>
        <v>16.939599999999999</v>
      </c>
    </row>
    <row r="893" spans="1:11" ht="15">
      <c r="A893" s="13">
        <v>68303</v>
      </c>
      <c r="B893" s="67">
        <f>15.021 * CHOOSE(CONTROL!$C$22, $C$13, 100%, $E$13)</f>
        <v>15.021000000000001</v>
      </c>
      <c r="C893" s="67">
        <f>15.021 * CHOOSE(CONTROL!$C$22, $C$13, 100%, $E$13)</f>
        <v>15.021000000000001</v>
      </c>
      <c r="D893" s="67">
        <f>15.022 * CHOOSE(CONTROL!$C$22, $C$13, 100%, $E$13)</f>
        <v>15.022</v>
      </c>
      <c r="E893" s="68">
        <f>17.0319 * CHOOSE(CONTROL!$C$22, $C$13, 100%, $E$13)</f>
        <v>17.0319</v>
      </c>
      <c r="F893" s="68">
        <f>17.0319 * CHOOSE(CONTROL!$C$22, $C$13, 100%, $E$13)</f>
        <v>17.0319</v>
      </c>
      <c r="G893" s="68">
        <f>17.0331 * CHOOSE(CONTROL!$C$22, $C$13, 100%, $E$13)</f>
        <v>17.033100000000001</v>
      </c>
      <c r="H893" s="68">
        <f>27.9885* CHOOSE(CONTROL!$C$22, $C$13, 100%, $E$13)</f>
        <v>27.988499999999998</v>
      </c>
      <c r="I893" s="68">
        <f>27.9898 * CHOOSE(CONTROL!$C$22, $C$13, 100%, $E$13)</f>
        <v>27.989799999999999</v>
      </c>
      <c r="J893" s="68">
        <f>17.0319 * CHOOSE(CONTROL!$C$22, $C$13, 100%, $E$13)</f>
        <v>17.0319</v>
      </c>
      <c r="K893" s="68">
        <f>17.0331 * CHOOSE(CONTROL!$C$22, $C$13, 100%, $E$13)</f>
        <v>17.033100000000001</v>
      </c>
    </row>
    <row r="894" spans="1:11" ht="15">
      <c r="A894" s="13">
        <v>68334</v>
      </c>
      <c r="B894" s="67">
        <f>15.018 * CHOOSE(CONTROL!$C$22, $C$13, 100%, $E$13)</f>
        <v>15.018000000000001</v>
      </c>
      <c r="C894" s="67">
        <f>15.018 * CHOOSE(CONTROL!$C$22, $C$13, 100%, $E$13)</f>
        <v>15.018000000000001</v>
      </c>
      <c r="D894" s="67">
        <f>15.019 * CHOOSE(CONTROL!$C$22, $C$13, 100%, $E$13)</f>
        <v>15.019</v>
      </c>
      <c r="E894" s="68">
        <f>16.7254 * CHOOSE(CONTROL!$C$22, $C$13, 100%, $E$13)</f>
        <v>16.7254</v>
      </c>
      <c r="F894" s="68">
        <f>16.7254 * CHOOSE(CONTROL!$C$22, $C$13, 100%, $E$13)</f>
        <v>16.7254</v>
      </c>
      <c r="G894" s="68">
        <f>16.7267 * CHOOSE(CONTROL!$C$22, $C$13, 100%, $E$13)</f>
        <v>16.726700000000001</v>
      </c>
      <c r="H894" s="68">
        <f>28.0469* CHOOSE(CONTROL!$C$22, $C$13, 100%, $E$13)</f>
        <v>28.046900000000001</v>
      </c>
      <c r="I894" s="68">
        <f>28.0481 * CHOOSE(CONTROL!$C$22, $C$13, 100%, $E$13)</f>
        <v>28.048100000000002</v>
      </c>
      <c r="J894" s="68">
        <f>16.7254 * CHOOSE(CONTROL!$C$22, $C$13, 100%, $E$13)</f>
        <v>16.7254</v>
      </c>
      <c r="K894" s="68">
        <f>16.7267 * CHOOSE(CONTROL!$C$22, $C$13, 100%, $E$13)</f>
        <v>16.726700000000001</v>
      </c>
    </row>
    <row r="895" spans="1:11" ht="15">
      <c r="A895" s="13">
        <v>68362</v>
      </c>
      <c r="B895" s="67">
        <f>15.0149 * CHOOSE(CONTROL!$C$22, $C$13, 100%, $E$13)</f>
        <v>15.014900000000001</v>
      </c>
      <c r="C895" s="67">
        <f>15.0149 * CHOOSE(CONTROL!$C$22, $C$13, 100%, $E$13)</f>
        <v>15.014900000000001</v>
      </c>
      <c r="D895" s="67">
        <f>15.0159 * CHOOSE(CONTROL!$C$22, $C$13, 100%, $E$13)</f>
        <v>15.0159</v>
      </c>
      <c r="E895" s="68">
        <f>16.9632 * CHOOSE(CONTROL!$C$22, $C$13, 100%, $E$13)</f>
        <v>16.963200000000001</v>
      </c>
      <c r="F895" s="68">
        <f>16.9632 * CHOOSE(CONTROL!$C$22, $C$13, 100%, $E$13)</f>
        <v>16.963200000000001</v>
      </c>
      <c r="G895" s="68">
        <f>16.9645 * CHOOSE(CONTROL!$C$22, $C$13, 100%, $E$13)</f>
        <v>16.964500000000001</v>
      </c>
      <c r="H895" s="68">
        <f>28.1053* CHOOSE(CONTROL!$C$22, $C$13, 100%, $E$13)</f>
        <v>28.1053</v>
      </c>
      <c r="I895" s="68">
        <f>28.1066 * CHOOSE(CONTROL!$C$22, $C$13, 100%, $E$13)</f>
        <v>28.1066</v>
      </c>
      <c r="J895" s="68">
        <f>16.9632 * CHOOSE(CONTROL!$C$22, $C$13, 100%, $E$13)</f>
        <v>16.963200000000001</v>
      </c>
      <c r="K895" s="68">
        <f>16.9645 * CHOOSE(CONTROL!$C$22, $C$13, 100%, $E$13)</f>
        <v>16.964500000000001</v>
      </c>
    </row>
    <row r="896" spans="1:11" ht="15">
      <c r="A896" s="13">
        <v>68393</v>
      </c>
      <c r="B896" s="67">
        <f>15.0218 * CHOOSE(CONTROL!$C$22, $C$13, 100%, $E$13)</f>
        <v>15.021800000000001</v>
      </c>
      <c r="C896" s="67">
        <f>15.0218 * CHOOSE(CONTROL!$C$22, $C$13, 100%, $E$13)</f>
        <v>15.021800000000001</v>
      </c>
      <c r="D896" s="67">
        <f>15.0228 * CHOOSE(CONTROL!$C$22, $C$13, 100%, $E$13)</f>
        <v>15.0228</v>
      </c>
      <c r="E896" s="68">
        <f>17.2166 * CHOOSE(CONTROL!$C$22, $C$13, 100%, $E$13)</f>
        <v>17.2166</v>
      </c>
      <c r="F896" s="68">
        <f>17.2166 * CHOOSE(CONTROL!$C$22, $C$13, 100%, $E$13)</f>
        <v>17.2166</v>
      </c>
      <c r="G896" s="68">
        <f>17.2179 * CHOOSE(CONTROL!$C$22, $C$13, 100%, $E$13)</f>
        <v>17.2179</v>
      </c>
      <c r="H896" s="68">
        <f>28.1638* CHOOSE(CONTROL!$C$22, $C$13, 100%, $E$13)</f>
        <v>28.163799999999998</v>
      </c>
      <c r="I896" s="68">
        <f>28.1651 * CHOOSE(CONTROL!$C$22, $C$13, 100%, $E$13)</f>
        <v>28.165099999999999</v>
      </c>
      <c r="J896" s="68">
        <f>17.2166 * CHOOSE(CONTROL!$C$22, $C$13, 100%, $E$13)</f>
        <v>17.2166</v>
      </c>
      <c r="K896" s="68">
        <f>17.2179 * CHOOSE(CONTROL!$C$22, $C$13, 100%, $E$13)</f>
        <v>17.2179</v>
      </c>
    </row>
    <row r="897" spans="1:11" ht="15">
      <c r="A897" s="13">
        <v>68423</v>
      </c>
      <c r="B897" s="67">
        <f>15.0218 * CHOOSE(CONTROL!$C$22, $C$13, 100%, $E$13)</f>
        <v>15.021800000000001</v>
      </c>
      <c r="C897" s="67">
        <f>15.0218 * CHOOSE(CONTROL!$C$22, $C$13, 100%, $E$13)</f>
        <v>15.021800000000001</v>
      </c>
      <c r="D897" s="67">
        <f>15.0244 * CHOOSE(CONTROL!$C$22, $C$13, 100%, $E$13)</f>
        <v>15.0244</v>
      </c>
      <c r="E897" s="68">
        <f>17.3133 * CHOOSE(CONTROL!$C$22, $C$13, 100%, $E$13)</f>
        <v>17.313300000000002</v>
      </c>
      <c r="F897" s="68">
        <f>17.3133 * CHOOSE(CONTROL!$C$22, $C$13, 100%, $E$13)</f>
        <v>17.313300000000002</v>
      </c>
      <c r="G897" s="68">
        <f>17.3165 * CHOOSE(CONTROL!$C$22, $C$13, 100%, $E$13)</f>
        <v>17.316500000000001</v>
      </c>
      <c r="H897" s="68">
        <f>28.2225* CHOOSE(CONTROL!$C$22, $C$13, 100%, $E$13)</f>
        <v>28.2225</v>
      </c>
      <c r="I897" s="68">
        <f>28.2258 * CHOOSE(CONTROL!$C$22, $C$13, 100%, $E$13)</f>
        <v>28.2258</v>
      </c>
      <c r="J897" s="68">
        <f>17.3133 * CHOOSE(CONTROL!$C$22, $C$13, 100%, $E$13)</f>
        <v>17.313300000000002</v>
      </c>
      <c r="K897" s="68">
        <f>17.3165 * CHOOSE(CONTROL!$C$22, $C$13, 100%, $E$13)</f>
        <v>17.316500000000001</v>
      </c>
    </row>
    <row r="898" spans="1:11" ht="15">
      <c r="A898" s="13">
        <v>68454</v>
      </c>
      <c r="B898" s="67">
        <f>15.0279 * CHOOSE(CONTROL!$C$22, $C$13, 100%, $E$13)</f>
        <v>15.027900000000001</v>
      </c>
      <c r="C898" s="67">
        <f>15.0279 * CHOOSE(CONTROL!$C$22, $C$13, 100%, $E$13)</f>
        <v>15.027900000000001</v>
      </c>
      <c r="D898" s="67">
        <f>15.0305 * CHOOSE(CONTROL!$C$22, $C$13, 100%, $E$13)</f>
        <v>15.0305</v>
      </c>
      <c r="E898" s="68">
        <f>17.2209 * CHOOSE(CONTROL!$C$22, $C$13, 100%, $E$13)</f>
        <v>17.2209</v>
      </c>
      <c r="F898" s="68">
        <f>17.2209 * CHOOSE(CONTROL!$C$22, $C$13, 100%, $E$13)</f>
        <v>17.2209</v>
      </c>
      <c r="G898" s="68">
        <f>17.2241 * CHOOSE(CONTROL!$C$22, $C$13, 100%, $E$13)</f>
        <v>17.2241</v>
      </c>
      <c r="H898" s="68">
        <f>28.2813* CHOOSE(CONTROL!$C$22, $C$13, 100%, $E$13)</f>
        <v>28.281300000000002</v>
      </c>
      <c r="I898" s="68">
        <f>28.2846 * CHOOSE(CONTROL!$C$22, $C$13, 100%, $E$13)</f>
        <v>28.284600000000001</v>
      </c>
      <c r="J898" s="68">
        <f>17.2209 * CHOOSE(CONTROL!$C$22, $C$13, 100%, $E$13)</f>
        <v>17.2209</v>
      </c>
      <c r="K898" s="68">
        <f>17.2241 * CHOOSE(CONTROL!$C$22, $C$13, 100%, $E$13)</f>
        <v>17.2241</v>
      </c>
    </row>
    <row r="899" spans="1:11" ht="15">
      <c r="A899" s="13">
        <v>68484</v>
      </c>
      <c r="B899" s="67">
        <f>15.2551 * CHOOSE(CONTROL!$C$22, $C$13, 100%, $E$13)</f>
        <v>15.255100000000001</v>
      </c>
      <c r="C899" s="67">
        <f>15.2551 * CHOOSE(CONTROL!$C$22, $C$13, 100%, $E$13)</f>
        <v>15.255100000000001</v>
      </c>
      <c r="D899" s="67">
        <f>15.2578 * CHOOSE(CONTROL!$C$22, $C$13, 100%, $E$13)</f>
        <v>15.2578</v>
      </c>
      <c r="E899" s="68">
        <f>17.494 * CHOOSE(CONTROL!$C$22, $C$13, 100%, $E$13)</f>
        <v>17.494</v>
      </c>
      <c r="F899" s="68">
        <f>17.494 * CHOOSE(CONTROL!$C$22, $C$13, 100%, $E$13)</f>
        <v>17.494</v>
      </c>
      <c r="G899" s="68">
        <f>17.4972 * CHOOSE(CONTROL!$C$22, $C$13, 100%, $E$13)</f>
        <v>17.497199999999999</v>
      </c>
      <c r="H899" s="68">
        <f>28.3402* CHOOSE(CONTROL!$C$22, $C$13, 100%, $E$13)</f>
        <v>28.340199999999999</v>
      </c>
      <c r="I899" s="68">
        <f>28.3435 * CHOOSE(CONTROL!$C$22, $C$13, 100%, $E$13)</f>
        <v>28.343499999999999</v>
      </c>
      <c r="J899" s="68">
        <f>17.494 * CHOOSE(CONTROL!$C$22, $C$13, 100%, $E$13)</f>
        <v>17.494</v>
      </c>
      <c r="K899" s="68">
        <f>17.4972 * CHOOSE(CONTROL!$C$22, $C$13, 100%, $E$13)</f>
        <v>17.497199999999999</v>
      </c>
    </row>
    <row r="900" spans="1:11" ht="15">
      <c r="A900" s="13">
        <v>68515</v>
      </c>
      <c r="B900" s="67">
        <f>15.2618 * CHOOSE(CONTROL!$C$22, $C$13, 100%, $E$13)</f>
        <v>15.261799999999999</v>
      </c>
      <c r="C900" s="67">
        <f>15.2618 * CHOOSE(CONTROL!$C$22, $C$13, 100%, $E$13)</f>
        <v>15.261799999999999</v>
      </c>
      <c r="D900" s="67">
        <f>15.2644 * CHOOSE(CONTROL!$C$22, $C$13, 100%, $E$13)</f>
        <v>15.2644</v>
      </c>
      <c r="E900" s="68">
        <f>17.2088 * CHOOSE(CONTROL!$C$22, $C$13, 100%, $E$13)</f>
        <v>17.2088</v>
      </c>
      <c r="F900" s="68">
        <f>17.2088 * CHOOSE(CONTROL!$C$22, $C$13, 100%, $E$13)</f>
        <v>17.2088</v>
      </c>
      <c r="G900" s="68">
        <f>17.212 * CHOOSE(CONTROL!$C$22, $C$13, 100%, $E$13)</f>
        <v>17.212</v>
      </c>
      <c r="H900" s="68">
        <f>28.3993* CHOOSE(CONTROL!$C$22, $C$13, 100%, $E$13)</f>
        <v>28.3993</v>
      </c>
      <c r="I900" s="68">
        <f>28.4025 * CHOOSE(CONTROL!$C$22, $C$13, 100%, $E$13)</f>
        <v>28.4025</v>
      </c>
      <c r="J900" s="68">
        <f>17.2088 * CHOOSE(CONTROL!$C$22, $C$13, 100%, $E$13)</f>
        <v>17.2088</v>
      </c>
      <c r="K900" s="68">
        <f>17.212 * CHOOSE(CONTROL!$C$22, $C$13, 100%, $E$13)</f>
        <v>17.212</v>
      </c>
    </row>
    <row r="901" spans="1:11" ht="15">
      <c r="A901" s="13">
        <v>68546</v>
      </c>
      <c r="B901" s="67">
        <f>15.2588 * CHOOSE(CONTROL!$C$22, $C$13, 100%, $E$13)</f>
        <v>15.258800000000001</v>
      </c>
      <c r="C901" s="67">
        <f>15.2588 * CHOOSE(CONTROL!$C$22, $C$13, 100%, $E$13)</f>
        <v>15.258800000000001</v>
      </c>
      <c r="D901" s="67">
        <f>15.2614 * CHOOSE(CONTROL!$C$22, $C$13, 100%, $E$13)</f>
        <v>15.2614</v>
      </c>
      <c r="E901" s="68">
        <f>17.1744 * CHOOSE(CONTROL!$C$22, $C$13, 100%, $E$13)</f>
        <v>17.174399999999999</v>
      </c>
      <c r="F901" s="68">
        <f>17.1744 * CHOOSE(CONTROL!$C$22, $C$13, 100%, $E$13)</f>
        <v>17.174399999999999</v>
      </c>
      <c r="G901" s="68">
        <f>17.1777 * CHOOSE(CONTROL!$C$22, $C$13, 100%, $E$13)</f>
        <v>17.177700000000002</v>
      </c>
      <c r="H901" s="68">
        <f>28.4584* CHOOSE(CONTROL!$C$22, $C$13, 100%, $E$13)</f>
        <v>28.458400000000001</v>
      </c>
      <c r="I901" s="68">
        <f>28.4617 * CHOOSE(CONTROL!$C$22, $C$13, 100%, $E$13)</f>
        <v>28.4617</v>
      </c>
      <c r="J901" s="68">
        <f>17.1744 * CHOOSE(CONTROL!$C$22, $C$13, 100%, $E$13)</f>
        <v>17.174399999999999</v>
      </c>
      <c r="K901" s="68">
        <f>17.1777 * CHOOSE(CONTROL!$C$22, $C$13, 100%, $E$13)</f>
        <v>17.177700000000002</v>
      </c>
    </row>
    <row r="902" spans="1:11" ht="15">
      <c r="A902" s="13">
        <v>68576</v>
      </c>
      <c r="B902" s="67">
        <f>15.2901 * CHOOSE(CONTROL!$C$22, $C$13, 100%, $E$13)</f>
        <v>15.290100000000001</v>
      </c>
      <c r="C902" s="67">
        <f>15.2901 * CHOOSE(CONTROL!$C$22, $C$13, 100%, $E$13)</f>
        <v>15.290100000000001</v>
      </c>
      <c r="D902" s="67">
        <f>15.291 * CHOOSE(CONTROL!$C$22, $C$13, 100%, $E$13)</f>
        <v>15.291</v>
      </c>
      <c r="E902" s="68">
        <f>17.2899 * CHOOSE(CONTROL!$C$22, $C$13, 100%, $E$13)</f>
        <v>17.289899999999999</v>
      </c>
      <c r="F902" s="68">
        <f>17.2899 * CHOOSE(CONTROL!$C$22, $C$13, 100%, $E$13)</f>
        <v>17.289899999999999</v>
      </c>
      <c r="G902" s="68">
        <f>17.2911 * CHOOSE(CONTROL!$C$22, $C$13, 100%, $E$13)</f>
        <v>17.2911</v>
      </c>
      <c r="H902" s="68">
        <f>28.5177* CHOOSE(CONTROL!$C$22, $C$13, 100%, $E$13)</f>
        <v>28.517700000000001</v>
      </c>
      <c r="I902" s="68">
        <f>28.519 * CHOOSE(CONTROL!$C$22, $C$13, 100%, $E$13)</f>
        <v>28.518999999999998</v>
      </c>
      <c r="J902" s="68">
        <f>17.2899 * CHOOSE(CONTROL!$C$22, $C$13, 100%, $E$13)</f>
        <v>17.289899999999999</v>
      </c>
      <c r="K902" s="68">
        <f>17.2911 * CHOOSE(CONTROL!$C$22, $C$13, 100%, $E$13)</f>
        <v>17.2911</v>
      </c>
    </row>
    <row r="903" spans="1:11" ht="15">
      <c r="A903" s="13">
        <v>68607</v>
      </c>
      <c r="B903" s="67">
        <f>15.2931 * CHOOSE(CONTROL!$C$22, $C$13, 100%, $E$13)</f>
        <v>15.293100000000001</v>
      </c>
      <c r="C903" s="67">
        <f>15.2931 * CHOOSE(CONTROL!$C$22, $C$13, 100%, $E$13)</f>
        <v>15.293100000000001</v>
      </c>
      <c r="D903" s="67">
        <f>15.2941 * CHOOSE(CONTROL!$C$22, $C$13, 100%, $E$13)</f>
        <v>15.2941</v>
      </c>
      <c r="E903" s="68">
        <f>17.3564 * CHOOSE(CONTROL!$C$22, $C$13, 100%, $E$13)</f>
        <v>17.356400000000001</v>
      </c>
      <c r="F903" s="68">
        <f>17.3564 * CHOOSE(CONTROL!$C$22, $C$13, 100%, $E$13)</f>
        <v>17.356400000000001</v>
      </c>
      <c r="G903" s="68">
        <f>17.3577 * CHOOSE(CONTROL!$C$22, $C$13, 100%, $E$13)</f>
        <v>17.357700000000001</v>
      </c>
      <c r="H903" s="68">
        <f>28.5771* CHOOSE(CONTROL!$C$22, $C$13, 100%, $E$13)</f>
        <v>28.577100000000002</v>
      </c>
      <c r="I903" s="68">
        <f>28.5784 * CHOOSE(CONTROL!$C$22, $C$13, 100%, $E$13)</f>
        <v>28.578399999999998</v>
      </c>
      <c r="J903" s="68">
        <f>17.3564 * CHOOSE(CONTROL!$C$22, $C$13, 100%, $E$13)</f>
        <v>17.356400000000001</v>
      </c>
      <c r="K903" s="68">
        <f>17.3577 * CHOOSE(CONTROL!$C$22, $C$13, 100%, $E$13)</f>
        <v>17.357700000000001</v>
      </c>
    </row>
    <row r="904" spans="1:11" ht="15">
      <c r="A904" s="13">
        <v>68637</v>
      </c>
      <c r="B904" s="67">
        <f>15.2931 * CHOOSE(CONTROL!$C$22, $C$13, 100%, $E$13)</f>
        <v>15.293100000000001</v>
      </c>
      <c r="C904" s="67">
        <f>15.2931 * CHOOSE(CONTROL!$C$22, $C$13, 100%, $E$13)</f>
        <v>15.293100000000001</v>
      </c>
      <c r="D904" s="67">
        <f>15.2941 * CHOOSE(CONTROL!$C$22, $C$13, 100%, $E$13)</f>
        <v>15.2941</v>
      </c>
      <c r="E904" s="68">
        <f>17.1953 * CHOOSE(CONTROL!$C$22, $C$13, 100%, $E$13)</f>
        <v>17.1953</v>
      </c>
      <c r="F904" s="68">
        <f>17.1953 * CHOOSE(CONTROL!$C$22, $C$13, 100%, $E$13)</f>
        <v>17.1953</v>
      </c>
      <c r="G904" s="68">
        <f>17.1966 * CHOOSE(CONTROL!$C$22, $C$13, 100%, $E$13)</f>
        <v>17.1966</v>
      </c>
      <c r="H904" s="68">
        <f>28.6367* CHOOSE(CONTROL!$C$22, $C$13, 100%, $E$13)</f>
        <v>28.636700000000001</v>
      </c>
      <c r="I904" s="68">
        <f>28.638 * CHOOSE(CONTROL!$C$22, $C$13, 100%, $E$13)</f>
        <v>28.638000000000002</v>
      </c>
      <c r="J904" s="68">
        <f>17.1953 * CHOOSE(CONTROL!$C$22, $C$13, 100%, $E$13)</f>
        <v>17.1953</v>
      </c>
      <c r="K904" s="68">
        <f>17.1966 * CHOOSE(CONTROL!$C$22, $C$13, 100%, $E$13)</f>
        <v>17.1966</v>
      </c>
    </row>
    <row r="905" spans="1:11" ht="15">
      <c r="A905" s="13">
        <v>68668</v>
      </c>
      <c r="B905" s="67">
        <f>15.2566 * CHOOSE(CONTROL!$C$22, $C$13, 100%, $E$13)</f>
        <v>15.256600000000001</v>
      </c>
      <c r="C905" s="67">
        <f>15.2566 * CHOOSE(CONTROL!$C$22, $C$13, 100%, $E$13)</f>
        <v>15.256600000000001</v>
      </c>
      <c r="D905" s="67">
        <f>15.2576 * CHOOSE(CONTROL!$C$22, $C$13, 100%, $E$13)</f>
        <v>15.2576</v>
      </c>
      <c r="E905" s="68">
        <f>17.2866 * CHOOSE(CONTROL!$C$22, $C$13, 100%, $E$13)</f>
        <v>17.2866</v>
      </c>
      <c r="F905" s="68">
        <f>17.2866 * CHOOSE(CONTROL!$C$22, $C$13, 100%, $E$13)</f>
        <v>17.2866</v>
      </c>
      <c r="G905" s="68">
        <f>17.2879 * CHOOSE(CONTROL!$C$22, $C$13, 100%, $E$13)</f>
        <v>17.2879</v>
      </c>
      <c r="H905" s="68">
        <f>28.4156* CHOOSE(CONTROL!$C$22, $C$13, 100%, $E$13)</f>
        <v>28.415600000000001</v>
      </c>
      <c r="I905" s="68">
        <f>28.4169 * CHOOSE(CONTROL!$C$22, $C$13, 100%, $E$13)</f>
        <v>28.416899999999998</v>
      </c>
      <c r="J905" s="68">
        <f>17.2866 * CHOOSE(CONTROL!$C$22, $C$13, 100%, $E$13)</f>
        <v>17.2866</v>
      </c>
      <c r="K905" s="68">
        <f>17.2879 * CHOOSE(CONTROL!$C$22, $C$13, 100%, $E$13)</f>
        <v>17.2879</v>
      </c>
    </row>
    <row r="906" spans="1:11" ht="15">
      <c r="A906" s="13">
        <v>68699</v>
      </c>
      <c r="B906" s="67">
        <f>15.2536 * CHOOSE(CONTROL!$C$22, $C$13, 100%, $E$13)</f>
        <v>15.2536</v>
      </c>
      <c r="C906" s="67">
        <f>15.2536 * CHOOSE(CONTROL!$C$22, $C$13, 100%, $E$13)</f>
        <v>15.2536</v>
      </c>
      <c r="D906" s="67">
        <f>15.2545 * CHOOSE(CONTROL!$C$22, $C$13, 100%, $E$13)</f>
        <v>15.2545</v>
      </c>
      <c r="E906" s="68">
        <f>16.9752 * CHOOSE(CONTROL!$C$22, $C$13, 100%, $E$13)</f>
        <v>16.975200000000001</v>
      </c>
      <c r="F906" s="68">
        <f>16.9752 * CHOOSE(CONTROL!$C$22, $C$13, 100%, $E$13)</f>
        <v>16.975200000000001</v>
      </c>
      <c r="G906" s="68">
        <f>16.9765 * CHOOSE(CONTROL!$C$22, $C$13, 100%, $E$13)</f>
        <v>16.976500000000001</v>
      </c>
      <c r="H906" s="68">
        <f>28.4748* CHOOSE(CONTROL!$C$22, $C$13, 100%, $E$13)</f>
        <v>28.474799999999998</v>
      </c>
      <c r="I906" s="68">
        <f>28.4761 * CHOOSE(CONTROL!$C$22, $C$13, 100%, $E$13)</f>
        <v>28.476099999999999</v>
      </c>
      <c r="J906" s="68">
        <f>16.9752 * CHOOSE(CONTROL!$C$22, $C$13, 100%, $E$13)</f>
        <v>16.975200000000001</v>
      </c>
      <c r="K906" s="68">
        <f>16.9765 * CHOOSE(CONTROL!$C$22, $C$13, 100%, $E$13)</f>
        <v>16.976500000000001</v>
      </c>
    </row>
    <row r="907" spans="1:11" ht="15">
      <c r="A907" s="13">
        <v>68728</v>
      </c>
      <c r="B907" s="67">
        <f>15.2505 * CHOOSE(CONTROL!$C$22, $C$13, 100%, $E$13)</f>
        <v>15.250500000000001</v>
      </c>
      <c r="C907" s="67">
        <f>15.2505 * CHOOSE(CONTROL!$C$22, $C$13, 100%, $E$13)</f>
        <v>15.250500000000001</v>
      </c>
      <c r="D907" s="67">
        <f>15.2515 * CHOOSE(CONTROL!$C$22, $C$13, 100%, $E$13)</f>
        <v>15.2515</v>
      </c>
      <c r="E907" s="68">
        <f>17.2169 * CHOOSE(CONTROL!$C$22, $C$13, 100%, $E$13)</f>
        <v>17.216899999999999</v>
      </c>
      <c r="F907" s="68">
        <f>17.2169 * CHOOSE(CONTROL!$C$22, $C$13, 100%, $E$13)</f>
        <v>17.216899999999999</v>
      </c>
      <c r="G907" s="68">
        <f>17.2182 * CHOOSE(CONTROL!$C$22, $C$13, 100%, $E$13)</f>
        <v>17.2182</v>
      </c>
      <c r="H907" s="68">
        <f>28.5341* CHOOSE(CONTROL!$C$22, $C$13, 100%, $E$13)</f>
        <v>28.534099999999999</v>
      </c>
      <c r="I907" s="68">
        <f>28.5354 * CHOOSE(CONTROL!$C$22, $C$13, 100%, $E$13)</f>
        <v>28.535399999999999</v>
      </c>
      <c r="J907" s="68">
        <f>17.2169 * CHOOSE(CONTROL!$C$22, $C$13, 100%, $E$13)</f>
        <v>17.216899999999999</v>
      </c>
      <c r="K907" s="68">
        <f>17.2182 * CHOOSE(CONTROL!$C$22, $C$13, 100%, $E$13)</f>
        <v>17.2182</v>
      </c>
    </row>
    <row r="908" spans="1:11" ht="15">
      <c r="A908" s="13">
        <v>68759</v>
      </c>
      <c r="B908" s="67">
        <f>15.2576 * CHOOSE(CONTROL!$C$22, $C$13, 100%, $E$13)</f>
        <v>15.2576</v>
      </c>
      <c r="C908" s="67">
        <f>15.2576 * CHOOSE(CONTROL!$C$22, $C$13, 100%, $E$13)</f>
        <v>15.2576</v>
      </c>
      <c r="D908" s="67">
        <f>15.2586 * CHOOSE(CONTROL!$C$22, $C$13, 100%, $E$13)</f>
        <v>15.258599999999999</v>
      </c>
      <c r="E908" s="68">
        <f>17.4745 * CHOOSE(CONTROL!$C$22, $C$13, 100%, $E$13)</f>
        <v>17.474499999999999</v>
      </c>
      <c r="F908" s="68">
        <f>17.4745 * CHOOSE(CONTROL!$C$22, $C$13, 100%, $E$13)</f>
        <v>17.474499999999999</v>
      </c>
      <c r="G908" s="68">
        <f>17.4758 * CHOOSE(CONTROL!$C$22, $C$13, 100%, $E$13)</f>
        <v>17.4758</v>
      </c>
      <c r="H908" s="68">
        <f>28.5935* CHOOSE(CONTROL!$C$22, $C$13, 100%, $E$13)</f>
        <v>28.593499999999999</v>
      </c>
      <c r="I908" s="68">
        <f>28.5948 * CHOOSE(CONTROL!$C$22, $C$13, 100%, $E$13)</f>
        <v>28.594799999999999</v>
      </c>
      <c r="J908" s="68">
        <f>17.4745 * CHOOSE(CONTROL!$C$22, $C$13, 100%, $E$13)</f>
        <v>17.474499999999999</v>
      </c>
      <c r="K908" s="68">
        <f>17.4758 * CHOOSE(CONTROL!$C$22, $C$13, 100%, $E$13)</f>
        <v>17.4758</v>
      </c>
    </row>
    <row r="909" spans="1:11" ht="15">
      <c r="A909" s="13">
        <v>68789</v>
      </c>
      <c r="B909" s="67">
        <f>15.2576 * CHOOSE(CONTROL!$C$22, $C$13, 100%, $E$13)</f>
        <v>15.2576</v>
      </c>
      <c r="C909" s="67">
        <f>15.2576 * CHOOSE(CONTROL!$C$22, $C$13, 100%, $E$13)</f>
        <v>15.2576</v>
      </c>
      <c r="D909" s="67">
        <f>15.2602 * CHOOSE(CONTROL!$C$22, $C$13, 100%, $E$13)</f>
        <v>15.260199999999999</v>
      </c>
      <c r="E909" s="68">
        <f>17.5727 * CHOOSE(CONTROL!$C$22, $C$13, 100%, $E$13)</f>
        <v>17.572700000000001</v>
      </c>
      <c r="F909" s="68">
        <f>17.5727 * CHOOSE(CONTROL!$C$22, $C$13, 100%, $E$13)</f>
        <v>17.572700000000001</v>
      </c>
      <c r="G909" s="68">
        <f>17.576 * CHOOSE(CONTROL!$C$22, $C$13, 100%, $E$13)</f>
        <v>17.576000000000001</v>
      </c>
      <c r="H909" s="68">
        <f>28.6531* CHOOSE(CONTROL!$C$22, $C$13, 100%, $E$13)</f>
        <v>28.653099999999998</v>
      </c>
      <c r="I909" s="68">
        <f>28.6564 * CHOOSE(CONTROL!$C$22, $C$13, 100%, $E$13)</f>
        <v>28.656400000000001</v>
      </c>
      <c r="J909" s="68">
        <f>17.5727 * CHOOSE(CONTROL!$C$22, $C$13, 100%, $E$13)</f>
        <v>17.572700000000001</v>
      </c>
      <c r="K909" s="68">
        <f>17.576 * CHOOSE(CONTROL!$C$22, $C$13, 100%, $E$13)</f>
        <v>17.576000000000001</v>
      </c>
    </row>
    <row r="910" spans="1:11" ht="15">
      <c r="A910" s="13">
        <v>68820</v>
      </c>
      <c r="B910" s="67">
        <f>15.2637 * CHOOSE(CONTROL!$C$22, $C$13, 100%, $E$13)</f>
        <v>15.2637</v>
      </c>
      <c r="C910" s="67">
        <f>15.2637 * CHOOSE(CONTROL!$C$22, $C$13, 100%, $E$13)</f>
        <v>15.2637</v>
      </c>
      <c r="D910" s="67">
        <f>15.2663 * CHOOSE(CONTROL!$C$22, $C$13, 100%, $E$13)</f>
        <v>15.266299999999999</v>
      </c>
      <c r="E910" s="68">
        <f>17.4787 * CHOOSE(CONTROL!$C$22, $C$13, 100%, $E$13)</f>
        <v>17.4787</v>
      </c>
      <c r="F910" s="68">
        <f>17.4787 * CHOOSE(CONTROL!$C$22, $C$13, 100%, $E$13)</f>
        <v>17.4787</v>
      </c>
      <c r="G910" s="68">
        <f>17.482 * CHOOSE(CONTROL!$C$22, $C$13, 100%, $E$13)</f>
        <v>17.481999999999999</v>
      </c>
      <c r="H910" s="68">
        <f>28.7128* CHOOSE(CONTROL!$C$22, $C$13, 100%, $E$13)</f>
        <v>28.712800000000001</v>
      </c>
      <c r="I910" s="68">
        <f>28.7161 * CHOOSE(CONTROL!$C$22, $C$13, 100%, $E$13)</f>
        <v>28.716100000000001</v>
      </c>
      <c r="J910" s="68">
        <f>17.4787 * CHOOSE(CONTROL!$C$22, $C$13, 100%, $E$13)</f>
        <v>17.4787</v>
      </c>
      <c r="K910" s="68">
        <f>17.482 * CHOOSE(CONTROL!$C$22, $C$13, 100%, $E$13)</f>
        <v>17.481999999999999</v>
      </c>
    </row>
    <row r="911" spans="1:11" ht="15">
      <c r="A911" s="13">
        <v>68850</v>
      </c>
      <c r="B911" s="67">
        <f>15.4943 * CHOOSE(CONTROL!$C$22, $C$13, 100%, $E$13)</f>
        <v>15.494300000000001</v>
      </c>
      <c r="C911" s="67">
        <f>15.4943 * CHOOSE(CONTROL!$C$22, $C$13, 100%, $E$13)</f>
        <v>15.494300000000001</v>
      </c>
      <c r="D911" s="67">
        <f>15.4969 * CHOOSE(CONTROL!$C$22, $C$13, 100%, $E$13)</f>
        <v>15.4969</v>
      </c>
      <c r="E911" s="68">
        <f>17.7558 * CHOOSE(CONTROL!$C$22, $C$13, 100%, $E$13)</f>
        <v>17.755800000000001</v>
      </c>
      <c r="F911" s="68">
        <f>17.7558 * CHOOSE(CONTROL!$C$22, $C$13, 100%, $E$13)</f>
        <v>17.755800000000001</v>
      </c>
      <c r="G911" s="68">
        <f>17.759 * CHOOSE(CONTROL!$C$22, $C$13, 100%, $E$13)</f>
        <v>17.759</v>
      </c>
      <c r="H911" s="68">
        <f>28.7726* CHOOSE(CONTROL!$C$22, $C$13, 100%, $E$13)</f>
        <v>28.772600000000001</v>
      </c>
      <c r="I911" s="68">
        <f>28.7759 * CHOOSE(CONTROL!$C$22, $C$13, 100%, $E$13)</f>
        <v>28.7759</v>
      </c>
      <c r="J911" s="68">
        <f>17.7558 * CHOOSE(CONTROL!$C$22, $C$13, 100%, $E$13)</f>
        <v>17.755800000000001</v>
      </c>
      <c r="K911" s="68">
        <f>17.759 * CHOOSE(CONTROL!$C$22, $C$13, 100%, $E$13)</f>
        <v>17.759</v>
      </c>
    </row>
    <row r="912" spans="1:11" ht="15">
      <c r="A912" s="13">
        <v>68881</v>
      </c>
      <c r="B912" s="67">
        <f>15.501 * CHOOSE(CONTROL!$C$22, $C$13, 100%, $E$13)</f>
        <v>15.500999999999999</v>
      </c>
      <c r="C912" s="67">
        <f>15.501 * CHOOSE(CONTROL!$C$22, $C$13, 100%, $E$13)</f>
        <v>15.500999999999999</v>
      </c>
      <c r="D912" s="67">
        <f>15.5036 * CHOOSE(CONTROL!$C$22, $C$13, 100%, $E$13)</f>
        <v>15.5036</v>
      </c>
      <c r="E912" s="68">
        <f>17.4658 * CHOOSE(CONTROL!$C$22, $C$13, 100%, $E$13)</f>
        <v>17.465800000000002</v>
      </c>
      <c r="F912" s="68">
        <f>17.4658 * CHOOSE(CONTROL!$C$22, $C$13, 100%, $E$13)</f>
        <v>17.465800000000002</v>
      </c>
      <c r="G912" s="68">
        <f>17.4691 * CHOOSE(CONTROL!$C$22, $C$13, 100%, $E$13)</f>
        <v>17.469100000000001</v>
      </c>
      <c r="H912" s="68">
        <f>28.8326* CHOOSE(CONTROL!$C$22, $C$13, 100%, $E$13)</f>
        <v>28.832599999999999</v>
      </c>
      <c r="I912" s="68">
        <f>28.8358 * CHOOSE(CONTROL!$C$22, $C$13, 100%, $E$13)</f>
        <v>28.835799999999999</v>
      </c>
      <c r="J912" s="68">
        <f>17.4658 * CHOOSE(CONTROL!$C$22, $C$13, 100%, $E$13)</f>
        <v>17.465800000000002</v>
      </c>
      <c r="K912" s="68">
        <f>17.4691 * CHOOSE(CONTROL!$C$22, $C$13, 100%, $E$13)</f>
        <v>17.469100000000001</v>
      </c>
    </row>
    <row r="913" spans="1:11" ht="15">
      <c r="A913" s="13">
        <v>68912</v>
      </c>
      <c r="B913" s="67">
        <f>15.498 * CHOOSE(CONTROL!$C$22, $C$13, 100%, $E$13)</f>
        <v>15.497999999999999</v>
      </c>
      <c r="C913" s="67">
        <f>15.498 * CHOOSE(CONTROL!$C$22, $C$13, 100%, $E$13)</f>
        <v>15.497999999999999</v>
      </c>
      <c r="D913" s="67">
        <f>15.5006 * CHOOSE(CONTROL!$C$22, $C$13, 100%, $E$13)</f>
        <v>15.5006</v>
      </c>
      <c r="E913" s="68">
        <f>17.431 * CHOOSE(CONTROL!$C$22, $C$13, 100%, $E$13)</f>
        <v>17.431000000000001</v>
      </c>
      <c r="F913" s="68">
        <f>17.431 * CHOOSE(CONTROL!$C$22, $C$13, 100%, $E$13)</f>
        <v>17.431000000000001</v>
      </c>
      <c r="G913" s="68">
        <f>17.4342 * CHOOSE(CONTROL!$C$22, $C$13, 100%, $E$13)</f>
        <v>17.434200000000001</v>
      </c>
      <c r="H913" s="68">
        <f>28.8926* CHOOSE(CONTROL!$C$22, $C$13, 100%, $E$13)</f>
        <v>28.892600000000002</v>
      </c>
      <c r="I913" s="68">
        <f>28.8959 * CHOOSE(CONTROL!$C$22, $C$13, 100%, $E$13)</f>
        <v>28.895900000000001</v>
      </c>
      <c r="J913" s="68">
        <f>17.431 * CHOOSE(CONTROL!$C$22, $C$13, 100%, $E$13)</f>
        <v>17.431000000000001</v>
      </c>
      <c r="K913" s="68">
        <f>17.4342 * CHOOSE(CONTROL!$C$22, $C$13, 100%, $E$13)</f>
        <v>17.434200000000001</v>
      </c>
    </row>
    <row r="914" spans="1:11" ht="15">
      <c r="A914" s="13">
        <v>68942</v>
      </c>
      <c r="B914" s="67">
        <f>15.53 * CHOOSE(CONTROL!$C$22, $C$13, 100%, $E$13)</f>
        <v>15.53</v>
      </c>
      <c r="C914" s="67">
        <f>15.53 * CHOOSE(CONTROL!$C$22, $C$13, 100%, $E$13)</f>
        <v>15.53</v>
      </c>
      <c r="D914" s="67">
        <f>15.531 * CHOOSE(CONTROL!$C$22, $C$13, 100%, $E$13)</f>
        <v>15.531000000000001</v>
      </c>
      <c r="E914" s="68">
        <f>17.5485 * CHOOSE(CONTROL!$C$22, $C$13, 100%, $E$13)</f>
        <v>17.548500000000001</v>
      </c>
      <c r="F914" s="68">
        <f>17.5485 * CHOOSE(CONTROL!$C$22, $C$13, 100%, $E$13)</f>
        <v>17.548500000000001</v>
      </c>
      <c r="G914" s="68">
        <f>17.5498 * CHOOSE(CONTROL!$C$22, $C$13, 100%, $E$13)</f>
        <v>17.549800000000001</v>
      </c>
      <c r="H914" s="68">
        <f>28.9528* CHOOSE(CONTROL!$C$22, $C$13, 100%, $E$13)</f>
        <v>28.9528</v>
      </c>
      <c r="I914" s="68">
        <f>28.9541 * CHOOSE(CONTROL!$C$22, $C$13, 100%, $E$13)</f>
        <v>28.9541</v>
      </c>
      <c r="J914" s="68">
        <f>17.5485 * CHOOSE(CONTROL!$C$22, $C$13, 100%, $E$13)</f>
        <v>17.548500000000001</v>
      </c>
      <c r="K914" s="68">
        <f>17.5498 * CHOOSE(CONTROL!$C$22, $C$13, 100%, $E$13)</f>
        <v>17.549800000000001</v>
      </c>
    </row>
    <row r="915" spans="1:11" ht="15">
      <c r="A915" s="13">
        <v>68973</v>
      </c>
      <c r="B915" s="67">
        <f>15.533 * CHOOSE(CONTROL!$C$22, $C$13, 100%, $E$13)</f>
        <v>15.532999999999999</v>
      </c>
      <c r="C915" s="67">
        <f>15.533 * CHOOSE(CONTROL!$C$22, $C$13, 100%, $E$13)</f>
        <v>15.532999999999999</v>
      </c>
      <c r="D915" s="67">
        <f>15.534 * CHOOSE(CONTROL!$C$22, $C$13, 100%, $E$13)</f>
        <v>15.534000000000001</v>
      </c>
      <c r="E915" s="68">
        <f>17.6161 * CHOOSE(CONTROL!$C$22, $C$13, 100%, $E$13)</f>
        <v>17.616099999999999</v>
      </c>
      <c r="F915" s="68">
        <f>17.6161 * CHOOSE(CONTROL!$C$22, $C$13, 100%, $E$13)</f>
        <v>17.616099999999999</v>
      </c>
      <c r="G915" s="68">
        <f>17.6174 * CHOOSE(CONTROL!$C$22, $C$13, 100%, $E$13)</f>
        <v>17.6174</v>
      </c>
      <c r="H915" s="68">
        <f>29.0131* CHOOSE(CONTROL!$C$22, $C$13, 100%, $E$13)</f>
        <v>29.013100000000001</v>
      </c>
      <c r="I915" s="68">
        <f>29.0144 * CHOOSE(CONTROL!$C$22, $C$13, 100%, $E$13)</f>
        <v>29.014399999999998</v>
      </c>
      <c r="J915" s="68">
        <f>17.6161 * CHOOSE(CONTROL!$C$22, $C$13, 100%, $E$13)</f>
        <v>17.616099999999999</v>
      </c>
      <c r="K915" s="68">
        <f>17.6174 * CHOOSE(CONTROL!$C$22, $C$13, 100%, $E$13)</f>
        <v>17.6174</v>
      </c>
    </row>
    <row r="916" spans="1:11" ht="15">
      <c r="A916" s="13">
        <v>69003</v>
      </c>
      <c r="B916" s="67">
        <f>15.533 * CHOOSE(CONTROL!$C$22, $C$13, 100%, $E$13)</f>
        <v>15.532999999999999</v>
      </c>
      <c r="C916" s="67">
        <f>15.533 * CHOOSE(CONTROL!$C$22, $C$13, 100%, $E$13)</f>
        <v>15.532999999999999</v>
      </c>
      <c r="D916" s="67">
        <f>15.534 * CHOOSE(CONTROL!$C$22, $C$13, 100%, $E$13)</f>
        <v>15.534000000000001</v>
      </c>
      <c r="E916" s="68">
        <f>17.4524 * CHOOSE(CONTROL!$C$22, $C$13, 100%, $E$13)</f>
        <v>17.452400000000001</v>
      </c>
      <c r="F916" s="68">
        <f>17.4524 * CHOOSE(CONTROL!$C$22, $C$13, 100%, $E$13)</f>
        <v>17.452400000000001</v>
      </c>
      <c r="G916" s="68">
        <f>17.4537 * CHOOSE(CONTROL!$C$22, $C$13, 100%, $E$13)</f>
        <v>17.453700000000001</v>
      </c>
      <c r="H916" s="68">
        <f>29.0736* CHOOSE(CONTROL!$C$22, $C$13, 100%, $E$13)</f>
        <v>29.073599999999999</v>
      </c>
      <c r="I916" s="68">
        <f>29.0749 * CHOOSE(CONTROL!$C$22, $C$13, 100%, $E$13)</f>
        <v>29.0749</v>
      </c>
      <c r="J916" s="68">
        <f>17.4524 * CHOOSE(CONTROL!$C$22, $C$13, 100%, $E$13)</f>
        <v>17.452400000000001</v>
      </c>
      <c r="K916" s="68">
        <f>17.4537 * CHOOSE(CONTROL!$C$22, $C$13, 100%, $E$13)</f>
        <v>17.453700000000001</v>
      </c>
    </row>
    <row r="917" spans="1:11" ht="15">
      <c r="A917" s="13">
        <v>69034</v>
      </c>
      <c r="B917" s="67">
        <f>15.4922 * CHOOSE(CONTROL!$C$22, $C$13, 100%, $E$13)</f>
        <v>15.4922</v>
      </c>
      <c r="C917" s="67">
        <f>15.4922 * CHOOSE(CONTROL!$C$22, $C$13, 100%, $E$13)</f>
        <v>15.4922</v>
      </c>
      <c r="D917" s="67">
        <f>15.4931 * CHOOSE(CONTROL!$C$22, $C$13, 100%, $E$13)</f>
        <v>15.4931</v>
      </c>
      <c r="E917" s="68">
        <f>17.5413 * CHOOSE(CONTROL!$C$22, $C$13, 100%, $E$13)</f>
        <v>17.5413</v>
      </c>
      <c r="F917" s="68">
        <f>17.5413 * CHOOSE(CONTROL!$C$22, $C$13, 100%, $E$13)</f>
        <v>17.5413</v>
      </c>
      <c r="G917" s="68">
        <f>17.5426 * CHOOSE(CONTROL!$C$22, $C$13, 100%, $E$13)</f>
        <v>17.5426</v>
      </c>
      <c r="H917" s="68">
        <f>28.8426* CHOOSE(CONTROL!$C$22, $C$13, 100%, $E$13)</f>
        <v>28.842600000000001</v>
      </c>
      <c r="I917" s="68">
        <f>28.8439 * CHOOSE(CONTROL!$C$22, $C$13, 100%, $E$13)</f>
        <v>28.843900000000001</v>
      </c>
      <c r="J917" s="68">
        <f>17.5413 * CHOOSE(CONTROL!$C$22, $C$13, 100%, $E$13)</f>
        <v>17.5413</v>
      </c>
      <c r="K917" s="68">
        <f>17.5426 * CHOOSE(CONTROL!$C$22, $C$13, 100%, $E$13)</f>
        <v>17.5426</v>
      </c>
    </row>
    <row r="918" spans="1:11" ht="15">
      <c r="A918" s="13">
        <v>69065</v>
      </c>
      <c r="B918" s="67">
        <f>15.4891 * CHOOSE(CONTROL!$C$22, $C$13, 100%, $E$13)</f>
        <v>15.489100000000001</v>
      </c>
      <c r="C918" s="67">
        <f>15.4891 * CHOOSE(CONTROL!$C$22, $C$13, 100%, $E$13)</f>
        <v>15.489100000000001</v>
      </c>
      <c r="D918" s="67">
        <f>15.4901 * CHOOSE(CONTROL!$C$22, $C$13, 100%, $E$13)</f>
        <v>15.4901</v>
      </c>
      <c r="E918" s="68">
        <f>17.225 * CHOOSE(CONTROL!$C$22, $C$13, 100%, $E$13)</f>
        <v>17.225000000000001</v>
      </c>
      <c r="F918" s="68">
        <f>17.225 * CHOOSE(CONTROL!$C$22, $C$13, 100%, $E$13)</f>
        <v>17.225000000000001</v>
      </c>
      <c r="G918" s="68">
        <f>17.2262 * CHOOSE(CONTROL!$C$22, $C$13, 100%, $E$13)</f>
        <v>17.226199999999999</v>
      </c>
      <c r="H918" s="68">
        <f>28.9027* CHOOSE(CONTROL!$C$22, $C$13, 100%, $E$13)</f>
        <v>28.902699999999999</v>
      </c>
      <c r="I918" s="68">
        <f>28.904 * CHOOSE(CONTROL!$C$22, $C$13, 100%, $E$13)</f>
        <v>28.904</v>
      </c>
      <c r="J918" s="68">
        <f>17.225 * CHOOSE(CONTROL!$C$22, $C$13, 100%, $E$13)</f>
        <v>17.225000000000001</v>
      </c>
      <c r="K918" s="68">
        <f>17.2262 * CHOOSE(CONTROL!$C$22, $C$13, 100%, $E$13)</f>
        <v>17.226199999999999</v>
      </c>
    </row>
    <row r="919" spans="1:11" ht="15">
      <c r="A919" s="13">
        <v>69093</v>
      </c>
      <c r="B919" s="67">
        <f>15.4861 * CHOOSE(CONTROL!$C$22, $C$13, 100%, $E$13)</f>
        <v>15.4861</v>
      </c>
      <c r="C919" s="67">
        <f>15.4861 * CHOOSE(CONTROL!$C$22, $C$13, 100%, $E$13)</f>
        <v>15.4861</v>
      </c>
      <c r="D919" s="67">
        <f>15.4871 * CHOOSE(CONTROL!$C$22, $C$13, 100%, $E$13)</f>
        <v>15.4871</v>
      </c>
      <c r="E919" s="68">
        <f>17.4706 * CHOOSE(CONTROL!$C$22, $C$13, 100%, $E$13)</f>
        <v>17.470600000000001</v>
      </c>
      <c r="F919" s="68">
        <f>17.4706 * CHOOSE(CONTROL!$C$22, $C$13, 100%, $E$13)</f>
        <v>17.470600000000001</v>
      </c>
      <c r="G919" s="68">
        <f>17.4718 * CHOOSE(CONTROL!$C$22, $C$13, 100%, $E$13)</f>
        <v>17.471800000000002</v>
      </c>
      <c r="H919" s="68">
        <f>28.9629* CHOOSE(CONTROL!$C$22, $C$13, 100%, $E$13)</f>
        <v>28.962900000000001</v>
      </c>
      <c r="I919" s="68">
        <f>28.9642 * CHOOSE(CONTROL!$C$22, $C$13, 100%, $E$13)</f>
        <v>28.964200000000002</v>
      </c>
      <c r="J919" s="68">
        <f>17.4706 * CHOOSE(CONTROL!$C$22, $C$13, 100%, $E$13)</f>
        <v>17.470600000000001</v>
      </c>
      <c r="K919" s="68">
        <f>17.4718 * CHOOSE(CONTROL!$C$22, $C$13, 100%, $E$13)</f>
        <v>17.471800000000002</v>
      </c>
    </row>
    <row r="920" spans="1:11" ht="15">
      <c r="A920" s="13">
        <v>69124</v>
      </c>
      <c r="B920" s="67">
        <f>15.4933 * CHOOSE(CONTROL!$C$22, $C$13, 100%, $E$13)</f>
        <v>15.4933</v>
      </c>
      <c r="C920" s="67">
        <f>15.4933 * CHOOSE(CONTROL!$C$22, $C$13, 100%, $E$13)</f>
        <v>15.4933</v>
      </c>
      <c r="D920" s="67">
        <f>15.4943 * CHOOSE(CONTROL!$C$22, $C$13, 100%, $E$13)</f>
        <v>15.494300000000001</v>
      </c>
      <c r="E920" s="68">
        <f>17.7324 * CHOOSE(CONTROL!$C$22, $C$13, 100%, $E$13)</f>
        <v>17.732399999999998</v>
      </c>
      <c r="F920" s="68">
        <f>17.7324 * CHOOSE(CONTROL!$C$22, $C$13, 100%, $E$13)</f>
        <v>17.732399999999998</v>
      </c>
      <c r="G920" s="68">
        <f>17.7336 * CHOOSE(CONTROL!$C$22, $C$13, 100%, $E$13)</f>
        <v>17.733599999999999</v>
      </c>
      <c r="H920" s="68">
        <f>29.0232* CHOOSE(CONTROL!$C$22, $C$13, 100%, $E$13)</f>
        <v>29.023199999999999</v>
      </c>
      <c r="I920" s="68">
        <f>29.0245 * CHOOSE(CONTROL!$C$22, $C$13, 100%, $E$13)</f>
        <v>29.0245</v>
      </c>
      <c r="J920" s="68">
        <f>17.7324 * CHOOSE(CONTROL!$C$22, $C$13, 100%, $E$13)</f>
        <v>17.732399999999998</v>
      </c>
      <c r="K920" s="68">
        <f>17.7336 * CHOOSE(CONTROL!$C$22, $C$13, 100%, $E$13)</f>
        <v>17.733599999999999</v>
      </c>
    </row>
    <row r="921" spans="1:11" ht="15">
      <c r="A921" s="13">
        <v>69154</v>
      </c>
      <c r="B921" s="67">
        <f>15.4933 * CHOOSE(CONTROL!$C$22, $C$13, 100%, $E$13)</f>
        <v>15.4933</v>
      </c>
      <c r="C921" s="67">
        <f>15.4933 * CHOOSE(CONTROL!$C$22, $C$13, 100%, $E$13)</f>
        <v>15.4933</v>
      </c>
      <c r="D921" s="67">
        <f>15.496 * CHOOSE(CONTROL!$C$22, $C$13, 100%, $E$13)</f>
        <v>15.496</v>
      </c>
      <c r="E921" s="68">
        <f>17.8321 * CHOOSE(CONTROL!$C$22, $C$13, 100%, $E$13)</f>
        <v>17.832100000000001</v>
      </c>
      <c r="F921" s="68">
        <f>17.8321 * CHOOSE(CONTROL!$C$22, $C$13, 100%, $E$13)</f>
        <v>17.832100000000001</v>
      </c>
      <c r="G921" s="68">
        <f>17.8354 * CHOOSE(CONTROL!$C$22, $C$13, 100%, $E$13)</f>
        <v>17.8354</v>
      </c>
      <c r="H921" s="68">
        <f>29.0837* CHOOSE(CONTROL!$C$22, $C$13, 100%, $E$13)</f>
        <v>29.0837</v>
      </c>
      <c r="I921" s="68">
        <f>29.0869 * CHOOSE(CONTROL!$C$22, $C$13, 100%, $E$13)</f>
        <v>29.0869</v>
      </c>
      <c r="J921" s="68">
        <f>17.8321 * CHOOSE(CONTROL!$C$22, $C$13, 100%, $E$13)</f>
        <v>17.832100000000001</v>
      </c>
      <c r="K921" s="68">
        <f>17.8354 * CHOOSE(CONTROL!$C$22, $C$13, 100%, $E$13)</f>
        <v>17.8354</v>
      </c>
    </row>
    <row r="922" spans="1:11" ht="15">
      <c r="A922" s="13">
        <v>69185</v>
      </c>
      <c r="B922" s="67">
        <f>15.4994 * CHOOSE(CONTROL!$C$22, $C$13, 100%, $E$13)</f>
        <v>15.4994</v>
      </c>
      <c r="C922" s="67">
        <f>15.4994 * CHOOSE(CONTROL!$C$22, $C$13, 100%, $E$13)</f>
        <v>15.4994</v>
      </c>
      <c r="D922" s="67">
        <f>15.502 * CHOOSE(CONTROL!$C$22, $C$13, 100%, $E$13)</f>
        <v>15.502000000000001</v>
      </c>
      <c r="E922" s="68">
        <f>17.7366 * CHOOSE(CONTROL!$C$22, $C$13, 100%, $E$13)</f>
        <v>17.736599999999999</v>
      </c>
      <c r="F922" s="68">
        <f>17.7366 * CHOOSE(CONTROL!$C$22, $C$13, 100%, $E$13)</f>
        <v>17.736599999999999</v>
      </c>
      <c r="G922" s="68">
        <f>17.7399 * CHOOSE(CONTROL!$C$22, $C$13, 100%, $E$13)</f>
        <v>17.739899999999999</v>
      </c>
      <c r="H922" s="68">
        <f>29.1443* CHOOSE(CONTROL!$C$22, $C$13, 100%, $E$13)</f>
        <v>29.144300000000001</v>
      </c>
      <c r="I922" s="68">
        <f>29.1475 * CHOOSE(CONTROL!$C$22, $C$13, 100%, $E$13)</f>
        <v>29.147500000000001</v>
      </c>
      <c r="J922" s="68">
        <f>17.7366 * CHOOSE(CONTROL!$C$22, $C$13, 100%, $E$13)</f>
        <v>17.736599999999999</v>
      </c>
      <c r="K922" s="68">
        <f>17.7399 * CHOOSE(CONTROL!$C$22, $C$13, 100%, $E$13)</f>
        <v>17.739899999999999</v>
      </c>
    </row>
    <row r="923" spans="1:11" ht="15">
      <c r="A923" s="13">
        <v>69215</v>
      </c>
      <c r="B923" s="67">
        <f>15.7335 * CHOOSE(CONTROL!$C$22, $C$13, 100%, $E$13)</f>
        <v>15.733499999999999</v>
      </c>
      <c r="C923" s="67">
        <f>15.7335 * CHOOSE(CONTROL!$C$22, $C$13, 100%, $E$13)</f>
        <v>15.733499999999999</v>
      </c>
      <c r="D923" s="67">
        <f>15.7361 * CHOOSE(CONTROL!$C$22, $C$13, 100%, $E$13)</f>
        <v>15.7361</v>
      </c>
      <c r="E923" s="68">
        <f>18.0175 * CHOOSE(CONTROL!$C$22, $C$13, 100%, $E$13)</f>
        <v>18.017499999999998</v>
      </c>
      <c r="F923" s="68">
        <f>18.0175 * CHOOSE(CONTROL!$C$22, $C$13, 100%, $E$13)</f>
        <v>18.017499999999998</v>
      </c>
      <c r="G923" s="68">
        <f>18.0208 * CHOOSE(CONTROL!$C$22, $C$13, 100%, $E$13)</f>
        <v>18.020800000000001</v>
      </c>
      <c r="H923" s="68">
        <f>29.205* CHOOSE(CONTROL!$C$22, $C$13, 100%, $E$13)</f>
        <v>29.204999999999998</v>
      </c>
      <c r="I923" s="68">
        <f>29.2083 * CHOOSE(CONTROL!$C$22, $C$13, 100%, $E$13)</f>
        <v>29.208300000000001</v>
      </c>
      <c r="J923" s="68">
        <f>18.0175 * CHOOSE(CONTROL!$C$22, $C$13, 100%, $E$13)</f>
        <v>18.017499999999998</v>
      </c>
      <c r="K923" s="68">
        <f>18.0208 * CHOOSE(CONTROL!$C$22, $C$13, 100%, $E$13)</f>
        <v>18.020800000000001</v>
      </c>
    </row>
    <row r="924" spans="1:11" ht="15">
      <c r="A924" s="13">
        <v>69246</v>
      </c>
      <c r="B924" s="67">
        <f>15.7402 * CHOOSE(CONTROL!$C$22, $C$13, 100%, $E$13)</f>
        <v>15.7402</v>
      </c>
      <c r="C924" s="67">
        <f>15.7402 * CHOOSE(CONTROL!$C$22, $C$13, 100%, $E$13)</f>
        <v>15.7402</v>
      </c>
      <c r="D924" s="67">
        <f>15.7428 * CHOOSE(CONTROL!$C$22, $C$13, 100%, $E$13)</f>
        <v>15.742800000000001</v>
      </c>
      <c r="E924" s="68">
        <f>17.7229 * CHOOSE(CONTROL!$C$22, $C$13, 100%, $E$13)</f>
        <v>17.722899999999999</v>
      </c>
      <c r="F924" s="68">
        <f>17.7229 * CHOOSE(CONTROL!$C$22, $C$13, 100%, $E$13)</f>
        <v>17.722899999999999</v>
      </c>
      <c r="G924" s="68">
        <f>17.7262 * CHOOSE(CONTROL!$C$22, $C$13, 100%, $E$13)</f>
        <v>17.726199999999999</v>
      </c>
      <c r="H924" s="68">
        <f>29.2658* CHOOSE(CONTROL!$C$22, $C$13, 100%, $E$13)</f>
        <v>29.265799999999999</v>
      </c>
      <c r="I924" s="68">
        <f>29.2691 * CHOOSE(CONTROL!$C$22, $C$13, 100%, $E$13)</f>
        <v>29.269100000000002</v>
      </c>
      <c r="J924" s="68">
        <f>17.7229 * CHOOSE(CONTROL!$C$22, $C$13, 100%, $E$13)</f>
        <v>17.722899999999999</v>
      </c>
      <c r="K924" s="68">
        <f>17.7262 * CHOOSE(CONTROL!$C$22, $C$13, 100%, $E$13)</f>
        <v>17.726199999999999</v>
      </c>
    </row>
    <row r="925" spans="1:11" ht="15">
      <c r="A925" s="13">
        <v>69277</v>
      </c>
      <c r="B925" s="67">
        <f>15.7371 * CHOOSE(CONTROL!$C$22, $C$13, 100%, $E$13)</f>
        <v>15.7371</v>
      </c>
      <c r="C925" s="67">
        <f>15.7371 * CHOOSE(CONTROL!$C$22, $C$13, 100%, $E$13)</f>
        <v>15.7371</v>
      </c>
      <c r="D925" s="67">
        <f>15.7398 * CHOOSE(CONTROL!$C$22, $C$13, 100%, $E$13)</f>
        <v>15.739800000000001</v>
      </c>
      <c r="E925" s="68">
        <f>17.6875 * CHOOSE(CONTROL!$C$22, $C$13, 100%, $E$13)</f>
        <v>17.6875</v>
      </c>
      <c r="F925" s="68">
        <f>17.6875 * CHOOSE(CONTROL!$C$22, $C$13, 100%, $E$13)</f>
        <v>17.6875</v>
      </c>
      <c r="G925" s="68">
        <f>17.6908 * CHOOSE(CONTROL!$C$22, $C$13, 100%, $E$13)</f>
        <v>17.690799999999999</v>
      </c>
      <c r="H925" s="68">
        <f>29.3268* CHOOSE(CONTROL!$C$22, $C$13, 100%, $E$13)</f>
        <v>29.326799999999999</v>
      </c>
      <c r="I925" s="68">
        <f>29.3301 * CHOOSE(CONTROL!$C$22, $C$13, 100%, $E$13)</f>
        <v>29.330100000000002</v>
      </c>
      <c r="J925" s="68">
        <f>17.6875 * CHOOSE(CONTROL!$C$22, $C$13, 100%, $E$13)</f>
        <v>17.6875</v>
      </c>
      <c r="K925" s="68">
        <f>17.6908 * CHOOSE(CONTROL!$C$22, $C$13, 100%, $E$13)</f>
        <v>17.690799999999999</v>
      </c>
    </row>
    <row r="926" spans="1:11" ht="15">
      <c r="A926" s="13">
        <v>69307</v>
      </c>
      <c r="B926" s="67">
        <f>15.7699 * CHOOSE(CONTROL!$C$22, $C$13, 100%, $E$13)</f>
        <v>15.7699</v>
      </c>
      <c r="C926" s="67">
        <f>15.7699 * CHOOSE(CONTROL!$C$22, $C$13, 100%, $E$13)</f>
        <v>15.7699</v>
      </c>
      <c r="D926" s="67">
        <f>15.7709 * CHOOSE(CONTROL!$C$22, $C$13, 100%, $E$13)</f>
        <v>15.770899999999999</v>
      </c>
      <c r="E926" s="68">
        <f>17.8071 * CHOOSE(CONTROL!$C$22, $C$13, 100%, $E$13)</f>
        <v>17.807099999999998</v>
      </c>
      <c r="F926" s="68">
        <f>17.8071 * CHOOSE(CONTROL!$C$22, $C$13, 100%, $E$13)</f>
        <v>17.807099999999998</v>
      </c>
      <c r="G926" s="68">
        <f>17.8084 * CHOOSE(CONTROL!$C$22, $C$13, 100%, $E$13)</f>
        <v>17.808399999999999</v>
      </c>
      <c r="H926" s="68">
        <f>29.3879* CHOOSE(CONTROL!$C$22, $C$13, 100%, $E$13)</f>
        <v>29.387899999999998</v>
      </c>
      <c r="I926" s="68">
        <f>29.3892 * CHOOSE(CONTROL!$C$22, $C$13, 100%, $E$13)</f>
        <v>29.389199999999999</v>
      </c>
      <c r="J926" s="68">
        <f>17.8071 * CHOOSE(CONTROL!$C$22, $C$13, 100%, $E$13)</f>
        <v>17.807099999999998</v>
      </c>
      <c r="K926" s="68">
        <f>17.8084 * CHOOSE(CONTROL!$C$22, $C$13, 100%, $E$13)</f>
        <v>17.808399999999999</v>
      </c>
    </row>
    <row r="927" spans="1:11" ht="15">
      <c r="A927" s="13">
        <v>69338</v>
      </c>
      <c r="B927" s="67">
        <f>15.773 * CHOOSE(CONTROL!$C$22, $C$13, 100%, $E$13)</f>
        <v>15.773</v>
      </c>
      <c r="C927" s="67">
        <f>15.773 * CHOOSE(CONTROL!$C$22, $C$13, 100%, $E$13)</f>
        <v>15.773</v>
      </c>
      <c r="D927" s="67">
        <f>15.774 * CHOOSE(CONTROL!$C$22, $C$13, 100%, $E$13)</f>
        <v>15.773999999999999</v>
      </c>
      <c r="E927" s="68">
        <f>17.8758 * CHOOSE(CONTROL!$C$22, $C$13, 100%, $E$13)</f>
        <v>17.875800000000002</v>
      </c>
      <c r="F927" s="68">
        <f>17.8758 * CHOOSE(CONTROL!$C$22, $C$13, 100%, $E$13)</f>
        <v>17.875800000000002</v>
      </c>
      <c r="G927" s="68">
        <f>17.877 * CHOOSE(CONTROL!$C$22, $C$13, 100%, $E$13)</f>
        <v>17.876999999999999</v>
      </c>
      <c r="H927" s="68">
        <f>29.4491* CHOOSE(CONTROL!$C$22, $C$13, 100%, $E$13)</f>
        <v>29.449100000000001</v>
      </c>
      <c r="I927" s="68">
        <f>29.4504 * CHOOSE(CONTROL!$C$22, $C$13, 100%, $E$13)</f>
        <v>29.450399999999998</v>
      </c>
      <c r="J927" s="68">
        <f>17.8758 * CHOOSE(CONTROL!$C$22, $C$13, 100%, $E$13)</f>
        <v>17.875800000000002</v>
      </c>
      <c r="K927" s="68">
        <f>17.877 * CHOOSE(CONTROL!$C$22, $C$13, 100%, $E$13)</f>
        <v>17.876999999999999</v>
      </c>
    </row>
    <row r="928" spans="1:11" ht="15">
      <c r="A928" s="13">
        <v>69368</v>
      </c>
      <c r="B928" s="67">
        <f>15.773 * CHOOSE(CONTROL!$C$22, $C$13, 100%, $E$13)</f>
        <v>15.773</v>
      </c>
      <c r="C928" s="67">
        <f>15.773 * CHOOSE(CONTROL!$C$22, $C$13, 100%, $E$13)</f>
        <v>15.773</v>
      </c>
      <c r="D928" s="67">
        <f>15.774 * CHOOSE(CONTROL!$C$22, $C$13, 100%, $E$13)</f>
        <v>15.773999999999999</v>
      </c>
      <c r="E928" s="68">
        <f>17.7095 * CHOOSE(CONTROL!$C$22, $C$13, 100%, $E$13)</f>
        <v>17.709499999999998</v>
      </c>
      <c r="F928" s="68">
        <f>17.7095 * CHOOSE(CONTROL!$C$22, $C$13, 100%, $E$13)</f>
        <v>17.709499999999998</v>
      </c>
      <c r="G928" s="68">
        <f>17.7108 * CHOOSE(CONTROL!$C$22, $C$13, 100%, $E$13)</f>
        <v>17.710799999999999</v>
      </c>
      <c r="H928" s="68">
        <f>29.5105* CHOOSE(CONTROL!$C$22, $C$13, 100%, $E$13)</f>
        <v>29.5105</v>
      </c>
      <c r="I928" s="68">
        <f>29.5118 * CHOOSE(CONTROL!$C$22, $C$13, 100%, $E$13)</f>
        <v>29.511800000000001</v>
      </c>
      <c r="J928" s="68">
        <f>17.7095 * CHOOSE(CONTROL!$C$22, $C$13, 100%, $E$13)</f>
        <v>17.709499999999998</v>
      </c>
      <c r="K928" s="68">
        <f>17.7108 * CHOOSE(CONTROL!$C$22, $C$13, 100%, $E$13)</f>
        <v>17.710799999999999</v>
      </c>
    </row>
    <row r="929" spans="1:11" ht="15">
      <c r="A929" s="13">
        <v>69399</v>
      </c>
      <c r="B929" s="67">
        <f>15.7277 * CHOOSE(CONTROL!$C$22, $C$13, 100%, $E$13)</f>
        <v>15.7277</v>
      </c>
      <c r="C929" s="67">
        <f>15.7277 * CHOOSE(CONTROL!$C$22, $C$13, 100%, $E$13)</f>
        <v>15.7277</v>
      </c>
      <c r="D929" s="67">
        <f>15.7287 * CHOOSE(CONTROL!$C$22, $C$13, 100%, $E$13)</f>
        <v>15.7287</v>
      </c>
      <c r="E929" s="68">
        <f>17.796 * CHOOSE(CONTROL!$C$22, $C$13, 100%, $E$13)</f>
        <v>17.795999999999999</v>
      </c>
      <c r="F929" s="68">
        <f>17.796 * CHOOSE(CONTROL!$C$22, $C$13, 100%, $E$13)</f>
        <v>17.795999999999999</v>
      </c>
      <c r="G929" s="68">
        <f>17.7973 * CHOOSE(CONTROL!$C$22, $C$13, 100%, $E$13)</f>
        <v>17.7973</v>
      </c>
      <c r="H929" s="68">
        <f>29.2696* CHOOSE(CONTROL!$C$22, $C$13, 100%, $E$13)</f>
        <v>29.269600000000001</v>
      </c>
      <c r="I929" s="68">
        <f>29.2709 * CHOOSE(CONTROL!$C$22, $C$13, 100%, $E$13)</f>
        <v>29.270900000000001</v>
      </c>
      <c r="J929" s="68">
        <f>17.796 * CHOOSE(CONTROL!$C$22, $C$13, 100%, $E$13)</f>
        <v>17.795999999999999</v>
      </c>
      <c r="K929" s="68">
        <f>17.7973 * CHOOSE(CONTROL!$C$22, $C$13, 100%, $E$13)</f>
        <v>17.7973</v>
      </c>
    </row>
    <row r="930" spans="1:11" ht="15">
      <c r="A930" s="13">
        <v>69430</v>
      </c>
      <c r="B930" s="67">
        <f>15.7247 * CHOOSE(CONTROL!$C$22, $C$13, 100%, $E$13)</f>
        <v>15.7247</v>
      </c>
      <c r="C930" s="67">
        <f>15.7247 * CHOOSE(CONTROL!$C$22, $C$13, 100%, $E$13)</f>
        <v>15.7247</v>
      </c>
      <c r="D930" s="67">
        <f>15.7257 * CHOOSE(CONTROL!$C$22, $C$13, 100%, $E$13)</f>
        <v>15.7257</v>
      </c>
      <c r="E930" s="68">
        <f>17.4747 * CHOOSE(CONTROL!$C$22, $C$13, 100%, $E$13)</f>
        <v>17.474699999999999</v>
      </c>
      <c r="F930" s="68">
        <f>17.4747 * CHOOSE(CONTROL!$C$22, $C$13, 100%, $E$13)</f>
        <v>17.474699999999999</v>
      </c>
      <c r="G930" s="68">
        <f>17.476 * CHOOSE(CONTROL!$C$22, $C$13, 100%, $E$13)</f>
        <v>17.475999999999999</v>
      </c>
      <c r="H930" s="68">
        <f>29.3306* CHOOSE(CONTROL!$C$22, $C$13, 100%, $E$13)</f>
        <v>29.3306</v>
      </c>
      <c r="I930" s="68">
        <f>29.3319 * CHOOSE(CONTROL!$C$22, $C$13, 100%, $E$13)</f>
        <v>29.331900000000001</v>
      </c>
      <c r="J930" s="68">
        <f>17.4747 * CHOOSE(CONTROL!$C$22, $C$13, 100%, $E$13)</f>
        <v>17.474699999999999</v>
      </c>
      <c r="K930" s="68">
        <f>17.476 * CHOOSE(CONTROL!$C$22, $C$13, 100%, $E$13)</f>
        <v>17.475999999999999</v>
      </c>
    </row>
    <row r="931" spans="1:11" ht="15">
      <c r="A931" s="13">
        <v>69458</v>
      </c>
      <c r="B931" s="67">
        <f>15.7217 * CHOOSE(CONTROL!$C$22, $C$13, 100%, $E$13)</f>
        <v>15.7217</v>
      </c>
      <c r="C931" s="67">
        <f>15.7217 * CHOOSE(CONTROL!$C$22, $C$13, 100%, $E$13)</f>
        <v>15.7217</v>
      </c>
      <c r="D931" s="67">
        <f>15.7226 * CHOOSE(CONTROL!$C$22, $C$13, 100%, $E$13)</f>
        <v>15.7226</v>
      </c>
      <c r="E931" s="68">
        <f>17.7242 * CHOOSE(CONTROL!$C$22, $C$13, 100%, $E$13)</f>
        <v>17.7242</v>
      </c>
      <c r="F931" s="68">
        <f>17.7242 * CHOOSE(CONTROL!$C$22, $C$13, 100%, $E$13)</f>
        <v>17.7242</v>
      </c>
      <c r="G931" s="68">
        <f>17.7255 * CHOOSE(CONTROL!$C$22, $C$13, 100%, $E$13)</f>
        <v>17.7255</v>
      </c>
      <c r="H931" s="68">
        <f>29.3917* CHOOSE(CONTROL!$C$22, $C$13, 100%, $E$13)</f>
        <v>29.3917</v>
      </c>
      <c r="I931" s="68">
        <f>29.393 * CHOOSE(CONTROL!$C$22, $C$13, 100%, $E$13)</f>
        <v>29.393000000000001</v>
      </c>
      <c r="J931" s="68">
        <f>17.7242 * CHOOSE(CONTROL!$C$22, $C$13, 100%, $E$13)</f>
        <v>17.7242</v>
      </c>
      <c r="K931" s="68">
        <f>17.7255 * CHOOSE(CONTROL!$C$22, $C$13, 100%, $E$13)</f>
        <v>17.7255</v>
      </c>
    </row>
    <row r="932" spans="1:11" ht="15">
      <c r="A932" s="13">
        <v>69489</v>
      </c>
      <c r="B932" s="67">
        <f>15.7291 * CHOOSE(CONTROL!$C$22, $C$13, 100%, $E$13)</f>
        <v>15.729100000000001</v>
      </c>
      <c r="C932" s="67">
        <f>15.7291 * CHOOSE(CONTROL!$C$22, $C$13, 100%, $E$13)</f>
        <v>15.729100000000001</v>
      </c>
      <c r="D932" s="67">
        <f>15.7301 * CHOOSE(CONTROL!$C$22, $C$13, 100%, $E$13)</f>
        <v>15.7301</v>
      </c>
      <c r="E932" s="68">
        <f>17.9902 * CHOOSE(CONTROL!$C$22, $C$13, 100%, $E$13)</f>
        <v>17.990200000000002</v>
      </c>
      <c r="F932" s="68">
        <f>17.9902 * CHOOSE(CONTROL!$C$22, $C$13, 100%, $E$13)</f>
        <v>17.990200000000002</v>
      </c>
      <c r="G932" s="68">
        <f>17.9915 * CHOOSE(CONTROL!$C$22, $C$13, 100%, $E$13)</f>
        <v>17.991499999999998</v>
      </c>
      <c r="H932" s="68">
        <f>29.4529* CHOOSE(CONTROL!$C$22, $C$13, 100%, $E$13)</f>
        <v>29.4529</v>
      </c>
      <c r="I932" s="68">
        <f>29.4542 * CHOOSE(CONTROL!$C$22, $C$13, 100%, $E$13)</f>
        <v>29.4542</v>
      </c>
      <c r="J932" s="68">
        <f>17.9902 * CHOOSE(CONTROL!$C$22, $C$13, 100%, $E$13)</f>
        <v>17.990200000000002</v>
      </c>
      <c r="K932" s="68">
        <f>17.9915 * CHOOSE(CONTROL!$C$22, $C$13, 100%, $E$13)</f>
        <v>17.991499999999998</v>
      </c>
    </row>
    <row r="933" spans="1:11" ht="15">
      <c r="A933" s="13">
        <v>69519</v>
      </c>
      <c r="B933" s="67">
        <f>15.7291 * CHOOSE(CONTROL!$C$22, $C$13, 100%, $E$13)</f>
        <v>15.729100000000001</v>
      </c>
      <c r="C933" s="67">
        <f>15.7291 * CHOOSE(CONTROL!$C$22, $C$13, 100%, $E$13)</f>
        <v>15.729100000000001</v>
      </c>
      <c r="D933" s="67">
        <f>15.7317 * CHOOSE(CONTROL!$C$22, $C$13, 100%, $E$13)</f>
        <v>15.7317</v>
      </c>
      <c r="E933" s="68">
        <f>18.0916 * CHOOSE(CONTROL!$C$22, $C$13, 100%, $E$13)</f>
        <v>18.0916</v>
      </c>
      <c r="F933" s="68">
        <f>18.0916 * CHOOSE(CONTROL!$C$22, $C$13, 100%, $E$13)</f>
        <v>18.0916</v>
      </c>
      <c r="G933" s="68">
        <f>18.0948 * CHOOSE(CONTROL!$C$22, $C$13, 100%, $E$13)</f>
        <v>18.094799999999999</v>
      </c>
      <c r="H933" s="68">
        <f>29.5143* CHOOSE(CONTROL!$C$22, $C$13, 100%, $E$13)</f>
        <v>29.514299999999999</v>
      </c>
      <c r="I933" s="68">
        <f>29.5175 * CHOOSE(CONTROL!$C$22, $C$13, 100%, $E$13)</f>
        <v>29.517499999999998</v>
      </c>
      <c r="J933" s="68">
        <f>18.0916 * CHOOSE(CONTROL!$C$22, $C$13, 100%, $E$13)</f>
        <v>18.0916</v>
      </c>
      <c r="K933" s="68">
        <f>18.0948 * CHOOSE(CONTROL!$C$22, $C$13, 100%, $E$13)</f>
        <v>18.094799999999999</v>
      </c>
    </row>
    <row r="934" spans="1:11" ht="15">
      <c r="A934" s="13">
        <v>69550</v>
      </c>
      <c r="B934" s="67">
        <f>15.7352 * CHOOSE(CONTROL!$C$22, $C$13, 100%, $E$13)</f>
        <v>15.735200000000001</v>
      </c>
      <c r="C934" s="67">
        <f>15.7352 * CHOOSE(CONTROL!$C$22, $C$13, 100%, $E$13)</f>
        <v>15.735200000000001</v>
      </c>
      <c r="D934" s="67">
        <f>15.7378 * CHOOSE(CONTROL!$C$22, $C$13, 100%, $E$13)</f>
        <v>15.7378</v>
      </c>
      <c r="E934" s="68">
        <f>17.9945 * CHOOSE(CONTROL!$C$22, $C$13, 100%, $E$13)</f>
        <v>17.994499999999999</v>
      </c>
      <c r="F934" s="68">
        <f>17.9945 * CHOOSE(CONTROL!$C$22, $C$13, 100%, $E$13)</f>
        <v>17.994499999999999</v>
      </c>
      <c r="G934" s="68">
        <f>17.9977 * CHOOSE(CONTROL!$C$22, $C$13, 100%, $E$13)</f>
        <v>17.997699999999998</v>
      </c>
      <c r="H934" s="68">
        <f>29.5758* CHOOSE(CONTROL!$C$22, $C$13, 100%, $E$13)</f>
        <v>29.575800000000001</v>
      </c>
      <c r="I934" s="68">
        <f>29.579 * CHOOSE(CONTROL!$C$22, $C$13, 100%, $E$13)</f>
        <v>29.579000000000001</v>
      </c>
      <c r="J934" s="68">
        <f>17.9945 * CHOOSE(CONTROL!$C$22, $C$13, 100%, $E$13)</f>
        <v>17.994499999999999</v>
      </c>
      <c r="K934" s="68">
        <f>17.9977 * CHOOSE(CONTROL!$C$22, $C$13, 100%, $E$13)</f>
        <v>17.997699999999998</v>
      </c>
    </row>
    <row r="935" spans="1:11" ht="15">
      <c r="A935" s="13">
        <v>69580</v>
      </c>
      <c r="B935" s="67">
        <f>15.9727 * CHOOSE(CONTROL!$C$22, $C$13, 100%, $E$13)</f>
        <v>15.9727</v>
      </c>
      <c r="C935" s="67">
        <f>15.9727 * CHOOSE(CONTROL!$C$22, $C$13, 100%, $E$13)</f>
        <v>15.9727</v>
      </c>
      <c r="D935" s="67">
        <f>15.9753 * CHOOSE(CONTROL!$C$22, $C$13, 100%, $E$13)</f>
        <v>15.975300000000001</v>
      </c>
      <c r="E935" s="68">
        <f>18.2793 * CHOOSE(CONTROL!$C$22, $C$13, 100%, $E$13)</f>
        <v>18.279299999999999</v>
      </c>
      <c r="F935" s="68">
        <f>18.2793 * CHOOSE(CONTROL!$C$22, $C$13, 100%, $E$13)</f>
        <v>18.279299999999999</v>
      </c>
      <c r="G935" s="68">
        <f>18.2826 * CHOOSE(CONTROL!$C$22, $C$13, 100%, $E$13)</f>
        <v>18.282599999999999</v>
      </c>
      <c r="H935" s="68">
        <f>29.6374* CHOOSE(CONTROL!$C$22, $C$13, 100%, $E$13)</f>
        <v>29.6374</v>
      </c>
      <c r="I935" s="68">
        <f>29.6406 * CHOOSE(CONTROL!$C$22, $C$13, 100%, $E$13)</f>
        <v>29.640599999999999</v>
      </c>
      <c r="J935" s="68">
        <f>18.2793 * CHOOSE(CONTROL!$C$22, $C$13, 100%, $E$13)</f>
        <v>18.279299999999999</v>
      </c>
      <c r="K935" s="68">
        <f>18.2826 * CHOOSE(CONTROL!$C$22, $C$13, 100%, $E$13)</f>
        <v>18.282599999999999</v>
      </c>
    </row>
    <row r="936" spans="1:11" ht="15">
      <c r="A936" s="13">
        <v>69611</v>
      </c>
      <c r="B936" s="67">
        <f>15.9794 * CHOOSE(CONTROL!$C$22, $C$13, 100%, $E$13)</f>
        <v>15.9794</v>
      </c>
      <c r="C936" s="67">
        <f>15.9794 * CHOOSE(CONTROL!$C$22, $C$13, 100%, $E$13)</f>
        <v>15.9794</v>
      </c>
      <c r="D936" s="67">
        <f>15.982 * CHOOSE(CONTROL!$C$22, $C$13, 100%, $E$13)</f>
        <v>15.981999999999999</v>
      </c>
      <c r="E936" s="68">
        <f>17.98 * CHOOSE(CONTROL!$C$22, $C$13, 100%, $E$13)</f>
        <v>17.98</v>
      </c>
      <c r="F936" s="68">
        <f>17.98 * CHOOSE(CONTROL!$C$22, $C$13, 100%, $E$13)</f>
        <v>17.98</v>
      </c>
      <c r="G936" s="68">
        <f>17.9832 * CHOOSE(CONTROL!$C$22, $C$13, 100%, $E$13)</f>
        <v>17.9832</v>
      </c>
      <c r="H936" s="68">
        <f>29.6991* CHOOSE(CONTROL!$C$22, $C$13, 100%, $E$13)</f>
        <v>29.699100000000001</v>
      </c>
      <c r="I936" s="68">
        <f>29.7024 * CHOOSE(CONTROL!$C$22, $C$13, 100%, $E$13)</f>
        <v>29.702400000000001</v>
      </c>
      <c r="J936" s="68">
        <f>17.98 * CHOOSE(CONTROL!$C$22, $C$13, 100%, $E$13)</f>
        <v>17.98</v>
      </c>
      <c r="K936" s="68">
        <f>17.9832 * CHOOSE(CONTROL!$C$22, $C$13, 100%, $E$13)</f>
        <v>17.9832</v>
      </c>
    </row>
    <row r="937" spans="1:11" ht="15">
      <c r="A937" s="13">
        <v>69642</v>
      </c>
      <c r="B937" s="67">
        <f>15.9763 * CHOOSE(CONTROL!$C$22, $C$13, 100%, $E$13)</f>
        <v>15.9763</v>
      </c>
      <c r="C937" s="67">
        <f>15.9763 * CHOOSE(CONTROL!$C$22, $C$13, 100%, $E$13)</f>
        <v>15.9763</v>
      </c>
      <c r="D937" s="67">
        <f>15.9789 * CHOOSE(CONTROL!$C$22, $C$13, 100%, $E$13)</f>
        <v>15.978899999999999</v>
      </c>
      <c r="E937" s="68">
        <f>17.9441 * CHOOSE(CONTROL!$C$22, $C$13, 100%, $E$13)</f>
        <v>17.944099999999999</v>
      </c>
      <c r="F937" s="68">
        <f>17.9441 * CHOOSE(CONTROL!$C$22, $C$13, 100%, $E$13)</f>
        <v>17.944099999999999</v>
      </c>
      <c r="G937" s="68">
        <f>17.9473 * CHOOSE(CONTROL!$C$22, $C$13, 100%, $E$13)</f>
        <v>17.947299999999998</v>
      </c>
      <c r="H937" s="68">
        <f>29.761* CHOOSE(CONTROL!$C$22, $C$13, 100%, $E$13)</f>
        <v>29.760999999999999</v>
      </c>
      <c r="I937" s="68">
        <f>29.7643 * CHOOSE(CONTROL!$C$22, $C$13, 100%, $E$13)</f>
        <v>29.764299999999999</v>
      </c>
      <c r="J937" s="68">
        <f>17.9441 * CHOOSE(CONTROL!$C$22, $C$13, 100%, $E$13)</f>
        <v>17.944099999999999</v>
      </c>
      <c r="K937" s="68">
        <f>17.9473 * CHOOSE(CONTROL!$C$22, $C$13, 100%, $E$13)</f>
        <v>17.947299999999998</v>
      </c>
    </row>
    <row r="938" spans="1:11" ht="15">
      <c r="A938" s="13">
        <v>69672</v>
      </c>
      <c r="B938" s="67">
        <f>16.0099 * CHOOSE(CONTROL!$C$22, $C$13, 100%, $E$13)</f>
        <v>16.009899999999998</v>
      </c>
      <c r="C938" s="67">
        <f>16.0099 * CHOOSE(CONTROL!$C$22, $C$13, 100%, $E$13)</f>
        <v>16.009899999999998</v>
      </c>
      <c r="D938" s="67">
        <f>16.0109 * CHOOSE(CONTROL!$C$22, $C$13, 100%, $E$13)</f>
        <v>16.010899999999999</v>
      </c>
      <c r="E938" s="68">
        <f>18.0658 * CHOOSE(CONTROL!$C$22, $C$13, 100%, $E$13)</f>
        <v>18.065799999999999</v>
      </c>
      <c r="F938" s="68">
        <f>18.0658 * CHOOSE(CONTROL!$C$22, $C$13, 100%, $E$13)</f>
        <v>18.065799999999999</v>
      </c>
      <c r="G938" s="68">
        <f>18.067 * CHOOSE(CONTROL!$C$22, $C$13, 100%, $E$13)</f>
        <v>18.067</v>
      </c>
      <c r="H938" s="68">
        <f>29.823* CHOOSE(CONTROL!$C$22, $C$13, 100%, $E$13)</f>
        <v>29.823</v>
      </c>
      <c r="I938" s="68">
        <f>29.8243 * CHOOSE(CONTROL!$C$22, $C$13, 100%, $E$13)</f>
        <v>29.824300000000001</v>
      </c>
      <c r="J938" s="68">
        <f>18.0658 * CHOOSE(CONTROL!$C$22, $C$13, 100%, $E$13)</f>
        <v>18.065799999999999</v>
      </c>
      <c r="K938" s="68">
        <f>18.067 * CHOOSE(CONTROL!$C$22, $C$13, 100%, $E$13)</f>
        <v>18.067</v>
      </c>
    </row>
    <row r="939" spans="1:11" ht="15">
      <c r="A939" s="13">
        <v>69703</v>
      </c>
      <c r="B939" s="67">
        <f>16.0129 * CHOOSE(CONTROL!$C$22, $C$13, 100%, $E$13)</f>
        <v>16.012899999999998</v>
      </c>
      <c r="C939" s="67">
        <f>16.0129 * CHOOSE(CONTROL!$C$22, $C$13, 100%, $E$13)</f>
        <v>16.012899999999998</v>
      </c>
      <c r="D939" s="67">
        <f>16.0139 * CHOOSE(CONTROL!$C$22, $C$13, 100%, $E$13)</f>
        <v>16.0139</v>
      </c>
      <c r="E939" s="68">
        <f>18.1354 * CHOOSE(CONTROL!$C$22, $C$13, 100%, $E$13)</f>
        <v>18.135400000000001</v>
      </c>
      <c r="F939" s="68">
        <f>18.1354 * CHOOSE(CONTROL!$C$22, $C$13, 100%, $E$13)</f>
        <v>18.135400000000001</v>
      </c>
      <c r="G939" s="68">
        <f>18.1367 * CHOOSE(CONTROL!$C$22, $C$13, 100%, $E$13)</f>
        <v>18.136700000000001</v>
      </c>
      <c r="H939" s="68">
        <f>29.8851* CHOOSE(CONTROL!$C$22, $C$13, 100%, $E$13)</f>
        <v>29.885100000000001</v>
      </c>
      <c r="I939" s="68">
        <f>29.8864 * CHOOSE(CONTROL!$C$22, $C$13, 100%, $E$13)</f>
        <v>29.886399999999998</v>
      </c>
      <c r="J939" s="68">
        <f>18.1354 * CHOOSE(CONTROL!$C$22, $C$13, 100%, $E$13)</f>
        <v>18.135400000000001</v>
      </c>
      <c r="K939" s="68">
        <f>18.1367 * CHOOSE(CONTROL!$C$22, $C$13, 100%, $E$13)</f>
        <v>18.136700000000001</v>
      </c>
    </row>
    <row r="940" spans="1:11" ht="15">
      <c r="A940" s="13">
        <v>69733</v>
      </c>
      <c r="B940" s="67">
        <f>16.0129 * CHOOSE(CONTROL!$C$22, $C$13, 100%, $E$13)</f>
        <v>16.012899999999998</v>
      </c>
      <c r="C940" s="67">
        <f>16.0129 * CHOOSE(CONTROL!$C$22, $C$13, 100%, $E$13)</f>
        <v>16.012899999999998</v>
      </c>
      <c r="D940" s="67">
        <f>16.0139 * CHOOSE(CONTROL!$C$22, $C$13, 100%, $E$13)</f>
        <v>16.0139</v>
      </c>
      <c r="E940" s="68">
        <f>17.9666 * CHOOSE(CONTROL!$C$22, $C$13, 100%, $E$13)</f>
        <v>17.9666</v>
      </c>
      <c r="F940" s="68">
        <f>17.9666 * CHOOSE(CONTROL!$C$22, $C$13, 100%, $E$13)</f>
        <v>17.9666</v>
      </c>
      <c r="G940" s="68">
        <f>17.9678 * CHOOSE(CONTROL!$C$22, $C$13, 100%, $E$13)</f>
        <v>17.9678</v>
      </c>
      <c r="H940" s="68">
        <f>29.9474* CHOOSE(CONTROL!$C$22, $C$13, 100%, $E$13)</f>
        <v>29.947399999999998</v>
      </c>
      <c r="I940" s="68">
        <f>29.9487 * CHOOSE(CONTROL!$C$22, $C$13, 100%, $E$13)</f>
        <v>29.948699999999999</v>
      </c>
      <c r="J940" s="68">
        <f>17.9666 * CHOOSE(CONTROL!$C$22, $C$13, 100%, $E$13)</f>
        <v>17.9666</v>
      </c>
      <c r="K940" s="68">
        <f>17.9678 * CHOOSE(CONTROL!$C$22, $C$13, 100%, $E$13)</f>
        <v>17.9678</v>
      </c>
    </row>
    <row r="941" spans="1:11" ht="15">
      <c r="A941" s="13">
        <v>69764</v>
      </c>
      <c r="B941" s="67">
        <f>15.9633 * CHOOSE(CONTROL!$C$22, $C$13, 100%, $E$13)</f>
        <v>15.9633</v>
      </c>
      <c r="C941" s="67">
        <f>15.9633 * CHOOSE(CONTROL!$C$22, $C$13, 100%, $E$13)</f>
        <v>15.9633</v>
      </c>
      <c r="D941" s="67">
        <f>15.9643 * CHOOSE(CONTROL!$C$22, $C$13, 100%, $E$13)</f>
        <v>15.9643</v>
      </c>
      <c r="E941" s="68">
        <f>18.0508 * CHOOSE(CONTROL!$C$22, $C$13, 100%, $E$13)</f>
        <v>18.050799999999999</v>
      </c>
      <c r="F941" s="68">
        <f>18.0508 * CHOOSE(CONTROL!$C$22, $C$13, 100%, $E$13)</f>
        <v>18.050799999999999</v>
      </c>
      <c r="G941" s="68">
        <f>18.052 * CHOOSE(CONTROL!$C$22, $C$13, 100%, $E$13)</f>
        <v>18.052</v>
      </c>
      <c r="H941" s="68">
        <f>29.6966* CHOOSE(CONTROL!$C$22, $C$13, 100%, $E$13)</f>
        <v>29.6966</v>
      </c>
      <c r="I941" s="68">
        <f>29.6979 * CHOOSE(CONTROL!$C$22, $C$13, 100%, $E$13)</f>
        <v>29.697900000000001</v>
      </c>
      <c r="J941" s="68">
        <f>18.0508 * CHOOSE(CONTROL!$C$22, $C$13, 100%, $E$13)</f>
        <v>18.050799999999999</v>
      </c>
      <c r="K941" s="68">
        <f>18.052 * CHOOSE(CONTROL!$C$22, $C$13, 100%, $E$13)</f>
        <v>18.052</v>
      </c>
    </row>
    <row r="942" spans="1:11" ht="15">
      <c r="A942" s="13">
        <v>69795</v>
      </c>
      <c r="B942" s="67">
        <f>15.9603 * CHOOSE(CONTROL!$C$22, $C$13, 100%, $E$13)</f>
        <v>15.9603</v>
      </c>
      <c r="C942" s="67">
        <f>15.9603 * CHOOSE(CONTROL!$C$22, $C$13, 100%, $E$13)</f>
        <v>15.9603</v>
      </c>
      <c r="D942" s="67">
        <f>15.9612 * CHOOSE(CONTROL!$C$22, $C$13, 100%, $E$13)</f>
        <v>15.9612</v>
      </c>
      <c r="E942" s="68">
        <f>17.7245 * CHOOSE(CONTROL!$C$22, $C$13, 100%, $E$13)</f>
        <v>17.724499999999999</v>
      </c>
      <c r="F942" s="68">
        <f>17.7245 * CHOOSE(CONTROL!$C$22, $C$13, 100%, $E$13)</f>
        <v>17.724499999999999</v>
      </c>
      <c r="G942" s="68">
        <f>17.7258 * CHOOSE(CONTROL!$C$22, $C$13, 100%, $E$13)</f>
        <v>17.7258</v>
      </c>
      <c r="H942" s="68">
        <f>29.7585* CHOOSE(CONTROL!$C$22, $C$13, 100%, $E$13)</f>
        <v>29.758500000000002</v>
      </c>
      <c r="I942" s="68">
        <f>29.7598 * CHOOSE(CONTROL!$C$22, $C$13, 100%, $E$13)</f>
        <v>29.759799999999998</v>
      </c>
      <c r="J942" s="68">
        <f>17.7245 * CHOOSE(CONTROL!$C$22, $C$13, 100%, $E$13)</f>
        <v>17.724499999999999</v>
      </c>
      <c r="K942" s="68">
        <f>17.7258 * CHOOSE(CONTROL!$C$22, $C$13, 100%, $E$13)</f>
        <v>17.7258</v>
      </c>
    </row>
    <row r="943" spans="1:11" ht="15">
      <c r="A943" s="13">
        <v>69823</v>
      </c>
      <c r="B943" s="67">
        <f>15.9572 * CHOOSE(CONTROL!$C$22, $C$13, 100%, $E$13)</f>
        <v>15.9572</v>
      </c>
      <c r="C943" s="67">
        <f>15.9572 * CHOOSE(CONTROL!$C$22, $C$13, 100%, $E$13)</f>
        <v>15.9572</v>
      </c>
      <c r="D943" s="67">
        <f>15.9582 * CHOOSE(CONTROL!$C$22, $C$13, 100%, $E$13)</f>
        <v>15.9582</v>
      </c>
      <c r="E943" s="68">
        <f>17.9779 * CHOOSE(CONTROL!$C$22, $C$13, 100%, $E$13)</f>
        <v>17.977900000000002</v>
      </c>
      <c r="F943" s="68">
        <f>17.9779 * CHOOSE(CONTROL!$C$22, $C$13, 100%, $E$13)</f>
        <v>17.977900000000002</v>
      </c>
      <c r="G943" s="68">
        <f>17.9792 * CHOOSE(CONTROL!$C$22, $C$13, 100%, $E$13)</f>
        <v>17.979199999999999</v>
      </c>
      <c r="H943" s="68">
        <f>29.8205* CHOOSE(CONTROL!$C$22, $C$13, 100%, $E$13)</f>
        <v>29.820499999999999</v>
      </c>
      <c r="I943" s="68">
        <f>29.8218 * CHOOSE(CONTROL!$C$22, $C$13, 100%, $E$13)</f>
        <v>29.8218</v>
      </c>
      <c r="J943" s="68">
        <f>17.9779 * CHOOSE(CONTROL!$C$22, $C$13, 100%, $E$13)</f>
        <v>17.977900000000002</v>
      </c>
      <c r="K943" s="68">
        <f>17.9792 * CHOOSE(CONTROL!$C$22, $C$13, 100%, $E$13)</f>
        <v>17.979199999999999</v>
      </c>
    </row>
    <row r="944" spans="1:11" ht="15">
      <c r="A944" s="13">
        <v>69854</v>
      </c>
      <c r="B944" s="67">
        <f>15.9649 * CHOOSE(CONTROL!$C$22, $C$13, 100%, $E$13)</f>
        <v>15.9649</v>
      </c>
      <c r="C944" s="67">
        <f>15.9649 * CHOOSE(CONTROL!$C$22, $C$13, 100%, $E$13)</f>
        <v>15.9649</v>
      </c>
      <c r="D944" s="67">
        <f>15.9659 * CHOOSE(CONTROL!$C$22, $C$13, 100%, $E$13)</f>
        <v>15.9659</v>
      </c>
      <c r="E944" s="68">
        <f>18.2481 * CHOOSE(CONTROL!$C$22, $C$13, 100%, $E$13)</f>
        <v>18.248100000000001</v>
      </c>
      <c r="F944" s="68">
        <f>18.2481 * CHOOSE(CONTROL!$C$22, $C$13, 100%, $E$13)</f>
        <v>18.248100000000001</v>
      </c>
      <c r="G944" s="68">
        <f>18.2494 * CHOOSE(CONTROL!$C$22, $C$13, 100%, $E$13)</f>
        <v>18.249400000000001</v>
      </c>
      <c r="H944" s="68">
        <f>29.8826* CHOOSE(CONTROL!$C$22, $C$13, 100%, $E$13)</f>
        <v>29.8826</v>
      </c>
      <c r="I944" s="68">
        <f>29.8839 * CHOOSE(CONTROL!$C$22, $C$13, 100%, $E$13)</f>
        <v>29.883900000000001</v>
      </c>
      <c r="J944" s="68">
        <f>18.2481 * CHOOSE(CONTROL!$C$22, $C$13, 100%, $E$13)</f>
        <v>18.248100000000001</v>
      </c>
      <c r="K944" s="68">
        <f>18.2494 * CHOOSE(CONTROL!$C$22, $C$13, 100%, $E$13)</f>
        <v>18.249400000000001</v>
      </c>
    </row>
    <row r="945" spans="1:11" ht="15">
      <c r="A945" s="13">
        <v>69884</v>
      </c>
      <c r="B945" s="67">
        <f>15.9649 * CHOOSE(CONTROL!$C$22, $C$13, 100%, $E$13)</f>
        <v>15.9649</v>
      </c>
      <c r="C945" s="67">
        <f>15.9649 * CHOOSE(CONTROL!$C$22, $C$13, 100%, $E$13)</f>
        <v>15.9649</v>
      </c>
      <c r="D945" s="67">
        <f>15.9675 * CHOOSE(CONTROL!$C$22, $C$13, 100%, $E$13)</f>
        <v>15.967499999999999</v>
      </c>
      <c r="E945" s="68">
        <f>18.351 * CHOOSE(CONTROL!$C$22, $C$13, 100%, $E$13)</f>
        <v>18.350999999999999</v>
      </c>
      <c r="F945" s="68">
        <f>18.351 * CHOOSE(CONTROL!$C$22, $C$13, 100%, $E$13)</f>
        <v>18.350999999999999</v>
      </c>
      <c r="G945" s="68">
        <f>18.3542 * CHOOSE(CONTROL!$C$22, $C$13, 100%, $E$13)</f>
        <v>18.354199999999999</v>
      </c>
      <c r="H945" s="68">
        <f>29.9449* CHOOSE(CONTROL!$C$22, $C$13, 100%, $E$13)</f>
        <v>29.944900000000001</v>
      </c>
      <c r="I945" s="68">
        <f>29.9481 * CHOOSE(CONTROL!$C$22, $C$13, 100%, $E$13)</f>
        <v>29.9481</v>
      </c>
      <c r="J945" s="68">
        <f>18.351 * CHOOSE(CONTROL!$C$22, $C$13, 100%, $E$13)</f>
        <v>18.350999999999999</v>
      </c>
      <c r="K945" s="68">
        <f>18.3542 * CHOOSE(CONTROL!$C$22, $C$13, 100%, $E$13)</f>
        <v>18.354199999999999</v>
      </c>
    </row>
    <row r="946" spans="1:11" ht="15">
      <c r="A946" s="13">
        <v>69915</v>
      </c>
      <c r="B946" s="67">
        <f>15.971 * CHOOSE(CONTROL!$C$22, $C$13, 100%, $E$13)</f>
        <v>15.971</v>
      </c>
      <c r="C946" s="67">
        <f>15.971 * CHOOSE(CONTROL!$C$22, $C$13, 100%, $E$13)</f>
        <v>15.971</v>
      </c>
      <c r="D946" s="67">
        <f>15.9736 * CHOOSE(CONTROL!$C$22, $C$13, 100%, $E$13)</f>
        <v>15.973599999999999</v>
      </c>
      <c r="E946" s="68">
        <f>18.2523 * CHOOSE(CONTROL!$C$22, $C$13, 100%, $E$13)</f>
        <v>18.252300000000002</v>
      </c>
      <c r="F946" s="68">
        <f>18.2523 * CHOOSE(CONTROL!$C$22, $C$13, 100%, $E$13)</f>
        <v>18.252300000000002</v>
      </c>
      <c r="G946" s="68">
        <f>18.2556 * CHOOSE(CONTROL!$C$22, $C$13, 100%, $E$13)</f>
        <v>18.255600000000001</v>
      </c>
      <c r="H946" s="68">
        <f>30.0073* CHOOSE(CONTROL!$C$22, $C$13, 100%, $E$13)</f>
        <v>30.007300000000001</v>
      </c>
      <c r="I946" s="68">
        <f>30.0105 * CHOOSE(CONTROL!$C$22, $C$13, 100%, $E$13)</f>
        <v>30.0105</v>
      </c>
      <c r="J946" s="68">
        <f>18.2523 * CHOOSE(CONTROL!$C$22, $C$13, 100%, $E$13)</f>
        <v>18.252300000000002</v>
      </c>
      <c r="K946" s="68">
        <f>18.2556 * CHOOSE(CONTROL!$C$22, $C$13, 100%, $E$13)</f>
        <v>18.255600000000001</v>
      </c>
    </row>
    <row r="947" spans="1:11" ht="15">
      <c r="A947" s="13">
        <v>69945</v>
      </c>
      <c r="B947" s="67">
        <f>16.2119 * CHOOSE(CONTROL!$C$22, $C$13, 100%, $E$13)</f>
        <v>16.2119</v>
      </c>
      <c r="C947" s="67">
        <f>16.2119 * CHOOSE(CONTROL!$C$22, $C$13, 100%, $E$13)</f>
        <v>16.2119</v>
      </c>
      <c r="D947" s="67">
        <f>16.2145 * CHOOSE(CONTROL!$C$22, $C$13, 100%, $E$13)</f>
        <v>16.214500000000001</v>
      </c>
      <c r="E947" s="68">
        <f>18.5411 * CHOOSE(CONTROL!$C$22, $C$13, 100%, $E$13)</f>
        <v>18.5411</v>
      </c>
      <c r="F947" s="68">
        <f>18.5411 * CHOOSE(CONTROL!$C$22, $C$13, 100%, $E$13)</f>
        <v>18.5411</v>
      </c>
      <c r="G947" s="68">
        <f>18.5443 * CHOOSE(CONTROL!$C$22, $C$13, 100%, $E$13)</f>
        <v>18.5443</v>
      </c>
      <c r="H947" s="68">
        <f>30.0698* CHOOSE(CONTROL!$C$22, $C$13, 100%, $E$13)</f>
        <v>30.069800000000001</v>
      </c>
      <c r="I947" s="68">
        <f>30.073 * CHOOSE(CONTROL!$C$22, $C$13, 100%, $E$13)</f>
        <v>30.073</v>
      </c>
      <c r="J947" s="68">
        <f>18.5411 * CHOOSE(CONTROL!$C$22, $C$13, 100%, $E$13)</f>
        <v>18.5411</v>
      </c>
      <c r="K947" s="68">
        <f>18.5443 * CHOOSE(CONTROL!$C$22, $C$13, 100%, $E$13)</f>
        <v>18.5443</v>
      </c>
    </row>
    <row r="948" spans="1:11" ht="15">
      <c r="A948" s="13">
        <v>69976</v>
      </c>
      <c r="B948" s="67">
        <f>16.2185 * CHOOSE(CONTROL!$C$22, $C$13, 100%, $E$13)</f>
        <v>16.218499999999999</v>
      </c>
      <c r="C948" s="67">
        <f>16.2185 * CHOOSE(CONTROL!$C$22, $C$13, 100%, $E$13)</f>
        <v>16.218499999999999</v>
      </c>
      <c r="D948" s="67">
        <f>16.2212 * CHOOSE(CONTROL!$C$22, $C$13, 100%, $E$13)</f>
        <v>16.2212</v>
      </c>
      <c r="E948" s="68">
        <f>18.237 * CHOOSE(CONTROL!$C$22, $C$13, 100%, $E$13)</f>
        <v>18.236999999999998</v>
      </c>
      <c r="F948" s="68">
        <f>18.237 * CHOOSE(CONTROL!$C$22, $C$13, 100%, $E$13)</f>
        <v>18.236999999999998</v>
      </c>
      <c r="G948" s="68">
        <f>18.2403 * CHOOSE(CONTROL!$C$22, $C$13, 100%, $E$13)</f>
        <v>18.240300000000001</v>
      </c>
      <c r="H948" s="68">
        <f>30.1324* CHOOSE(CONTROL!$C$22, $C$13, 100%, $E$13)</f>
        <v>30.132400000000001</v>
      </c>
      <c r="I948" s="68">
        <f>30.1357 * CHOOSE(CONTROL!$C$22, $C$13, 100%, $E$13)</f>
        <v>30.1357</v>
      </c>
      <c r="J948" s="68">
        <f>18.237 * CHOOSE(CONTROL!$C$22, $C$13, 100%, $E$13)</f>
        <v>18.236999999999998</v>
      </c>
      <c r="K948" s="68">
        <f>18.2403 * CHOOSE(CONTROL!$C$22, $C$13, 100%, $E$13)</f>
        <v>18.240300000000001</v>
      </c>
    </row>
    <row r="949" spans="1:11" ht="15">
      <c r="A949" s="13">
        <v>70007</v>
      </c>
      <c r="B949" s="67">
        <f>16.2155 * CHOOSE(CONTROL!$C$22, $C$13, 100%, $E$13)</f>
        <v>16.215499999999999</v>
      </c>
      <c r="C949" s="67">
        <f>16.2155 * CHOOSE(CONTROL!$C$22, $C$13, 100%, $E$13)</f>
        <v>16.215499999999999</v>
      </c>
      <c r="D949" s="67">
        <f>16.2181 * CHOOSE(CONTROL!$C$22, $C$13, 100%, $E$13)</f>
        <v>16.2181</v>
      </c>
      <c r="E949" s="68">
        <f>18.2006 * CHOOSE(CONTROL!$C$22, $C$13, 100%, $E$13)</f>
        <v>18.200600000000001</v>
      </c>
      <c r="F949" s="68">
        <f>18.2006 * CHOOSE(CONTROL!$C$22, $C$13, 100%, $E$13)</f>
        <v>18.200600000000001</v>
      </c>
      <c r="G949" s="68">
        <f>18.2039 * CHOOSE(CONTROL!$C$22, $C$13, 100%, $E$13)</f>
        <v>18.203900000000001</v>
      </c>
      <c r="H949" s="68">
        <f>30.1952* CHOOSE(CONTROL!$C$22, $C$13, 100%, $E$13)</f>
        <v>30.1952</v>
      </c>
      <c r="I949" s="68">
        <f>30.1985 * CHOOSE(CONTROL!$C$22, $C$13, 100%, $E$13)</f>
        <v>30.198499999999999</v>
      </c>
      <c r="J949" s="68">
        <f>18.2006 * CHOOSE(CONTROL!$C$22, $C$13, 100%, $E$13)</f>
        <v>18.200600000000001</v>
      </c>
      <c r="K949" s="68">
        <f>18.2039 * CHOOSE(CONTROL!$C$22, $C$13, 100%, $E$13)</f>
        <v>18.203900000000001</v>
      </c>
    </row>
    <row r="950" spans="1:11" ht="15">
      <c r="A950" s="13">
        <v>70037</v>
      </c>
      <c r="B950" s="67">
        <f>16.2498 * CHOOSE(CONTROL!$C$22, $C$13, 100%, $E$13)</f>
        <v>16.2498</v>
      </c>
      <c r="C950" s="67">
        <f>16.2498 * CHOOSE(CONTROL!$C$22, $C$13, 100%, $E$13)</f>
        <v>16.2498</v>
      </c>
      <c r="D950" s="67">
        <f>16.2508 * CHOOSE(CONTROL!$C$22, $C$13, 100%, $E$13)</f>
        <v>16.250800000000002</v>
      </c>
      <c r="E950" s="68">
        <f>18.3244 * CHOOSE(CONTROL!$C$22, $C$13, 100%, $E$13)</f>
        <v>18.324400000000001</v>
      </c>
      <c r="F950" s="68">
        <f>18.3244 * CHOOSE(CONTROL!$C$22, $C$13, 100%, $E$13)</f>
        <v>18.324400000000001</v>
      </c>
      <c r="G950" s="68">
        <f>18.3257 * CHOOSE(CONTROL!$C$22, $C$13, 100%, $E$13)</f>
        <v>18.325700000000001</v>
      </c>
      <c r="H950" s="68">
        <f>30.2581* CHOOSE(CONTROL!$C$22, $C$13, 100%, $E$13)</f>
        <v>30.258099999999999</v>
      </c>
      <c r="I950" s="68">
        <f>30.2594 * CHOOSE(CONTROL!$C$22, $C$13, 100%, $E$13)</f>
        <v>30.259399999999999</v>
      </c>
      <c r="J950" s="68">
        <f>18.3244 * CHOOSE(CONTROL!$C$22, $C$13, 100%, $E$13)</f>
        <v>18.324400000000001</v>
      </c>
      <c r="K950" s="68">
        <f>18.3257 * CHOOSE(CONTROL!$C$22, $C$13, 100%, $E$13)</f>
        <v>18.325700000000001</v>
      </c>
    </row>
    <row r="951" spans="1:11" ht="15">
      <c r="A951" s="13">
        <v>70068</v>
      </c>
      <c r="B951" s="67">
        <f>16.2529 * CHOOSE(CONTROL!$C$22, $C$13, 100%, $E$13)</f>
        <v>16.2529</v>
      </c>
      <c r="C951" s="67">
        <f>16.2529 * CHOOSE(CONTROL!$C$22, $C$13, 100%, $E$13)</f>
        <v>16.2529</v>
      </c>
      <c r="D951" s="67">
        <f>16.2538 * CHOOSE(CONTROL!$C$22, $C$13, 100%, $E$13)</f>
        <v>16.253799999999998</v>
      </c>
      <c r="E951" s="68">
        <f>18.3951 * CHOOSE(CONTROL!$C$22, $C$13, 100%, $E$13)</f>
        <v>18.395099999999999</v>
      </c>
      <c r="F951" s="68">
        <f>18.3951 * CHOOSE(CONTROL!$C$22, $C$13, 100%, $E$13)</f>
        <v>18.395099999999999</v>
      </c>
      <c r="G951" s="68">
        <f>18.3964 * CHOOSE(CONTROL!$C$22, $C$13, 100%, $E$13)</f>
        <v>18.3964</v>
      </c>
      <c r="H951" s="68">
        <f>30.3211* CHOOSE(CONTROL!$C$22, $C$13, 100%, $E$13)</f>
        <v>30.321100000000001</v>
      </c>
      <c r="I951" s="68">
        <f>30.3224 * CHOOSE(CONTROL!$C$22, $C$13, 100%, $E$13)</f>
        <v>30.322399999999998</v>
      </c>
      <c r="J951" s="68">
        <f>18.3951 * CHOOSE(CONTROL!$C$22, $C$13, 100%, $E$13)</f>
        <v>18.395099999999999</v>
      </c>
      <c r="K951" s="68">
        <f>18.3964 * CHOOSE(CONTROL!$C$22, $C$13, 100%, $E$13)</f>
        <v>18.3964</v>
      </c>
    </row>
    <row r="952" spans="1:11" ht="15">
      <c r="A952" s="13">
        <v>70098</v>
      </c>
      <c r="B952" s="67">
        <f>16.2529 * CHOOSE(CONTROL!$C$22, $C$13, 100%, $E$13)</f>
        <v>16.2529</v>
      </c>
      <c r="C952" s="67">
        <f>16.2529 * CHOOSE(CONTROL!$C$22, $C$13, 100%, $E$13)</f>
        <v>16.2529</v>
      </c>
      <c r="D952" s="67">
        <f>16.2538 * CHOOSE(CONTROL!$C$22, $C$13, 100%, $E$13)</f>
        <v>16.253799999999998</v>
      </c>
      <c r="E952" s="68">
        <f>18.2236 * CHOOSE(CONTROL!$C$22, $C$13, 100%, $E$13)</f>
        <v>18.223600000000001</v>
      </c>
      <c r="F952" s="68">
        <f>18.2236 * CHOOSE(CONTROL!$C$22, $C$13, 100%, $E$13)</f>
        <v>18.223600000000001</v>
      </c>
      <c r="G952" s="68">
        <f>18.2249 * CHOOSE(CONTROL!$C$22, $C$13, 100%, $E$13)</f>
        <v>18.224900000000002</v>
      </c>
      <c r="H952" s="68">
        <f>30.3843* CHOOSE(CONTROL!$C$22, $C$13, 100%, $E$13)</f>
        <v>30.3843</v>
      </c>
      <c r="I952" s="68">
        <f>30.3856 * CHOOSE(CONTROL!$C$22, $C$13, 100%, $E$13)</f>
        <v>30.3856</v>
      </c>
      <c r="J952" s="68">
        <f>18.2236 * CHOOSE(CONTROL!$C$22, $C$13, 100%, $E$13)</f>
        <v>18.223600000000001</v>
      </c>
      <c r="K952" s="68">
        <f>18.2249 * CHOOSE(CONTROL!$C$22, $C$13, 100%, $E$13)</f>
        <v>18.224900000000002</v>
      </c>
    </row>
    <row r="953" spans="1:11" ht="15">
      <c r="A953" s="13">
        <v>70129</v>
      </c>
      <c r="B953" s="67">
        <f>16.1989 * CHOOSE(CONTROL!$C$22, $C$13, 100%, $E$13)</f>
        <v>16.198899999999998</v>
      </c>
      <c r="C953" s="67">
        <f>16.1989 * CHOOSE(CONTROL!$C$22, $C$13, 100%, $E$13)</f>
        <v>16.198899999999998</v>
      </c>
      <c r="D953" s="67">
        <f>16.1999 * CHOOSE(CONTROL!$C$22, $C$13, 100%, $E$13)</f>
        <v>16.1999</v>
      </c>
      <c r="E953" s="68">
        <f>18.3055 * CHOOSE(CONTROL!$C$22, $C$13, 100%, $E$13)</f>
        <v>18.305499999999999</v>
      </c>
      <c r="F953" s="68">
        <f>18.3055 * CHOOSE(CONTROL!$C$22, $C$13, 100%, $E$13)</f>
        <v>18.305499999999999</v>
      </c>
      <c r="G953" s="68">
        <f>18.3068 * CHOOSE(CONTROL!$C$22, $C$13, 100%, $E$13)</f>
        <v>18.306799999999999</v>
      </c>
      <c r="H953" s="68">
        <f>30.1237* CHOOSE(CONTROL!$C$22, $C$13, 100%, $E$13)</f>
        <v>30.123699999999999</v>
      </c>
      <c r="I953" s="68">
        <f>30.1249 * CHOOSE(CONTROL!$C$22, $C$13, 100%, $E$13)</f>
        <v>30.1249</v>
      </c>
      <c r="J953" s="68">
        <f>18.3055 * CHOOSE(CONTROL!$C$22, $C$13, 100%, $E$13)</f>
        <v>18.305499999999999</v>
      </c>
      <c r="K953" s="68">
        <f>18.3068 * CHOOSE(CONTROL!$C$22, $C$13, 100%, $E$13)</f>
        <v>18.306799999999999</v>
      </c>
    </row>
    <row r="954" spans="1:11" ht="15">
      <c r="A954" s="13">
        <v>70160</v>
      </c>
      <c r="B954" s="67">
        <f>16.1958 * CHOOSE(CONTROL!$C$22, $C$13, 100%, $E$13)</f>
        <v>16.195799999999998</v>
      </c>
      <c r="C954" s="67">
        <f>16.1958 * CHOOSE(CONTROL!$C$22, $C$13, 100%, $E$13)</f>
        <v>16.195799999999998</v>
      </c>
      <c r="D954" s="67">
        <f>16.1968 * CHOOSE(CONTROL!$C$22, $C$13, 100%, $E$13)</f>
        <v>16.1968</v>
      </c>
      <c r="E954" s="68">
        <f>17.9743 * CHOOSE(CONTROL!$C$22, $C$13, 100%, $E$13)</f>
        <v>17.974299999999999</v>
      </c>
      <c r="F954" s="68">
        <f>17.9743 * CHOOSE(CONTROL!$C$22, $C$13, 100%, $E$13)</f>
        <v>17.974299999999999</v>
      </c>
      <c r="G954" s="68">
        <f>17.9756 * CHOOSE(CONTROL!$C$22, $C$13, 100%, $E$13)</f>
        <v>17.9756</v>
      </c>
      <c r="H954" s="68">
        <f>30.1864* CHOOSE(CONTROL!$C$22, $C$13, 100%, $E$13)</f>
        <v>30.186399999999999</v>
      </c>
      <c r="I954" s="68">
        <f>30.1877 * CHOOSE(CONTROL!$C$22, $C$13, 100%, $E$13)</f>
        <v>30.1877</v>
      </c>
      <c r="J954" s="68">
        <f>17.9743 * CHOOSE(CONTROL!$C$22, $C$13, 100%, $E$13)</f>
        <v>17.974299999999999</v>
      </c>
      <c r="K954" s="68">
        <f>17.9756 * CHOOSE(CONTROL!$C$22, $C$13, 100%, $E$13)</f>
        <v>17.9756</v>
      </c>
    </row>
    <row r="955" spans="1:11" ht="15">
      <c r="A955" s="13">
        <v>70189</v>
      </c>
      <c r="B955" s="67">
        <f>16.1928 * CHOOSE(CONTROL!$C$22, $C$13, 100%, $E$13)</f>
        <v>16.192799999999998</v>
      </c>
      <c r="C955" s="67">
        <f>16.1928 * CHOOSE(CONTROL!$C$22, $C$13, 100%, $E$13)</f>
        <v>16.192799999999998</v>
      </c>
      <c r="D955" s="67">
        <f>16.1938 * CHOOSE(CONTROL!$C$22, $C$13, 100%, $E$13)</f>
        <v>16.1938</v>
      </c>
      <c r="E955" s="68">
        <f>18.2316 * CHOOSE(CONTROL!$C$22, $C$13, 100%, $E$13)</f>
        <v>18.2316</v>
      </c>
      <c r="F955" s="68">
        <f>18.2316 * CHOOSE(CONTROL!$C$22, $C$13, 100%, $E$13)</f>
        <v>18.2316</v>
      </c>
      <c r="G955" s="68">
        <f>18.2329 * CHOOSE(CONTROL!$C$22, $C$13, 100%, $E$13)</f>
        <v>18.232900000000001</v>
      </c>
      <c r="H955" s="68">
        <f>30.2493* CHOOSE(CONTROL!$C$22, $C$13, 100%, $E$13)</f>
        <v>30.249300000000002</v>
      </c>
      <c r="I955" s="68">
        <f>30.2506 * CHOOSE(CONTROL!$C$22, $C$13, 100%, $E$13)</f>
        <v>30.250599999999999</v>
      </c>
      <c r="J955" s="68">
        <f>18.2316 * CHOOSE(CONTROL!$C$22, $C$13, 100%, $E$13)</f>
        <v>18.2316</v>
      </c>
      <c r="K955" s="68">
        <f>18.2329 * CHOOSE(CONTROL!$C$22, $C$13, 100%, $E$13)</f>
        <v>18.232900000000001</v>
      </c>
    </row>
    <row r="956" spans="1:11" ht="15">
      <c r="A956" s="13">
        <v>70220</v>
      </c>
      <c r="B956" s="67">
        <f>16.2006 * CHOOSE(CONTROL!$C$22, $C$13, 100%, $E$13)</f>
        <v>16.200600000000001</v>
      </c>
      <c r="C956" s="67">
        <f>16.2006 * CHOOSE(CONTROL!$C$22, $C$13, 100%, $E$13)</f>
        <v>16.200600000000001</v>
      </c>
      <c r="D956" s="67">
        <f>16.2016 * CHOOSE(CONTROL!$C$22, $C$13, 100%, $E$13)</f>
        <v>16.201599999999999</v>
      </c>
      <c r="E956" s="68">
        <f>18.5059 * CHOOSE(CONTROL!$C$22, $C$13, 100%, $E$13)</f>
        <v>18.5059</v>
      </c>
      <c r="F956" s="68">
        <f>18.5059 * CHOOSE(CONTROL!$C$22, $C$13, 100%, $E$13)</f>
        <v>18.5059</v>
      </c>
      <c r="G956" s="68">
        <f>18.5072 * CHOOSE(CONTROL!$C$22, $C$13, 100%, $E$13)</f>
        <v>18.507200000000001</v>
      </c>
      <c r="H956" s="68">
        <f>30.3123* CHOOSE(CONTROL!$C$22, $C$13, 100%, $E$13)</f>
        <v>30.3123</v>
      </c>
      <c r="I956" s="68">
        <f>30.3136 * CHOOSE(CONTROL!$C$22, $C$13, 100%, $E$13)</f>
        <v>30.313600000000001</v>
      </c>
      <c r="J956" s="68">
        <f>18.5059 * CHOOSE(CONTROL!$C$22, $C$13, 100%, $E$13)</f>
        <v>18.5059</v>
      </c>
      <c r="K956" s="68">
        <f>18.5072 * CHOOSE(CONTROL!$C$22, $C$13, 100%, $E$13)</f>
        <v>18.507200000000001</v>
      </c>
    </row>
    <row r="957" spans="1:11" ht="15">
      <c r="A957" s="13">
        <v>70250</v>
      </c>
      <c r="B957" s="67">
        <f>16.2006 * CHOOSE(CONTROL!$C$22, $C$13, 100%, $E$13)</f>
        <v>16.200600000000001</v>
      </c>
      <c r="C957" s="67">
        <f>16.2006 * CHOOSE(CONTROL!$C$22, $C$13, 100%, $E$13)</f>
        <v>16.200600000000001</v>
      </c>
      <c r="D957" s="67">
        <f>16.2033 * CHOOSE(CONTROL!$C$22, $C$13, 100%, $E$13)</f>
        <v>16.203299999999999</v>
      </c>
      <c r="E957" s="68">
        <f>18.6104 * CHOOSE(CONTROL!$C$22, $C$13, 100%, $E$13)</f>
        <v>18.610399999999998</v>
      </c>
      <c r="F957" s="68">
        <f>18.6104 * CHOOSE(CONTROL!$C$22, $C$13, 100%, $E$13)</f>
        <v>18.610399999999998</v>
      </c>
      <c r="G957" s="68">
        <f>18.6137 * CHOOSE(CONTROL!$C$22, $C$13, 100%, $E$13)</f>
        <v>18.613700000000001</v>
      </c>
      <c r="H957" s="68">
        <f>30.3755* CHOOSE(CONTROL!$C$22, $C$13, 100%, $E$13)</f>
        <v>30.375499999999999</v>
      </c>
      <c r="I957" s="68">
        <f>30.3787 * CHOOSE(CONTROL!$C$22, $C$13, 100%, $E$13)</f>
        <v>30.378699999999998</v>
      </c>
      <c r="J957" s="68">
        <f>18.6104 * CHOOSE(CONTROL!$C$22, $C$13, 100%, $E$13)</f>
        <v>18.610399999999998</v>
      </c>
      <c r="K957" s="68">
        <f>18.6137 * CHOOSE(CONTROL!$C$22, $C$13, 100%, $E$13)</f>
        <v>18.613700000000001</v>
      </c>
    </row>
    <row r="958" spans="1:11" ht="15">
      <c r="A958" s="13">
        <v>70281</v>
      </c>
      <c r="B958" s="67">
        <f>16.2067 * CHOOSE(CONTROL!$C$22, $C$13, 100%, $E$13)</f>
        <v>16.206700000000001</v>
      </c>
      <c r="C958" s="67">
        <f>16.2067 * CHOOSE(CONTROL!$C$22, $C$13, 100%, $E$13)</f>
        <v>16.206700000000001</v>
      </c>
      <c r="D958" s="67">
        <f>16.2093 * CHOOSE(CONTROL!$C$22, $C$13, 100%, $E$13)</f>
        <v>16.209299999999999</v>
      </c>
      <c r="E958" s="68">
        <f>18.5102 * CHOOSE(CONTROL!$C$22, $C$13, 100%, $E$13)</f>
        <v>18.510200000000001</v>
      </c>
      <c r="F958" s="68">
        <f>18.5102 * CHOOSE(CONTROL!$C$22, $C$13, 100%, $E$13)</f>
        <v>18.510200000000001</v>
      </c>
      <c r="G958" s="68">
        <f>18.5134 * CHOOSE(CONTROL!$C$22, $C$13, 100%, $E$13)</f>
        <v>18.513400000000001</v>
      </c>
      <c r="H958" s="68">
        <f>30.4388* CHOOSE(CONTROL!$C$22, $C$13, 100%, $E$13)</f>
        <v>30.438800000000001</v>
      </c>
      <c r="I958" s="68">
        <f>30.442 * CHOOSE(CONTROL!$C$22, $C$13, 100%, $E$13)</f>
        <v>30.442</v>
      </c>
      <c r="J958" s="68">
        <f>18.5102 * CHOOSE(CONTROL!$C$22, $C$13, 100%, $E$13)</f>
        <v>18.510200000000001</v>
      </c>
      <c r="K958" s="68">
        <f>18.5134 * CHOOSE(CONTROL!$C$22, $C$13, 100%, $E$13)</f>
        <v>18.513400000000001</v>
      </c>
    </row>
    <row r="959" spans="1:11" ht="15">
      <c r="A959" s="13">
        <v>70311</v>
      </c>
      <c r="B959" s="67">
        <f>16.451 * CHOOSE(CONTROL!$C$22, $C$13, 100%, $E$13)</f>
        <v>16.451000000000001</v>
      </c>
      <c r="C959" s="67">
        <f>16.451 * CHOOSE(CONTROL!$C$22, $C$13, 100%, $E$13)</f>
        <v>16.451000000000001</v>
      </c>
      <c r="D959" s="67">
        <f>16.4537 * CHOOSE(CONTROL!$C$22, $C$13, 100%, $E$13)</f>
        <v>16.453700000000001</v>
      </c>
      <c r="E959" s="68">
        <f>18.8029 * CHOOSE(CONTROL!$C$22, $C$13, 100%, $E$13)</f>
        <v>18.802900000000001</v>
      </c>
      <c r="F959" s="68">
        <f>18.8029 * CHOOSE(CONTROL!$C$22, $C$13, 100%, $E$13)</f>
        <v>18.802900000000001</v>
      </c>
      <c r="G959" s="68">
        <f>18.8061 * CHOOSE(CONTROL!$C$22, $C$13, 100%, $E$13)</f>
        <v>18.806100000000001</v>
      </c>
      <c r="H959" s="68">
        <f>30.5022* CHOOSE(CONTROL!$C$22, $C$13, 100%, $E$13)</f>
        <v>30.502199999999998</v>
      </c>
      <c r="I959" s="68">
        <f>30.5054 * CHOOSE(CONTROL!$C$22, $C$13, 100%, $E$13)</f>
        <v>30.505400000000002</v>
      </c>
      <c r="J959" s="68">
        <f>18.8029 * CHOOSE(CONTROL!$C$22, $C$13, 100%, $E$13)</f>
        <v>18.802900000000001</v>
      </c>
      <c r="K959" s="68">
        <f>18.8061 * CHOOSE(CONTROL!$C$22, $C$13, 100%, $E$13)</f>
        <v>18.806100000000001</v>
      </c>
    </row>
    <row r="960" spans="1:11" ht="15">
      <c r="A960" s="13">
        <v>70342</v>
      </c>
      <c r="B960" s="67">
        <f>16.4577 * CHOOSE(CONTROL!$C$22, $C$13, 100%, $E$13)</f>
        <v>16.457699999999999</v>
      </c>
      <c r="C960" s="67">
        <f>16.4577 * CHOOSE(CONTROL!$C$22, $C$13, 100%, $E$13)</f>
        <v>16.457699999999999</v>
      </c>
      <c r="D960" s="67">
        <f>16.4603 * CHOOSE(CONTROL!$C$22, $C$13, 100%, $E$13)</f>
        <v>16.4603</v>
      </c>
      <c r="E960" s="68">
        <f>18.4941 * CHOOSE(CONTROL!$C$22, $C$13, 100%, $E$13)</f>
        <v>18.4941</v>
      </c>
      <c r="F960" s="68">
        <f>18.4941 * CHOOSE(CONTROL!$C$22, $C$13, 100%, $E$13)</f>
        <v>18.4941</v>
      </c>
      <c r="G960" s="68">
        <f>18.4974 * CHOOSE(CONTROL!$C$22, $C$13, 100%, $E$13)</f>
        <v>18.497399999999999</v>
      </c>
      <c r="H960" s="68">
        <f>30.5657* CHOOSE(CONTROL!$C$22, $C$13, 100%, $E$13)</f>
        <v>30.5657</v>
      </c>
      <c r="I960" s="68">
        <f>30.569 * CHOOSE(CONTROL!$C$22, $C$13, 100%, $E$13)</f>
        <v>30.568999999999999</v>
      </c>
      <c r="J960" s="68">
        <f>18.4941 * CHOOSE(CONTROL!$C$22, $C$13, 100%, $E$13)</f>
        <v>18.4941</v>
      </c>
      <c r="K960" s="68">
        <f>18.4974 * CHOOSE(CONTROL!$C$22, $C$13, 100%, $E$13)</f>
        <v>18.497399999999999</v>
      </c>
    </row>
    <row r="961" spans="1:11" ht="15">
      <c r="A961" s="13">
        <v>70373</v>
      </c>
      <c r="B961" s="67">
        <f>16.4547 * CHOOSE(CONTROL!$C$22, $C$13, 100%, $E$13)</f>
        <v>16.454699999999999</v>
      </c>
      <c r="C961" s="67">
        <f>16.4547 * CHOOSE(CONTROL!$C$22, $C$13, 100%, $E$13)</f>
        <v>16.454699999999999</v>
      </c>
      <c r="D961" s="67">
        <f>16.4573 * CHOOSE(CONTROL!$C$22, $C$13, 100%, $E$13)</f>
        <v>16.4573</v>
      </c>
      <c r="E961" s="68">
        <f>18.4572 * CHOOSE(CONTROL!$C$22, $C$13, 100%, $E$13)</f>
        <v>18.4572</v>
      </c>
      <c r="F961" s="68">
        <f>18.4572 * CHOOSE(CONTROL!$C$22, $C$13, 100%, $E$13)</f>
        <v>18.4572</v>
      </c>
      <c r="G961" s="68">
        <f>18.4604 * CHOOSE(CONTROL!$C$22, $C$13, 100%, $E$13)</f>
        <v>18.4604</v>
      </c>
      <c r="H961" s="68">
        <f>30.6294* CHOOSE(CONTROL!$C$22, $C$13, 100%, $E$13)</f>
        <v>30.6294</v>
      </c>
      <c r="I961" s="68">
        <f>30.6326 * CHOOSE(CONTROL!$C$22, $C$13, 100%, $E$13)</f>
        <v>30.6326</v>
      </c>
      <c r="J961" s="68">
        <f>18.4572 * CHOOSE(CONTROL!$C$22, $C$13, 100%, $E$13)</f>
        <v>18.4572</v>
      </c>
      <c r="K961" s="68">
        <f>18.4604 * CHOOSE(CONTROL!$C$22, $C$13, 100%, $E$13)</f>
        <v>18.4604</v>
      </c>
    </row>
    <row r="962" spans="1:11" ht="15">
      <c r="A962" s="13">
        <v>70403</v>
      </c>
      <c r="B962" s="67">
        <f>16.4898 * CHOOSE(CONTROL!$C$22, $C$13, 100%, $E$13)</f>
        <v>16.489799999999999</v>
      </c>
      <c r="C962" s="67">
        <f>16.4898 * CHOOSE(CONTROL!$C$22, $C$13, 100%, $E$13)</f>
        <v>16.489799999999999</v>
      </c>
      <c r="D962" s="67">
        <f>16.4907 * CHOOSE(CONTROL!$C$22, $C$13, 100%, $E$13)</f>
        <v>16.4907</v>
      </c>
      <c r="E962" s="68">
        <f>18.583 * CHOOSE(CONTROL!$C$22, $C$13, 100%, $E$13)</f>
        <v>18.582999999999998</v>
      </c>
      <c r="F962" s="68">
        <f>18.583 * CHOOSE(CONTROL!$C$22, $C$13, 100%, $E$13)</f>
        <v>18.582999999999998</v>
      </c>
      <c r="G962" s="68">
        <f>18.5843 * CHOOSE(CONTROL!$C$22, $C$13, 100%, $E$13)</f>
        <v>18.584299999999999</v>
      </c>
      <c r="H962" s="68">
        <f>30.6932* CHOOSE(CONTROL!$C$22, $C$13, 100%, $E$13)</f>
        <v>30.693200000000001</v>
      </c>
      <c r="I962" s="68">
        <f>30.6945 * CHOOSE(CONTROL!$C$22, $C$13, 100%, $E$13)</f>
        <v>30.694500000000001</v>
      </c>
      <c r="J962" s="68">
        <f>18.583 * CHOOSE(CONTROL!$C$22, $C$13, 100%, $E$13)</f>
        <v>18.582999999999998</v>
      </c>
      <c r="K962" s="68">
        <f>18.5843 * CHOOSE(CONTROL!$C$22, $C$13, 100%, $E$13)</f>
        <v>18.584299999999999</v>
      </c>
    </row>
    <row r="963" spans="1:11" ht="15">
      <c r="A963" s="13">
        <v>70434</v>
      </c>
      <c r="B963" s="67">
        <f>16.4928 * CHOOSE(CONTROL!$C$22, $C$13, 100%, $E$13)</f>
        <v>16.492799999999999</v>
      </c>
      <c r="C963" s="67">
        <f>16.4928 * CHOOSE(CONTROL!$C$22, $C$13, 100%, $E$13)</f>
        <v>16.492799999999999</v>
      </c>
      <c r="D963" s="67">
        <f>16.4938 * CHOOSE(CONTROL!$C$22, $C$13, 100%, $E$13)</f>
        <v>16.4938</v>
      </c>
      <c r="E963" s="68">
        <f>18.6548 * CHOOSE(CONTROL!$C$22, $C$13, 100%, $E$13)</f>
        <v>18.654800000000002</v>
      </c>
      <c r="F963" s="68">
        <f>18.6548 * CHOOSE(CONTROL!$C$22, $C$13, 100%, $E$13)</f>
        <v>18.654800000000002</v>
      </c>
      <c r="G963" s="68">
        <f>18.6561 * CHOOSE(CONTROL!$C$22, $C$13, 100%, $E$13)</f>
        <v>18.656099999999999</v>
      </c>
      <c r="H963" s="68">
        <f>30.7571* CHOOSE(CONTROL!$C$22, $C$13, 100%, $E$13)</f>
        <v>30.757100000000001</v>
      </c>
      <c r="I963" s="68">
        <f>30.7584 * CHOOSE(CONTROL!$C$22, $C$13, 100%, $E$13)</f>
        <v>30.758400000000002</v>
      </c>
      <c r="J963" s="68">
        <f>18.6548 * CHOOSE(CONTROL!$C$22, $C$13, 100%, $E$13)</f>
        <v>18.654800000000002</v>
      </c>
      <c r="K963" s="68">
        <f>18.6561 * CHOOSE(CONTROL!$C$22, $C$13, 100%, $E$13)</f>
        <v>18.656099999999999</v>
      </c>
    </row>
    <row r="964" spans="1:11" ht="15">
      <c r="A964" s="13">
        <v>70464</v>
      </c>
      <c r="B964" s="67">
        <f>16.4928 * CHOOSE(CONTROL!$C$22, $C$13, 100%, $E$13)</f>
        <v>16.492799999999999</v>
      </c>
      <c r="C964" s="67">
        <f>16.4928 * CHOOSE(CONTROL!$C$22, $C$13, 100%, $E$13)</f>
        <v>16.492799999999999</v>
      </c>
      <c r="D964" s="67">
        <f>16.4938 * CHOOSE(CONTROL!$C$22, $C$13, 100%, $E$13)</f>
        <v>16.4938</v>
      </c>
      <c r="E964" s="68">
        <f>18.4807 * CHOOSE(CONTROL!$C$22, $C$13, 100%, $E$13)</f>
        <v>18.480699999999999</v>
      </c>
      <c r="F964" s="68">
        <f>18.4807 * CHOOSE(CONTROL!$C$22, $C$13, 100%, $E$13)</f>
        <v>18.480699999999999</v>
      </c>
      <c r="G964" s="68">
        <f>18.482 * CHOOSE(CONTROL!$C$22, $C$13, 100%, $E$13)</f>
        <v>18.481999999999999</v>
      </c>
      <c r="H964" s="68">
        <f>30.8212* CHOOSE(CONTROL!$C$22, $C$13, 100%, $E$13)</f>
        <v>30.821200000000001</v>
      </c>
      <c r="I964" s="68">
        <f>30.8225 * CHOOSE(CONTROL!$C$22, $C$13, 100%, $E$13)</f>
        <v>30.822500000000002</v>
      </c>
      <c r="J964" s="68">
        <f>18.4807 * CHOOSE(CONTROL!$C$22, $C$13, 100%, $E$13)</f>
        <v>18.480699999999999</v>
      </c>
      <c r="K964" s="68">
        <f>18.482 * CHOOSE(CONTROL!$C$22, $C$13, 100%, $E$13)</f>
        <v>18.481999999999999</v>
      </c>
    </row>
    <row r="965" spans="1:11" ht="15">
      <c r="A965" s="13">
        <v>70495</v>
      </c>
      <c r="B965" s="67">
        <f>16.4344 * CHOOSE(CONTROL!$C$22, $C$13, 100%, $E$13)</f>
        <v>16.4344</v>
      </c>
      <c r="C965" s="67">
        <f>16.4344 * CHOOSE(CONTROL!$C$22, $C$13, 100%, $E$13)</f>
        <v>16.4344</v>
      </c>
      <c r="D965" s="67">
        <f>16.4354 * CHOOSE(CONTROL!$C$22, $C$13, 100%, $E$13)</f>
        <v>16.435400000000001</v>
      </c>
      <c r="E965" s="68">
        <f>18.5602 * CHOOSE(CONTROL!$C$22, $C$13, 100%, $E$13)</f>
        <v>18.560199999999998</v>
      </c>
      <c r="F965" s="68">
        <f>18.5602 * CHOOSE(CONTROL!$C$22, $C$13, 100%, $E$13)</f>
        <v>18.560199999999998</v>
      </c>
      <c r="G965" s="68">
        <f>18.5615 * CHOOSE(CONTROL!$C$22, $C$13, 100%, $E$13)</f>
        <v>18.561499999999999</v>
      </c>
      <c r="H965" s="68">
        <f>30.5507* CHOOSE(CONTROL!$C$22, $C$13, 100%, $E$13)</f>
        <v>30.550699999999999</v>
      </c>
      <c r="I965" s="68">
        <f>30.552 * CHOOSE(CONTROL!$C$22, $C$13, 100%, $E$13)</f>
        <v>30.552</v>
      </c>
      <c r="J965" s="68">
        <f>18.5602 * CHOOSE(CONTROL!$C$22, $C$13, 100%, $E$13)</f>
        <v>18.560199999999998</v>
      </c>
      <c r="K965" s="68">
        <f>18.5615 * CHOOSE(CONTROL!$C$22, $C$13, 100%, $E$13)</f>
        <v>18.561499999999999</v>
      </c>
    </row>
    <row r="966" spans="1:11" ht="15">
      <c r="A966" s="13">
        <v>70526</v>
      </c>
      <c r="B966" s="67">
        <f>16.4314 * CHOOSE(CONTROL!$C$22, $C$13, 100%, $E$13)</f>
        <v>16.4314</v>
      </c>
      <c r="C966" s="67">
        <f>16.4314 * CHOOSE(CONTROL!$C$22, $C$13, 100%, $E$13)</f>
        <v>16.4314</v>
      </c>
      <c r="D966" s="67">
        <f>16.4324 * CHOOSE(CONTROL!$C$22, $C$13, 100%, $E$13)</f>
        <v>16.432400000000001</v>
      </c>
      <c r="E966" s="68">
        <f>18.2241 * CHOOSE(CONTROL!$C$22, $C$13, 100%, $E$13)</f>
        <v>18.2241</v>
      </c>
      <c r="F966" s="68">
        <f>18.2241 * CHOOSE(CONTROL!$C$22, $C$13, 100%, $E$13)</f>
        <v>18.2241</v>
      </c>
      <c r="G966" s="68">
        <f>18.2254 * CHOOSE(CONTROL!$C$22, $C$13, 100%, $E$13)</f>
        <v>18.2254</v>
      </c>
      <c r="H966" s="68">
        <f>30.6143* CHOOSE(CONTROL!$C$22, $C$13, 100%, $E$13)</f>
        <v>30.6143</v>
      </c>
      <c r="I966" s="68">
        <f>30.6156 * CHOOSE(CONTROL!$C$22, $C$13, 100%, $E$13)</f>
        <v>30.615600000000001</v>
      </c>
      <c r="J966" s="68">
        <f>18.2241 * CHOOSE(CONTROL!$C$22, $C$13, 100%, $E$13)</f>
        <v>18.2241</v>
      </c>
      <c r="K966" s="68">
        <f>18.2254 * CHOOSE(CONTROL!$C$22, $C$13, 100%, $E$13)</f>
        <v>18.2254</v>
      </c>
    </row>
    <row r="967" spans="1:11" ht="15">
      <c r="A967" s="13">
        <v>70554</v>
      </c>
      <c r="B967" s="67">
        <f>16.4284 * CHOOSE(CONTROL!$C$22, $C$13, 100%, $E$13)</f>
        <v>16.4284</v>
      </c>
      <c r="C967" s="67">
        <f>16.4284 * CHOOSE(CONTROL!$C$22, $C$13, 100%, $E$13)</f>
        <v>16.4284</v>
      </c>
      <c r="D967" s="67">
        <f>16.4293 * CHOOSE(CONTROL!$C$22, $C$13, 100%, $E$13)</f>
        <v>16.429300000000001</v>
      </c>
      <c r="E967" s="68">
        <f>18.4853 * CHOOSE(CONTROL!$C$22, $C$13, 100%, $E$13)</f>
        <v>18.485299999999999</v>
      </c>
      <c r="F967" s="68">
        <f>18.4853 * CHOOSE(CONTROL!$C$22, $C$13, 100%, $E$13)</f>
        <v>18.485299999999999</v>
      </c>
      <c r="G967" s="68">
        <f>18.4866 * CHOOSE(CONTROL!$C$22, $C$13, 100%, $E$13)</f>
        <v>18.486599999999999</v>
      </c>
      <c r="H967" s="68">
        <f>30.6781* CHOOSE(CONTROL!$C$22, $C$13, 100%, $E$13)</f>
        <v>30.678100000000001</v>
      </c>
      <c r="I967" s="68">
        <f>30.6794 * CHOOSE(CONTROL!$C$22, $C$13, 100%, $E$13)</f>
        <v>30.679400000000001</v>
      </c>
      <c r="J967" s="68">
        <f>18.4853 * CHOOSE(CONTROL!$C$22, $C$13, 100%, $E$13)</f>
        <v>18.485299999999999</v>
      </c>
      <c r="K967" s="68">
        <f>18.4866 * CHOOSE(CONTROL!$C$22, $C$13, 100%, $E$13)</f>
        <v>18.486599999999999</v>
      </c>
    </row>
    <row r="968" spans="1:11" ht="15">
      <c r="A968" s="13">
        <v>70585</v>
      </c>
      <c r="B968" s="67">
        <f>16.4364 * CHOOSE(CONTROL!$C$22, $C$13, 100%, $E$13)</f>
        <v>16.436399999999999</v>
      </c>
      <c r="C968" s="67">
        <f>16.4364 * CHOOSE(CONTROL!$C$22, $C$13, 100%, $E$13)</f>
        <v>16.436399999999999</v>
      </c>
      <c r="D968" s="67">
        <f>16.4374 * CHOOSE(CONTROL!$C$22, $C$13, 100%, $E$13)</f>
        <v>16.4374</v>
      </c>
      <c r="E968" s="68">
        <f>18.7638 * CHOOSE(CONTROL!$C$22, $C$13, 100%, $E$13)</f>
        <v>18.7638</v>
      </c>
      <c r="F968" s="68">
        <f>18.7638 * CHOOSE(CONTROL!$C$22, $C$13, 100%, $E$13)</f>
        <v>18.7638</v>
      </c>
      <c r="G968" s="68">
        <f>18.7651 * CHOOSE(CONTROL!$C$22, $C$13, 100%, $E$13)</f>
        <v>18.7651</v>
      </c>
      <c r="H968" s="68">
        <f>30.742* CHOOSE(CONTROL!$C$22, $C$13, 100%, $E$13)</f>
        <v>30.742000000000001</v>
      </c>
      <c r="I968" s="68">
        <f>30.7433 * CHOOSE(CONTROL!$C$22, $C$13, 100%, $E$13)</f>
        <v>30.743300000000001</v>
      </c>
      <c r="J968" s="68">
        <f>18.7638 * CHOOSE(CONTROL!$C$22, $C$13, 100%, $E$13)</f>
        <v>18.7638</v>
      </c>
      <c r="K968" s="68">
        <f>18.7651 * CHOOSE(CONTROL!$C$22, $C$13, 100%, $E$13)</f>
        <v>18.7651</v>
      </c>
    </row>
    <row r="969" spans="1:11" ht="15">
      <c r="A969" s="13">
        <v>70615</v>
      </c>
      <c r="B969" s="67">
        <f>16.4364 * CHOOSE(CONTROL!$C$22, $C$13, 100%, $E$13)</f>
        <v>16.436399999999999</v>
      </c>
      <c r="C969" s="67">
        <f>16.4364 * CHOOSE(CONTROL!$C$22, $C$13, 100%, $E$13)</f>
        <v>16.436399999999999</v>
      </c>
      <c r="D969" s="67">
        <f>16.439 * CHOOSE(CONTROL!$C$22, $C$13, 100%, $E$13)</f>
        <v>16.439</v>
      </c>
      <c r="E969" s="68">
        <f>18.8698 * CHOOSE(CONTROL!$C$22, $C$13, 100%, $E$13)</f>
        <v>18.869800000000001</v>
      </c>
      <c r="F969" s="68">
        <f>18.8698 * CHOOSE(CONTROL!$C$22, $C$13, 100%, $E$13)</f>
        <v>18.869800000000001</v>
      </c>
      <c r="G969" s="68">
        <f>18.8731 * CHOOSE(CONTROL!$C$22, $C$13, 100%, $E$13)</f>
        <v>18.873100000000001</v>
      </c>
      <c r="H969" s="68">
        <f>30.8061* CHOOSE(CONTROL!$C$22, $C$13, 100%, $E$13)</f>
        <v>30.806100000000001</v>
      </c>
      <c r="I969" s="68">
        <f>30.8093 * CHOOSE(CONTROL!$C$22, $C$13, 100%, $E$13)</f>
        <v>30.8093</v>
      </c>
      <c r="J969" s="68">
        <f>18.8698 * CHOOSE(CONTROL!$C$22, $C$13, 100%, $E$13)</f>
        <v>18.869800000000001</v>
      </c>
      <c r="K969" s="68">
        <f>18.8731 * CHOOSE(CONTROL!$C$22, $C$13, 100%, $E$13)</f>
        <v>18.873100000000001</v>
      </c>
    </row>
    <row r="970" spans="1:11" ht="15">
      <c r="A970" s="13">
        <v>70646</v>
      </c>
      <c r="B970" s="67">
        <f>16.4425 * CHOOSE(CONTROL!$C$22, $C$13, 100%, $E$13)</f>
        <v>16.442499999999999</v>
      </c>
      <c r="C970" s="67">
        <f>16.4425 * CHOOSE(CONTROL!$C$22, $C$13, 100%, $E$13)</f>
        <v>16.442499999999999</v>
      </c>
      <c r="D970" s="67">
        <f>16.4451 * CHOOSE(CONTROL!$C$22, $C$13, 100%, $E$13)</f>
        <v>16.4451</v>
      </c>
      <c r="E970" s="68">
        <f>18.768 * CHOOSE(CONTROL!$C$22, $C$13, 100%, $E$13)</f>
        <v>18.768000000000001</v>
      </c>
      <c r="F970" s="68">
        <f>18.768 * CHOOSE(CONTROL!$C$22, $C$13, 100%, $E$13)</f>
        <v>18.768000000000001</v>
      </c>
      <c r="G970" s="68">
        <f>18.7713 * CHOOSE(CONTROL!$C$22, $C$13, 100%, $E$13)</f>
        <v>18.7713</v>
      </c>
      <c r="H970" s="68">
        <f>30.8702* CHOOSE(CONTROL!$C$22, $C$13, 100%, $E$13)</f>
        <v>30.870200000000001</v>
      </c>
      <c r="I970" s="68">
        <f>30.8735 * CHOOSE(CONTROL!$C$22, $C$13, 100%, $E$13)</f>
        <v>30.8735</v>
      </c>
      <c r="J970" s="68">
        <f>18.768 * CHOOSE(CONTROL!$C$22, $C$13, 100%, $E$13)</f>
        <v>18.768000000000001</v>
      </c>
      <c r="K970" s="68">
        <f>18.7713 * CHOOSE(CONTROL!$C$22, $C$13, 100%, $E$13)</f>
        <v>18.7713</v>
      </c>
    </row>
    <row r="971" spans="1:11" ht="15">
      <c r="A971" s="13">
        <v>70676</v>
      </c>
      <c r="B971" s="67">
        <f>16.6902 * CHOOSE(CONTROL!$C$22, $C$13, 100%, $E$13)</f>
        <v>16.690200000000001</v>
      </c>
      <c r="C971" s="67">
        <f>16.6902 * CHOOSE(CONTROL!$C$22, $C$13, 100%, $E$13)</f>
        <v>16.690200000000001</v>
      </c>
      <c r="D971" s="67">
        <f>16.6928 * CHOOSE(CONTROL!$C$22, $C$13, 100%, $E$13)</f>
        <v>16.692799999999998</v>
      </c>
      <c r="E971" s="68">
        <f>19.0646 * CHOOSE(CONTROL!$C$22, $C$13, 100%, $E$13)</f>
        <v>19.064599999999999</v>
      </c>
      <c r="F971" s="68">
        <f>19.0646 * CHOOSE(CONTROL!$C$22, $C$13, 100%, $E$13)</f>
        <v>19.064599999999999</v>
      </c>
      <c r="G971" s="68">
        <f>19.0679 * CHOOSE(CONTROL!$C$22, $C$13, 100%, $E$13)</f>
        <v>19.067900000000002</v>
      </c>
      <c r="H971" s="68">
        <f>30.9346* CHOOSE(CONTROL!$C$22, $C$13, 100%, $E$13)</f>
        <v>30.9346</v>
      </c>
      <c r="I971" s="68">
        <f>30.9378 * CHOOSE(CONTROL!$C$22, $C$13, 100%, $E$13)</f>
        <v>30.937799999999999</v>
      </c>
      <c r="J971" s="68">
        <f>19.0646 * CHOOSE(CONTROL!$C$22, $C$13, 100%, $E$13)</f>
        <v>19.064599999999999</v>
      </c>
      <c r="K971" s="68">
        <f>19.0679 * CHOOSE(CONTROL!$C$22, $C$13, 100%, $E$13)</f>
        <v>19.067900000000002</v>
      </c>
    </row>
    <row r="972" spans="1:11" ht="15">
      <c r="A972" s="13">
        <v>70707</v>
      </c>
      <c r="B972" s="67">
        <f>16.6969 * CHOOSE(CONTROL!$C$22, $C$13, 100%, $E$13)</f>
        <v>16.696899999999999</v>
      </c>
      <c r="C972" s="67">
        <f>16.6969 * CHOOSE(CONTROL!$C$22, $C$13, 100%, $E$13)</f>
        <v>16.696899999999999</v>
      </c>
      <c r="D972" s="67">
        <f>16.6995 * CHOOSE(CONTROL!$C$22, $C$13, 100%, $E$13)</f>
        <v>16.6995</v>
      </c>
      <c r="E972" s="68">
        <f>18.7512 * CHOOSE(CONTROL!$C$22, $C$13, 100%, $E$13)</f>
        <v>18.751200000000001</v>
      </c>
      <c r="F972" s="68">
        <f>18.7512 * CHOOSE(CONTROL!$C$22, $C$13, 100%, $E$13)</f>
        <v>18.751200000000001</v>
      </c>
      <c r="G972" s="68">
        <f>18.7544 * CHOOSE(CONTROL!$C$22, $C$13, 100%, $E$13)</f>
        <v>18.7544</v>
      </c>
      <c r="H972" s="68">
        <f>30.999* CHOOSE(CONTROL!$C$22, $C$13, 100%, $E$13)</f>
        <v>30.998999999999999</v>
      </c>
      <c r="I972" s="68">
        <f>31.0023 * CHOOSE(CONTROL!$C$22, $C$13, 100%, $E$13)</f>
        <v>31.002300000000002</v>
      </c>
      <c r="J972" s="68">
        <f>18.7512 * CHOOSE(CONTROL!$C$22, $C$13, 100%, $E$13)</f>
        <v>18.751200000000001</v>
      </c>
      <c r="K972" s="68">
        <f>18.7544 * CHOOSE(CONTROL!$C$22, $C$13, 100%, $E$13)</f>
        <v>18.7544</v>
      </c>
    </row>
    <row r="973" spans="1:11" ht="15">
      <c r="A973" s="13">
        <v>70738</v>
      </c>
      <c r="B973" s="67">
        <f>16.6939 * CHOOSE(CONTROL!$C$22, $C$13, 100%, $E$13)</f>
        <v>16.693899999999999</v>
      </c>
      <c r="C973" s="67">
        <f>16.6939 * CHOOSE(CONTROL!$C$22, $C$13, 100%, $E$13)</f>
        <v>16.693899999999999</v>
      </c>
      <c r="D973" s="67">
        <f>16.6965 * CHOOSE(CONTROL!$C$22, $C$13, 100%, $E$13)</f>
        <v>16.6965</v>
      </c>
      <c r="E973" s="68">
        <f>18.7137 * CHOOSE(CONTROL!$C$22, $C$13, 100%, $E$13)</f>
        <v>18.713699999999999</v>
      </c>
      <c r="F973" s="68">
        <f>18.7137 * CHOOSE(CONTROL!$C$22, $C$13, 100%, $E$13)</f>
        <v>18.713699999999999</v>
      </c>
      <c r="G973" s="68">
        <f>18.717 * CHOOSE(CONTROL!$C$22, $C$13, 100%, $E$13)</f>
        <v>18.716999999999999</v>
      </c>
      <c r="H973" s="68">
        <f>31.0636* CHOOSE(CONTROL!$C$22, $C$13, 100%, $E$13)</f>
        <v>31.063600000000001</v>
      </c>
      <c r="I973" s="68">
        <f>31.0668 * CHOOSE(CONTROL!$C$22, $C$13, 100%, $E$13)</f>
        <v>31.066800000000001</v>
      </c>
      <c r="J973" s="68">
        <f>18.7137 * CHOOSE(CONTROL!$C$22, $C$13, 100%, $E$13)</f>
        <v>18.713699999999999</v>
      </c>
      <c r="K973" s="68">
        <f>18.717 * CHOOSE(CONTROL!$C$22, $C$13, 100%, $E$13)</f>
        <v>18.716999999999999</v>
      </c>
    </row>
    <row r="974" spans="1:11" ht="15">
      <c r="A974" s="13">
        <v>70768</v>
      </c>
      <c r="B974" s="67">
        <f>16.7297 * CHOOSE(CONTROL!$C$22, $C$13, 100%, $E$13)</f>
        <v>16.729700000000001</v>
      </c>
      <c r="C974" s="67">
        <f>16.7297 * CHOOSE(CONTROL!$C$22, $C$13, 100%, $E$13)</f>
        <v>16.729700000000001</v>
      </c>
      <c r="D974" s="67">
        <f>16.7307 * CHOOSE(CONTROL!$C$22, $C$13, 100%, $E$13)</f>
        <v>16.730699999999999</v>
      </c>
      <c r="E974" s="68">
        <f>18.8417 * CHOOSE(CONTROL!$C$22, $C$13, 100%, $E$13)</f>
        <v>18.841699999999999</v>
      </c>
      <c r="F974" s="68">
        <f>18.8417 * CHOOSE(CONTROL!$C$22, $C$13, 100%, $E$13)</f>
        <v>18.841699999999999</v>
      </c>
      <c r="G974" s="68">
        <f>18.843 * CHOOSE(CONTROL!$C$22, $C$13, 100%, $E$13)</f>
        <v>18.843</v>
      </c>
      <c r="H974" s="68">
        <f>31.1283* CHOOSE(CONTROL!$C$22, $C$13, 100%, $E$13)</f>
        <v>31.128299999999999</v>
      </c>
      <c r="I974" s="68">
        <f>31.1296 * CHOOSE(CONTROL!$C$22, $C$13, 100%, $E$13)</f>
        <v>31.1296</v>
      </c>
      <c r="J974" s="68">
        <f>18.8417 * CHOOSE(CONTROL!$C$22, $C$13, 100%, $E$13)</f>
        <v>18.841699999999999</v>
      </c>
      <c r="K974" s="68">
        <f>18.843 * CHOOSE(CONTROL!$C$22, $C$13, 100%, $E$13)</f>
        <v>18.843</v>
      </c>
    </row>
    <row r="975" spans="1:11" ht="15">
      <c r="A975" s="13">
        <v>70799</v>
      </c>
      <c r="B975" s="67">
        <f>16.7327 * CHOOSE(CONTROL!$C$22, $C$13, 100%, $E$13)</f>
        <v>16.732700000000001</v>
      </c>
      <c r="C975" s="67">
        <f>16.7327 * CHOOSE(CONTROL!$C$22, $C$13, 100%, $E$13)</f>
        <v>16.732700000000001</v>
      </c>
      <c r="D975" s="67">
        <f>16.7337 * CHOOSE(CONTROL!$C$22, $C$13, 100%, $E$13)</f>
        <v>16.733699999999999</v>
      </c>
      <c r="E975" s="68">
        <f>18.9145 * CHOOSE(CONTROL!$C$22, $C$13, 100%, $E$13)</f>
        <v>18.9145</v>
      </c>
      <c r="F975" s="68">
        <f>18.9145 * CHOOSE(CONTROL!$C$22, $C$13, 100%, $E$13)</f>
        <v>18.9145</v>
      </c>
      <c r="G975" s="68">
        <f>18.9158 * CHOOSE(CONTROL!$C$22, $C$13, 100%, $E$13)</f>
        <v>18.915800000000001</v>
      </c>
      <c r="H975" s="68">
        <f>31.1931* CHOOSE(CONTROL!$C$22, $C$13, 100%, $E$13)</f>
        <v>31.193100000000001</v>
      </c>
      <c r="I975" s="68">
        <f>31.1944 * CHOOSE(CONTROL!$C$22, $C$13, 100%, $E$13)</f>
        <v>31.194400000000002</v>
      </c>
      <c r="J975" s="68">
        <f>18.9145 * CHOOSE(CONTROL!$C$22, $C$13, 100%, $E$13)</f>
        <v>18.9145</v>
      </c>
      <c r="K975" s="68">
        <f>18.9158 * CHOOSE(CONTROL!$C$22, $C$13, 100%, $E$13)</f>
        <v>18.915800000000001</v>
      </c>
    </row>
    <row r="976" spans="1:11" ht="15">
      <c r="A976" s="13">
        <v>70829</v>
      </c>
      <c r="B976" s="67">
        <f>16.7327 * CHOOSE(CONTROL!$C$22, $C$13, 100%, $E$13)</f>
        <v>16.732700000000001</v>
      </c>
      <c r="C976" s="67">
        <f>16.7327 * CHOOSE(CONTROL!$C$22, $C$13, 100%, $E$13)</f>
        <v>16.732700000000001</v>
      </c>
      <c r="D976" s="67">
        <f>16.7337 * CHOOSE(CONTROL!$C$22, $C$13, 100%, $E$13)</f>
        <v>16.733699999999999</v>
      </c>
      <c r="E976" s="68">
        <f>18.7378 * CHOOSE(CONTROL!$C$22, $C$13, 100%, $E$13)</f>
        <v>18.7378</v>
      </c>
      <c r="F976" s="68">
        <f>18.7378 * CHOOSE(CONTROL!$C$22, $C$13, 100%, $E$13)</f>
        <v>18.7378</v>
      </c>
      <c r="G976" s="68">
        <f>18.739 * CHOOSE(CONTROL!$C$22, $C$13, 100%, $E$13)</f>
        <v>18.739000000000001</v>
      </c>
      <c r="H976" s="68">
        <f>31.2581* CHOOSE(CONTROL!$C$22, $C$13, 100%, $E$13)</f>
        <v>31.258099999999999</v>
      </c>
      <c r="I976" s="68">
        <f>31.2594 * CHOOSE(CONTROL!$C$22, $C$13, 100%, $E$13)</f>
        <v>31.259399999999999</v>
      </c>
      <c r="J976" s="68">
        <f>18.7378 * CHOOSE(CONTROL!$C$22, $C$13, 100%, $E$13)</f>
        <v>18.7378</v>
      </c>
      <c r="K976" s="68">
        <f>18.739 * CHOOSE(CONTROL!$C$22, $C$13, 100%, $E$13)</f>
        <v>18.739000000000001</v>
      </c>
    </row>
    <row r="977" spans="1:11" ht="15">
      <c r="A977" s="13">
        <v>70860</v>
      </c>
      <c r="B977" s="67">
        <f>16.67 * CHOOSE(CONTROL!$C$22, $C$13, 100%, $E$13)</f>
        <v>16.670000000000002</v>
      </c>
      <c r="C977" s="67">
        <f>16.67 * CHOOSE(CONTROL!$C$22, $C$13, 100%, $E$13)</f>
        <v>16.670000000000002</v>
      </c>
      <c r="D977" s="67">
        <f>16.671 * CHOOSE(CONTROL!$C$22, $C$13, 100%, $E$13)</f>
        <v>16.670999999999999</v>
      </c>
      <c r="E977" s="68">
        <f>18.8149 * CHOOSE(CONTROL!$C$22, $C$13, 100%, $E$13)</f>
        <v>18.814900000000002</v>
      </c>
      <c r="F977" s="68">
        <f>18.8149 * CHOOSE(CONTROL!$C$22, $C$13, 100%, $E$13)</f>
        <v>18.814900000000002</v>
      </c>
      <c r="G977" s="68">
        <f>18.8162 * CHOOSE(CONTROL!$C$22, $C$13, 100%, $E$13)</f>
        <v>18.816199999999998</v>
      </c>
      <c r="H977" s="68">
        <f>30.9777* CHOOSE(CONTROL!$C$22, $C$13, 100%, $E$13)</f>
        <v>30.977699999999999</v>
      </c>
      <c r="I977" s="68">
        <f>30.979 * CHOOSE(CONTROL!$C$22, $C$13, 100%, $E$13)</f>
        <v>30.978999999999999</v>
      </c>
      <c r="J977" s="68">
        <f>18.8149 * CHOOSE(CONTROL!$C$22, $C$13, 100%, $E$13)</f>
        <v>18.814900000000002</v>
      </c>
      <c r="K977" s="68">
        <f>18.8162 * CHOOSE(CONTROL!$C$22, $C$13, 100%, $E$13)</f>
        <v>18.816199999999998</v>
      </c>
    </row>
    <row r="978" spans="1:11" ht="15">
      <c r="A978" s="13">
        <v>70891</v>
      </c>
      <c r="B978" s="67">
        <f>16.667 * CHOOSE(CONTROL!$C$22, $C$13, 100%, $E$13)</f>
        <v>16.667000000000002</v>
      </c>
      <c r="C978" s="67">
        <f>16.667 * CHOOSE(CONTROL!$C$22, $C$13, 100%, $E$13)</f>
        <v>16.667000000000002</v>
      </c>
      <c r="D978" s="67">
        <f>16.668 * CHOOSE(CONTROL!$C$22, $C$13, 100%, $E$13)</f>
        <v>16.667999999999999</v>
      </c>
      <c r="E978" s="68">
        <f>18.4739 * CHOOSE(CONTROL!$C$22, $C$13, 100%, $E$13)</f>
        <v>18.4739</v>
      </c>
      <c r="F978" s="68">
        <f>18.4739 * CHOOSE(CONTROL!$C$22, $C$13, 100%, $E$13)</f>
        <v>18.4739</v>
      </c>
      <c r="G978" s="68">
        <f>18.4752 * CHOOSE(CONTROL!$C$22, $C$13, 100%, $E$13)</f>
        <v>18.475200000000001</v>
      </c>
      <c r="H978" s="68">
        <f>31.0422* CHOOSE(CONTROL!$C$22, $C$13, 100%, $E$13)</f>
        <v>31.042200000000001</v>
      </c>
      <c r="I978" s="68">
        <f>31.0435 * CHOOSE(CONTROL!$C$22, $C$13, 100%, $E$13)</f>
        <v>31.043500000000002</v>
      </c>
      <c r="J978" s="68">
        <f>18.4739 * CHOOSE(CONTROL!$C$22, $C$13, 100%, $E$13)</f>
        <v>18.4739</v>
      </c>
      <c r="K978" s="68">
        <f>18.4752 * CHOOSE(CONTROL!$C$22, $C$13, 100%, $E$13)</f>
        <v>18.475200000000001</v>
      </c>
    </row>
    <row r="979" spans="1:11" ht="15">
      <c r="A979" s="13">
        <v>70919</v>
      </c>
      <c r="B979" s="67">
        <f>16.6639 * CHOOSE(CONTROL!$C$22, $C$13, 100%, $E$13)</f>
        <v>16.663900000000002</v>
      </c>
      <c r="C979" s="67">
        <f>16.6639 * CHOOSE(CONTROL!$C$22, $C$13, 100%, $E$13)</f>
        <v>16.663900000000002</v>
      </c>
      <c r="D979" s="67">
        <f>16.6649 * CHOOSE(CONTROL!$C$22, $C$13, 100%, $E$13)</f>
        <v>16.664899999999999</v>
      </c>
      <c r="E979" s="68">
        <f>18.739 * CHOOSE(CONTROL!$C$22, $C$13, 100%, $E$13)</f>
        <v>18.739000000000001</v>
      </c>
      <c r="F979" s="68">
        <f>18.739 * CHOOSE(CONTROL!$C$22, $C$13, 100%, $E$13)</f>
        <v>18.739000000000001</v>
      </c>
      <c r="G979" s="68">
        <f>18.7402 * CHOOSE(CONTROL!$C$22, $C$13, 100%, $E$13)</f>
        <v>18.740200000000002</v>
      </c>
      <c r="H979" s="68">
        <f>31.1069* CHOOSE(CONTROL!$C$22, $C$13, 100%, $E$13)</f>
        <v>31.1069</v>
      </c>
      <c r="I979" s="68">
        <f>31.1082 * CHOOSE(CONTROL!$C$22, $C$13, 100%, $E$13)</f>
        <v>31.1082</v>
      </c>
      <c r="J979" s="68">
        <f>18.739 * CHOOSE(CONTROL!$C$22, $C$13, 100%, $E$13)</f>
        <v>18.739000000000001</v>
      </c>
      <c r="K979" s="68">
        <f>18.7402 * CHOOSE(CONTROL!$C$22, $C$13, 100%, $E$13)</f>
        <v>18.740200000000002</v>
      </c>
    </row>
    <row r="980" spans="1:11" ht="15">
      <c r="A980" s="13">
        <v>70950</v>
      </c>
      <c r="B980" s="67">
        <f>16.6722 * CHOOSE(CONTROL!$C$22, $C$13, 100%, $E$13)</f>
        <v>16.6722</v>
      </c>
      <c r="C980" s="67">
        <f>16.6722 * CHOOSE(CONTROL!$C$22, $C$13, 100%, $E$13)</f>
        <v>16.6722</v>
      </c>
      <c r="D980" s="67">
        <f>16.6732 * CHOOSE(CONTROL!$C$22, $C$13, 100%, $E$13)</f>
        <v>16.673200000000001</v>
      </c>
      <c r="E980" s="68">
        <f>19.0217 * CHOOSE(CONTROL!$C$22, $C$13, 100%, $E$13)</f>
        <v>19.021699999999999</v>
      </c>
      <c r="F980" s="68">
        <f>19.0217 * CHOOSE(CONTROL!$C$22, $C$13, 100%, $E$13)</f>
        <v>19.021699999999999</v>
      </c>
      <c r="G980" s="68">
        <f>19.0229 * CHOOSE(CONTROL!$C$22, $C$13, 100%, $E$13)</f>
        <v>19.0229</v>
      </c>
      <c r="H980" s="68">
        <f>31.1717* CHOOSE(CONTROL!$C$22, $C$13, 100%, $E$13)</f>
        <v>31.171700000000001</v>
      </c>
      <c r="I980" s="68">
        <f>31.173 * CHOOSE(CONTROL!$C$22, $C$13, 100%, $E$13)</f>
        <v>31.172999999999998</v>
      </c>
      <c r="J980" s="68">
        <f>19.0217 * CHOOSE(CONTROL!$C$22, $C$13, 100%, $E$13)</f>
        <v>19.021699999999999</v>
      </c>
      <c r="K980" s="68">
        <f>19.0229 * CHOOSE(CONTROL!$C$22, $C$13, 100%, $E$13)</f>
        <v>19.0229</v>
      </c>
    </row>
    <row r="981" spans="1:11" ht="15">
      <c r="A981" s="13">
        <v>70980</v>
      </c>
      <c r="B981" s="67">
        <f>16.6722 * CHOOSE(CONTROL!$C$22, $C$13, 100%, $E$13)</f>
        <v>16.6722</v>
      </c>
      <c r="C981" s="67">
        <f>16.6722 * CHOOSE(CONTROL!$C$22, $C$13, 100%, $E$13)</f>
        <v>16.6722</v>
      </c>
      <c r="D981" s="67">
        <f>16.6748 * CHOOSE(CONTROL!$C$22, $C$13, 100%, $E$13)</f>
        <v>16.674800000000001</v>
      </c>
      <c r="E981" s="68">
        <f>19.1293 * CHOOSE(CONTROL!$C$22, $C$13, 100%, $E$13)</f>
        <v>19.129300000000001</v>
      </c>
      <c r="F981" s="68">
        <f>19.1293 * CHOOSE(CONTROL!$C$22, $C$13, 100%, $E$13)</f>
        <v>19.129300000000001</v>
      </c>
      <c r="G981" s="68">
        <f>19.1325 * CHOOSE(CONTROL!$C$22, $C$13, 100%, $E$13)</f>
        <v>19.1325</v>
      </c>
      <c r="H981" s="68">
        <f>31.2366* CHOOSE(CONTROL!$C$22, $C$13, 100%, $E$13)</f>
        <v>31.236599999999999</v>
      </c>
      <c r="I981" s="68">
        <f>31.2399 * CHOOSE(CONTROL!$C$22, $C$13, 100%, $E$13)</f>
        <v>31.239899999999999</v>
      </c>
      <c r="J981" s="68">
        <f>19.1293 * CHOOSE(CONTROL!$C$22, $C$13, 100%, $E$13)</f>
        <v>19.129300000000001</v>
      </c>
      <c r="K981" s="68">
        <f>19.1325 * CHOOSE(CONTROL!$C$22, $C$13, 100%, $E$13)</f>
        <v>19.1325</v>
      </c>
    </row>
    <row r="982" spans="1:11" ht="15">
      <c r="A982" s="13">
        <v>71011</v>
      </c>
      <c r="B982" s="67">
        <f>16.6782 * CHOOSE(CONTROL!$C$22, $C$13, 100%, $E$13)</f>
        <v>16.6782</v>
      </c>
      <c r="C982" s="67">
        <f>16.6782 * CHOOSE(CONTROL!$C$22, $C$13, 100%, $E$13)</f>
        <v>16.6782</v>
      </c>
      <c r="D982" s="67">
        <f>16.6809 * CHOOSE(CONTROL!$C$22, $C$13, 100%, $E$13)</f>
        <v>16.680900000000001</v>
      </c>
      <c r="E982" s="68">
        <f>19.0259 * CHOOSE(CONTROL!$C$22, $C$13, 100%, $E$13)</f>
        <v>19.0259</v>
      </c>
      <c r="F982" s="68">
        <f>19.0259 * CHOOSE(CONTROL!$C$22, $C$13, 100%, $E$13)</f>
        <v>19.0259</v>
      </c>
      <c r="G982" s="68">
        <f>19.0292 * CHOOSE(CONTROL!$C$22, $C$13, 100%, $E$13)</f>
        <v>19.029199999999999</v>
      </c>
      <c r="H982" s="68">
        <f>31.3017* CHOOSE(CONTROL!$C$22, $C$13, 100%, $E$13)</f>
        <v>31.3017</v>
      </c>
      <c r="I982" s="68">
        <f>31.305 * CHOOSE(CONTROL!$C$22, $C$13, 100%, $E$13)</f>
        <v>31.305</v>
      </c>
      <c r="J982" s="68">
        <f>19.0259 * CHOOSE(CONTROL!$C$22, $C$13, 100%, $E$13)</f>
        <v>19.0259</v>
      </c>
      <c r="K982" s="68">
        <f>19.0292 * CHOOSE(CONTROL!$C$22, $C$13, 100%, $E$13)</f>
        <v>19.029199999999999</v>
      </c>
    </row>
    <row r="983" spans="1:11" ht="15">
      <c r="A983" s="13">
        <v>71041</v>
      </c>
      <c r="B983" s="67">
        <f>16.9294 * CHOOSE(CONTROL!$C$22, $C$13, 100%, $E$13)</f>
        <v>16.929400000000001</v>
      </c>
      <c r="C983" s="67">
        <f>16.9294 * CHOOSE(CONTROL!$C$22, $C$13, 100%, $E$13)</f>
        <v>16.929400000000001</v>
      </c>
      <c r="D983" s="67">
        <f>16.932 * CHOOSE(CONTROL!$C$22, $C$13, 100%, $E$13)</f>
        <v>16.931999999999999</v>
      </c>
      <c r="E983" s="68">
        <f>19.3264 * CHOOSE(CONTROL!$C$22, $C$13, 100%, $E$13)</f>
        <v>19.3264</v>
      </c>
      <c r="F983" s="68">
        <f>19.3264 * CHOOSE(CONTROL!$C$22, $C$13, 100%, $E$13)</f>
        <v>19.3264</v>
      </c>
      <c r="G983" s="68">
        <f>19.3297 * CHOOSE(CONTROL!$C$22, $C$13, 100%, $E$13)</f>
        <v>19.329699999999999</v>
      </c>
      <c r="H983" s="68">
        <f>31.3669* CHOOSE(CONTROL!$C$22, $C$13, 100%, $E$13)</f>
        <v>31.366900000000001</v>
      </c>
      <c r="I983" s="68">
        <f>31.3702 * CHOOSE(CONTROL!$C$22, $C$13, 100%, $E$13)</f>
        <v>31.370200000000001</v>
      </c>
      <c r="J983" s="68">
        <f>19.3264 * CHOOSE(CONTROL!$C$22, $C$13, 100%, $E$13)</f>
        <v>19.3264</v>
      </c>
      <c r="K983" s="68">
        <f>19.3297 * CHOOSE(CONTROL!$C$22, $C$13, 100%, $E$13)</f>
        <v>19.329699999999999</v>
      </c>
    </row>
    <row r="984" spans="1:11" ht="15">
      <c r="A984" s="13">
        <v>71072</v>
      </c>
      <c r="B984" s="67">
        <f>16.9361 * CHOOSE(CONTROL!$C$22, $C$13, 100%, $E$13)</f>
        <v>16.9361</v>
      </c>
      <c r="C984" s="67">
        <f>16.9361 * CHOOSE(CONTROL!$C$22, $C$13, 100%, $E$13)</f>
        <v>16.9361</v>
      </c>
      <c r="D984" s="67">
        <f>16.9387 * CHOOSE(CONTROL!$C$22, $C$13, 100%, $E$13)</f>
        <v>16.938700000000001</v>
      </c>
      <c r="E984" s="68">
        <f>19.0083 * CHOOSE(CONTROL!$C$22, $C$13, 100%, $E$13)</f>
        <v>19.008299999999998</v>
      </c>
      <c r="F984" s="68">
        <f>19.0083 * CHOOSE(CONTROL!$C$22, $C$13, 100%, $E$13)</f>
        <v>19.008299999999998</v>
      </c>
      <c r="G984" s="68">
        <f>19.0115 * CHOOSE(CONTROL!$C$22, $C$13, 100%, $E$13)</f>
        <v>19.011500000000002</v>
      </c>
      <c r="H984" s="68">
        <f>31.4323* CHOOSE(CONTROL!$C$22, $C$13, 100%, $E$13)</f>
        <v>31.432300000000001</v>
      </c>
      <c r="I984" s="68">
        <f>31.4355 * CHOOSE(CONTROL!$C$22, $C$13, 100%, $E$13)</f>
        <v>31.435500000000001</v>
      </c>
      <c r="J984" s="68">
        <f>19.0083 * CHOOSE(CONTROL!$C$22, $C$13, 100%, $E$13)</f>
        <v>19.008299999999998</v>
      </c>
      <c r="K984" s="68">
        <f>19.0115 * CHOOSE(CONTROL!$C$22, $C$13, 100%, $E$13)</f>
        <v>19.011500000000002</v>
      </c>
    </row>
    <row r="985" spans="1:11" ht="15">
      <c r="A985" s="13">
        <v>71103</v>
      </c>
      <c r="B985" s="67">
        <f>16.933 * CHOOSE(CONTROL!$C$22, $C$13, 100%, $E$13)</f>
        <v>16.933</v>
      </c>
      <c r="C985" s="67">
        <f>16.933 * CHOOSE(CONTROL!$C$22, $C$13, 100%, $E$13)</f>
        <v>16.933</v>
      </c>
      <c r="D985" s="67">
        <f>16.9357 * CHOOSE(CONTROL!$C$22, $C$13, 100%, $E$13)</f>
        <v>16.935700000000001</v>
      </c>
      <c r="E985" s="68">
        <f>18.9703 * CHOOSE(CONTROL!$C$22, $C$13, 100%, $E$13)</f>
        <v>18.970300000000002</v>
      </c>
      <c r="F985" s="68">
        <f>18.9703 * CHOOSE(CONTROL!$C$22, $C$13, 100%, $E$13)</f>
        <v>18.970300000000002</v>
      </c>
      <c r="G985" s="68">
        <f>18.9735 * CHOOSE(CONTROL!$C$22, $C$13, 100%, $E$13)</f>
        <v>18.973500000000001</v>
      </c>
      <c r="H985" s="68">
        <f>31.4978* CHOOSE(CONTROL!$C$22, $C$13, 100%, $E$13)</f>
        <v>31.497800000000002</v>
      </c>
      <c r="I985" s="68">
        <f>31.501 * CHOOSE(CONTROL!$C$22, $C$13, 100%, $E$13)</f>
        <v>31.501000000000001</v>
      </c>
      <c r="J985" s="68">
        <f>18.9703 * CHOOSE(CONTROL!$C$22, $C$13, 100%, $E$13)</f>
        <v>18.970300000000002</v>
      </c>
      <c r="K985" s="68">
        <f>18.9735 * CHOOSE(CONTROL!$C$22, $C$13, 100%, $E$13)</f>
        <v>18.973500000000001</v>
      </c>
    </row>
    <row r="986" spans="1:11" ht="15">
      <c r="A986" s="13">
        <v>71133</v>
      </c>
      <c r="B986" s="67">
        <f>16.9696 * CHOOSE(CONTROL!$C$22, $C$13, 100%, $E$13)</f>
        <v>16.9696</v>
      </c>
      <c r="C986" s="67">
        <f>16.9696 * CHOOSE(CONTROL!$C$22, $C$13, 100%, $E$13)</f>
        <v>16.9696</v>
      </c>
      <c r="D986" s="67">
        <f>16.9706 * CHOOSE(CONTROL!$C$22, $C$13, 100%, $E$13)</f>
        <v>16.970600000000001</v>
      </c>
      <c r="E986" s="68">
        <f>19.1003 * CHOOSE(CONTROL!$C$22, $C$13, 100%, $E$13)</f>
        <v>19.100300000000001</v>
      </c>
      <c r="F986" s="68">
        <f>19.1003 * CHOOSE(CONTROL!$C$22, $C$13, 100%, $E$13)</f>
        <v>19.100300000000001</v>
      </c>
      <c r="G986" s="68">
        <f>19.1016 * CHOOSE(CONTROL!$C$22, $C$13, 100%, $E$13)</f>
        <v>19.101600000000001</v>
      </c>
      <c r="H986" s="68">
        <f>31.5634* CHOOSE(CONTROL!$C$22, $C$13, 100%, $E$13)</f>
        <v>31.563400000000001</v>
      </c>
      <c r="I986" s="68">
        <f>31.5647 * CHOOSE(CONTROL!$C$22, $C$13, 100%, $E$13)</f>
        <v>31.564699999999998</v>
      </c>
      <c r="J986" s="68">
        <f>19.1003 * CHOOSE(CONTROL!$C$22, $C$13, 100%, $E$13)</f>
        <v>19.100300000000001</v>
      </c>
      <c r="K986" s="68">
        <f>19.1016 * CHOOSE(CONTROL!$C$22, $C$13, 100%, $E$13)</f>
        <v>19.101600000000001</v>
      </c>
    </row>
    <row r="987" spans="1:11" ht="15">
      <c r="A987" s="13">
        <v>71164</v>
      </c>
      <c r="B987" s="67">
        <f>16.9727 * CHOOSE(CONTROL!$C$22, $C$13, 100%, $E$13)</f>
        <v>16.9727</v>
      </c>
      <c r="C987" s="67">
        <f>16.9727 * CHOOSE(CONTROL!$C$22, $C$13, 100%, $E$13)</f>
        <v>16.9727</v>
      </c>
      <c r="D987" s="67">
        <f>16.9737 * CHOOSE(CONTROL!$C$22, $C$13, 100%, $E$13)</f>
        <v>16.973700000000001</v>
      </c>
      <c r="E987" s="68">
        <f>19.1742 * CHOOSE(CONTROL!$C$22, $C$13, 100%, $E$13)</f>
        <v>19.174199999999999</v>
      </c>
      <c r="F987" s="68">
        <f>19.1742 * CHOOSE(CONTROL!$C$22, $C$13, 100%, $E$13)</f>
        <v>19.174199999999999</v>
      </c>
      <c r="G987" s="68">
        <f>19.1755 * CHOOSE(CONTROL!$C$22, $C$13, 100%, $E$13)</f>
        <v>19.1755</v>
      </c>
      <c r="H987" s="68">
        <f>31.6291* CHOOSE(CONTROL!$C$22, $C$13, 100%, $E$13)</f>
        <v>31.629100000000001</v>
      </c>
      <c r="I987" s="68">
        <f>31.6304 * CHOOSE(CONTROL!$C$22, $C$13, 100%, $E$13)</f>
        <v>31.630400000000002</v>
      </c>
      <c r="J987" s="68">
        <f>19.1742 * CHOOSE(CONTROL!$C$22, $C$13, 100%, $E$13)</f>
        <v>19.174199999999999</v>
      </c>
      <c r="K987" s="68">
        <f>19.1755 * CHOOSE(CONTROL!$C$22, $C$13, 100%, $E$13)</f>
        <v>19.1755</v>
      </c>
    </row>
    <row r="988" spans="1:11" ht="15">
      <c r="A988" s="13">
        <v>71194</v>
      </c>
      <c r="B988" s="67">
        <f>16.9727 * CHOOSE(CONTROL!$C$22, $C$13, 100%, $E$13)</f>
        <v>16.9727</v>
      </c>
      <c r="C988" s="67">
        <f>16.9727 * CHOOSE(CONTROL!$C$22, $C$13, 100%, $E$13)</f>
        <v>16.9727</v>
      </c>
      <c r="D988" s="67">
        <f>16.9737 * CHOOSE(CONTROL!$C$22, $C$13, 100%, $E$13)</f>
        <v>16.973700000000001</v>
      </c>
      <c r="E988" s="68">
        <f>18.9948 * CHOOSE(CONTROL!$C$22, $C$13, 100%, $E$13)</f>
        <v>18.994800000000001</v>
      </c>
      <c r="F988" s="68">
        <f>18.9948 * CHOOSE(CONTROL!$C$22, $C$13, 100%, $E$13)</f>
        <v>18.994800000000001</v>
      </c>
      <c r="G988" s="68">
        <f>18.9961 * CHOOSE(CONTROL!$C$22, $C$13, 100%, $E$13)</f>
        <v>18.996099999999998</v>
      </c>
      <c r="H988" s="68">
        <f>31.695* CHOOSE(CONTROL!$C$22, $C$13, 100%, $E$13)</f>
        <v>31.695</v>
      </c>
      <c r="I988" s="68">
        <f>31.6963 * CHOOSE(CONTROL!$C$22, $C$13, 100%, $E$13)</f>
        <v>31.696300000000001</v>
      </c>
      <c r="J988" s="68">
        <f>18.9948 * CHOOSE(CONTROL!$C$22, $C$13, 100%, $E$13)</f>
        <v>18.994800000000001</v>
      </c>
      <c r="K988" s="68">
        <f>18.9961 * CHOOSE(CONTROL!$C$22, $C$13, 100%, $E$13)</f>
        <v>18.996099999999998</v>
      </c>
    </row>
    <row r="989" spans="1:11" ht="15">
      <c r="A989" s="13">
        <v>71225</v>
      </c>
      <c r="B989" s="67">
        <f>16.9056 * CHOOSE(CONTROL!$C$22, $C$13, 100%, $E$13)</f>
        <v>16.9056</v>
      </c>
      <c r="C989" s="67">
        <f>16.9056 * CHOOSE(CONTROL!$C$22, $C$13, 100%, $E$13)</f>
        <v>16.9056</v>
      </c>
      <c r="D989" s="67">
        <f>16.9066 * CHOOSE(CONTROL!$C$22, $C$13, 100%, $E$13)</f>
        <v>16.906600000000001</v>
      </c>
      <c r="E989" s="68">
        <f>19.0697 * CHOOSE(CONTROL!$C$22, $C$13, 100%, $E$13)</f>
        <v>19.069700000000001</v>
      </c>
      <c r="F989" s="68">
        <f>19.0697 * CHOOSE(CONTROL!$C$22, $C$13, 100%, $E$13)</f>
        <v>19.069700000000001</v>
      </c>
      <c r="G989" s="68">
        <f>19.0709 * CHOOSE(CONTROL!$C$22, $C$13, 100%, $E$13)</f>
        <v>19.070900000000002</v>
      </c>
      <c r="H989" s="68">
        <f>31.4047* CHOOSE(CONTROL!$C$22, $C$13, 100%, $E$13)</f>
        <v>31.404699999999998</v>
      </c>
      <c r="I989" s="68">
        <f>31.406 * CHOOSE(CONTROL!$C$22, $C$13, 100%, $E$13)</f>
        <v>31.405999999999999</v>
      </c>
      <c r="J989" s="68">
        <f>19.0697 * CHOOSE(CONTROL!$C$22, $C$13, 100%, $E$13)</f>
        <v>19.069700000000001</v>
      </c>
      <c r="K989" s="68">
        <f>19.0709 * CHOOSE(CONTROL!$C$22, $C$13, 100%, $E$13)</f>
        <v>19.070900000000002</v>
      </c>
    </row>
    <row r="990" spans="1:11" ht="15">
      <c r="A990" s="13">
        <v>71256</v>
      </c>
      <c r="B990" s="67">
        <f>16.9025 * CHOOSE(CONTROL!$C$22, $C$13, 100%, $E$13)</f>
        <v>16.9025</v>
      </c>
      <c r="C990" s="67">
        <f>16.9025 * CHOOSE(CONTROL!$C$22, $C$13, 100%, $E$13)</f>
        <v>16.9025</v>
      </c>
      <c r="D990" s="67">
        <f>16.9035 * CHOOSE(CONTROL!$C$22, $C$13, 100%, $E$13)</f>
        <v>16.903500000000001</v>
      </c>
      <c r="E990" s="68">
        <f>18.7237 * CHOOSE(CONTROL!$C$22, $C$13, 100%, $E$13)</f>
        <v>18.723700000000001</v>
      </c>
      <c r="F990" s="68">
        <f>18.7237 * CHOOSE(CONTROL!$C$22, $C$13, 100%, $E$13)</f>
        <v>18.723700000000001</v>
      </c>
      <c r="G990" s="68">
        <f>18.725 * CHOOSE(CONTROL!$C$22, $C$13, 100%, $E$13)</f>
        <v>18.725000000000001</v>
      </c>
      <c r="H990" s="68">
        <f>31.4701* CHOOSE(CONTROL!$C$22, $C$13, 100%, $E$13)</f>
        <v>31.470099999999999</v>
      </c>
      <c r="I990" s="68">
        <f>31.4714 * CHOOSE(CONTROL!$C$22, $C$13, 100%, $E$13)</f>
        <v>31.471399999999999</v>
      </c>
      <c r="J990" s="68">
        <f>18.7237 * CHOOSE(CONTROL!$C$22, $C$13, 100%, $E$13)</f>
        <v>18.723700000000001</v>
      </c>
      <c r="K990" s="68">
        <f>18.725 * CHOOSE(CONTROL!$C$22, $C$13, 100%, $E$13)</f>
        <v>18.725000000000001</v>
      </c>
    </row>
    <row r="991" spans="1:11" ht="15">
      <c r="A991" s="13">
        <v>71284</v>
      </c>
      <c r="B991" s="67">
        <f>16.8995 * CHOOSE(CONTROL!$C$22, $C$13, 100%, $E$13)</f>
        <v>16.8995</v>
      </c>
      <c r="C991" s="67">
        <f>16.8995 * CHOOSE(CONTROL!$C$22, $C$13, 100%, $E$13)</f>
        <v>16.8995</v>
      </c>
      <c r="D991" s="67">
        <f>16.9005 * CHOOSE(CONTROL!$C$22, $C$13, 100%, $E$13)</f>
        <v>16.900500000000001</v>
      </c>
      <c r="E991" s="68">
        <f>18.9926 * CHOOSE(CONTROL!$C$22, $C$13, 100%, $E$13)</f>
        <v>18.992599999999999</v>
      </c>
      <c r="F991" s="68">
        <f>18.9926 * CHOOSE(CONTROL!$C$22, $C$13, 100%, $E$13)</f>
        <v>18.992599999999999</v>
      </c>
      <c r="G991" s="68">
        <f>18.9939 * CHOOSE(CONTROL!$C$22, $C$13, 100%, $E$13)</f>
        <v>18.9939</v>
      </c>
      <c r="H991" s="68">
        <f>31.5357* CHOOSE(CONTROL!$C$22, $C$13, 100%, $E$13)</f>
        <v>31.535699999999999</v>
      </c>
      <c r="I991" s="68">
        <f>31.537 * CHOOSE(CONTROL!$C$22, $C$13, 100%, $E$13)</f>
        <v>31.536999999999999</v>
      </c>
      <c r="J991" s="68">
        <f>18.9926 * CHOOSE(CONTROL!$C$22, $C$13, 100%, $E$13)</f>
        <v>18.992599999999999</v>
      </c>
      <c r="K991" s="68">
        <f>18.9939 * CHOOSE(CONTROL!$C$22, $C$13, 100%, $E$13)</f>
        <v>18.9939</v>
      </c>
    </row>
    <row r="992" spans="1:11" ht="15">
      <c r="A992" s="13">
        <v>71315</v>
      </c>
      <c r="B992" s="67">
        <f>16.9079 * CHOOSE(CONTROL!$C$22, $C$13, 100%, $E$13)</f>
        <v>16.907900000000001</v>
      </c>
      <c r="C992" s="67">
        <f>16.9079 * CHOOSE(CONTROL!$C$22, $C$13, 100%, $E$13)</f>
        <v>16.907900000000001</v>
      </c>
      <c r="D992" s="67">
        <f>16.9089 * CHOOSE(CONTROL!$C$22, $C$13, 100%, $E$13)</f>
        <v>16.908899999999999</v>
      </c>
      <c r="E992" s="68">
        <f>19.2795 * CHOOSE(CONTROL!$C$22, $C$13, 100%, $E$13)</f>
        <v>19.279499999999999</v>
      </c>
      <c r="F992" s="68">
        <f>19.2795 * CHOOSE(CONTROL!$C$22, $C$13, 100%, $E$13)</f>
        <v>19.279499999999999</v>
      </c>
      <c r="G992" s="68">
        <f>19.2808 * CHOOSE(CONTROL!$C$22, $C$13, 100%, $E$13)</f>
        <v>19.280799999999999</v>
      </c>
      <c r="H992" s="68">
        <f>31.6014* CHOOSE(CONTROL!$C$22, $C$13, 100%, $E$13)</f>
        <v>31.601400000000002</v>
      </c>
      <c r="I992" s="68">
        <f>31.6027 * CHOOSE(CONTROL!$C$22, $C$13, 100%, $E$13)</f>
        <v>31.602699999999999</v>
      </c>
      <c r="J992" s="68">
        <f>19.2795 * CHOOSE(CONTROL!$C$22, $C$13, 100%, $E$13)</f>
        <v>19.279499999999999</v>
      </c>
      <c r="K992" s="68">
        <f>19.2808 * CHOOSE(CONTROL!$C$22, $C$13, 100%, $E$13)</f>
        <v>19.280799999999999</v>
      </c>
    </row>
    <row r="993" spans="1:11" ht="15">
      <c r="A993" s="13">
        <v>71345</v>
      </c>
      <c r="B993" s="67">
        <f>16.9079 * CHOOSE(CONTROL!$C$22, $C$13, 100%, $E$13)</f>
        <v>16.907900000000001</v>
      </c>
      <c r="C993" s="67">
        <f>16.9079 * CHOOSE(CONTROL!$C$22, $C$13, 100%, $E$13)</f>
        <v>16.907900000000001</v>
      </c>
      <c r="D993" s="67">
        <f>16.9106 * CHOOSE(CONTROL!$C$22, $C$13, 100%, $E$13)</f>
        <v>16.910599999999999</v>
      </c>
      <c r="E993" s="68">
        <f>19.3887 * CHOOSE(CONTROL!$C$22, $C$13, 100%, $E$13)</f>
        <v>19.3887</v>
      </c>
      <c r="F993" s="68">
        <f>19.3887 * CHOOSE(CONTROL!$C$22, $C$13, 100%, $E$13)</f>
        <v>19.3887</v>
      </c>
      <c r="G993" s="68">
        <f>19.3919 * CHOOSE(CONTROL!$C$22, $C$13, 100%, $E$13)</f>
        <v>19.3919</v>
      </c>
      <c r="H993" s="68">
        <f>31.6672* CHOOSE(CONTROL!$C$22, $C$13, 100%, $E$13)</f>
        <v>31.667200000000001</v>
      </c>
      <c r="I993" s="68">
        <f>31.6705 * CHOOSE(CONTROL!$C$22, $C$13, 100%, $E$13)</f>
        <v>31.670500000000001</v>
      </c>
      <c r="J993" s="68">
        <f>19.3887 * CHOOSE(CONTROL!$C$22, $C$13, 100%, $E$13)</f>
        <v>19.3887</v>
      </c>
      <c r="K993" s="68">
        <f>19.3919 * CHOOSE(CONTROL!$C$22, $C$13, 100%, $E$13)</f>
        <v>19.3919</v>
      </c>
    </row>
    <row r="994" spans="1:11" ht="15">
      <c r="A994" s="13">
        <v>71376</v>
      </c>
      <c r="B994" s="67">
        <f>16.914 * CHOOSE(CONTROL!$C$22, $C$13, 100%, $E$13)</f>
        <v>16.914000000000001</v>
      </c>
      <c r="C994" s="67">
        <f>16.914 * CHOOSE(CONTROL!$C$22, $C$13, 100%, $E$13)</f>
        <v>16.914000000000001</v>
      </c>
      <c r="D994" s="67">
        <f>16.9166 * CHOOSE(CONTROL!$C$22, $C$13, 100%, $E$13)</f>
        <v>16.916599999999999</v>
      </c>
      <c r="E994" s="68">
        <f>19.2838 * CHOOSE(CONTROL!$C$22, $C$13, 100%, $E$13)</f>
        <v>19.283799999999999</v>
      </c>
      <c r="F994" s="68">
        <f>19.2838 * CHOOSE(CONTROL!$C$22, $C$13, 100%, $E$13)</f>
        <v>19.283799999999999</v>
      </c>
      <c r="G994" s="68">
        <f>19.287 * CHOOSE(CONTROL!$C$22, $C$13, 100%, $E$13)</f>
        <v>19.286999999999999</v>
      </c>
      <c r="H994" s="68">
        <f>31.7332* CHOOSE(CONTROL!$C$22, $C$13, 100%, $E$13)</f>
        <v>31.7332</v>
      </c>
      <c r="I994" s="68">
        <f>31.7365 * CHOOSE(CONTROL!$C$22, $C$13, 100%, $E$13)</f>
        <v>31.736499999999999</v>
      </c>
      <c r="J994" s="68">
        <f>19.2838 * CHOOSE(CONTROL!$C$22, $C$13, 100%, $E$13)</f>
        <v>19.283799999999999</v>
      </c>
      <c r="K994" s="68">
        <f>19.287 * CHOOSE(CONTROL!$C$22, $C$13, 100%, $E$13)</f>
        <v>19.286999999999999</v>
      </c>
    </row>
    <row r="995" spans="1:11" ht="15">
      <c r="A995" s="13">
        <v>71406</v>
      </c>
      <c r="B995" s="67">
        <f>17.1686 * CHOOSE(CONTROL!$C$22, $C$13, 100%, $E$13)</f>
        <v>17.168600000000001</v>
      </c>
      <c r="C995" s="67">
        <f>17.1686 * CHOOSE(CONTROL!$C$22, $C$13, 100%, $E$13)</f>
        <v>17.168600000000001</v>
      </c>
      <c r="D995" s="67">
        <f>17.1712 * CHOOSE(CONTROL!$C$22, $C$13, 100%, $E$13)</f>
        <v>17.171199999999999</v>
      </c>
      <c r="E995" s="68">
        <f>19.5882 * CHOOSE(CONTROL!$C$22, $C$13, 100%, $E$13)</f>
        <v>19.588200000000001</v>
      </c>
      <c r="F995" s="68">
        <f>19.5882 * CHOOSE(CONTROL!$C$22, $C$13, 100%, $E$13)</f>
        <v>19.588200000000001</v>
      </c>
      <c r="G995" s="68">
        <f>19.5914 * CHOOSE(CONTROL!$C$22, $C$13, 100%, $E$13)</f>
        <v>19.5914</v>
      </c>
      <c r="H995" s="68">
        <f>31.7993* CHOOSE(CONTROL!$C$22, $C$13, 100%, $E$13)</f>
        <v>31.799299999999999</v>
      </c>
      <c r="I995" s="68">
        <f>31.8026 * CHOOSE(CONTROL!$C$22, $C$13, 100%, $E$13)</f>
        <v>31.802600000000002</v>
      </c>
      <c r="J995" s="68">
        <f>19.5882 * CHOOSE(CONTROL!$C$22, $C$13, 100%, $E$13)</f>
        <v>19.588200000000001</v>
      </c>
      <c r="K995" s="68">
        <f>19.5914 * CHOOSE(CONTROL!$C$22, $C$13, 100%, $E$13)</f>
        <v>19.5914</v>
      </c>
    </row>
    <row r="996" spans="1:11" ht="15">
      <c r="A996" s="13">
        <v>71437</v>
      </c>
      <c r="B996" s="67">
        <f>17.1753 * CHOOSE(CONTROL!$C$22, $C$13, 100%, $E$13)</f>
        <v>17.1753</v>
      </c>
      <c r="C996" s="67">
        <f>17.1753 * CHOOSE(CONTROL!$C$22, $C$13, 100%, $E$13)</f>
        <v>17.1753</v>
      </c>
      <c r="D996" s="67">
        <f>17.1779 * CHOOSE(CONTROL!$C$22, $C$13, 100%, $E$13)</f>
        <v>17.177900000000001</v>
      </c>
      <c r="E996" s="68">
        <f>19.2653 * CHOOSE(CONTROL!$C$22, $C$13, 100%, $E$13)</f>
        <v>19.2653</v>
      </c>
      <c r="F996" s="68">
        <f>19.2653 * CHOOSE(CONTROL!$C$22, $C$13, 100%, $E$13)</f>
        <v>19.2653</v>
      </c>
      <c r="G996" s="68">
        <f>19.2686 * CHOOSE(CONTROL!$C$22, $C$13, 100%, $E$13)</f>
        <v>19.268599999999999</v>
      </c>
      <c r="H996" s="68">
        <f>31.8656* CHOOSE(CONTROL!$C$22, $C$13, 100%, $E$13)</f>
        <v>31.865600000000001</v>
      </c>
      <c r="I996" s="68">
        <f>31.8688 * CHOOSE(CONTROL!$C$22, $C$13, 100%, $E$13)</f>
        <v>31.8688</v>
      </c>
      <c r="J996" s="68">
        <f>19.2653 * CHOOSE(CONTROL!$C$22, $C$13, 100%, $E$13)</f>
        <v>19.2653</v>
      </c>
      <c r="K996" s="68">
        <f>19.2686 * CHOOSE(CONTROL!$C$22, $C$13, 100%, $E$13)</f>
        <v>19.268599999999999</v>
      </c>
    </row>
    <row r="997" spans="1:11" ht="15">
      <c r="A997" s="13">
        <v>71468</v>
      </c>
      <c r="B997" s="67">
        <f>17.1722 * CHOOSE(CONTROL!$C$22, $C$13, 100%, $E$13)</f>
        <v>17.1722</v>
      </c>
      <c r="C997" s="67">
        <f>17.1722 * CHOOSE(CONTROL!$C$22, $C$13, 100%, $E$13)</f>
        <v>17.1722</v>
      </c>
      <c r="D997" s="67">
        <f>17.1748 * CHOOSE(CONTROL!$C$22, $C$13, 100%, $E$13)</f>
        <v>17.174800000000001</v>
      </c>
      <c r="E997" s="68">
        <f>19.2268 * CHOOSE(CONTROL!$C$22, $C$13, 100%, $E$13)</f>
        <v>19.226800000000001</v>
      </c>
      <c r="F997" s="68">
        <f>19.2268 * CHOOSE(CONTROL!$C$22, $C$13, 100%, $E$13)</f>
        <v>19.226800000000001</v>
      </c>
      <c r="G997" s="68">
        <f>19.2301 * CHOOSE(CONTROL!$C$22, $C$13, 100%, $E$13)</f>
        <v>19.2301</v>
      </c>
      <c r="H997" s="68">
        <f>31.932* CHOOSE(CONTROL!$C$22, $C$13, 100%, $E$13)</f>
        <v>31.931999999999999</v>
      </c>
      <c r="I997" s="68">
        <f>31.9352 * CHOOSE(CONTROL!$C$22, $C$13, 100%, $E$13)</f>
        <v>31.935199999999998</v>
      </c>
      <c r="J997" s="68">
        <f>19.2268 * CHOOSE(CONTROL!$C$22, $C$13, 100%, $E$13)</f>
        <v>19.226800000000001</v>
      </c>
      <c r="K997" s="68">
        <f>19.2301 * CHOOSE(CONTROL!$C$22, $C$13, 100%, $E$13)</f>
        <v>19.2301</v>
      </c>
    </row>
    <row r="998" spans="1:11" ht="15">
      <c r="A998" s="13">
        <v>71498</v>
      </c>
      <c r="B998" s="67">
        <f>17.2096 * CHOOSE(CONTROL!$C$22, $C$13, 100%, $E$13)</f>
        <v>17.209599999999998</v>
      </c>
      <c r="C998" s="67">
        <f>17.2096 * CHOOSE(CONTROL!$C$22, $C$13, 100%, $E$13)</f>
        <v>17.209599999999998</v>
      </c>
      <c r="D998" s="67">
        <f>17.2106 * CHOOSE(CONTROL!$C$22, $C$13, 100%, $E$13)</f>
        <v>17.210599999999999</v>
      </c>
      <c r="E998" s="68">
        <f>19.359 * CHOOSE(CONTROL!$C$22, $C$13, 100%, $E$13)</f>
        <v>19.359000000000002</v>
      </c>
      <c r="F998" s="68">
        <f>19.359 * CHOOSE(CONTROL!$C$22, $C$13, 100%, $E$13)</f>
        <v>19.359000000000002</v>
      </c>
      <c r="G998" s="68">
        <f>19.3602 * CHOOSE(CONTROL!$C$22, $C$13, 100%, $E$13)</f>
        <v>19.360199999999999</v>
      </c>
      <c r="H998" s="68">
        <f>31.9985* CHOOSE(CONTROL!$C$22, $C$13, 100%, $E$13)</f>
        <v>31.9985</v>
      </c>
      <c r="I998" s="68">
        <f>31.9998 * CHOOSE(CONTROL!$C$22, $C$13, 100%, $E$13)</f>
        <v>31.9998</v>
      </c>
      <c r="J998" s="68">
        <f>19.359 * CHOOSE(CONTROL!$C$22, $C$13, 100%, $E$13)</f>
        <v>19.359000000000002</v>
      </c>
      <c r="K998" s="68">
        <f>19.3602 * CHOOSE(CONTROL!$C$22, $C$13, 100%, $E$13)</f>
        <v>19.360199999999999</v>
      </c>
    </row>
    <row r="999" spans="1:11" ht="15">
      <c r="A999" s="13">
        <v>71529</v>
      </c>
      <c r="B999" s="67">
        <f>17.2126 * CHOOSE(CONTROL!$C$22, $C$13, 100%, $E$13)</f>
        <v>17.212599999999998</v>
      </c>
      <c r="C999" s="67">
        <f>17.2126 * CHOOSE(CONTROL!$C$22, $C$13, 100%, $E$13)</f>
        <v>17.212599999999998</v>
      </c>
      <c r="D999" s="67">
        <f>17.2136 * CHOOSE(CONTROL!$C$22, $C$13, 100%, $E$13)</f>
        <v>17.2136</v>
      </c>
      <c r="E999" s="68">
        <f>19.4339 * CHOOSE(CONTROL!$C$22, $C$13, 100%, $E$13)</f>
        <v>19.433900000000001</v>
      </c>
      <c r="F999" s="68">
        <f>19.4339 * CHOOSE(CONTROL!$C$22, $C$13, 100%, $E$13)</f>
        <v>19.433900000000001</v>
      </c>
      <c r="G999" s="68">
        <f>19.4351 * CHOOSE(CONTROL!$C$22, $C$13, 100%, $E$13)</f>
        <v>19.435099999999998</v>
      </c>
      <c r="H999" s="68">
        <f>32.0651* CHOOSE(CONTROL!$C$22, $C$13, 100%, $E$13)</f>
        <v>32.065100000000001</v>
      </c>
      <c r="I999" s="68">
        <f>32.0664 * CHOOSE(CONTROL!$C$22, $C$13, 100%, $E$13)</f>
        <v>32.066400000000002</v>
      </c>
      <c r="J999" s="68">
        <f>19.4339 * CHOOSE(CONTROL!$C$22, $C$13, 100%, $E$13)</f>
        <v>19.433900000000001</v>
      </c>
      <c r="K999" s="68">
        <f>19.4351 * CHOOSE(CONTROL!$C$22, $C$13, 100%, $E$13)</f>
        <v>19.435099999999998</v>
      </c>
    </row>
    <row r="1000" spans="1:11" ht="15">
      <c r="A1000" s="13">
        <v>71559</v>
      </c>
      <c r="B1000" s="67">
        <f>17.2126 * CHOOSE(CONTROL!$C$22, $C$13, 100%, $E$13)</f>
        <v>17.212599999999998</v>
      </c>
      <c r="C1000" s="67">
        <f>17.2126 * CHOOSE(CONTROL!$C$22, $C$13, 100%, $E$13)</f>
        <v>17.212599999999998</v>
      </c>
      <c r="D1000" s="67">
        <f>17.2136 * CHOOSE(CONTROL!$C$22, $C$13, 100%, $E$13)</f>
        <v>17.2136</v>
      </c>
      <c r="E1000" s="68">
        <f>19.2519 * CHOOSE(CONTROL!$C$22, $C$13, 100%, $E$13)</f>
        <v>19.251899999999999</v>
      </c>
      <c r="F1000" s="68">
        <f>19.2519 * CHOOSE(CONTROL!$C$22, $C$13, 100%, $E$13)</f>
        <v>19.251899999999999</v>
      </c>
      <c r="G1000" s="68">
        <f>19.2532 * CHOOSE(CONTROL!$C$22, $C$13, 100%, $E$13)</f>
        <v>19.2532</v>
      </c>
      <c r="H1000" s="68">
        <f>32.1319* CHOOSE(CONTROL!$C$22, $C$13, 100%, $E$13)</f>
        <v>32.131900000000002</v>
      </c>
      <c r="I1000" s="68">
        <f>32.1332 * CHOOSE(CONTROL!$C$22, $C$13, 100%, $E$13)</f>
        <v>32.133200000000002</v>
      </c>
      <c r="J1000" s="68">
        <f>19.2519 * CHOOSE(CONTROL!$C$22, $C$13, 100%, $E$13)</f>
        <v>19.251899999999999</v>
      </c>
      <c r="K1000" s="68">
        <f>19.2532 * CHOOSE(CONTROL!$C$22, $C$13, 100%, $E$13)</f>
        <v>19.2532</v>
      </c>
    </row>
    <row r="1001" spans="1:11" ht="15">
      <c r="A1001" s="13">
        <v>71590</v>
      </c>
      <c r="B1001" s="67">
        <f>17.1412 * CHOOSE(CONTROL!$C$22, $C$13, 100%, $E$13)</f>
        <v>17.141200000000001</v>
      </c>
      <c r="C1001" s="67">
        <f>17.1412 * CHOOSE(CONTROL!$C$22, $C$13, 100%, $E$13)</f>
        <v>17.141200000000001</v>
      </c>
      <c r="D1001" s="67">
        <f>17.1421 * CHOOSE(CONTROL!$C$22, $C$13, 100%, $E$13)</f>
        <v>17.142099999999999</v>
      </c>
      <c r="E1001" s="68">
        <f>19.3244 * CHOOSE(CONTROL!$C$22, $C$13, 100%, $E$13)</f>
        <v>19.324400000000001</v>
      </c>
      <c r="F1001" s="68">
        <f>19.3244 * CHOOSE(CONTROL!$C$22, $C$13, 100%, $E$13)</f>
        <v>19.324400000000001</v>
      </c>
      <c r="G1001" s="68">
        <f>19.3257 * CHOOSE(CONTROL!$C$22, $C$13, 100%, $E$13)</f>
        <v>19.325700000000001</v>
      </c>
      <c r="H1001" s="68">
        <f>31.8317* CHOOSE(CONTROL!$C$22, $C$13, 100%, $E$13)</f>
        <v>31.831700000000001</v>
      </c>
      <c r="I1001" s="68">
        <f>31.833 * CHOOSE(CONTROL!$C$22, $C$13, 100%, $E$13)</f>
        <v>31.832999999999998</v>
      </c>
      <c r="J1001" s="68">
        <f>19.3244 * CHOOSE(CONTROL!$C$22, $C$13, 100%, $E$13)</f>
        <v>19.324400000000001</v>
      </c>
      <c r="K1001" s="68">
        <f>19.3257 * CHOOSE(CONTROL!$C$22, $C$13, 100%, $E$13)</f>
        <v>19.325700000000001</v>
      </c>
    </row>
    <row r="1002" spans="1:11" ht="15">
      <c r="A1002" s="13">
        <v>71621</v>
      </c>
      <c r="B1002" s="67">
        <f>17.1381 * CHOOSE(CONTROL!$C$22, $C$13, 100%, $E$13)</f>
        <v>17.138100000000001</v>
      </c>
      <c r="C1002" s="67">
        <f>17.1381 * CHOOSE(CONTROL!$C$22, $C$13, 100%, $E$13)</f>
        <v>17.138100000000001</v>
      </c>
      <c r="D1002" s="67">
        <f>17.1391 * CHOOSE(CONTROL!$C$22, $C$13, 100%, $E$13)</f>
        <v>17.139099999999999</v>
      </c>
      <c r="E1002" s="68">
        <f>18.9735 * CHOOSE(CONTROL!$C$22, $C$13, 100%, $E$13)</f>
        <v>18.973500000000001</v>
      </c>
      <c r="F1002" s="68">
        <f>18.9735 * CHOOSE(CONTROL!$C$22, $C$13, 100%, $E$13)</f>
        <v>18.973500000000001</v>
      </c>
      <c r="G1002" s="68">
        <f>18.9747 * CHOOSE(CONTROL!$C$22, $C$13, 100%, $E$13)</f>
        <v>18.974699999999999</v>
      </c>
      <c r="H1002" s="68">
        <f>31.8981* CHOOSE(CONTROL!$C$22, $C$13, 100%, $E$13)</f>
        <v>31.898099999999999</v>
      </c>
      <c r="I1002" s="68">
        <f>31.8993 * CHOOSE(CONTROL!$C$22, $C$13, 100%, $E$13)</f>
        <v>31.8993</v>
      </c>
      <c r="J1002" s="68">
        <f>18.9735 * CHOOSE(CONTROL!$C$22, $C$13, 100%, $E$13)</f>
        <v>18.973500000000001</v>
      </c>
      <c r="K1002" s="68">
        <f>18.9747 * CHOOSE(CONTROL!$C$22, $C$13, 100%, $E$13)</f>
        <v>18.974699999999999</v>
      </c>
    </row>
    <row r="1003" spans="1:11" ht="15">
      <c r="A1003" s="13">
        <v>71650</v>
      </c>
      <c r="B1003" s="67">
        <f>17.1351 * CHOOSE(CONTROL!$C$22, $C$13, 100%, $E$13)</f>
        <v>17.135100000000001</v>
      </c>
      <c r="C1003" s="67">
        <f>17.1351 * CHOOSE(CONTROL!$C$22, $C$13, 100%, $E$13)</f>
        <v>17.135100000000001</v>
      </c>
      <c r="D1003" s="67">
        <f>17.1361 * CHOOSE(CONTROL!$C$22, $C$13, 100%, $E$13)</f>
        <v>17.136099999999999</v>
      </c>
      <c r="E1003" s="68">
        <f>19.2463 * CHOOSE(CONTROL!$C$22, $C$13, 100%, $E$13)</f>
        <v>19.246300000000002</v>
      </c>
      <c r="F1003" s="68">
        <f>19.2463 * CHOOSE(CONTROL!$C$22, $C$13, 100%, $E$13)</f>
        <v>19.246300000000002</v>
      </c>
      <c r="G1003" s="68">
        <f>19.2476 * CHOOSE(CONTROL!$C$22, $C$13, 100%, $E$13)</f>
        <v>19.247599999999998</v>
      </c>
      <c r="H1003" s="68">
        <f>31.9645* CHOOSE(CONTROL!$C$22, $C$13, 100%, $E$13)</f>
        <v>31.964500000000001</v>
      </c>
      <c r="I1003" s="68">
        <f>31.9658 * CHOOSE(CONTROL!$C$22, $C$13, 100%, $E$13)</f>
        <v>31.965800000000002</v>
      </c>
      <c r="J1003" s="68">
        <f>19.2463 * CHOOSE(CONTROL!$C$22, $C$13, 100%, $E$13)</f>
        <v>19.246300000000002</v>
      </c>
      <c r="K1003" s="68">
        <f>19.2476 * CHOOSE(CONTROL!$C$22, $C$13, 100%, $E$13)</f>
        <v>19.247599999999998</v>
      </c>
    </row>
    <row r="1004" spans="1:11" ht="15">
      <c r="A1004" s="13">
        <v>71681</v>
      </c>
      <c r="B1004" s="67">
        <f>17.1437 * CHOOSE(CONTROL!$C$22, $C$13, 100%, $E$13)</f>
        <v>17.143699999999999</v>
      </c>
      <c r="C1004" s="67">
        <f>17.1437 * CHOOSE(CONTROL!$C$22, $C$13, 100%, $E$13)</f>
        <v>17.143699999999999</v>
      </c>
      <c r="D1004" s="67">
        <f>17.1447 * CHOOSE(CONTROL!$C$22, $C$13, 100%, $E$13)</f>
        <v>17.1447</v>
      </c>
      <c r="E1004" s="68">
        <f>19.5374 * CHOOSE(CONTROL!$C$22, $C$13, 100%, $E$13)</f>
        <v>19.537400000000002</v>
      </c>
      <c r="F1004" s="68">
        <f>19.5374 * CHOOSE(CONTROL!$C$22, $C$13, 100%, $E$13)</f>
        <v>19.537400000000002</v>
      </c>
      <c r="G1004" s="68">
        <f>19.5387 * CHOOSE(CONTROL!$C$22, $C$13, 100%, $E$13)</f>
        <v>19.538699999999999</v>
      </c>
      <c r="H1004" s="68">
        <f>32.0311* CHOOSE(CONTROL!$C$22, $C$13, 100%, $E$13)</f>
        <v>32.031100000000002</v>
      </c>
      <c r="I1004" s="68">
        <f>32.0324 * CHOOSE(CONTROL!$C$22, $C$13, 100%, $E$13)</f>
        <v>32.032400000000003</v>
      </c>
      <c r="J1004" s="68">
        <f>19.5374 * CHOOSE(CONTROL!$C$22, $C$13, 100%, $E$13)</f>
        <v>19.537400000000002</v>
      </c>
      <c r="K1004" s="68">
        <f>19.5387 * CHOOSE(CONTROL!$C$22, $C$13, 100%, $E$13)</f>
        <v>19.538699999999999</v>
      </c>
    </row>
    <row r="1005" spans="1:11" ht="15">
      <c r="A1005" s="13">
        <v>71711</v>
      </c>
      <c r="B1005" s="67">
        <f>17.1437 * CHOOSE(CONTROL!$C$22, $C$13, 100%, $E$13)</f>
        <v>17.143699999999999</v>
      </c>
      <c r="C1005" s="67">
        <f>17.1437 * CHOOSE(CONTROL!$C$22, $C$13, 100%, $E$13)</f>
        <v>17.143699999999999</v>
      </c>
      <c r="D1005" s="67">
        <f>17.1463 * CHOOSE(CONTROL!$C$22, $C$13, 100%, $E$13)</f>
        <v>17.1463</v>
      </c>
      <c r="E1005" s="68">
        <f>19.6481 * CHOOSE(CONTROL!$C$22, $C$13, 100%, $E$13)</f>
        <v>19.648099999999999</v>
      </c>
      <c r="F1005" s="68">
        <f>19.6481 * CHOOSE(CONTROL!$C$22, $C$13, 100%, $E$13)</f>
        <v>19.648099999999999</v>
      </c>
      <c r="G1005" s="68">
        <f>19.6514 * CHOOSE(CONTROL!$C$22, $C$13, 100%, $E$13)</f>
        <v>19.651399999999999</v>
      </c>
      <c r="H1005" s="68">
        <f>32.0978* CHOOSE(CONTROL!$C$22, $C$13, 100%, $E$13)</f>
        <v>32.097799999999999</v>
      </c>
      <c r="I1005" s="68">
        <f>32.1011 * CHOOSE(CONTROL!$C$22, $C$13, 100%, $E$13)</f>
        <v>32.101100000000002</v>
      </c>
      <c r="J1005" s="68">
        <f>19.6481 * CHOOSE(CONTROL!$C$22, $C$13, 100%, $E$13)</f>
        <v>19.648099999999999</v>
      </c>
      <c r="K1005" s="68">
        <f>19.6514 * CHOOSE(CONTROL!$C$22, $C$13, 100%, $E$13)</f>
        <v>19.651399999999999</v>
      </c>
    </row>
    <row r="1006" spans="1:11" ht="15">
      <c r="A1006" s="13">
        <v>71742</v>
      </c>
      <c r="B1006" s="67">
        <f>17.1498 * CHOOSE(CONTROL!$C$22, $C$13, 100%, $E$13)</f>
        <v>17.149799999999999</v>
      </c>
      <c r="C1006" s="67">
        <f>17.1498 * CHOOSE(CONTROL!$C$22, $C$13, 100%, $E$13)</f>
        <v>17.149799999999999</v>
      </c>
      <c r="D1006" s="67">
        <f>17.1524 * CHOOSE(CONTROL!$C$22, $C$13, 100%, $E$13)</f>
        <v>17.1524</v>
      </c>
      <c r="E1006" s="68">
        <f>19.5416 * CHOOSE(CONTROL!$C$22, $C$13, 100%, $E$13)</f>
        <v>19.541599999999999</v>
      </c>
      <c r="F1006" s="68">
        <f>19.5416 * CHOOSE(CONTROL!$C$22, $C$13, 100%, $E$13)</f>
        <v>19.541599999999999</v>
      </c>
      <c r="G1006" s="68">
        <f>19.5449 * CHOOSE(CONTROL!$C$22, $C$13, 100%, $E$13)</f>
        <v>19.544899999999998</v>
      </c>
      <c r="H1006" s="68">
        <f>32.1647* CHOOSE(CONTROL!$C$22, $C$13, 100%, $E$13)</f>
        <v>32.164700000000003</v>
      </c>
      <c r="I1006" s="68">
        <f>32.168 * CHOOSE(CONTROL!$C$22, $C$13, 100%, $E$13)</f>
        <v>32.167999999999999</v>
      </c>
      <c r="J1006" s="68">
        <f>19.5416 * CHOOSE(CONTROL!$C$22, $C$13, 100%, $E$13)</f>
        <v>19.541599999999999</v>
      </c>
      <c r="K1006" s="68">
        <f>19.5449 * CHOOSE(CONTROL!$C$22, $C$13, 100%, $E$13)</f>
        <v>19.544899999999998</v>
      </c>
    </row>
    <row r="1007" spans="1:11" ht="15">
      <c r="A1007" s="13">
        <v>71772</v>
      </c>
      <c r="B1007" s="67">
        <f>17.4078 * CHOOSE(CONTROL!$C$22, $C$13, 100%, $E$13)</f>
        <v>17.407800000000002</v>
      </c>
      <c r="C1007" s="67">
        <f>17.4078 * CHOOSE(CONTROL!$C$22, $C$13, 100%, $E$13)</f>
        <v>17.407800000000002</v>
      </c>
      <c r="D1007" s="67">
        <f>17.4104 * CHOOSE(CONTROL!$C$22, $C$13, 100%, $E$13)</f>
        <v>17.410399999999999</v>
      </c>
      <c r="E1007" s="68">
        <f>19.8499 * CHOOSE(CONTROL!$C$22, $C$13, 100%, $E$13)</f>
        <v>19.849900000000002</v>
      </c>
      <c r="F1007" s="68">
        <f>19.8499 * CHOOSE(CONTROL!$C$22, $C$13, 100%, $E$13)</f>
        <v>19.849900000000002</v>
      </c>
      <c r="G1007" s="68">
        <f>19.8532 * CHOOSE(CONTROL!$C$22, $C$13, 100%, $E$13)</f>
        <v>19.853200000000001</v>
      </c>
      <c r="H1007" s="68">
        <f>32.2317* CHOOSE(CONTROL!$C$22, $C$13, 100%, $E$13)</f>
        <v>32.231699999999996</v>
      </c>
      <c r="I1007" s="68">
        <f>32.235 * CHOOSE(CONTROL!$C$22, $C$13, 100%, $E$13)</f>
        <v>32.234999999999999</v>
      </c>
      <c r="J1007" s="68">
        <f>19.8499 * CHOOSE(CONTROL!$C$22, $C$13, 100%, $E$13)</f>
        <v>19.849900000000002</v>
      </c>
      <c r="K1007" s="68">
        <f>19.8532 * CHOOSE(CONTROL!$C$22, $C$13, 100%, $E$13)</f>
        <v>19.853200000000001</v>
      </c>
    </row>
    <row r="1008" spans="1:11" ht="15">
      <c r="A1008" s="13">
        <v>71803</v>
      </c>
      <c r="B1008" s="67">
        <f>17.4144 * CHOOSE(CONTROL!$C$22, $C$13, 100%, $E$13)</f>
        <v>17.414400000000001</v>
      </c>
      <c r="C1008" s="67">
        <f>17.4144 * CHOOSE(CONTROL!$C$22, $C$13, 100%, $E$13)</f>
        <v>17.414400000000001</v>
      </c>
      <c r="D1008" s="67">
        <f>17.4171 * CHOOSE(CONTROL!$C$22, $C$13, 100%, $E$13)</f>
        <v>17.417100000000001</v>
      </c>
      <c r="E1008" s="68">
        <f>19.5224 * CHOOSE(CONTROL!$C$22, $C$13, 100%, $E$13)</f>
        <v>19.522400000000001</v>
      </c>
      <c r="F1008" s="68">
        <f>19.5224 * CHOOSE(CONTROL!$C$22, $C$13, 100%, $E$13)</f>
        <v>19.522400000000001</v>
      </c>
      <c r="G1008" s="68">
        <f>19.5256 * CHOOSE(CONTROL!$C$22, $C$13, 100%, $E$13)</f>
        <v>19.525600000000001</v>
      </c>
      <c r="H1008" s="68">
        <f>32.2989* CHOOSE(CONTROL!$C$22, $C$13, 100%, $E$13)</f>
        <v>32.298900000000003</v>
      </c>
      <c r="I1008" s="68">
        <f>32.3021 * CHOOSE(CONTROL!$C$22, $C$13, 100%, $E$13)</f>
        <v>32.302100000000003</v>
      </c>
      <c r="J1008" s="68">
        <f>19.5224 * CHOOSE(CONTROL!$C$22, $C$13, 100%, $E$13)</f>
        <v>19.522400000000001</v>
      </c>
      <c r="K1008" s="68">
        <f>19.5256 * CHOOSE(CONTROL!$C$22, $C$13, 100%, $E$13)</f>
        <v>19.525600000000001</v>
      </c>
    </row>
    <row r="1009" spans="1:11" ht="15">
      <c r="A1009" s="13">
        <v>71834</v>
      </c>
      <c r="B1009" s="67">
        <f>17.4114 * CHOOSE(CONTROL!$C$22, $C$13, 100%, $E$13)</f>
        <v>17.4114</v>
      </c>
      <c r="C1009" s="67">
        <f>17.4114 * CHOOSE(CONTROL!$C$22, $C$13, 100%, $E$13)</f>
        <v>17.4114</v>
      </c>
      <c r="D1009" s="67">
        <f>17.414 * CHOOSE(CONTROL!$C$22, $C$13, 100%, $E$13)</f>
        <v>17.414000000000001</v>
      </c>
      <c r="E1009" s="68">
        <f>19.4834 * CHOOSE(CONTROL!$C$22, $C$13, 100%, $E$13)</f>
        <v>19.4834</v>
      </c>
      <c r="F1009" s="68">
        <f>19.4834 * CHOOSE(CONTROL!$C$22, $C$13, 100%, $E$13)</f>
        <v>19.4834</v>
      </c>
      <c r="G1009" s="68">
        <f>19.4866 * CHOOSE(CONTROL!$C$22, $C$13, 100%, $E$13)</f>
        <v>19.486599999999999</v>
      </c>
      <c r="H1009" s="68">
        <f>32.3661* CHOOSE(CONTROL!$C$22, $C$13, 100%, $E$13)</f>
        <v>32.366100000000003</v>
      </c>
      <c r="I1009" s="68">
        <f>32.3694 * CHOOSE(CONTROL!$C$22, $C$13, 100%, $E$13)</f>
        <v>32.369399999999999</v>
      </c>
      <c r="J1009" s="68">
        <f>19.4834 * CHOOSE(CONTROL!$C$22, $C$13, 100%, $E$13)</f>
        <v>19.4834</v>
      </c>
      <c r="K1009" s="68">
        <f>19.4866 * CHOOSE(CONTROL!$C$22, $C$13, 100%, $E$13)</f>
        <v>19.486599999999999</v>
      </c>
    </row>
    <row r="1010" spans="1:11" ht="15">
      <c r="A1010" s="13">
        <v>71864</v>
      </c>
      <c r="B1010" s="67">
        <f>17.4495 * CHOOSE(CONTROL!$C$22, $C$13, 100%, $E$13)</f>
        <v>17.4495</v>
      </c>
      <c r="C1010" s="67">
        <f>17.4495 * CHOOSE(CONTROL!$C$22, $C$13, 100%, $E$13)</f>
        <v>17.4495</v>
      </c>
      <c r="D1010" s="67">
        <f>17.4505 * CHOOSE(CONTROL!$C$22, $C$13, 100%, $E$13)</f>
        <v>17.450500000000002</v>
      </c>
      <c r="E1010" s="68">
        <f>19.6176 * CHOOSE(CONTROL!$C$22, $C$13, 100%, $E$13)</f>
        <v>19.617599999999999</v>
      </c>
      <c r="F1010" s="68">
        <f>19.6176 * CHOOSE(CONTROL!$C$22, $C$13, 100%, $E$13)</f>
        <v>19.617599999999999</v>
      </c>
      <c r="G1010" s="68">
        <f>19.6189 * CHOOSE(CONTROL!$C$22, $C$13, 100%, $E$13)</f>
        <v>19.6189</v>
      </c>
      <c r="H1010" s="68">
        <f>32.4336* CHOOSE(CONTROL!$C$22, $C$13, 100%, $E$13)</f>
        <v>32.433599999999998</v>
      </c>
      <c r="I1010" s="68">
        <f>32.4349 * CHOOSE(CONTROL!$C$22, $C$13, 100%, $E$13)</f>
        <v>32.434899999999999</v>
      </c>
      <c r="J1010" s="68">
        <f>19.6176 * CHOOSE(CONTROL!$C$22, $C$13, 100%, $E$13)</f>
        <v>19.617599999999999</v>
      </c>
      <c r="K1010" s="68">
        <f>19.6189 * CHOOSE(CONTROL!$C$22, $C$13, 100%, $E$13)</f>
        <v>19.6189</v>
      </c>
    </row>
    <row r="1011" spans="1:11" ht="15">
      <c r="A1011" s="13">
        <v>71895</v>
      </c>
      <c r="B1011" s="67">
        <f>17.4526 * CHOOSE(CONTROL!$C$22, $C$13, 100%, $E$13)</f>
        <v>17.4526</v>
      </c>
      <c r="C1011" s="67">
        <f>17.4526 * CHOOSE(CONTROL!$C$22, $C$13, 100%, $E$13)</f>
        <v>17.4526</v>
      </c>
      <c r="D1011" s="67">
        <f>17.4535 * CHOOSE(CONTROL!$C$22, $C$13, 100%, $E$13)</f>
        <v>17.453499999999998</v>
      </c>
      <c r="E1011" s="68">
        <f>19.6935 * CHOOSE(CONTROL!$C$22, $C$13, 100%, $E$13)</f>
        <v>19.6935</v>
      </c>
      <c r="F1011" s="68">
        <f>19.6935 * CHOOSE(CONTROL!$C$22, $C$13, 100%, $E$13)</f>
        <v>19.6935</v>
      </c>
      <c r="G1011" s="68">
        <f>19.6948 * CHOOSE(CONTROL!$C$22, $C$13, 100%, $E$13)</f>
        <v>19.694800000000001</v>
      </c>
      <c r="H1011" s="68">
        <f>32.5011* CHOOSE(CONTROL!$C$22, $C$13, 100%, $E$13)</f>
        <v>32.501100000000001</v>
      </c>
      <c r="I1011" s="68">
        <f>32.5024 * CHOOSE(CONTROL!$C$22, $C$13, 100%, $E$13)</f>
        <v>32.502400000000002</v>
      </c>
      <c r="J1011" s="68">
        <f>19.6935 * CHOOSE(CONTROL!$C$22, $C$13, 100%, $E$13)</f>
        <v>19.6935</v>
      </c>
      <c r="K1011" s="68">
        <f>19.6948 * CHOOSE(CONTROL!$C$22, $C$13, 100%, $E$13)</f>
        <v>19.694800000000001</v>
      </c>
    </row>
    <row r="1012" spans="1:11" ht="15">
      <c r="A1012" s="13">
        <v>71925</v>
      </c>
      <c r="B1012" s="67">
        <f>17.4526 * CHOOSE(CONTROL!$C$22, $C$13, 100%, $E$13)</f>
        <v>17.4526</v>
      </c>
      <c r="C1012" s="67">
        <f>17.4526 * CHOOSE(CONTROL!$C$22, $C$13, 100%, $E$13)</f>
        <v>17.4526</v>
      </c>
      <c r="D1012" s="67">
        <f>17.4535 * CHOOSE(CONTROL!$C$22, $C$13, 100%, $E$13)</f>
        <v>17.453499999999998</v>
      </c>
      <c r="E1012" s="68">
        <f>19.509 * CHOOSE(CONTROL!$C$22, $C$13, 100%, $E$13)</f>
        <v>19.509</v>
      </c>
      <c r="F1012" s="68">
        <f>19.509 * CHOOSE(CONTROL!$C$22, $C$13, 100%, $E$13)</f>
        <v>19.509</v>
      </c>
      <c r="G1012" s="68">
        <f>19.5103 * CHOOSE(CONTROL!$C$22, $C$13, 100%, $E$13)</f>
        <v>19.510300000000001</v>
      </c>
      <c r="H1012" s="68">
        <f>32.5689* CHOOSE(CONTROL!$C$22, $C$13, 100%, $E$13)</f>
        <v>32.568899999999999</v>
      </c>
      <c r="I1012" s="68">
        <f>32.5701 * CHOOSE(CONTROL!$C$22, $C$13, 100%, $E$13)</f>
        <v>32.570099999999996</v>
      </c>
      <c r="J1012" s="68">
        <f>19.509 * CHOOSE(CONTROL!$C$22, $C$13, 100%, $E$13)</f>
        <v>19.509</v>
      </c>
      <c r="K1012" s="68">
        <f>19.5103 * CHOOSE(CONTROL!$C$22, $C$13, 100%, $E$13)</f>
        <v>19.510300000000001</v>
      </c>
    </row>
    <row r="1013" spans="1:11" ht="15">
      <c r="A1013" s="13">
        <v>71956</v>
      </c>
      <c r="B1013" s="67">
        <f>17.3767 * CHOOSE(CONTROL!$C$22, $C$13, 100%, $E$13)</f>
        <v>17.3767</v>
      </c>
      <c r="C1013" s="67">
        <f>17.3767 * CHOOSE(CONTROL!$C$22, $C$13, 100%, $E$13)</f>
        <v>17.3767</v>
      </c>
      <c r="D1013" s="67">
        <f>17.3777 * CHOOSE(CONTROL!$C$22, $C$13, 100%, $E$13)</f>
        <v>17.377700000000001</v>
      </c>
      <c r="E1013" s="68">
        <f>19.5791 * CHOOSE(CONTROL!$C$22, $C$13, 100%, $E$13)</f>
        <v>19.5791</v>
      </c>
      <c r="F1013" s="68">
        <f>19.5791 * CHOOSE(CONTROL!$C$22, $C$13, 100%, $E$13)</f>
        <v>19.5791</v>
      </c>
      <c r="G1013" s="68">
        <f>19.5804 * CHOOSE(CONTROL!$C$22, $C$13, 100%, $E$13)</f>
        <v>19.580400000000001</v>
      </c>
      <c r="H1013" s="68">
        <f>32.2588* CHOOSE(CONTROL!$C$22, $C$13, 100%, $E$13)</f>
        <v>32.258800000000001</v>
      </c>
      <c r="I1013" s="68">
        <f>32.26 * CHOOSE(CONTROL!$C$22, $C$13, 100%, $E$13)</f>
        <v>32.26</v>
      </c>
      <c r="J1013" s="68">
        <f>19.5791 * CHOOSE(CONTROL!$C$22, $C$13, 100%, $E$13)</f>
        <v>19.5791</v>
      </c>
      <c r="K1013" s="68">
        <f>19.5804 * CHOOSE(CONTROL!$C$22, $C$13, 100%, $E$13)</f>
        <v>19.580400000000001</v>
      </c>
    </row>
    <row r="1014" spans="1:11" ht="15">
      <c r="A1014" s="13">
        <v>71987</v>
      </c>
      <c r="B1014" s="67">
        <f>17.3737 * CHOOSE(CONTROL!$C$22, $C$13, 100%, $E$13)</f>
        <v>17.373699999999999</v>
      </c>
      <c r="C1014" s="67">
        <f>17.3737 * CHOOSE(CONTROL!$C$22, $C$13, 100%, $E$13)</f>
        <v>17.373699999999999</v>
      </c>
      <c r="D1014" s="67">
        <f>17.3747 * CHOOSE(CONTROL!$C$22, $C$13, 100%, $E$13)</f>
        <v>17.374700000000001</v>
      </c>
      <c r="E1014" s="68">
        <f>19.2233 * CHOOSE(CONTROL!$C$22, $C$13, 100%, $E$13)</f>
        <v>19.223299999999998</v>
      </c>
      <c r="F1014" s="68">
        <f>19.2233 * CHOOSE(CONTROL!$C$22, $C$13, 100%, $E$13)</f>
        <v>19.223299999999998</v>
      </c>
      <c r="G1014" s="68">
        <f>19.2245 * CHOOSE(CONTROL!$C$22, $C$13, 100%, $E$13)</f>
        <v>19.224499999999999</v>
      </c>
      <c r="H1014" s="68">
        <f>32.326* CHOOSE(CONTROL!$C$22, $C$13, 100%, $E$13)</f>
        <v>32.326000000000001</v>
      </c>
      <c r="I1014" s="68">
        <f>32.3272 * CHOOSE(CONTROL!$C$22, $C$13, 100%, $E$13)</f>
        <v>32.327199999999998</v>
      </c>
      <c r="J1014" s="68">
        <f>19.2233 * CHOOSE(CONTROL!$C$22, $C$13, 100%, $E$13)</f>
        <v>19.223299999999998</v>
      </c>
      <c r="K1014" s="68">
        <f>19.2245 * CHOOSE(CONTROL!$C$22, $C$13, 100%, $E$13)</f>
        <v>19.224499999999999</v>
      </c>
    </row>
    <row r="1015" spans="1:11" ht="15">
      <c r="A1015" s="13">
        <v>72015</v>
      </c>
      <c r="B1015" s="67">
        <f>17.3706 * CHOOSE(CONTROL!$C$22, $C$13, 100%, $E$13)</f>
        <v>17.3706</v>
      </c>
      <c r="C1015" s="67">
        <f>17.3706 * CHOOSE(CONTROL!$C$22, $C$13, 100%, $E$13)</f>
        <v>17.3706</v>
      </c>
      <c r="D1015" s="67">
        <f>17.3716 * CHOOSE(CONTROL!$C$22, $C$13, 100%, $E$13)</f>
        <v>17.371600000000001</v>
      </c>
      <c r="E1015" s="68">
        <f>19.5 * CHOOSE(CONTROL!$C$22, $C$13, 100%, $E$13)</f>
        <v>19.5</v>
      </c>
      <c r="F1015" s="68">
        <f>19.5 * CHOOSE(CONTROL!$C$22, $C$13, 100%, $E$13)</f>
        <v>19.5</v>
      </c>
      <c r="G1015" s="68">
        <f>19.5013 * CHOOSE(CONTROL!$C$22, $C$13, 100%, $E$13)</f>
        <v>19.501300000000001</v>
      </c>
      <c r="H1015" s="68">
        <f>32.3933* CHOOSE(CONTROL!$C$22, $C$13, 100%, $E$13)</f>
        <v>32.393300000000004</v>
      </c>
      <c r="I1015" s="68">
        <f>32.3946 * CHOOSE(CONTROL!$C$22, $C$13, 100%, $E$13)</f>
        <v>32.394599999999997</v>
      </c>
      <c r="J1015" s="68">
        <f>19.5 * CHOOSE(CONTROL!$C$22, $C$13, 100%, $E$13)</f>
        <v>19.5</v>
      </c>
      <c r="K1015" s="68">
        <f>19.5013 * CHOOSE(CONTROL!$C$22, $C$13, 100%, $E$13)</f>
        <v>19.501300000000001</v>
      </c>
    </row>
    <row r="1016" spans="1:11" ht="15">
      <c r="A1016" s="13">
        <v>72046</v>
      </c>
      <c r="B1016" s="67">
        <f>17.3795 * CHOOSE(CONTROL!$C$22, $C$13, 100%, $E$13)</f>
        <v>17.3795</v>
      </c>
      <c r="C1016" s="67">
        <f>17.3795 * CHOOSE(CONTROL!$C$22, $C$13, 100%, $E$13)</f>
        <v>17.3795</v>
      </c>
      <c r="D1016" s="67">
        <f>17.3804 * CHOOSE(CONTROL!$C$22, $C$13, 100%, $E$13)</f>
        <v>17.380400000000002</v>
      </c>
      <c r="E1016" s="68">
        <f>19.7952 * CHOOSE(CONTROL!$C$22, $C$13, 100%, $E$13)</f>
        <v>19.795200000000001</v>
      </c>
      <c r="F1016" s="68">
        <f>19.7952 * CHOOSE(CONTROL!$C$22, $C$13, 100%, $E$13)</f>
        <v>19.795200000000001</v>
      </c>
      <c r="G1016" s="68">
        <f>19.7965 * CHOOSE(CONTROL!$C$22, $C$13, 100%, $E$13)</f>
        <v>19.796500000000002</v>
      </c>
      <c r="H1016" s="68">
        <f>32.4608* CHOOSE(CONTROL!$C$22, $C$13, 100%, $E$13)</f>
        <v>32.460799999999999</v>
      </c>
      <c r="I1016" s="68">
        <f>32.4621 * CHOOSE(CONTROL!$C$22, $C$13, 100%, $E$13)</f>
        <v>32.4621</v>
      </c>
      <c r="J1016" s="68">
        <f>19.7952 * CHOOSE(CONTROL!$C$22, $C$13, 100%, $E$13)</f>
        <v>19.795200000000001</v>
      </c>
      <c r="K1016" s="68">
        <f>19.7965 * CHOOSE(CONTROL!$C$22, $C$13, 100%, $E$13)</f>
        <v>19.796500000000002</v>
      </c>
    </row>
    <row r="1017" spans="1:11" ht="15">
      <c r="A1017" s="13">
        <v>72076</v>
      </c>
      <c r="B1017" s="67">
        <f>17.3795 * CHOOSE(CONTROL!$C$22, $C$13, 100%, $E$13)</f>
        <v>17.3795</v>
      </c>
      <c r="C1017" s="67">
        <f>17.3795 * CHOOSE(CONTROL!$C$22, $C$13, 100%, $E$13)</f>
        <v>17.3795</v>
      </c>
      <c r="D1017" s="67">
        <f>17.3821 * CHOOSE(CONTROL!$C$22, $C$13, 100%, $E$13)</f>
        <v>17.382100000000001</v>
      </c>
      <c r="E1017" s="68">
        <f>19.9075 * CHOOSE(CONTROL!$C$22, $C$13, 100%, $E$13)</f>
        <v>19.907499999999999</v>
      </c>
      <c r="F1017" s="68">
        <f>19.9075 * CHOOSE(CONTROL!$C$22, $C$13, 100%, $E$13)</f>
        <v>19.907499999999999</v>
      </c>
      <c r="G1017" s="68">
        <f>19.9108 * CHOOSE(CONTROL!$C$22, $C$13, 100%, $E$13)</f>
        <v>19.910799999999998</v>
      </c>
      <c r="H1017" s="68">
        <f>32.5284* CHOOSE(CONTROL!$C$22, $C$13, 100%, $E$13)</f>
        <v>32.528399999999998</v>
      </c>
      <c r="I1017" s="68">
        <f>32.5317 * CHOOSE(CONTROL!$C$22, $C$13, 100%, $E$13)</f>
        <v>32.531700000000001</v>
      </c>
      <c r="J1017" s="68">
        <f>19.9075 * CHOOSE(CONTROL!$C$22, $C$13, 100%, $E$13)</f>
        <v>19.907499999999999</v>
      </c>
      <c r="K1017" s="68">
        <f>19.9108 * CHOOSE(CONTROL!$C$22, $C$13, 100%, $E$13)</f>
        <v>19.910799999999998</v>
      </c>
    </row>
    <row r="1018" spans="1:11" ht="15">
      <c r="A1018" s="13">
        <v>72107</v>
      </c>
      <c r="B1018" s="67">
        <f>17.3855 * CHOOSE(CONTROL!$C$22, $C$13, 100%, $E$13)</f>
        <v>17.3855</v>
      </c>
      <c r="C1018" s="67">
        <f>17.3855 * CHOOSE(CONTROL!$C$22, $C$13, 100%, $E$13)</f>
        <v>17.3855</v>
      </c>
      <c r="D1018" s="67">
        <f>17.3882 * CHOOSE(CONTROL!$C$22, $C$13, 100%, $E$13)</f>
        <v>17.388200000000001</v>
      </c>
      <c r="E1018" s="68">
        <f>19.7995 * CHOOSE(CONTROL!$C$22, $C$13, 100%, $E$13)</f>
        <v>19.799499999999998</v>
      </c>
      <c r="F1018" s="68">
        <f>19.7995 * CHOOSE(CONTROL!$C$22, $C$13, 100%, $E$13)</f>
        <v>19.799499999999998</v>
      </c>
      <c r="G1018" s="68">
        <f>19.8027 * CHOOSE(CONTROL!$C$22, $C$13, 100%, $E$13)</f>
        <v>19.802700000000002</v>
      </c>
      <c r="H1018" s="68">
        <f>32.5962* CHOOSE(CONTROL!$C$22, $C$13, 100%, $E$13)</f>
        <v>32.596200000000003</v>
      </c>
      <c r="I1018" s="68">
        <f>32.5994 * CHOOSE(CONTROL!$C$22, $C$13, 100%, $E$13)</f>
        <v>32.599400000000003</v>
      </c>
      <c r="J1018" s="68">
        <f>19.7995 * CHOOSE(CONTROL!$C$22, $C$13, 100%, $E$13)</f>
        <v>19.799499999999998</v>
      </c>
      <c r="K1018" s="68">
        <f>19.8027 * CHOOSE(CONTROL!$C$22, $C$13, 100%, $E$13)</f>
        <v>19.802700000000002</v>
      </c>
    </row>
    <row r="1019" spans="1:11" ht="15">
      <c r="A1019" s="13">
        <v>72137</v>
      </c>
      <c r="B1019" s="67">
        <f>17.6469 * CHOOSE(CONTROL!$C$22, $C$13, 100%, $E$13)</f>
        <v>17.646899999999999</v>
      </c>
      <c r="C1019" s="67">
        <f>17.6469 * CHOOSE(CONTROL!$C$22, $C$13, 100%, $E$13)</f>
        <v>17.646899999999999</v>
      </c>
      <c r="D1019" s="67">
        <f>17.6496 * CHOOSE(CONTROL!$C$22, $C$13, 100%, $E$13)</f>
        <v>17.6496</v>
      </c>
      <c r="E1019" s="68">
        <f>20.1117 * CHOOSE(CONTROL!$C$22, $C$13, 100%, $E$13)</f>
        <v>20.111699999999999</v>
      </c>
      <c r="F1019" s="68">
        <f>20.1117 * CHOOSE(CONTROL!$C$22, $C$13, 100%, $E$13)</f>
        <v>20.111699999999999</v>
      </c>
      <c r="G1019" s="68">
        <f>20.115 * CHOOSE(CONTROL!$C$22, $C$13, 100%, $E$13)</f>
        <v>20.114999999999998</v>
      </c>
      <c r="H1019" s="68">
        <f>32.6641* CHOOSE(CONTROL!$C$22, $C$13, 100%, $E$13)</f>
        <v>32.664099999999998</v>
      </c>
      <c r="I1019" s="68">
        <f>32.6674 * CHOOSE(CONTROL!$C$22, $C$13, 100%, $E$13)</f>
        <v>32.667400000000001</v>
      </c>
      <c r="J1019" s="68">
        <f>20.1117 * CHOOSE(CONTROL!$C$22, $C$13, 100%, $E$13)</f>
        <v>20.111699999999999</v>
      </c>
      <c r="K1019" s="68">
        <f>20.115 * CHOOSE(CONTROL!$C$22, $C$13, 100%, $E$13)</f>
        <v>20.114999999999998</v>
      </c>
    </row>
    <row r="1020" spans="1:11" ht="15">
      <c r="A1020" s="13">
        <v>72168</v>
      </c>
      <c r="B1020" s="67">
        <f>17.6536 * CHOOSE(CONTROL!$C$22, $C$13, 100%, $E$13)</f>
        <v>17.653600000000001</v>
      </c>
      <c r="C1020" s="67">
        <f>17.6536 * CHOOSE(CONTROL!$C$22, $C$13, 100%, $E$13)</f>
        <v>17.653600000000001</v>
      </c>
      <c r="D1020" s="67">
        <f>17.6562 * CHOOSE(CONTROL!$C$22, $C$13, 100%, $E$13)</f>
        <v>17.656199999999998</v>
      </c>
      <c r="E1020" s="68">
        <f>19.7795 * CHOOSE(CONTROL!$C$22, $C$13, 100%, $E$13)</f>
        <v>19.779499999999999</v>
      </c>
      <c r="F1020" s="68">
        <f>19.7795 * CHOOSE(CONTROL!$C$22, $C$13, 100%, $E$13)</f>
        <v>19.779499999999999</v>
      </c>
      <c r="G1020" s="68">
        <f>19.7827 * CHOOSE(CONTROL!$C$22, $C$13, 100%, $E$13)</f>
        <v>19.782699999999998</v>
      </c>
      <c r="H1020" s="68">
        <f>32.7321* CHOOSE(CONTROL!$C$22, $C$13, 100%, $E$13)</f>
        <v>32.732100000000003</v>
      </c>
      <c r="I1020" s="68">
        <f>32.7354 * CHOOSE(CONTROL!$C$22, $C$13, 100%, $E$13)</f>
        <v>32.735399999999998</v>
      </c>
      <c r="J1020" s="68">
        <f>19.7795 * CHOOSE(CONTROL!$C$22, $C$13, 100%, $E$13)</f>
        <v>19.779499999999999</v>
      </c>
      <c r="K1020" s="68">
        <f>19.7827 * CHOOSE(CONTROL!$C$22, $C$13, 100%, $E$13)</f>
        <v>19.782699999999998</v>
      </c>
    </row>
    <row r="1021" spans="1:11" ht="15">
      <c r="A1021" s="13">
        <v>72199</v>
      </c>
      <c r="B1021" s="67">
        <f>17.6506 * CHOOSE(CONTROL!$C$22, $C$13, 100%, $E$13)</f>
        <v>17.650600000000001</v>
      </c>
      <c r="C1021" s="67">
        <f>17.6506 * CHOOSE(CONTROL!$C$22, $C$13, 100%, $E$13)</f>
        <v>17.650600000000001</v>
      </c>
      <c r="D1021" s="67">
        <f>17.6532 * CHOOSE(CONTROL!$C$22, $C$13, 100%, $E$13)</f>
        <v>17.653199999999998</v>
      </c>
      <c r="E1021" s="68">
        <f>19.7399 * CHOOSE(CONTROL!$C$22, $C$13, 100%, $E$13)</f>
        <v>19.739899999999999</v>
      </c>
      <c r="F1021" s="68">
        <f>19.7399 * CHOOSE(CONTROL!$C$22, $C$13, 100%, $E$13)</f>
        <v>19.739899999999999</v>
      </c>
      <c r="G1021" s="68">
        <f>19.7432 * CHOOSE(CONTROL!$C$22, $C$13, 100%, $E$13)</f>
        <v>19.743200000000002</v>
      </c>
      <c r="H1021" s="68">
        <f>32.8003* CHOOSE(CONTROL!$C$22, $C$13, 100%, $E$13)</f>
        <v>32.8003</v>
      </c>
      <c r="I1021" s="68">
        <f>32.8036 * CHOOSE(CONTROL!$C$22, $C$13, 100%, $E$13)</f>
        <v>32.803600000000003</v>
      </c>
      <c r="J1021" s="68">
        <f>19.7399 * CHOOSE(CONTROL!$C$22, $C$13, 100%, $E$13)</f>
        <v>19.739899999999999</v>
      </c>
      <c r="K1021" s="68">
        <f>19.7432 * CHOOSE(CONTROL!$C$22, $C$13, 100%, $E$13)</f>
        <v>19.743200000000002</v>
      </c>
    </row>
    <row r="1022" spans="1:11" ht="15">
      <c r="A1022" s="13">
        <v>72229</v>
      </c>
      <c r="B1022" s="67">
        <f>17.6895 * CHOOSE(CONTROL!$C$22, $C$13, 100%, $E$13)</f>
        <v>17.689499999999999</v>
      </c>
      <c r="C1022" s="67">
        <f>17.6895 * CHOOSE(CONTROL!$C$22, $C$13, 100%, $E$13)</f>
        <v>17.689499999999999</v>
      </c>
      <c r="D1022" s="67">
        <f>17.6904 * CHOOSE(CONTROL!$C$22, $C$13, 100%, $E$13)</f>
        <v>17.6904</v>
      </c>
      <c r="E1022" s="68">
        <f>19.8762 * CHOOSE(CONTROL!$C$22, $C$13, 100%, $E$13)</f>
        <v>19.876200000000001</v>
      </c>
      <c r="F1022" s="68">
        <f>19.8762 * CHOOSE(CONTROL!$C$22, $C$13, 100%, $E$13)</f>
        <v>19.876200000000001</v>
      </c>
      <c r="G1022" s="68">
        <f>19.8775 * CHOOSE(CONTROL!$C$22, $C$13, 100%, $E$13)</f>
        <v>19.877500000000001</v>
      </c>
      <c r="H1022" s="68">
        <f>32.8687* CHOOSE(CONTROL!$C$22, $C$13, 100%, $E$13)</f>
        <v>32.868699999999997</v>
      </c>
      <c r="I1022" s="68">
        <f>32.87 * CHOOSE(CONTROL!$C$22, $C$13, 100%, $E$13)</f>
        <v>32.869999999999997</v>
      </c>
      <c r="J1022" s="68">
        <f>19.8762 * CHOOSE(CONTROL!$C$22, $C$13, 100%, $E$13)</f>
        <v>19.876200000000001</v>
      </c>
      <c r="K1022" s="68">
        <f>19.8775 * CHOOSE(CONTROL!$C$22, $C$13, 100%, $E$13)</f>
        <v>19.877500000000001</v>
      </c>
    </row>
    <row r="1023" spans="1:11" ht="15">
      <c r="A1023" s="13">
        <v>72260</v>
      </c>
      <c r="B1023" s="67">
        <f>17.6925 * CHOOSE(CONTROL!$C$22, $C$13, 100%, $E$13)</f>
        <v>17.692499999999999</v>
      </c>
      <c r="C1023" s="67">
        <f>17.6925 * CHOOSE(CONTROL!$C$22, $C$13, 100%, $E$13)</f>
        <v>17.692499999999999</v>
      </c>
      <c r="D1023" s="67">
        <f>17.6935 * CHOOSE(CONTROL!$C$22, $C$13, 100%, $E$13)</f>
        <v>17.6935</v>
      </c>
      <c r="E1023" s="68">
        <f>19.9532 * CHOOSE(CONTROL!$C$22, $C$13, 100%, $E$13)</f>
        <v>19.953199999999999</v>
      </c>
      <c r="F1023" s="68">
        <f>19.9532 * CHOOSE(CONTROL!$C$22, $C$13, 100%, $E$13)</f>
        <v>19.953199999999999</v>
      </c>
      <c r="G1023" s="68">
        <f>19.9545 * CHOOSE(CONTROL!$C$22, $C$13, 100%, $E$13)</f>
        <v>19.954499999999999</v>
      </c>
      <c r="H1023" s="68">
        <f>32.9371* CHOOSE(CONTROL!$C$22, $C$13, 100%, $E$13)</f>
        <v>32.937100000000001</v>
      </c>
      <c r="I1023" s="68">
        <f>32.9384 * CHOOSE(CONTROL!$C$22, $C$13, 100%, $E$13)</f>
        <v>32.938400000000001</v>
      </c>
      <c r="J1023" s="68">
        <f>19.9532 * CHOOSE(CONTROL!$C$22, $C$13, 100%, $E$13)</f>
        <v>19.953199999999999</v>
      </c>
      <c r="K1023" s="68">
        <f>19.9545 * CHOOSE(CONTROL!$C$22, $C$13, 100%, $E$13)</f>
        <v>19.954499999999999</v>
      </c>
    </row>
    <row r="1024" spans="1:11" ht="15">
      <c r="A1024" s="13">
        <v>72290</v>
      </c>
      <c r="B1024" s="67">
        <f>17.6925 * CHOOSE(CONTROL!$C$22, $C$13, 100%, $E$13)</f>
        <v>17.692499999999999</v>
      </c>
      <c r="C1024" s="67">
        <f>17.6925 * CHOOSE(CONTROL!$C$22, $C$13, 100%, $E$13)</f>
        <v>17.692499999999999</v>
      </c>
      <c r="D1024" s="67">
        <f>17.6935 * CHOOSE(CONTROL!$C$22, $C$13, 100%, $E$13)</f>
        <v>17.6935</v>
      </c>
      <c r="E1024" s="68">
        <f>19.766 * CHOOSE(CONTROL!$C$22, $C$13, 100%, $E$13)</f>
        <v>19.765999999999998</v>
      </c>
      <c r="F1024" s="68">
        <f>19.766 * CHOOSE(CONTROL!$C$22, $C$13, 100%, $E$13)</f>
        <v>19.765999999999998</v>
      </c>
      <c r="G1024" s="68">
        <f>19.7673 * CHOOSE(CONTROL!$C$22, $C$13, 100%, $E$13)</f>
        <v>19.767299999999999</v>
      </c>
      <c r="H1024" s="68">
        <f>33.0058* CHOOSE(CONTROL!$C$22, $C$13, 100%, $E$13)</f>
        <v>33.005800000000001</v>
      </c>
      <c r="I1024" s="68">
        <f>33.0071 * CHOOSE(CONTROL!$C$22, $C$13, 100%, $E$13)</f>
        <v>33.007100000000001</v>
      </c>
      <c r="J1024" s="68">
        <f>19.766 * CHOOSE(CONTROL!$C$22, $C$13, 100%, $E$13)</f>
        <v>19.765999999999998</v>
      </c>
      <c r="K1024" s="68">
        <f>19.7673 * CHOOSE(CONTROL!$C$22, $C$13, 100%, $E$13)</f>
        <v>19.767299999999999</v>
      </c>
    </row>
    <row r="1025" spans="1:11" ht="15">
      <c r="A1025" s="13">
        <v>72321</v>
      </c>
      <c r="B1025" s="67">
        <f>17.6123 * CHOOSE(CONTROL!$C$22, $C$13, 100%, $E$13)</f>
        <v>17.612300000000001</v>
      </c>
      <c r="C1025" s="67">
        <f>17.6123 * CHOOSE(CONTROL!$C$22, $C$13, 100%, $E$13)</f>
        <v>17.612300000000001</v>
      </c>
      <c r="D1025" s="67">
        <f>17.6133 * CHOOSE(CONTROL!$C$22, $C$13, 100%, $E$13)</f>
        <v>17.613299999999999</v>
      </c>
      <c r="E1025" s="68">
        <f>19.8338 * CHOOSE(CONTROL!$C$22, $C$13, 100%, $E$13)</f>
        <v>19.8338</v>
      </c>
      <c r="F1025" s="68">
        <f>19.8338 * CHOOSE(CONTROL!$C$22, $C$13, 100%, $E$13)</f>
        <v>19.8338</v>
      </c>
      <c r="G1025" s="68">
        <f>19.8351 * CHOOSE(CONTROL!$C$22, $C$13, 100%, $E$13)</f>
        <v>19.835100000000001</v>
      </c>
      <c r="H1025" s="68">
        <f>32.6858* CHOOSE(CONTROL!$C$22, $C$13, 100%, $E$13)</f>
        <v>32.6858</v>
      </c>
      <c r="I1025" s="68">
        <f>32.6871 * CHOOSE(CONTROL!$C$22, $C$13, 100%, $E$13)</f>
        <v>32.687100000000001</v>
      </c>
      <c r="J1025" s="68">
        <f>19.8338 * CHOOSE(CONTROL!$C$22, $C$13, 100%, $E$13)</f>
        <v>19.8338</v>
      </c>
      <c r="K1025" s="68">
        <f>19.8351 * CHOOSE(CONTROL!$C$22, $C$13, 100%, $E$13)</f>
        <v>19.835100000000001</v>
      </c>
    </row>
    <row r="1026" spans="1:11" ht="15">
      <c r="A1026" s="13">
        <v>72352</v>
      </c>
      <c r="B1026" s="67">
        <f>17.6093 * CHOOSE(CONTROL!$C$22, $C$13, 100%, $E$13)</f>
        <v>17.609300000000001</v>
      </c>
      <c r="C1026" s="67">
        <f>17.6093 * CHOOSE(CONTROL!$C$22, $C$13, 100%, $E$13)</f>
        <v>17.609300000000001</v>
      </c>
      <c r="D1026" s="67">
        <f>17.6102 * CHOOSE(CONTROL!$C$22, $C$13, 100%, $E$13)</f>
        <v>17.610199999999999</v>
      </c>
      <c r="E1026" s="68">
        <f>19.473 * CHOOSE(CONTROL!$C$22, $C$13, 100%, $E$13)</f>
        <v>19.472999999999999</v>
      </c>
      <c r="F1026" s="68">
        <f>19.473 * CHOOSE(CONTROL!$C$22, $C$13, 100%, $E$13)</f>
        <v>19.472999999999999</v>
      </c>
      <c r="G1026" s="68">
        <f>19.4743 * CHOOSE(CONTROL!$C$22, $C$13, 100%, $E$13)</f>
        <v>19.474299999999999</v>
      </c>
      <c r="H1026" s="68">
        <f>32.7539* CHOOSE(CONTROL!$C$22, $C$13, 100%, $E$13)</f>
        <v>32.753900000000002</v>
      </c>
      <c r="I1026" s="68">
        <f>32.7552 * CHOOSE(CONTROL!$C$22, $C$13, 100%, $E$13)</f>
        <v>32.755200000000002</v>
      </c>
      <c r="J1026" s="68">
        <f>19.473 * CHOOSE(CONTROL!$C$22, $C$13, 100%, $E$13)</f>
        <v>19.472999999999999</v>
      </c>
      <c r="K1026" s="68">
        <f>19.4743 * CHOOSE(CONTROL!$C$22, $C$13, 100%, $E$13)</f>
        <v>19.474299999999999</v>
      </c>
    </row>
    <row r="1027" spans="1:11" ht="15">
      <c r="A1027" s="13">
        <v>72380</v>
      </c>
      <c r="B1027" s="67">
        <f>17.6062 * CHOOSE(CONTROL!$C$22, $C$13, 100%, $E$13)</f>
        <v>17.606200000000001</v>
      </c>
      <c r="C1027" s="67">
        <f>17.6062 * CHOOSE(CONTROL!$C$22, $C$13, 100%, $E$13)</f>
        <v>17.606200000000001</v>
      </c>
      <c r="D1027" s="67">
        <f>17.6072 * CHOOSE(CONTROL!$C$22, $C$13, 100%, $E$13)</f>
        <v>17.607199999999999</v>
      </c>
      <c r="E1027" s="68">
        <f>19.7537 * CHOOSE(CONTROL!$C$22, $C$13, 100%, $E$13)</f>
        <v>19.753699999999998</v>
      </c>
      <c r="F1027" s="68">
        <f>19.7537 * CHOOSE(CONTROL!$C$22, $C$13, 100%, $E$13)</f>
        <v>19.753699999999998</v>
      </c>
      <c r="G1027" s="68">
        <f>19.755 * CHOOSE(CONTROL!$C$22, $C$13, 100%, $E$13)</f>
        <v>19.754999999999999</v>
      </c>
      <c r="H1027" s="68">
        <f>32.8221* CHOOSE(CONTROL!$C$22, $C$13, 100%, $E$13)</f>
        <v>32.822099999999999</v>
      </c>
      <c r="I1027" s="68">
        <f>32.8234 * CHOOSE(CONTROL!$C$22, $C$13, 100%, $E$13)</f>
        <v>32.823399999999999</v>
      </c>
      <c r="J1027" s="68">
        <f>19.7537 * CHOOSE(CONTROL!$C$22, $C$13, 100%, $E$13)</f>
        <v>19.753699999999998</v>
      </c>
      <c r="K1027" s="68">
        <f>19.755 * CHOOSE(CONTROL!$C$22, $C$13, 100%, $E$13)</f>
        <v>19.754999999999999</v>
      </c>
    </row>
    <row r="1028" spans="1:11" ht="15">
      <c r="A1028" s="13">
        <v>72411</v>
      </c>
      <c r="B1028" s="67">
        <f>17.6152 * CHOOSE(CONTROL!$C$22, $C$13, 100%, $E$13)</f>
        <v>17.615200000000002</v>
      </c>
      <c r="C1028" s="67">
        <f>17.6152 * CHOOSE(CONTROL!$C$22, $C$13, 100%, $E$13)</f>
        <v>17.615200000000002</v>
      </c>
      <c r="D1028" s="67">
        <f>17.6162 * CHOOSE(CONTROL!$C$22, $C$13, 100%, $E$13)</f>
        <v>17.616199999999999</v>
      </c>
      <c r="E1028" s="68">
        <f>20.0531 * CHOOSE(CONTROL!$C$22, $C$13, 100%, $E$13)</f>
        <v>20.053100000000001</v>
      </c>
      <c r="F1028" s="68">
        <f>20.0531 * CHOOSE(CONTROL!$C$22, $C$13, 100%, $E$13)</f>
        <v>20.053100000000001</v>
      </c>
      <c r="G1028" s="68">
        <f>20.0544 * CHOOSE(CONTROL!$C$22, $C$13, 100%, $E$13)</f>
        <v>20.054400000000001</v>
      </c>
      <c r="H1028" s="68">
        <f>32.8905* CHOOSE(CONTROL!$C$22, $C$13, 100%, $E$13)</f>
        <v>32.890500000000003</v>
      </c>
      <c r="I1028" s="68">
        <f>32.8918 * CHOOSE(CONTROL!$C$22, $C$13, 100%, $E$13)</f>
        <v>32.891800000000003</v>
      </c>
      <c r="J1028" s="68">
        <f>20.0531 * CHOOSE(CONTROL!$C$22, $C$13, 100%, $E$13)</f>
        <v>20.053100000000001</v>
      </c>
      <c r="K1028" s="68">
        <f>20.0544 * CHOOSE(CONTROL!$C$22, $C$13, 100%, $E$13)</f>
        <v>20.054400000000001</v>
      </c>
    </row>
    <row r="1029" spans="1:11" ht="15">
      <c r="A1029" s="13">
        <v>72441</v>
      </c>
      <c r="B1029" s="67">
        <f>17.6152 * CHOOSE(CONTROL!$C$22, $C$13, 100%, $E$13)</f>
        <v>17.615200000000002</v>
      </c>
      <c r="C1029" s="67">
        <f>17.6152 * CHOOSE(CONTROL!$C$22, $C$13, 100%, $E$13)</f>
        <v>17.615200000000002</v>
      </c>
      <c r="D1029" s="67">
        <f>17.6178 * CHOOSE(CONTROL!$C$22, $C$13, 100%, $E$13)</f>
        <v>17.617799999999999</v>
      </c>
      <c r="E1029" s="68">
        <f>20.167 * CHOOSE(CONTROL!$C$22, $C$13, 100%, $E$13)</f>
        <v>20.167000000000002</v>
      </c>
      <c r="F1029" s="68">
        <f>20.167 * CHOOSE(CONTROL!$C$22, $C$13, 100%, $E$13)</f>
        <v>20.167000000000002</v>
      </c>
      <c r="G1029" s="68">
        <f>20.1702 * CHOOSE(CONTROL!$C$22, $C$13, 100%, $E$13)</f>
        <v>20.170200000000001</v>
      </c>
      <c r="H1029" s="68">
        <f>32.959* CHOOSE(CONTROL!$C$22, $C$13, 100%, $E$13)</f>
        <v>32.959000000000003</v>
      </c>
      <c r="I1029" s="68">
        <f>32.9623 * CHOOSE(CONTROL!$C$22, $C$13, 100%, $E$13)</f>
        <v>32.962299999999999</v>
      </c>
      <c r="J1029" s="68">
        <f>20.167 * CHOOSE(CONTROL!$C$22, $C$13, 100%, $E$13)</f>
        <v>20.167000000000002</v>
      </c>
      <c r="K1029" s="68">
        <f>20.1702 * CHOOSE(CONTROL!$C$22, $C$13, 100%, $E$13)</f>
        <v>20.170200000000001</v>
      </c>
    </row>
    <row r="1030" spans="1:11" ht="15">
      <c r="A1030" s="13">
        <v>72472</v>
      </c>
      <c r="B1030" s="67">
        <f>17.6213 * CHOOSE(CONTROL!$C$22, $C$13, 100%, $E$13)</f>
        <v>17.621300000000002</v>
      </c>
      <c r="C1030" s="67">
        <f>17.6213 * CHOOSE(CONTROL!$C$22, $C$13, 100%, $E$13)</f>
        <v>17.621300000000002</v>
      </c>
      <c r="D1030" s="67">
        <f>17.6239 * CHOOSE(CONTROL!$C$22, $C$13, 100%, $E$13)</f>
        <v>17.623899999999999</v>
      </c>
      <c r="E1030" s="68">
        <f>20.0573 * CHOOSE(CONTROL!$C$22, $C$13, 100%, $E$13)</f>
        <v>20.057300000000001</v>
      </c>
      <c r="F1030" s="68">
        <f>20.0573 * CHOOSE(CONTROL!$C$22, $C$13, 100%, $E$13)</f>
        <v>20.057300000000001</v>
      </c>
      <c r="G1030" s="68">
        <f>20.0606 * CHOOSE(CONTROL!$C$22, $C$13, 100%, $E$13)</f>
        <v>20.060600000000001</v>
      </c>
      <c r="H1030" s="68">
        <f>33.0277* CHOOSE(CONTROL!$C$22, $C$13, 100%, $E$13)</f>
        <v>33.027700000000003</v>
      </c>
      <c r="I1030" s="68">
        <f>33.0309 * CHOOSE(CONTROL!$C$22, $C$13, 100%, $E$13)</f>
        <v>33.030900000000003</v>
      </c>
      <c r="J1030" s="68">
        <f>20.0573 * CHOOSE(CONTROL!$C$22, $C$13, 100%, $E$13)</f>
        <v>20.057300000000001</v>
      </c>
      <c r="K1030" s="68">
        <f>20.0606 * CHOOSE(CONTROL!$C$22, $C$13, 100%, $E$13)</f>
        <v>20.060600000000001</v>
      </c>
    </row>
    <row r="1031" spans="1:11" ht="15">
      <c r="A1031" s="13">
        <v>72502</v>
      </c>
      <c r="B1031" s="67">
        <f>17.8861 * CHOOSE(CONTROL!$C$22, $C$13, 100%, $E$13)</f>
        <v>17.886099999999999</v>
      </c>
      <c r="C1031" s="67">
        <f>17.8861 * CHOOSE(CONTROL!$C$22, $C$13, 100%, $E$13)</f>
        <v>17.886099999999999</v>
      </c>
      <c r="D1031" s="67">
        <f>17.8887 * CHOOSE(CONTROL!$C$22, $C$13, 100%, $E$13)</f>
        <v>17.8887</v>
      </c>
      <c r="E1031" s="68">
        <f>20.3735 * CHOOSE(CONTROL!$C$22, $C$13, 100%, $E$13)</f>
        <v>20.3735</v>
      </c>
      <c r="F1031" s="68">
        <f>20.3735 * CHOOSE(CONTROL!$C$22, $C$13, 100%, $E$13)</f>
        <v>20.3735</v>
      </c>
      <c r="G1031" s="68">
        <f>20.3767 * CHOOSE(CONTROL!$C$22, $C$13, 100%, $E$13)</f>
        <v>20.3767</v>
      </c>
      <c r="H1031" s="68">
        <f>33.0965* CHOOSE(CONTROL!$C$22, $C$13, 100%, $E$13)</f>
        <v>33.096499999999999</v>
      </c>
      <c r="I1031" s="68">
        <f>33.0997 * CHOOSE(CONTROL!$C$22, $C$13, 100%, $E$13)</f>
        <v>33.099699999999999</v>
      </c>
      <c r="J1031" s="68">
        <f>20.3735 * CHOOSE(CONTROL!$C$22, $C$13, 100%, $E$13)</f>
        <v>20.3735</v>
      </c>
      <c r="K1031" s="68">
        <f>20.3767 * CHOOSE(CONTROL!$C$22, $C$13, 100%, $E$13)</f>
        <v>20.3767</v>
      </c>
    </row>
    <row r="1032" spans="1:11" ht="15">
      <c r="A1032" s="13">
        <v>72533</v>
      </c>
      <c r="B1032" s="67">
        <f>17.8928 * CHOOSE(CONTROL!$C$22, $C$13, 100%, $E$13)</f>
        <v>17.892800000000001</v>
      </c>
      <c r="C1032" s="67">
        <f>17.8928 * CHOOSE(CONTROL!$C$22, $C$13, 100%, $E$13)</f>
        <v>17.892800000000001</v>
      </c>
      <c r="D1032" s="67">
        <f>17.8954 * CHOOSE(CONTROL!$C$22, $C$13, 100%, $E$13)</f>
        <v>17.895399999999999</v>
      </c>
      <c r="E1032" s="68">
        <f>20.0365 * CHOOSE(CONTROL!$C$22, $C$13, 100%, $E$13)</f>
        <v>20.0365</v>
      </c>
      <c r="F1032" s="68">
        <f>20.0365 * CHOOSE(CONTROL!$C$22, $C$13, 100%, $E$13)</f>
        <v>20.0365</v>
      </c>
      <c r="G1032" s="68">
        <f>20.0398 * CHOOSE(CONTROL!$C$22, $C$13, 100%, $E$13)</f>
        <v>20.0398</v>
      </c>
      <c r="H1032" s="68">
        <f>33.1654* CHOOSE(CONTROL!$C$22, $C$13, 100%, $E$13)</f>
        <v>33.165399999999998</v>
      </c>
      <c r="I1032" s="68">
        <f>33.1687 * CHOOSE(CONTROL!$C$22, $C$13, 100%, $E$13)</f>
        <v>33.168700000000001</v>
      </c>
      <c r="J1032" s="68">
        <f>20.0365 * CHOOSE(CONTROL!$C$22, $C$13, 100%, $E$13)</f>
        <v>20.0365</v>
      </c>
      <c r="K1032" s="68">
        <f>20.0398 * CHOOSE(CONTROL!$C$22, $C$13, 100%, $E$13)</f>
        <v>20.0398</v>
      </c>
    </row>
    <row r="1033" spans="1:11" ht="15">
      <c r="A1033" s="13">
        <v>72564</v>
      </c>
      <c r="B1033" s="67">
        <f>17.8898 * CHOOSE(CONTROL!$C$22, $C$13, 100%, $E$13)</f>
        <v>17.889800000000001</v>
      </c>
      <c r="C1033" s="67">
        <f>17.8898 * CHOOSE(CONTROL!$C$22, $C$13, 100%, $E$13)</f>
        <v>17.889800000000001</v>
      </c>
      <c r="D1033" s="67">
        <f>17.8924 * CHOOSE(CONTROL!$C$22, $C$13, 100%, $E$13)</f>
        <v>17.892399999999999</v>
      </c>
      <c r="E1033" s="68">
        <f>19.9965 * CHOOSE(CONTROL!$C$22, $C$13, 100%, $E$13)</f>
        <v>19.996500000000001</v>
      </c>
      <c r="F1033" s="68">
        <f>19.9965 * CHOOSE(CONTROL!$C$22, $C$13, 100%, $E$13)</f>
        <v>19.996500000000001</v>
      </c>
      <c r="G1033" s="68">
        <f>19.9997 * CHOOSE(CONTROL!$C$22, $C$13, 100%, $E$13)</f>
        <v>19.999700000000001</v>
      </c>
      <c r="H1033" s="68">
        <f>33.2345* CHOOSE(CONTROL!$C$22, $C$13, 100%, $E$13)</f>
        <v>33.234499999999997</v>
      </c>
      <c r="I1033" s="68">
        <f>33.2378 * CHOOSE(CONTROL!$C$22, $C$13, 100%, $E$13)</f>
        <v>33.2378</v>
      </c>
      <c r="J1033" s="68">
        <f>19.9965 * CHOOSE(CONTROL!$C$22, $C$13, 100%, $E$13)</f>
        <v>19.996500000000001</v>
      </c>
      <c r="K1033" s="68">
        <f>19.9997 * CHOOSE(CONTROL!$C$22, $C$13, 100%, $E$13)</f>
        <v>19.999700000000001</v>
      </c>
    </row>
    <row r="1034" spans="1:11" ht="15">
      <c r="A1034" s="13">
        <v>72594</v>
      </c>
      <c r="B1034" s="67">
        <f>17.9294 * CHOOSE(CONTROL!$C$22, $C$13, 100%, $E$13)</f>
        <v>17.929400000000001</v>
      </c>
      <c r="C1034" s="67">
        <f>17.9294 * CHOOSE(CONTROL!$C$22, $C$13, 100%, $E$13)</f>
        <v>17.929400000000001</v>
      </c>
      <c r="D1034" s="67">
        <f>17.9304 * CHOOSE(CONTROL!$C$22, $C$13, 100%, $E$13)</f>
        <v>17.930399999999999</v>
      </c>
      <c r="E1034" s="68">
        <f>20.1349 * CHOOSE(CONTROL!$C$22, $C$13, 100%, $E$13)</f>
        <v>20.134899999999998</v>
      </c>
      <c r="F1034" s="68">
        <f>20.1349 * CHOOSE(CONTROL!$C$22, $C$13, 100%, $E$13)</f>
        <v>20.134899999999998</v>
      </c>
      <c r="G1034" s="68">
        <f>20.1362 * CHOOSE(CONTROL!$C$22, $C$13, 100%, $E$13)</f>
        <v>20.136199999999999</v>
      </c>
      <c r="H1034" s="68">
        <f>33.3038* CHOOSE(CONTROL!$C$22, $C$13, 100%, $E$13)</f>
        <v>33.303800000000003</v>
      </c>
      <c r="I1034" s="68">
        <f>33.3051 * CHOOSE(CONTROL!$C$22, $C$13, 100%, $E$13)</f>
        <v>33.305100000000003</v>
      </c>
      <c r="J1034" s="68">
        <f>20.1349 * CHOOSE(CONTROL!$C$22, $C$13, 100%, $E$13)</f>
        <v>20.134899999999998</v>
      </c>
      <c r="K1034" s="68">
        <f>20.1362 * CHOOSE(CONTROL!$C$22, $C$13, 100%, $E$13)</f>
        <v>20.136199999999999</v>
      </c>
    </row>
    <row r="1035" spans="1:11" ht="15">
      <c r="A1035" s="13">
        <v>72625</v>
      </c>
      <c r="B1035" s="67">
        <f>17.9324 * CHOOSE(CONTROL!$C$22, $C$13, 100%, $E$13)</f>
        <v>17.932400000000001</v>
      </c>
      <c r="C1035" s="67">
        <f>17.9324 * CHOOSE(CONTROL!$C$22, $C$13, 100%, $E$13)</f>
        <v>17.932400000000001</v>
      </c>
      <c r="D1035" s="67">
        <f>17.9334 * CHOOSE(CONTROL!$C$22, $C$13, 100%, $E$13)</f>
        <v>17.933399999999999</v>
      </c>
      <c r="E1035" s="68">
        <f>20.2129 * CHOOSE(CONTROL!$C$22, $C$13, 100%, $E$13)</f>
        <v>20.212900000000001</v>
      </c>
      <c r="F1035" s="68">
        <f>20.2129 * CHOOSE(CONTROL!$C$22, $C$13, 100%, $E$13)</f>
        <v>20.212900000000001</v>
      </c>
      <c r="G1035" s="68">
        <f>20.2142 * CHOOSE(CONTROL!$C$22, $C$13, 100%, $E$13)</f>
        <v>20.214200000000002</v>
      </c>
      <c r="H1035" s="68">
        <f>33.3732* CHOOSE(CONTROL!$C$22, $C$13, 100%, $E$13)</f>
        <v>33.373199999999997</v>
      </c>
      <c r="I1035" s="68">
        <f>33.3744 * CHOOSE(CONTROL!$C$22, $C$13, 100%, $E$13)</f>
        <v>33.374400000000001</v>
      </c>
      <c r="J1035" s="68">
        <f>20.2129 * CHOOSE(CONTROL!$C$22, $C$13, 100%, $E$13)</f>
        <v>20.212900000000001</v>
      </c>
      <c r="K1035" s="68">
        <f>20.2142 * CHOOSE(CONTROL!$C$22, $C$13, 100%, $E$13)</f>
        <v>20.214200000000002</v>
      </c>
    </row>
    <row r="1036" spans="1:11" ht="15">
      <c r="A1036" s="13">
        <v>72655</v>
      </c>
      <c r="B1036" s="67">
        <f>17.9324 * CHOOSE(CONTROL!$C$22, $C$13, 100%, $E$13)</f>
        <v>17.932400000000001</v>
      </c>
      <c r="C1036" s="67">
        <f>17.9324 * CHOOSE(CONTROL!$C$22, $C$13, 100%, $E$13)</f>
        <v>17.932400000000001</v>
      </c>
      <c r="D1036" s="67">
        <f>17.9334 * CHOOSE(CONTROL!$C$22, $C$13, 100%, $E$13)</f>
        <v>17.933399999999999</v>
      </c>
      <c r="E1036" s="68">
        <f>20.0231 * CHOOSE(CONTROL!$C$22, $C$13, 100%, $E$13)</f>
        <v>20.023099999999999</v>
      </c>
      <c r="F1036" s="68">
        <f>20.0231 * CHOOSE(CONTROL!$C$22, $C$13, 100%, $E$13)</f>
        <v>20.023099999999999</v>
      </c>
      <c r="G1036" s="68">
        <f>20.0244 * CHOOSE(CONTROL!$C$22, $C$13, 100%, $E$13)</f>
        <v>20.0244</v>
      </c>
      <c r="H1036" s="68">
        <f>33.4427* CHOOSE(CONTROL!$C$22, $C$13, 100%, $E$13)</f>
        <v>33.442700000000002</v>
      </c>
      <c r="I1036" s="68">
        <f>33.444 * CHOOSE(CONTROL!$C$22, $C$13, 100%, $E$13)</f>
        <v>33.444000000000003</v>
      </c>
      <c r="J1036" s="68">
        <f>20.0231 * CHOOSE(CONTROL!$C$22, $C$13, 100%, $E$13)</f>
        <v>20.023099999999999</v>
      </c>
      <c r="K1036" s="68">
        <f>20.0244 * CHOOSE(CONTROL!$C$22, $C$13, 100%, $E$13)</f>
        <v>20.0244</v>
      </c>
    </row>
    <row r="1037" spans="1:11" ht="15">
      <c r="A1037" s="13">
        <v>72686</v>
      </c>
      <c r="B1037" s="67">
        <f>17.8479 * CHOOSE(CONTROL!$C$22, $C$13, 100%, $E$13)</f>
        <v>17.847899999999999</v>
      </c>
      <c r="C1037" s="67">
        <f>17.8479 * CHOOSE(CONTROL!$C$22, $C$13, 100%, $E$13)</f>
        <v>17.847899999999999</v>
      </c>
      <c r="D1037" s="67">
        <f>17.8488 * CHOOSE(CONTROL!$C$22, $C$13, 100%, $E$13)</f>
        <v>17.848800000000001</v>
      </c>
      <c r="E1037" s="68">
        <f>20.0886 * CHOOSE(CONTROL!$C$22, $C$13, 100%, $E$13)</f>
        <v>20.0886</v>
      </c>
      <c r="F1037" s="68">
        <f>20.0886 * CHOOSE(CONTROL!$C$22, $C$13, 100%, $E$13)</f>
        <v>20.0886</v>
      </c>
      <c r="G1037" s="68">
        <f>20.0898 * CHOOSE(CONTROL!$C$22, $C$13, 100%, $E$13)</f>
        <v>20.0898</v>
      </c>
      <c r="H1037" s="68">
        <f>33.1128* CHOOSE(CONTROL!$C$22, $C$13, 100%, $E$13)</f>
        <v>33.1128</v>
      </c>
      <c r="I1037" s="68">
        <f>33.1141 * CHOOSE(CONTROL!$C$22, $C$13, 100%, $E$13)</f>
        <v>33.114100000000001</v>
      </c>
      <c r="J1037" s="68">
        <f>20.0886 * CHOOSE(CONTROL!$C$22, $C$13, 100%, $E$13)</f>
        <v>20.0886</v>
      </c>
      <c r="K1037" s="68">
        <f>20.0898 * CHOOSE(CONTROL!$C$22, $C$13, 100%, $E$13)</f>
        <v>20.0898</v>
      </c>
    </row>
    <row r="1038" spans="1:11" ht="15">
      <c r="A1038" s="13">
        <v>72717</v>
      </c>
      <c r="B1038" s="67">
        <f>17.8448 * CHOOSE(CONTROL!$C$22, $C$13, 100%, $E$13)</f>
        <v>17.844799999999999</v>
      </c>
      <c r="C1038" s="67">
        <f>17.8448 * CHOOSE(CONTROL!$C$22, $C$13, 100%, $E$13)</f>
        <v>17.844799999999999</v>
      </c>
      <c r="D1038" s="67">
        <f>17.8458 * CHOOSE(CONTROL!$C$22, $C$13, 100%, $E$13)</f>
        <v>17.845800000000001</v>
      </c>
      <c r="E1038" s="68">
        <f>19.7228 * CHOOSE(CONTROL!$C$22, $C$13, 100%, $E$13)</f>
        <v>19.722799999999999</v>
      </c>
      <c r="F1038" s="68">
        <f>19.7228 * CHOOSE(CONTROL!$C$22, $C$13, 100%, $E$13)</f>
        <v>19.722799999999999</v>
      </c>
      <c r="G1038" s="68">
        <f>19.7241 * CHOOSE(CONTROL!$C$22, $C$13, 100%, $E$13)</f>
        <v>19.7241</v>
      </c>
      <c r="H1038" s="68">
        <f>33.1818* CHOOSE(CONTROL!$C$22, $C$13, 100%, $E$13)</f>
        <v>33.181800000000003</v>
      </c>
      <c r="I1038" s="68">
        <f>33.1831 * CHOOSE(CONTROL!$C$22, $C$13, 100%, $E$13)</f>
        <v>33.183100000000003</v>
      </c>
      <c r="J1038" s="68">
        <f>19.7228 * CHOOSE(CONTROL!$C$22, $C$13, 100%, $E$13)</f>
        <v>19.722799999999999</v>
      </c>
      <c r="K1038" s="68">
        <f>19.7241 * CHOOSE(CONTROL!$C$22, $C$13, 100%, $E$13)</f>
        <v>19.7241</v>
      </c>
    </row>
    <row r="1039" spans="1:11" ht="15">
      <c r="A1039" s="13">
        <v>72745</v>
      </c>
      <c r="B1039" s="67">
        <f>17.8418 * CHOOSE(CONTROL!$C$22, $C$13, 100%, $E$13)</f>
        <v>17.841799999999999</v>
      </c>
      <c r="C1039" s="67">
        <f>17.8418 * CHOOSE(CONTROL!$C$22, $C$13, 100%, $E$13)</f>
        <v>17.841799999999999</v>
      </c>
      <c r="D1039" s="67">
        <f>17.8428 * CHOOSE(CONTROL!$C$22, $C$13, 100%, $E$13)</f>
        <v>17.8428</v>
      </c>
      <c r="E1039" s="68">
        <f>20.0074 * CHOOSE(CONTROL!$C$22, $C$13, 100%, $E$13)</f>
        <v>20.007400000000001</v>
      </c>
      <c r="F1039" s="68">
        <f>20.0074 * CHOOSE(CONTROL!$C$22, $C$13, 100%, $E$13)</f>
        <v>20.007400000000001</v>
      </c>
      <c r="G1039" s="68">
        <f>20.0086 * CHOOSE(CONTROL!$C$22, $C$13, 100%, $E$13)</f>
        <v>20.008600000000001</v>
      </c>
      <c r="H1039" s="68">
        <f>33.2509* CHOOSE(CONTROL!$C$22, $C$13, 100%, $E$13)</f>
        <v>33.250900000000001</v>
      </c>
      <c r="I1039" s="68">
        <f>33.2522 * CHOOSE(CONTROL!$C$22, $C$13, 100%, $E$13)</f>
        <v>33.252200000000002</v>
      </c>
      <c r="J1039" s="68">
        <f>20.0074 * CHOOSE(CONTROL!$C$22, $C$13, 100%, $E$13)</f>
        <v>20.007400000000001</v>
      </c>
      <c r="K1039" s="68">
        <f>20.0086 * CHOOSE(CONTROL!$C$22, $C$13, 100%, $E$13)</f>
        <v>20.008600000000001</v>
      </c>
    </row>
    <row r="1040" spans="1:11" ht="15">
      <c r="A1040" s="13">
        <v>72776</v>
      </c>
      <c r="B1040" s="67">
        <f>17.851 * CHOOSE(CONTROL!$C$22, $C$13, 100%, $E$13)</f>
        <v>17.850999999999999</v>
      </c>
      <c r="C1040" s="67">
        <f>17.851 * CHOOSE(CONTROL!$C$22, $C$13, 100%, $E$13)</f>
        <v>17.850999999999999</v>
      </c>
      <c r="D1040" s="67">
        <f>17.852 * CHOOSE(CONTROL!$C$22, $C$13, 100%, $E$13)</f>
        <v>17.852</v>
      </c>
      <c r="E1040" s="68">
        <f>20.311 * CHOOSE(CONTROL!$C$22, $C$13, 100%, $E$13)</f>
        <v>20.311</v>
      </c>
      <c r="F1040" s="68">
        <f>20.311 * CHOOSE(CONTROL!$C$22, $C$13, 100%, $E$13)</f>
        <v>20.311</v>
      </c>
      <c r="G1040" s="68">
        <f>20.3122 * CHOOSE(CONTROL!$C$22, $C$13, 100%, $E$13)</f>
        <v>20.312200000000001</v>
      </c>
      <c r="H1040" s="68">
        <f>33.3202* CHOOSE(CONTROL!$C$22, $C$13, 100%, $E$13)</f>
        <v>33.3202</v>
      </c>
      <c r="I1040" s="68">
        <f>33.3215 * CHOOSE(CONTROL!$C$22, $C$13, 100%, $E$13)</f>
        <v>33.3215</v>
      </c>
      <c r="J1040" s="68">
        <f>20.311 * CHOOSE(CONTROL!$C$22, $C$13, 100%, $E$13)</f>
        <v>20.311</v>
      </c>
      <c r="K1040" s="68">
        <f>20.3122 * CHOOSE(CONTROL!$C$22, $C$13, 100%, $E$13)</f>
        <v>20.312200000000001</v>
      </c>
    </row>
    <row r="1041" spans="1:11" ht="15">
      <c r="A1041" s="13">
        <v>72806</v>
      </c>
      <c r="B1041" s="67">
        <f>17.851 * CHOOSE(CONTROL!$C$22, $C$13, 100%, $E$13)</f>
        <v>17.850999999999999</v>
      </c>
      <c r="C1041" s="67">
        <f>17.851 * CHOOSE(CONTROL!$C$22, $C$13, 100%, $E$13)</f>
        <v>17.850999999999999</v>
      </c>
      <c r="D1041" s="67">
        <f>17.8536 * CHOOSE(CONTROL!$C$22, $C$13, 100%, $E$13)</f>
        <v>17.8536</v>
      </c>
      <c r="E1041" s="68">
        <f>20.4264 * CHOOSE(CONTROL!$C$22, $C$13, 100%, $E$13)</f>
        <v>20.426400000000001</v>
      </c>
      <c r="F1041" s="68">
        <f>20.4264 * CHOOSE(CONTROL!$C$22, $C$13, 100%, $E$13)</f>
        <v>20.426400000000001</v>
      </c>
      <c r="G1041" s="68">
        <f>20.4297 * CHOOSE(CONTROL!$C$22, $C$13, 100%, $E$13)</f>
        <v>20.4297</v>
      </c>
      <c r="H1041" s="68">
        <f>33.3896* CHOOSE(CONTROL!$C$22, $C$13, 100%, $E$13)</f>
        <v>33.389600000000002</v>
      </c>
      <c r="I1041" s="68">
        <f>33.3929 * CHOOSE(CONTROL!$C$22, $C$13, 100%, $E$13)</f>
        <v>33.392899999999997</v>
      </c>
      <c r="J1041" s="68">
        <f>20.4264 * CHOOSE(CONTROL!$C$22, $C$13, 100%, $E$13)</f>
        <v>20.426400000000001</v>
      </c>
      <c r="K1041" s="68">
        <f>20.4297 * CHOOSE(CONTROL!$C$22, $C$13, 100%, $E$13)</f>
        <v>20.4297</v>
      </c>
    </row>
    <row r="1042" spans="1:11" ht="15">
      <c r="A1042" s="13">
        <v>72837</v>
      </c>
      <c r="B1042" s="67">
        <f>17.8571 * CHOOSE(CONTROL!$C$22, $C$13, 100%, $E$13)</f>
        <v>17.857099999999999</v>
      </c>
      <c r="C1042" s="67">
        <f>17.8571 * CHOOSE(CONTROL!$C$22, $C$13, 100%, $E$13)</f>
        <v>17.857099999999999</v>
      </c>
      <c r="D1042" s="67">
        <f>17.8597 * CHOOSE(CONTROL!$C$22, $C$13, 100%, $E$13)</f>
        <v>17.8597</v>
      </c>
      <c r="E1042" s="68">
        <f>20.3152 * CHOOSE(CONTROL!$C$22, $C$13, 100%, $E$13)</f>
        <v>20.315200000000001</v>
      </c>
      <c r="F1042" s="68">
        <f>20.3152 * CHOOSE(CONTROL!$C$22, $C$13, 100%, $E$13)</f>
        <v>20.315200000000001</v>
      </c>
      <c r="G1042" s="68">
        <f>20.3185 * CHOOSE(CONTROL!$C$22, $C$13, 100%, $E$13)</f>
        <v>20.3185</v>
      </c>
      <c r="H1042" s="68">
        <f>33.4592* CHOOSE(CONTROL!$C$22, $C$13, 100%, $E$13)</f>
        <v>33.459200000000003</v>
      </c>
      <c r="I1042" s="68">
        <f>33.4624 * CHOOSE(CONTROL!$C$22, $C$13, 100%, $E$13)</f>
        <v>33.462400000000002</v>
      </c>
      <c r="J1042" s="68">
        <f>20.3152 * CHOOSE(CONTROL!$C$22, $C$13, 100%, $E$13)</f>
        <v>20.315200000000001</v>
      </c>
      <c r="K1042" s="68">
        <f>20.3185 * CHOOSE(CONTROL!$C$22, $C$13, 100%, $E$13)</f>
        <v>20.3185</v>
      </c>
    </row>
    <row r="1043" spans="1:11" ht="15">
      <c r="A1043" s="13">
        <v>72867</v>
      </c>
      <c r="B1043" s="67">
        <f>18.1253 * CHOOSE(CONTROL!$C$22, $C$13, 100%, $E$13)</f>
        <v>18.125299999999999</v>
      </c>
      <c r="C1043" s="67">
        <f>18.1253 * CHOOSE(CONTROL!$C$22, $C$13, 100%, $E$13)</f>
        <v>18.125299999999999</v>
      </c>
      <c r="D1043" s="67">
        <f>18.1279 * CHOOSE(CONTROL!$C$22, $C$13, 100%, $E$13)</f>
        <v>18.1279</v>
      </c>
      <c r="E1043" s="68">
        <f>20.6353 * CHOOSE(CONTROL!$C$22, $C$13, 100%, $E$13)</f>
        <v>20.635300000000001</v>
      </c>
      <c r="F1043" s="68">
        <f>20.6353 * CHOOSE(CONTROL!$C$22, $C$13, 100%, $E$13)</f>
        <v>20.635300000000001</v>
      </c>
      <c r="G1043" s="68">
        <f>20.6385 * CHOOSE(CONTROL!$C$22, $C$13, 100%, $E$13)</f>
        <v>20.638500000000001</v>
      </c>
      <c r="H1043" s="68">
        <f>33.5289* CHOOSE(CONTROL!$C$22, $C$13, 100%, $E$13)</f>
        <v>33.5289</v>
      </c>
      <c r="I1043" s="68">
        <f>33.5321 * CHOOSE(CONTROL!$C$22, $C$13, 100%, $E$13)</f>
        <v>33.5321</v>
      </c>
      <c r="J1043" s="68">
        <f>20.6353 * CHOOSE(CONTROL!$C$22, $C$13, 100%, $E$13)</f>
        <v>20.635300000000001</v>
      </c>
      <c r="K1043" s="68">
        <f>20.6385 * CHOOSE(CONTROL!$C$22, $C$13, 100%, $E$13)</f>
        <v>20.638500000000001</v>
      </c>
    </row>
    <row r="1044" spans="1:11" ht="15">
      <c r="A1044" s="13">
        <v>72898</v>
      </c>
      <c r="B1044" s="67">
        <f>18.132 * CHOOSE(CONTROL!$C$22, $C$13, 100%, $E$13)</f>
        <v>18.132000000000001</v>
      </c>
      <c r="C1044" s="67">
        <f>18.132 * CHOOSE(CONTROL!$C$22, $C$13, 100%, $E$13)</f>
        <v>18.132000000000001</v>
      </c>
      <c r="D1044" s="67">
        <f>18.1346 * CHOOSE(CONTROL!$C$22, $C$13, 100%, $E$13)</f>
        <v>18.134599999999999</v>
      </c>
      <c r="E1044" s="68">
        <f>20.2936 * CHOOSE(CONTROL!$C$22, $C$13, 100%, $E$13)</f>
        <v>20.293600000000001</v>
      </c>
      <c r="F1044" s="68">
        <f>20.2936 * CHOOSE(CONTROL!$C$22, $C$13, 100%, $E$13)</f>
        <v>20.293600000000001</v>
      </c>
      <c r="G1044" s="68">
        <f>20.2969 * CHOOSE(CONTROL!$C$22, $C$13, 100%, $E$13)</f>
        <v>20.296900000000001</v>
      </c>
      <c r="H1044" s="68">
        <f>33.5987* CHOOSE(CONTROL!$C$22, $C$13, 100%, $E$13)</f>
        <v>33.598700000000001</v>
      </c>
      <c r="I1044" s="68">
        <f>33.602 * CHOOSE(CONTROL!$C$22, $C$13, 100%, $E$13)</f>
        <v>33.601999999999997</v>
      </c>
      <c r="J1044" s="68">
        <f>20.2936 * CHOOSE(CONTROL!$C$22, $C$13, 100%, $E$13)</f>
        <v>20.293600000000001</v>
      </c>
      <c r="K1044" s="68">
        <f>20.2969 * CHOOSE(CONTROL!$C$22, $C$13, 100%, $E$13)</f>
        <v>20.296900000000001</v>
      </c>
    </row>
    <row r="1045" spans="1:11" ht="15">
      <c r="A1045" s="13">
        <v>72929</v>
      </c>
      <c r="B1045" s="67">
        <f>18.1289 * CHOOSE(CONTROL!$C$22, $C$13, 100%, $E$13)</f>
        <v>18.128900000000002</v>
      </c>
      <c r="C1045" s="67">
        <f>18.1289 * CHOOSE(CONTROL!$C$22, $C$13, 100%, $E$13)</f>
        <v>18.128900000000002</v>
      </c>
      <c r="D1045" s="67">
        <f>18.1316 * CHOOSE(CONTROL!$C$22, $C$13, 100%, $E$13)</f>
        <v>18.131599999999999</v>
      </c>
      <c r="E1045" s="68">
        <f>20.253 * CHOOSE(CONTROL!$C$22, $C$13, 100%, $E$13)</f>
        <v>20.253</v>
      </c>
      <c r="F1045" s="68">
        <f>20.253 * CHOOSE(CONTROL!$C$22, $C$13, 100%, $E$13)</f>
        <v>20.253</v>
      </c>
      <c r="G1045" s="68">
        <f>20.2563 * CHOOSE(CONTROL!$C$22, $C$13, 100%, $E$13)</f>
        <v>20.2563</v>
      </c>
      <c r="H1045" s="68">
        <f>33.6687* CHOOSE(CONTROL!$C$22, $C$13, 100%, $E$13)</f>
        <v>33.668700000000001</v>
      </c>
      <c r="I1045" s="68">
        <f>33.672 * CHOOSE(CONTROL!$C$22, $C$13, 100%, $E$13)</f>
        <v>33.671999999999997</v>
      </c>
      <c r="J1045" s="68">
        <f>20.253 * CHOOSE(CONTROL!$C$22, $C$13, 100%, $E$13)</f>
        <v>20.253</v>
      </c>
      <c r="K1045" s="68">
        <f>20.2563 * CHOOSE(CONTROL!$C$22, $C$13, 100%, $E$13)</f>
        <v>20.2563</v>
      </c>
    </row>
    <row r="1046" spans="1:11" ht="15">
      <c r="A1046" s="13">
        <v>72959</v>
      </c>
      <c r="B1046" s="67">
        <f>18.1693 * CHOOSE(CONTROL!$C$22, $C$13, 100%, $E$13)</f>
        <v>18.1693</v>
      </c>
      <c r="C1046" s="67">
        <f>18.1693 * CHOOSE(CONTROL!$C$22, $C$13, 100%, $E$13)</f>
        <v>18.1693</v>
      </c>
      <c r="D1046" s="67">
        <f>18.1703 * CHOOSE(CONTROL!$C$22, $C$13, 100%, $E$13)</f>
        <v>18.170300000000001</v>
      </c>
      <c r="E1046" s="68">
        <f>20.3935 * CHOOSE(CONTROL!$C$22, $C$13, 100%, $E$13)</f>
        <v>20.3935</v>
      </c>
      <c r="F1046" s="68">
        <f>20.3935 * CHOOSE(CONTROL!$C$22, $C$13, 100%, $E$13)</f>
        <v>20.3935</v>
      </c>
      <c r="G1046" s="68">
        <f>20.3948 * CHOOSE(CONTROL!$C$22, $C$13, 100%, $E$13)</f>
        <v>20.3948</v>
      </c>
      <c r="H1046" s="68">
        <f>33.7389* CHOOSE(CONTROL!$C$22, $C$13, 100%, $E$13)</f>
        <v>33.738900000000001</v>
      </c>
      <c r="I1046" s="68">
        <f>33.7401 * CHOOSE(CONTROL!$C$22, $C$13, 100%, $E$13)</f>
        <v>33.740099999999998</v>
      </c>
      <c r="J1046" s="68">
        <f>20.3935 * CHOOSE(CONTROL!$C$22, $C$13, 100%, $E$13)</f>
        <v>20.3935</v>
      </c>
      <c r="K1046" s="68">
        <f>20.3948 * CHOOSE(CONTROL!$C$22, $C$13, 100%, $E$13)</f>
        <v>20.3948</v>
      </c>
    </row>
    <row r="1047" spans="1:11" ht="15">
      <c r="A1047" s="13">
        <v>72990</v>
      </c>
      <c r="B1047" s="67">
        <f>18.1724 * CHOOSE(CONTROL!$C$22, $C$13, 100%, $E$13)</f>
        <v>18.1724</v>
      </c>
      <c r="C1047" s="67">
        <f>18.1724 * CHOOSE(CONTROL!$C$22, $C$13, 100%, $E$13)</f>
        <v>18.1724</v>
      </c>
      <c r="D1047" s="67">
        <f>18.1734 * CHOOSE(CONTROL!$C$22, $C$13, 100%, $E$13)</f>
        <v>18.173400000000001</v>
      </c>
      <c r="E1047" s="68">
        <f>20.4726 * CHOOSE(CONTROL!$C$22, $C$13, 100%, $E$13)</f>
        <v>20.4726</v>
      </c>
      <c r="F1047" s="68">
        <f>20.4726 * CHOOSE(CONTROL!$C$22, $C$13, 100%, $E$13)</f>
        <v>20.4726</v>
      </c>
      <c r="G1047" s="68">
        <f>20.4739 * CHOOSE(CONTROL!$C$22, $C$13, 100%, $E$13)</f>
        <v>20.4739</v>
      </c>
      <c r="H1047" s="68">
        <f>33.8092* CHOOSE(CONTROL!$C$22, $C$13, 100%, $E$13)</f>
        <v>33.809199999999997</v>
      </c>
      <c r="I1047" s="68">
        <f>33.8104 * CHOOSE(CONTROL!$C$22, $C$13, 100%, $E$13)</f>
        <v>33.810400000000001</v>
      </c>
      <c r="J1047" s="68">
        <f>20.4726 * CHOOSE(CONTROL!$C$22, $C$13, 100%, $E$13)</f>
        <v>20.4726</v>
      </c>
      <c r="K1047" s="68">
        <f>20.4739 * CHOOSE(CONTROL!$C$22, $C$13, 100%, $E$13)</f>
        <v>20.4739</v>
      </c>
    </row>
    <row r="1048" spans="1:11" ht="15">
      <c r="A1048" s="13">
        <v>73020</v>
      </c>
      <c r="B1048" s="67">
        <f>18.1724 * CHOOSE(CONTROL!$C$22, $C$13, 100%, $E$13)</f>
        <v>18.1724</v>
      </c>
      <c r="C1048" s="67">
        <f>18.1724 * CHOOSE(CONTROL!$C$22, $C$13, 100%, $E$13)</f>
        <v>18.1724</v>
      </c>
      <c r="D1048" s="67">
        <f>18.1734 * CHOOSE(CONTROL!$C$22, $C$13, 100%, $E$13)</f>
        <v>18.173400000000001</v>
      </c>
      <c r="E1048" s="68">
        <f>20.2802 * CHOOSE(CONTROL!$C$22, $C$13, 100%, $E$13)</f>
        <v>20.280200000000001</v>
      </c>
      <c r="F1048" s="68">
        <f>20.2802 * CHOOSE(CONTROL!$C$22, $C$13, 100%, $E$13)</f>
        <v>20.280200000000001</v>
      </c>
      <c r="G1048" s="68">
        <f>20.2815 * CHOOSE(CONTROL!$C$22, $C$13, 100%, $E$13)</f>
        <v>20.281500000000001</v>
      </c>
      <c r="H1048" s="68">
        <f>33.8796* CHOOSE(CONTROL!$C$22, $C$13, 100%, $E$13)</f>
        <v>33.879600000000003</v>
      </c>
      <c r="I1048" s="68">
        <f>33.8809 * CHOOSE(CONTROL!$C$22, $C$13, 100%, $E$13)</f>
        <v>33.880899999999997</v>
      </c>
      <c r="J1048" s="68">
        <f>20.2802 * CHOOSE(CONTROL!$C$22, $C$13, 100%, $E$13)</f>
        <v>20.280200000000001</v>
      </c>
      <c r="K1048" s="68">
        <f>20.2815 * CHOOSE(CONTROL!$C$22, $C$13, 100%, $E$13)</f>
        <v>20.281500000000001</v>
      </c>
    </row>
    <row r="1049" spans="1:11" ht="15">
      <c r="A1049" s="13">
        <v>73051</v>
      </c>
      <c r="B1049" s="67">
        <f>18.0834 * CHOOSE(CONTROL!$C$22, $C$13, 100%, $E$13)</f>
        <v>18.083400000000001</v>
      </c>
      <c r="C1049" s="67">
        <f>18.0834 * CHOOSE(CONTROL!$C$22, $C$13, 100%, $E$13)</f>
        <v>18.083400000000001</v>
      </c>
      <c r="D1049" s="67">
        <f>18.0844 * CHOOSE(CONTROL!$C$22, $C$13, 100%, $E$13)</f>
        <v>18.084399999999999</v>
      </c>
      <c r="E1049" s="68">
        <f>20.3433 * CHOOSE(CONTROL!$C$22, $C$13, 100%, $E$13)</f>
        <v>20.343299999999999</v>
      </c>
      <c r="F1049" s="68">
        <f>20.3433 * CHOOSE(CONTROL!$C$22, $C$13, 100%, $E$13)</f>
        <v>20.343299999999999</v>
      </c>
      <c r="G1049" s="68">
        <f>20.3446 * CHOOSE(CONTROL!$C$22, $C$13, 100%, $E$13)</f>
        <v>20.3446</v>
      </c>
      <c r="H1049" s="68">
        <f>33.5398* CHOOSE(CONTROL!$C$22, $C$13, 100%, $E$13)</f>
        <v>33.5398</v>
      </c>
      <c r="I1049" s="68">
        <f>33.5411 * CHOOSE(CONTROL!$C$22, $C$13, 100%, $E$13)</f>
        <v>33.5411</v>
      </c>
      <c r="J1049" s="68">
        <f>20.3433 * CHOOSE(CONTROL!$C$22, $C$13, 100%, $E$13)</f>
        <v>20.343299999999999</v>
      </c>
      <c r="K1049" s="68">
        <f>20.3446 * CHOOSE(CONTROL!$C$22, $C$13, 100%, $E$13)</f>
        <v>20.3446</v>
      </c>
    </row>
    <row r="1050" spans="1:11" ht="15">
      <c r="A1050" s="13">
        <v>73082</v>
      </c>
      <c r="B1050" s="67">
        <f>18.0804 * CHOOSE(CONTROL!$C$22, $C$13, 100%, $E$13)</f>
        <v>18.080400000000001</v>
      </c>
      <c r="C1050" s="67">
        <f>18.0804 * CHOOSE(CONTROL!$C$22, $C$13, 100%, $E$13)</f>
        <v>18.080400000000001</v>
      </c>
      <c r="D1050" s="67">
        <f>18.0814 * CHOOSE(CONTROL!$C$22, $C$13, 100%, $E$13)</f>
        <v>18.081399999999999</v>
      </c>
      <c r="E1050" s="68">
        <f>19.9726 * CHOOSE(CONTROL!$C$22, $C$13, 100%, $E$13)</f>
        <v>19.9726</v>
      </c>
      <c r="F1050" s="68">
        <f>19.9726 * CHOOSE(CONTROL!$C$22, $C$13, 100%, $E$13)</f>
        <v>19.9726</v>
      </c>
      <c r="G1050" s="68">
        <f>19.9739 * CHOOSE(CONTROL!$C$22, $C$13, 100%, $E$13)</f>
        <v>19.9739</v>
      </c>
      <c r="H1050" s="68">
        <f>33.6097* CHOOSE(CONTROL!$C$22, $C$13, 100%, $E$13)</f>
        <v>33.609699999999997</v>
      </c>
      <c r="I1050" s="68">
        <f>33.611 * CHOOSE(CONTROL!$C$22, $C$13, 100%, $E$13)</f>
        <v>33.610999999999997</v>
      </c>
      <c r="J1050" s="68">
        <f>19.9726 * CHOOSE(CONTROL!$C$22, $C$13, 100%, $E$13)</f>
        <v>19.9726</v>
      </c>
      <c r="K1050" s="68">
        <f>19.9739 * CHOOSE(CONTROL!$C$22, $C$13, 100%, $E$13)</f>
        <v>19.9739</v>
      </c>
    </row>
    <row r="1051" spans="1:11" ht="15">
      <c r="A1051" s="13">
        <v>73110</v>
      </c>
      <c r="B1051" s="67">
        <f>18.0774 * CHOOSE(CONTROL!$C$22, $C$13, 100%, $E$13)</f>
        <v>18.077400000000001</v>
      </c>
      <c r="C1051" s="67">
        <f>18.0774 * CHOOSE(CONTROL!$C$22, $C$13, 100%, $E$13)</f>
        <v>18.077400000000001</v>
      </c>
      <c r="D1051" s="67">
        <f>18.0783 * CHOOSE(CONTROL!$C$22, $C$13, 100%, $E$13)</f>
        <v>18.078299999999999</v>
      </c>
      <c r="E1051" s="68">
        <f>20.261 * CHOOSE(CONTROL!$C$22, $C$13, 100%, $E$13)</f>
        <v>20.260999999999999</v>
      </c>
      <c r="F1051" s="68">
        <f>20.261 * CHOOSE(CONTROL!$C$22, $C$13, 100%, $E$13)</f>
        <v>20.260999999999999</v>
      </c>
      <c r="G1051" s="68">
        <f>20.2623 * CHOOSE(CONTROL!$C$22, $C$13, 100%, $E$13)</f>
        <v>20.2623</v>
      </c>
      <c r="H1051" s="68">
        <f>33.6797* CHOOSE(CONTROL!$C$22, $C$13, 100%, $E$13)</f>
        <v>33.679699999999997</v>
      </c>
      <c r="I1051" s="68">
        <f>33.681 * CHOOSE(CONTROL!$C$22, $C$13, 100%, $E$13)</f>
        <v>33.680999999999997</v>
      </c>
      <c r="J1051" s="68">
        <f>20.261 * CHOOSE(CONTROL!$C$22, $C$13, 100%, $E$13)</f>
        <v>20.260999999999999</v>
      </c>
      <c r="K1051" s="68">
        <f>20.2623 * CHOOSE(CONTROL!$C$22, $C$13, 100%, $E$13)</f>
        <v>20.2623</v>
      </c>
    </row>
    <row r="1052" spans="1:11" ht="15">
      <c r="A1052" s="13">
        <v>73141</v>
      </c>
      <c r="B1052" s="67">
        <f>18.0868 * CHOOSE(CONTROL!$C$22, $C$13, 100%, $E$13)</f>
        <v>18.0868</v>
      </c>
      <c r="C1052" s="67">
        <f>18.0868 * CHOOSE(CONTROL!$C$22, $C$13, 100%, $E$13)</f>
        <v>18.0868</v>
      </c>
      <c r="D1052" s="67">
        <f>18.0877 * CHOOSE(CONTROL!$C$22, $C$13, 100%, $E$13)</f>
        <v>18.087700000000002</v>
      </c>
      <c r="E1052" s="68">
        <f>20.5688 * CHOOSE(CONTROL!$C$22, $C$13, 100%, $E$13)</f>
        <v>20.5688</v>
      </c>
      <c r="F1052" s="68">
        <f>20.5688 * CHOOSE(CONTROL!$C$22, $C$13, 100%, $E$13)</f>
        <v>20.5688</v>
      </c>
      <c r="G1052" s="68">
        <f>20.5701 * CHOOSE(CONTROL!$C$22, $C$13, 100%, $E$13)</f>
        <v>20.5701</v>
      </c>
      <c r="H1052" s="68">
        <f>33.7499* CHOOSE(CONTROL!$C$22, $C$13, 100%, $E$13)</f>
        <v>33.749899999999997</v>
      </c>
      <c r="I1052" s="68">
        <f>33.7512 * CHOOSE(CONTROL!$C$22, $C$13, 100%, $E$13)</f>
        <v>33.751199999999997</v>
      </c>
      <c r="J1052" s="68">
        <f>20.5688 * CHOOSE(CONTROL!$C$22, $C$13, 100%, $E$13)</f>
        <v>20.5688</v>
      </c>
      <c r="K1052" s="68">
        <f>20.5701 * CHOOSE(CONTROL!$C$22, $C$13, 100%, $E$13)</f>
        <v>20.5701</v>
      </c>
    </row>
    <row r="1053" spans="1:11" ht="15">
      <c r="A1053" s="13">
        <v>73171</v>
      </c>
      <c r="B1053" s="67">
        <f>18.0868 * CHOOSE(CONTROL!$C$22, $C$13, 100%, $E$13)</f>
        <v>18.0868</v>
      </c>
      <c r="C1053" s="67">
        <f>18.0868 * CHOOSE(CONTROL!$C$22, $C$13, 100%, $E$13)</f>
        <v>18.0868</v>
      </c>
      <c r="D1053" s="67">
        <f>18.0894 * CHOOSE(CONTROL!$C$22, $C$13, 100%, $E$13)</f>
        <v>18.089400000000001</v>
      </c>
      <c r="E1053" s="68">
        <f>20.6858 * CHOOSE(CONTROL!$C$22, $C$13, 100%, $E$13)</f>
        <v>20.6858</v>
      </c>
      <c r="F1053" s="68">
        <f>20.6858 * CHOOSE(CONTROL!$C$22, $C$13, 100%, $E$13)</f>
        <v>20.6858</v>
      </c>
      <c r="G1053" s="68">
        <f>20.6891 * CHOOSE(CONTROL!$C$22, $C$13, 100%, $E$13)</f>
        <v>20.6891</v>
      </c>
      <c r="H1053" s="68">
        <f>33.8202* CHOOSE(CONTROL!$C$22, $C$13, 100%, $E$13)</f>
        <v>33.8202</v>
      </c>
      <c r="I1053" s="68">
        <f>33.8234 * CHOOSE(CONTROL!$C$22, $C$13, 100%, $E$13)</f>
        <v>33.823399999999999</v>
      </c>
      <c r="J1053" s="68">
        <f>20.6858 * CHOOSE(CONTROL!$C$22, $C$13, 100%, $E$13)</f>
        <v>20.6858</v>
      </c>
      <c r="K1053" s="68">
        <f>20.6891 * CHOOSE(CONTROL!$C$22, $C$13, 100%, $E$13)</f>
        <v>20.6891</v>
      </c>
    </row>
    <row r="1054" spans="1:11" ht="15">
      <c r="A1054" s="13">
        <v>73202</v>
      </c>
      <c r="B1054" s="67">
        <f>18.0928 * CHOOSE(CONTROL!$C$22, $C$13, 100%, $E$13)</f>
        <v>18.0928</v>
      </c>
      <c r="C1054" s="67">
        <f>18.0928 * CHOOSE(CONTROL!$C$22, $C$13, 100%, $E$13)</f>
        <v>18.0928</v>
      </c>
      <c r="D1054" s="67">
        <f>18.0955 * CHOOSE(CONTROL!$C$22, $C$13, 100%, $E$13)</f>
        <v>18.095500000000001</v>
      </c>
      <c r="E1054" s="68">
        <f>20.5731 * CHOOSE(CONTROL!$C$22, $C$13, 100%, $E$13)</f>
        <v>20.5731</v>
      </c>
      <c r="F1054" s="68">
        <f>20.5731 * CHOOSE(CONTROL!$C$22, $C$13, 100%, $E$13)</f>
        <v>20.5731</v>
      </c>
      <c r="G1054" s="68">
        <f>20.5763 * CHOOSE(CONTROL!$C$22, $C$13, 100%, $E$13)</f>
        <v>20.5763</v>
      </c>
      <c r="H1054" s="68">
        <f>33.8907* CHOOSE(CONTROL!$C$22, $C$13, 100%, $E$13)</f>
        <v>33.890700000000002</v>
      </c>
      <c r="I1054" s="68">
        <f>33.8939 * CHOOSE(CONTROL!$C$22, $C$13, 100%, $E$13)</f>
        <v>33.893900000000002</v>
      </c>
      <c r="J1054" s="68">
        <f>20.5731 * CHOOSE(CONTROL!$C$22, $C$13, 100%, $E$13)</f>
        <v>20.5731</v>
      </c>
      <c r="K1054" s="68">
        <f>20.5763 * CHOOSE(CONTROL!$C$22, $C$13, 100%, $E$13)</f>
        <v>20.5763</v>
      </c>
    </row>
    <row r="1055" spans="1:11" ht="15">
      <c r="A1055" s="13">
        <v>73232</v>
      </c>
      <c r="B1055" s="67">
        <f>18.3645 * CHOOSE(CONTROL!$C$22, $C$13, 100%, $E$13)</f>
        <v>18.3645</v>
      </c>
      <c r="C1055" s="67">
        <f>18.3645 * CHOOSE(CONTROL!$C$22, $C$13, 100%, $E$13)</f>
        <v>18.3645</v>
      </c>
      <c r="D1055" s="67">
        <f>18.3671 * CHOOSE(CONTROL!$C$22, $C$13, 100%, $E$13)</f>
        <v>18.367100000000001</v>
      </c>
      <c r="E1055" s="68">
        <f>20.897 * CHOOSE(CONTROL!$C$22, $C$13, 100%, $E$13)</f>
        <v>20.896999999999998</v>
      </c>
      <c r="F1055" s="68">
        <f>20.897 * CHOOSE(CONTROL!$C$22, $C$13, 100%, $E$13)</f>
        <v>20.896999999999998</v>
      </c>
      <c r="G1055" s="68">
        <f>20.9003 * CHOOSE(CONTROL!$C$22, $C$13, 100%, $E$13)</f>
        <v>20.900300000000001</v>
      </c>
      <c r="H1055" s="68">
        <f>33.9613* CHOOSE(CONTROL!$C$22, $C$13, 100%, $E$13)</f>
        <v>33.961300000000001</v>
      </c>
      <c r="I1055" s="68">
        <f>33.9645 * CHOOSE(CONTROL!$C$22, $C$13, 100%, $E$13)</f>
        <v>33.964500000000001</v>
      </c>
      <c r="J1055" s="68">
        <f>20.897 * CHOOSE(CONTROL!$C$22, $C$13, 100%, $E$13)</f>
        <v>20.896999999999998</v>
      </c>
      <c r="K1055" s="68">
        <f>20.9003 * CHOOSE(CONTROL!$C$22, $C$13, 100%, $E$13)</f>
        <v>20.900300000000001</v>
      </c>
    </row>
    <row r="1056" spans="1:11" ht="15">
      <c r="A1056" s="13">
        <v>73263</v>
      </c>
      <c r="B1056" s="67">
        <f>18.3712 * CHOOSE(CONTROL!$C$22, $C$13, 100%, $E$13)</f>
        <v>18.371200000000002</v>
      </c>
      <c r="C1056" s="67">
        <f>18.3712 * CHOOSE(CONTROL!$C$22, $C$13, 100%, $E$13)</f>
        <v>18.371200000000002</v>
      </c>
      <c r="D1056" s="67">
        <f>18.3738 * CHOOSE(CONTROL!$C$22, $C$13, 100%, $E$13)</f>
        <v>18.373799999999999</v>
      </c>
      <c r="E1056" s="68">
        <f>20.5507 * CHOOSE(CONTROL!$C$22, $C$13, 100%, $E$13)</f>
        <v>20.550699999999999</v>
      </c>
      <c r="F1056" s="68">
        <f>20.5507 * CHOOSE(CONTROL!$C$22, $C$13, 100%, $E$13)</f>
        <v>20.550699999999999</v>
      </c>
      <c r="G1056" s="68">
        <f>20.5539 * CHOOSE(CONTROL!$C$22, $C$13, 100%, $E$13)</f>
        <v>20.553899999999999</v>
      </c>
      <c r="H1056" s="68">
        <f>34.032* CHOOSE(CONTROL!$C$22, $C$13, 100%, $E$13)</f>
        <v>34.031999999999996</v>
      </c>
      <c r="I1056" s="68">
        <f>34.0353 * CHOOSE(CONTROL!$C$22, $C$13, 100%, $E$13)</f>
        <v>34.035299999999999</v>
      </c>
      <c r="J1056" s="68">
        <f>20.5507 * CHOOSE(CONTROL!$C$22, $C$13, 100%, $E$13)</f>
        <v>20.550699999999999</v>
      </c>
      <c r="K1056" s="68">
        <f>20.5539 * CHOOSE(CONTROL!$C$22, $C$13, 100%, $E$13)</f>
        <v>20.553899999999999</v>
      </c>
    </row>
    <row r="1057" spans="1:11" ht="15">
      <c r="A1057" s="13">
        <v>73294</v>
      </c>
      <c r="B1057" s="67">
        <f>18.3681 * CHOOSE(CONTROL!$C$22, $C$13, 100%, $E$13)</f>
        <v>18.368099999999998</v>
      </c>
      <c r="C1057" s="67">
        <f>18.3681 * CHOOSE(CONTROL!$C$22, $C$13, 100%, $E$13)</f>
        <v>18.368099999999998</v>
      </c>
      <c r="D1057" s="67">
        <f>18.3707 * CHOOSE(CONTROL!$C$22, $C$13, 100%, $E$13)</f>
        <v>18.370699999999999</v>
      </c>
      <c r="E1057" s="68">
        <f>20.5095 * CHOOSE(CONTROL!$C$22, $C$13, 100%, $E$13)</f>
        <v>20.509499999999999</v>
      </c>
      <c r="F1057" s="68">
        <f>20.5095 * CHOOSE(CONTROL!$C$22, $C$13, 100%, $E$13)</f>
        <v>20.509499999999999</v>
      </c>
      <c r="G1057" s="68">
        <f>20.5128 * CHOOSE(CONTROL!$C$22, $C$13, 100%, $E$13)</f>
        <v>20.512799999999999</v>
      </c>
      <c r="H1057" s="68">
        <f>34.1029* CHOOSE(CONTROL!$C$22, $C$13, 100%, $E$13)</f>
        <v>34.102899999999998</v>
      </c>
      <c r="I1057" s="68">
        <f>34.1062 * CHOOSE(CONTROL!$C$22, $C$13, 100%, $E$13)</f>
        <v>34.106200000000001</v>
      </c>
      <c r="J1057" s="68">
        <f>20.5095 * CHOOSE(CONTROL!$C$22, $C$13, 100%, $E$13)</f>
        <v>20.509499999999999</v>
      </c>
      <c r="K1057" s="68">
        <f>20.5128 * CHOOSE(CONTROL!$C$22, $C$13, 100%, $E$13)</f>
        <v>20.512799999999999</v>
      </c>
    </row>
    <row r="1058" spans="1:11" ht="15">
      <c r="A1058" s="13">
        <v>73324</v>
      </c>
      <c r="B1058" s="67">
        <f>18.4093 * CHOOSE(CONTROL!$C$22, $C$13, 100%, $E$13)</f>
        <v>18.409300000000002</v>
      </c>
      <c r="C1058" s="67">
        <f>18.4093 * CHOOSE(CONTROL!$C$22, $C$13, 100%, $E$13)</f>
        <v>18.409300000000002</v>
      </c>
      <c r="D1058" s="67">
        <f>18.4103 * CHOOSE(CONTROL!$C$22, $C$13, 100%, $E$13)</f>
        <v>18.410299999999999</v>
      </c>
      <c r="E1058" s="68">
        <f>20.6521 * CHOOSE(CONTROL!$C$22, $C$13, 100%, $E$13)</f>
        <v>20.652100000000001</v>
      </c>
      <c r="F1058" s="68">
        <f>20.6521 * CHOOSE(CONTROL!$C$22, $C$13, 100%, $E$13)</f>
        <v>20.652100000000001</v>
      </c>
      <c r="G1058" s="68">
        <f>20.6534 * CHOOSE(CONTROL!$C$22, $C$13, 100%, $E$13)</f>
        <v>20.653400000000001</v>
      </c>
      <c r="H1058" s="68">
        <f>34.174* CHOOSE(CONTROL!$C$22, $C$13, 100%, $E$13)</f>
        <v>34.173999999999999</v>
      </c>
      <c r="I1058" s="68">
        <f>34.1752 * CHOOSE(CONTROL!$C$22, $C$13, 100%, $E$13)</f>
        <v>34.175199999999997</v>
      </c>
      <c r="J1058" s="68">
        <f>20.6521 * CHOOSE(CONTROL!$C$22, $C$13, 100%, $E$13)</f>
        <v>20.652100000000001</v>
      </c>
      <c r="K1058" s="68">
        <f>20.6534 * CHOOSE(CONTROL!$C$22, $C$13, 100%, $E$13)</f>
        <v>20.653400000000001</v>
      </c>
    </row>
    <row r="1059" spans="1:11" ht="15">
      <c r="A1059" s="13">
        <v>73355</v>
      </c>
      <c r="B1059" s="67">
        <f>18.4123 * CHOOSE(CONTROL!$C$22, $C$13, 100%, $E$13)</f>
        <v>18.412299999999998</v>
      </c>
      <c r="C1059" s="67">
        <f>18.4123 * CHOOSE(CONTROL!$C$22, $C$13, 100%, $E$13)</f>
        <v>18.412299999999998</v>
      </c>
      <c r="D1059" s="67">
        <f>18.4133 * CHOOSE(CONTROL!$C$22, $C$13, 100%, $E$13)</f>
        <v>18.4133</v>
      </c>
      <c r="E1059" s="68">
        <f>20.7323 * CHOOSE(CONTROL!$C$22, $C$13, 100%, $E$13)</f>
        <v>20.732299999999999</v>
      </c>
      <c r="F1059" s="68">
        <f>20.7323 * CHOOSE(CONTROL!$C$22, $C$13, 100%, $E$13)</f>
        <v>20.732299999999999</v>
      </c>
      <c r="G1059" s="68">
        <f>20.7336 * CHOOSE(CONTROL!$C$22, $C$13, 100%, $E$13)</f>
        <v>20.733599999999999</v>
      </c>
      <c r="H1059" s="68">
        <f>34.2452* CHOOSE(CONTROL!$C$22, $C$13, 100%, $E$13)</f>
        <v>34.245199999999997</v>
      </c>
      <c r="I1059" s="68">
        <f>34.2464 * CHOOSE(CONTROL!$C$22, $C$13, 100%, $E$13)</f>
        <v>34.246400000000001</v>
      </c>
      <c r="J1059" s="68">
        <f>20.7323 * CHOOSE(CONTROL!$C$22, $C$13, 100%, $E$13)</f>
        <v>20.732299999999999</v>
      </c>
      <c r="K1059" s="68">
        <f>20.7336 * CHOOSE(CONTROL!$C$22, $C$13, 100%, $E$13)</f>
        <v>20.733599999999999</v>
      </c>
    </row>
    <row r="1060" spans="1:11" ht="15">
      <c r="A1060" s="13">
        <v>73385</v>
      </c>
      <c r="B1060" s="67">
        <f>18.4123 * CHOOSE(CONTROL!$C$22, $C$13, 100%, $E$13)</f>
        <v>18.412299999999998</v>
      </c>
      <c r="C1060" s="67">
        <f>18.4123 * CHOOSE(CONTROL!$C$22, $C$13, 100%, $E$13)</f>
        <v>18.412299999999998</v>
      </c>
      <c r="D1060" s="67">
        <f>18.4133 * CHOOSE(CONTROL!$C$22, $C$13, 100%, $E$13)</f>
        <v>18.4133</v>
      </c>
      <c r="E1060" s="68">
        <f>20.5373 * CHOOSE(CONTROL!$C$22, $C$13, 100%, $E$13)</f>
        <v>20.537299999999998</v>
      </c>
      <c r="F1060" s="68">
        <f>20.5373 * CHOOSE(CONTROL!$C$22, $C$13, 100%, $E$13)</f>
        <v>20.537299999999998</v>
      </c>
      <c r="G1060" s="68">
        <f>20.5385 * CHOOSE(CONTROL!$C$22, $C$13, 100%, $E$13)</f>
        <v>20.538499999999999</v>
      </c>
      <c r="H1060" s="68">
        <f>34.3165* CHOOSE(CONTROL!$C$22, $C$13, 100%, $E$13)</f>
        <v>34.316499999999998</v>
      </c>
      <c r="I1060" s="68">
        <f>34.3178 * CHOOSE(CONTROL!$C$22, $C$13, 100%, $E$13)</f>
        <v>34.317799999999998</v>
      </c>
      <c r="J1060" s="68">
        <f>20.5373 * CHOOSE(CONTROL!$C$22, $C$13, 100%, $E$13)</f>
        <v>20.537299999999998</v>
      </c>
      <c r="K1060" s="68">
        <f>20.5385 * CHOOSE(CONTROL!$C$22, $C$13, 100%, $E$13)</f>
        <v>20.538499999999999</v>
      </c>
    </row>
    <row r="1061" spans="1:11" ht="15">
      <c r="A1061" s="10"/>
      <c r="B1061" s="67"/>
      <c r="C1061" s="67"/>
      <c r="D1061" s="67"/>
      <c r="E1061" s="68"/>
      <c r="F1061" s="68"/>
      <c r="G1061" s="68"/>
      <c r="H1061" s="68"/>
      <c r="I1061" s="68"/>
      <c r="J1061" s="68"/>
      <c r="K1061" s="68"/>
    </row>
    <row r="1062" spans="1:11" ht="15">
      <c r="A1062" s="3">
        <v>2014</v>
      </c>
      <c r="B1062" s="67">
        <f t="shared" ref="B1062:K1062" si="0">AVERAGE(B17:B28)</f>
        <v>2.4184833333333331</v>
      </c>
      <c r="C1062" s="67">
        <f t="shared" si="0"/>
        <v>2.4063500000000002</v>
      </c>
      <c r="D1062" s="67">
        <f t="shared" si="0"/>
        <v>2.4080083333333331</v>
      </c>
      <c r="E1062" s="67">
        <f t="shared" si="0"/>
        <v>3.2984333333333336</v>
      </c>
      <c r="F1062" s="67">
        <f t="shared" si="0"/>
        <v>3.4486666666666661</v>
      </c>
      <c r="G1062" s="67">
        <f t="shared" si="0"/>
        <v>3.4533583333333335</v>
      </c>
      <c r="H1062" s="67">
        <f t="shared" si="0"/>
        <v>5.5554083333333333</v>
      </c>
      <c r="I1062" s="67">
        <f t="shared" si="0"/>
        <v>5.5600833333333322</v>
      </c>
      <c r="J1062" s="67">
        <f t="shared" si="0"/>
        <v>3.2984333333333336</v>
      </c>
      <c r="K1062" s="67">
        <f t="shared" si="0"/>
        <v>3.3030916666666674</v>
      </c>
    </row>
    <row r="1063" spans="1:11" ht="15">
      <c r="A1063" s="3">
        <v>2015</v>
      </c>
      <c r="B1063" s="67">
        <f t="shared" ref="B1063:K1063" si="1">AVERAGE(B29:B40)</f>
        <v>2.5009166666666673</v>
      </c>
      <c r="C1063" s="67">
        <f t="shared" si="1"/>
        <v>2.5282416666666667</v>
      </c>
      <c r="D1063" s="67">
        <f t="shared" si="1"/>
        <v>2.5299083333333336</v>
      </c>
      <c r="E1063" s="67">
        <f t="shared" si="1"/>
        <v>3.2090166666666664</v>
      </c>
      <c r="F1063" s="67">
        <f t="shared" si="1"/>
        <v>3.254</v>
      </c>
      <c r="G1063" s="67">
        <f t="shared" si="1"/>
        <v>3.2561333333333331</v>
      </c>
      <c r="H1063" s="67">
        <f t="shared" si="1"/>
        <v>5.4149000000000003</v>
      </c>
      <c r="I1063" s="67">
        <f t="shared" si="1"/>
        <v>5.4169916666666653</v>
      </c>
      <c r="J1063" s="67">
        <f t="shared" si="1"/>
        <v>3.2090166666666664</v>
      </c>
      <c r="K1063" s="67">
        <f t="shared" si="1"/>
        <v>3.2111499999999999</v>
      </c>
    </row>
    <row r="1064" spans="1:11" ht="15">
      <c r="A1064" s="3">
        <v>2016</v>
      </c>
      <c r="B1064" s="67">
        <f t="shared" ref="B1064:K1064" si="2">AVERAGE(B41:B52)</f>
        <v>2.8711249999999997</v>
      </c>
      <c r="C1064" s="67">
        <f t="shared" si="2"/>
        <v>2.8711249999999997</v>
      </c>
      <c r="D1064" s="67">
        <f t="shared" si="2"/>
        <v>2.872783333333333</v>
      </c>
      <c r="E1064" s="67">
        <f t="shared" si="2"/>
        <v>3.3873333333333338</v>
      </c>
      <c r="F1064" s="67">
        <f t="shared" si="2"/>
        <v>3.4460000000000002</v>
      </c>
      <c r="G1064" s="67">
        <f t="shared" si="2"/>
        <v>3.4481333333333333</v>
      </c>
      <c r="H1064" s="67">
        <f t="shared" si="2"/>
        <v>5.551825</v>
      </c>
      <c r="I1064" s="67">
        <f t="shared" si="2"/>
        <v>5.5539416666666668</v>
      </c>
      <c r="J1064" s="67">
        <f t="shared" si="2"/>
        <v>3.3873333333333338</v>
      </c>
      <c r="K1064" s="67">
        <f t="shared" si="2"/>
        <v>3.3894666666666668</v>
      </c>
    </row>
    <row r="1065" spans="1:11" ht="15">
      <c r="A1065" s="3">
        <v>2017</v>
      </c>
      <c r="B1065" s="67">
        <f t="shared" ref="B1065:K1065" si="3">AVERAGE(B53:B64)</f>
        <v>3.0028000000000001</v>
      </c>
      <c r="C1065" s="67">
        <f t="shared" si="3"/>
        <v>3.0028000000000001</v>
      </c>
      <c r="D1065" s="67">
        <f t="shared" si="3"/>
        <v>3.0044749999999998</v>
      </c>
      <c r="E1065" s="67">
        <f t="shared" si="3"/>
        <v>3.5879916666666669</v>
      </c>
      <c r="F1065" s="67">
        <f t="shared" si="3"/>
        <v>3.5879916666666669</v>
      </c>
      <c r="G1065" s="67">
        <f t="shared" si="3"/>
        <v>3.5900916666666665</v>
      </c>
      <c r="H1065" s="67">
        <f t="shared" si="3"/>
        <v>5.6922249999999996</v>
      </c>
      <c r="I1065" s="67">
        <f t="shared" si="3"/>
        <v>5.6943333333333328</v>
      </c>
      <c r="J1065" s="67">
        <f t="shared" si="3"/>
        <v>3.5879916666666669</v>
      </c>
      <c r="K1065" s="67">
        <f t="shared" si="3"/>
        <v>3.5900916666666665</v>
      </c>
    </row>
    <row r="1066" spans="1:11" ht="15">
      <c r="A1066" s="3">
        <v>2018</v>
      </c>
      <c r="B1066" s="67">
        <f t="shared" ref="B1066:K1066" si="4">AVERAGE(B65:B76)</f>
        <v>3.1109000000000004</v>
      </c>
      <c r="C1066" s="67">
        <f t="shared" si="4"/>
        <v>3.1109000000000004</v>
      </c>
      <c r="D1066" s="67">
        <f t="shared" si="4"/>
        <v>3.1125583333333329</v>
      </c>
      <c r="E1066" s="67">
        <f t="shared" si="4"/>
        <v>3.7429000000000006</v>
      </c>
      <c r="F1066" s="67">
        <f t="shared" si="4"/>
        <v>3.7429000000000006</v>
      </c>
      <c r="G1066" s="67">
        <f t="shared" si="4"/>
        <v>3.7449999999999997</v>
      </c>
      <c r="H1066" s="67">
        <f t="shared" si="4"/>
        <v>5.8361749999999999</v>
      </c>
      <c r="I1066" s="67">
        <f t="shared" si="4"/>
        <v>5.838283333333333</v>
      </c>
      <c r="J1066" s="67">
        <f t="shared" si="4"/>
        <v>3.7429000000000006</v>
      </c>
      <c r="K1066" s="67">
        <f t="shared" si="4"/>
        <v>3.7449999999999997</v>
      </c>
    </row>
    <row r="1067" spans="1:11" ht="15">
      <c r="A1067" s="3">
        <v>2019</v>
      </c>
      <c r="B1067" s="67">
        <f t="shared" ref="B1067:K1067" si="5">AVERAGE(B77:B88)</f>
        <v>3.1375166666666665</v>
      </c>
      <c r="C1067" s="67">
        <f t="shared" si="5"/>
        <v>3.1375166666666665</v>
      </c>
      <c r="D1067" s="67">
        <f t="shared" si="5"/>
        <v>3.1391749999999994</v>
      </c>
      <c r="E1067" s="67">
        <f t="shared" si="5"/>
        <v>3.8573833333333334</v>
      </c>
      <c r="F1067" s="67">
        <f t="shared" si="5"/>
        <v>3.8573833333333334</v>
      </c>
      <c r="G1067" s="67">
        <f t="shared" si="5"/>
        <v>3.8594833333333334</v>
      </c>
      <c r="H1067" s="67">
        <f t="shared" si="5"/>
        <v>5.9837666666666669</v>
      </c>
      <c r="I1067" s="67">
        <f t="shared" si="5"/>
        <v>5.9858666666666656</v>
      </c>
      <c r="J1067" s="67">
        <f t="shared" si="5"/>
        <v>3.8573833333333334</v>
      </c>
      <c r="K1067" s="67">
        <f t="shared" si="5"/>
        <v>3.8594833333333334</v>
      </c>
    </row>
    <row r="1068" spans="1:11" ht="15">
      <c r="A1068" s="3">
        <v>2020</v>
      </c>
      <c r="B1068" s="67">
        <f t="shared" ref="B1068:K1068" si="6">AVERAGE(B89:B100)</f>
        <v>3.1985999999999994</v>
      </c>
      <c r="C1068" s="67">
        <f t="shared" si="6"/>
        <v>3.1985999999999994</v>
      </c>
      <c r="D1068" s="67">
        <f t="shared" si="6"/>
        <v>3.20025</v>
      </c>
      <c r="E1068" s="67">
        <f t="shared" si="6"/>
        <v>3.7282833333333336</v>
      </c>
      <c r="F1068" s="67">
        <f t="shared" si="6"/>
        <v>3.7282833333333336</v>
      </c>
      <c r="G1068" s="67">
        <f t="shared" si="6"/>
        <v>3.7303833333333341</v>
      </c>
      <c r="H1068" s="67">
        <f t="shared" si="6"/>
        <v>6.1350750000000005</v>
      </c>
      <c r="I1068" s="67">
        <f t="shared" si="6"/>
        <v>6.1372</v>
      </c>
      <c r="J1068" s="67">
        <f t="shared" si="6"/>
        <v>3.7282833333333336</v>
      </c>
      <c r="K1068" s="67">
        <f t="shared" si="6"/>
        <v>3.7303833333333341</v>
      </c>
    </row>
    <row r="1069" spans="1:11" ht="15">
      <c r="A1069" s="3">
        <v>2021</v>
      </c>
      <c r="B1069" s="67">
        <f t="shared" ref="B1069:K1069" si="7">AVERAGE(B101:B112)</f>
        <v>3.2682833333333332</v>
      </c>
      <c r="C1069" s="67">
        <f t="shared" si="7"/>
        <v>3.2682833333333332</v>
      </c>
      <c r="D1069" s="67">
        <f t="shared" si="7"/>
        <v>3.2699416666666665</v>
      </c>
      <c r="E1069" s="67">
        <f t="shared" si="7"/>
        <v>3.7707666666666668</v>
      </c>
      <c r="F1069" s="67">
        <f t="shared" si="7"/>
        <v>3.7707666666666668</v>
      </c>
      <c r="G1069" s="67">
        <f t="shared" si="7"/>
        <v>3.7728750000000004</v>
      </c>
      <c r="H1069" s="67">
        <f t="shared" si="7"/>
        <v>6.2902333333333331</v>
      </c>
      <c r="I1069" s="67">
        <f t="shared" si="7"/>
        <v>6.2923333333333327</v>
      </c>
      <c r="J1069" s="67">
        <f t="shared" si="7"/>
        <v>3.7707666666666668</v>
      </c>
      <c r="K1069" s="67">
        <f t="shared" si="7"/>
        <v>3.7728750000000004</v>
      </c>
    </row>
    <row r="1070" spans="1:11" ht="15">
      <c r="A1070" s="3">
        <v>2022</v>
      </c>
      <c r="B1070" s="67">
        <f t="shared" ref="B1070:K1070" si="8">AVERAGE(B113:B124)</f>
        <v>3.3391416666666669</v>
      </c>
      <c r="C1070" s="67">
        <f t="shared" si="8"/>
        <v>3.3391416666666669</v>
      </c>
      <c r="D1070" s="67">
        <f t="shared" si="8"/>
        <v>3.3407999999999998</v>
      </c>
      <c r="E1070" s="67">
        <f t="shared" si="8"/>
        <v>3.944116666666666</v>
      </c>
      <c r="F1070" s="67">
        <f t="shared" si="8"/>
        <v>3.944116666666666</v>
      </c>
      <c r="G1070" s="67">
        <f t="shared" si="8"/>
        <v>3.9462500000000005</v>
      </c>
      <c r="H1070" s="67">
        <f t="shared" si="8"/>
        <v>6.4492916666666664</v>
      </c>
      <c r="I1070" s="67">
        <f t="shared" si="8"/>
        <v>6.4514083333333332</v>
      </c>
      <c r="J1070" s="67">
        <f t="shared" si="8"/>
        <v>3.944116666666666</v>
      </c>
      <c r="K1070" s="67">
        <f t="shared" si="8"/>
        <v>3.9462500000000005</v>
      </c>
    </row>
    <row r="1071" spans="1:11" ht="15">
      <c r="A1071" s="3">
        <v>2023</v>
      </c>
      <c r="B1071" s="67">
        <f t="shared" ref="B1071:K1071" si="9">AVERAGE(B125:B136)</f>
        <v>3.4119833333333336</v>
      </c>
      <c r="C1071" s="67">
        <f t="shared" si="9"/>
        <v>3.4119833333333336</v>
      </c>
      <c r="D1071" s="67">
        <f t="shared" si="9"/>
        <v>3.4136583333333328</v>
      </c>
      <c r="E1071" s="67">
        <f t="shared" si="9"/>
        <v>4.0709833333333334</v>
      </c>
      <c r="F1071" s="67">
        <f t="shared" si="9"/>
        <v>4.0709833333333334</v>
      </c>
      <c r="G1071" s="67">
        <f t="shared" si="9"/>
        <v>4.0730916666666666</v>
      </c>
      <c r="H1071" s="67">
        <f t="shared" si="9"/>
        <v>6.6123833333333337</v>
      </c>
      <c r="I1071" s="67">
        <f t="shared" si="9"/>
        <v>6.6145000000000005</v>
      </c>
      <c r="J1071" s="67">
        <f t="shared" si="9"/>
        <v>4.0709833333333334</v>
      </c>
      <c r="K1071" s="67">
        <f t="shared" si="9"/>
        <v>4.0730916666666666</v>
      </c>
    </row>
    <row r="1072" spans="1:11" ht="15">
      <c r="A1072" s="3">
        <v>2024</v>
      </c>
      <c r="B1072" s="67">
        <f t="shared" ref="B1072:K1072" si="10">AVERAGE(B137:B148)</f>
        <v>3.4898833333333328</v>
      </c>
      <c r="C1072" s="67">
        <f t="shared" si="10"/>
        <v>3.4898833333333328</v>
      </c>
      <c r="D1072" s="67">
        <f t="shared" si="10"/>
        <v>3.4915583333333333</v>
      </c>
      <c r="E1072" s="67">
        <f t="shared" si="10"/>
        <v>4.1558083333333329</v>
      </c>
      <c r="F1072" s="67">
        <f t="shared" si="10"/>
        <v>4.1558083333333329</v>
      </c>
      <c r="G1072" s="67">
        <f t="shared" si="10"/>
        <v>4.157891666666667</v>
      </c>
      <c r="H1072" s="67">
        <f t="shared" si="10"/>
        <v>6.779608333333333</v>
      </c>
      <c r="I1072" s="67">
        <f t="shared" si="10"/>
        <v>6.7817166666666653</v>
      </c>
      <c r="J1072" s="67">
        <f t="shared" si="10"/>
        <v>4.1558083333333329</v>
      </c>
      <c r="K1072" s="67">
        <f t="shared" si="10"/>
        <v>4.157891666666667</v>
      </c>
    </row>
    <row r="1073" spans="1:11" ht="15">
      <c r="A1073" s="3">
        <v>2025</v>
      </c>
      <c r="B1073" s="67">
        <f t="shared" ref="B1073:K1073" si="11">AVERAGE(B149:B160)</f>
        <v>3.5713666666666675</v>
      </c>
      <c r="C1073" s="67">
        <f t="shared" si="11"/>
        <v>3.5713666666666675</v>
      </c>
      <c r="D1073" s="67">
        <f t="shared" si="11"/>
        <v>3.5730333333333335</v>
      </c>
      <c r="E1073" s="67">
        <f t="shared" si="11"/>
        <v>4.2415750000000001</v>
      </c>
      <c r="F1073" s="67">
        <f t="shared" si="11"/>
        <v>4.2415750000000001</v>
      </c>
      <c r="G1073" s="67">
        <f t="shared" si="11"/>
        <v>4.2436750000000005</v>
      </c>
      <c r="H1073" s="67">
        <f t="shared" si="11"/>
        <v>6.9510499999999995</v>
      </c>
      <c r="I1073" s="67">
        <f t="shared" si="11"/>
        <v>6.9531833333333326</v>
      </c>
      <c r="J1073" s="67">
        <f t="shared" si="11"/>
        <v>4.2415750000000001</v>
      </c>
      <c r="K1073" s="67">
        <f t="shared" si="11"/>
        <v>4.2436750000000005</v>
      </c>
    </row>
    <row r="1074" spans="1:11" ht="15">
      <c r="A1074" s="3">
        <v>2026</v>
      </c>
      <c r="B1074" s="67">
        <f t="shared" ref="B1074:K1074" si="12">AVERAGE(B161:B172)</f>
        <v>3.6529916666666669</v>
      </c>
      <c r="C1074" s="67">
        <f t="shared" si="12"/>
        <v>3.6529916666666669</v>
      </c>
      <c r="D1074" s="67">
        <f t="shared" si="12"/>
        <v>3.6546583333333325</v>
      </c>
      <c r="E1074" s="67">
        <f t="shared" si="12"/>
        <v>4.3426083333333336</v>
      </c>
      <c r="F1074" s="67">
        <f t="shared" si="12"/>
        <v>4.3426083333333336</v>
      </c>
      <c r="G1074" s="67">
        <f t="shared" si="12"/>
        <v>4.3447249999999995</v>
      </c>
      <c r="H1074" s="67">
        <f t="shared" si="12"/>
        <v>7.1268249999999993</v>
      </c>
      <c r="I1074" s="67">
        <f t="shared" si="12"/>
        <v>7.1289416666666661</v>
      </c>
      <c r="J1074" s="67">
        <f t="shared" si="12"/>
        <v>4.3426083333333336</v>
      </c>
      <c r="K1074" s="67">
        <f t="shared" si="12"/>
        <v>4.3447249999999995</v>
      </c>
    </row>
    <row r="1075" spans="1:11" ht="15">
      <c r="A1075" s="3">
        <v>2027</v>
      </c>
      <c r="B1075" s="67">
        <f t="shared" ref="B1075:K1075" si="13">AVERAGE(B173:B184)</f>
        <v>3.7325916666666674</v>
      </c>
      <c r="C1075" s="67">
        <f t="shared" si="13"/>
        <v>3.7325916666666674</v>
      </c>
      <c r="D1075" s="67">
        <f t="shared" si="13"/>
        <v>3.7342499999999994</v>
      </c>
      <c r="E1075" s="67">
        <f t="shared" si="13"/>
        <v>4.4449999999999994</v>
      </c>
      <c r="F1075" s="67">
        <f t="shared" si="13"/>
        <v>4.4449999999999994</v>
      </c>
      <c r="G1075" s="67">
        <f t="shared" si="13"/>
        <v>4.4471083333333334</v>
      </c>
      <c r="H1075" s="67">
        <f t="shared" si="13"/>
        <v>7.3070666666666684</v>
      </c>
      <c r="I1075" s="67">
        <f t="shared" si="13"/>
        <v>7.3091583333333334</v>
      </c>
      <c r="J1075" s="67">
        <f t="shared" si="13"/>
        <v>4.4449999999999994</v>
      </c>
      <c r="K1075" s="67">
        <f t="shared" si="13"/>
        <v>4.4471083333333334</v>
      </c>
    </row>
    <row r="1076" spans="1:11" ht="15">
      <c r="A1076" s="3">
        <v>2028</v>
      </c>
      <c r="B1076" s="67">
        <f t="shared" ref="B1076:K1076" si="14">AVERAGE(B185:B196)</f>
        <v>3.8206500000000001</v>
      </c>
      <c r="C1076" s="67">
        <f t="shared" si="14"/>
        <v>3.8206500000000001</v>
      </c>
      <c r="D1076" s="67">
        <f t="shared" si="14"/>
        <v>3.822316666666667</v>
      </c>
      <c r="E1076" s="67">
        <f t="shared" si="14"/>
        <v>4.5496749999999997</v>
      </c>
      <c r="F1076" s="67">
        <f t="shared" si="14"/>
        <v>4.5496749999999997</v>
      </c>
      <c r="G1076" s="67">
        <f t="shared" si="14"/>
        <v>4.5517750000000001</v>
      </c>
      <c r="H1076" s="67">
        <f t="shared" si="14"/>
        <v>7.4918499999999995</v>
      </c>
      <c r="I1076" s="67">
        <f t="shared" si="14"/>
        <v>7.4939583333333344</v>
      </c>
      <c r="J1076" s="67">
        <f t="shared" si="14"/>
        <v>4.5496749999999997</v>
      </c>
      <c r="K1076" s="67">
        <f t="shared" si="14"/>
        <v>4.5517750000000001</v>
      </c>
    </row>
    <row r="1077" spans="1:11" ht="15">
      <c r="A1077" s="3">
        <v>2029</v>
      </c>
      <c r="B1077" s="67">
        <f t="shared" ref="B1077:K1077" si="15">AVERAGE(B197:B208)</f>
        <v>3.9070166666666659</v>
      </c>
      <c r="C1077" s="67">
        <f t="shared" si="15"/>
        <v>3.9070166666666659</v>
      </c>
      <c r="D1077" s="67">
        <f t="shared" si="15"/>
        <v>3.9086916666666665</v>
      </c>
      <c r="E1077" s="67">
        <f t="shared" si="15"/>
        <v>4.6572416666666667</v>
      </c>
      <c r="F1077" s="67">
        <f t="shared" si="15"/>
        <v>4.6572416666666667</v>
      </c>
      <c r="G1077" s="67">
        <f t="shared" si="15"/>
        <v>4.6593583333333335</v>
      </c>
      <c r="H1077" s="67">
        <f t="shared" si="15"/>
        <v>7.681308333333333</v>
      </c>
      <c r="I1077" s="67">
        <f t="shared" si="15"/>
        <v>7.6834083333333325</v>
      </c>
      <c r="J1077" s="67">
        <f t="shared" si="15"/>
        <v>4.6572416666666667</v>
      </c>
      <c r="K1077" s="67">
        <f t="shared" si="15"/>
        <v>4.6593583333333335</v>
      </c>
    </row>
    <row r="1078" spans="1:11" ht="15">
      <c r="A1078" s="3">
        <v>2030</v>
      </c>
      <c r="B1078" s="67">
        <f t="shared" ref="B1078:K1078" si="16">AVERAGE(B209:B220)</f>
        <v>3.998324999999999</v>
      </c>
      <c r="C1078" s="67">
        <f t="shared" si="16"/>
        <v>3.998324999999999</v>
      </c>
      <c r="D1078" s="67">
        <f t="shared" si="16"/>
        <v>3.9999916666666668</v>
      </c>
      <c r="E1078" s="67">
        <f t="shared" si="16"/>
        <v>4.7692916666666667</v>
      </c>
      <c r="F1078" s="67">
        <f t="shared" si="16"/>
        <v>4.7692916666666667</v>
      </c>
      <c r="G1078" s="67">
        <f t="shared" si="16"/>
        <v>4.7714083333333326</v>
      </c>
      <c r="H1078" s="67">
        <f t="shared" si="16"/>
        <v>7.8755499999999996</v>
      </c>
      <c r="I1078" s="67">
        <f t="shared" si="16"/>
        <v>7.8776583333333328</v>
      </c>
      <c r="J1078" s="67">
        <f t="shared" si="16"/>
        <v>4.7692916666666667</v>
      </c>
      <c r="K1078" s="67">
        <f t="shared" si="16"/>
        <v>4.7714083333333326</v>
      </c>
    </row>
    <row r="1079" spans="1:11" ht="15">
      <c r="A1079" s="3">
        <v>2031</v>
      </c>
      <c r="B1079" s="67">
        <f t="shared" ref="B1079:K1079" si="17">AVERAGE(B221:B232)</f>
        <v>4.0933833333333327</v>
      </c>
      <c r="C1079" s="67">
        <f t="shared" si="17"/>
        <v>4.0933833333333327</v>
      </c>
      <c r="D1079" s="67">
        <f t="shared" si="17"/>
        <v>4.0950416666666669</v>
      </c>
      <c r="E1079" s="67">
        <f t="shared" si="17"/>
        <v>4.915375</v>
      </c>
      <c r="F1079" s="67">
        <f t="shared" si="17"/>
        <v>4.915375</v>
      </c>
      <c r="G1079" s="67">
        <f t="shared" si="17"/>
        <v>4.9174833333333341</v>
      </c>
      <c r="H1079" s="67">
        <f t="shared" si="17"/>
        <v>8.0747083333333336</v>
      </c>
      <c r="I1079" s="67">
        <f t="shared" si="17"/>
        <v>8.0768249999999995</v>
      </c>
      <c r="J1079" s="67">
        <f t="shared" si="17"/>
        <v>4.915375</v>
      </c>
      <c r="K1079" s="67">
        <f t="shared" si="17"/>
        <v>4.9174833333333341</v>
      </c>
    </row>
    <row r="1080" spans="1:11" ht="15">
      <c r="A1080" s="3">
        <v>2032</v>
      </c>
      <c r="B1080" s="67">
        <f t="shared" ref="B1080:K1080" si="18">AVERAGE(B233:B244)</f>
        <v>4.1982249999999999</v>
      </c>
      <c r="C1080" s="67">
        <f t="shared" si="18"/>
        <v>4.1982249999999999</v>
      </c>
      <c r="D1080" s="67">
        <f t="shared" si="18"/>
        <v>4.1998749999999996</v>
      </c>
      <c r="E1080" s="67">
        <f t="shared" si="18"/>
        <v>5.0666166666666665</v>
      </c>
      <c r="F1080" s="67">
        <f t="shared" si="18"/>
        <v>5.0666166666666665</v>
      </c>
      <c r="G1080" s="67">
        <f t="shared" si="18"/>
        <v>5.0687083333333325</v>
      </c>
      <c r="H1080" s="67">
        <f t="shared" si="18"/>
        <v>8.278908333333332</v>
      </c>
      <c r="I1080" s="67">
        <f t="shared" si="18"/>
        <v>8.2810083333333342</v>
      </c>
      <c r="J1080" s="67">
        <f t="shared" si="18"/>
        <v>5.0666166666666665</v>
      </c>
      <c r="K1080" s="67">
        <f t="shared" si="18"/>
        <v>5.0687083333333325</v>
      </c>
    </row>
    <row r="1081" spans="1:11" ht="15">
      <c r="A1081" s="3">
        <v>2033</v>
      </c>
      <c r="B1081" s="67">
        <f t="shared" ref="B1081:K1081" si="19">AVERAGE(B245:B256)</f>
        <v>4.3121749999999999</v>
      </c>
      <c r="C1081" s="67">
        <f t="shared" si="19"/>
        <v>4.3121749999999999</v>
      </c>
      <c r="D1081" s="67">
        <f t="shared" si="19"/>
        <v>4.3138416666666659</v>
      </c>
      <c r="E1081" s="67">
        <f t="shared" si="19"/>
        <v>5.2221833333333327</v>
      </c>
      <c r="F1081" s="67">
        <f t="shared" si="19"/>
        <v>5.2221833333333327</v>
      </c>
      <c r="G1081" s="67">
        <f t="shared" si="19"/>
        <v>5.2242833333333332</v>
      </c>
      <c r="H1081" s="67">
        <f t="shared" si="19"/>
        <v>8.4882583333333343</v>
      </c>
      <c r="I1081" s="67">
        <f t="shared" si="19"/>
        <v>8.4903666666666666</v>
      </c>
      <c r="J1081" s="67">
        <f t="shared" si="19"/>
        <v>5.2221833333333327</v>
      </c>
      <c r="K1081" s="67">
        <f t="shared" si="19"/>
        <v>5.2242833333333332</v>
      </c>
    </row>
    <row r="1082" spans="1:11" ht="15">
      <c r="A1082" s="3">
        <v>2034</v>
      </c>
      <c r="B1082" s="67">
        <f t="shared" ref="B1082:K1082" si="20">AVERAGE(B257:B268)</f>
        <v>4.4314749999999998</v>
      </c>
      <c r="C1082" s="67">
        <f t="shared" si="20"/>
        <v>4.4314749999999998</v>
      </c>
      <c r="D1082" s="67">
        <f t="shared" si="20"/>
        <v>4.4331249999999995</v>
      </c>
      <c r="E1082" s="67">
        <f t="shared" si="20"/>
        <v>5.3829916666666664</v>
      </c>
      <c r="F1082" s="67">
        <f t="shared" si="20"/>
        <v>5.3829916666666664</v>
      </c>
      <c r="G1082" s="67">
        <f t="shared" si="20"/>
        <v>5.3850833333333332</v>
      </c>
      <c r="H1082" s="67">
        <f t="shared" si="20"/>
        <v>8.7029333333333323</v>
      </c>
      <c r="I1082" s="67">
        <f t="shared" si="20"/>
        <v>8.7050333333333327</v>
      </c>
      <c r="J1082" s="67">
        <f t="shared" si="20"/>
        <v>5.3829916666666664</v>
      </c>
      <c r="K1082" s="67">
        <f t="shared" si="20"/>
        <v>5.3850833333333332</v>
      </c>
    </row>
    <row r="1083" spans="1:11" ht="15">
      <c r="A1083" s="3">
        <v>2035</v>
      </c>
      <c r="B1083" s="67">
        <f t="shared" ref="B1083:K1083" si="21">AVERAGE(B269:B280)</f>
        <v>4.5522083333333327</v>
      </c>
      <c r="C1083" s="67">
        <f t="shared" si="21"/>
        <v>4.5522083333333327</v>
      </c>
      <c r="D1083" s="67">
        <f t="shared" si="21"/>
        <v>4.5538583333333333</v>
      </c>
      <c r="E1083" s="67">
        <f t="shared" si="21"/>
        <v>5.5499833333333326</v>
      </c>
      <c r="F1083" s="67">
        <f t="shared" si="21"/>
        <v>5.5499833333333326</v>
      </c>
      <c r="G1083" s="67">
        <f t="shared" si="21"/>
        <v>5.5520749999999994</v>
      </c>
      <c r="H1083" s="67">
        <f t="shared" si="21"/>
        <v>8.9230083333333337</v>
      </c>
      <c r="I1083" s="67">
        <f t="shared" si="21"/>
        <v>8.9251166666666659</v>
      </c>
      <c r="J1083" s="67">
        <f t="shared" si="21"/>
        <v>5.5499833333333326</v>
      </c>
      <c r="K1083" s="67">
        <f t="shared" si="21"/>
        <v>5.5520749999999994</v>
      </c>
    </row>
    <row r="1084" spans="1:11" ht="15">
      <c r="A1084" s="3">
        <v>2036</v>
      </c>
      <c r="B1084" s="67">
        <f t="shared" ref="B1084:K1084" si="22">AVERAGE(B281:B292)</f>
        <v>4.6735916666666668</v>
      </c>
      <c r="C1084" s="67">
        <f t="shared" si="22"/>
        <v>4.6735916666666668</v>
      </c>
      <c r="D1084" s="67">
        <f t="shared" si="22"/>
        <v>4.6752583333333337</v>
      </c>
      <c r="E1084" s="67">
        <f t="shared" si="22"/>
        <v>5.7116166666666652</v>
      </c>
      <c r="F1084" s="67">
        <f t="shared" si="22"/>
        <v>5.7116166666666652</v>
      </c>
      <c r="G1084" s="67">
        <f t="shared" si="22"/>
        <v>5.7137249999999993</v>
      </c>
      <c r="H1084" s="67">
        <f t="shared" si="22"/>
        <v>9.1486333333333327</v>
      </c>
      <c r="I1084" s="67">
        <f t="shared" si="22"/>
        <v>9.1507666666666658</v>
      </c>
      <c r="J1084" s="67">
        <f t="shared" si="22"/>
        <v>5.7116166666666652</v>
      </c>
      <c r="K1084" s="67">
        <f t="shared" si="22"/>
        <v>5.7137249999999993</v>
      </c>
    </row>
    <row r="1085" spans="1:11" ht="15">
      <c r="A1085" s="3">
        <v>2037</v>
      </c>
      <c r="B1085" s="67">
        <f t="shared" ref="B1085:K1085" si="23">AVERAGE(B293:B304)</f>
        <v>4.7968249999999992</v>
      </c>
      <c r="C1085" s="67">
        <f t="shared" si="23"/>
        <v>4.7968249999999992</v>
      </c>
      <c r="D1085" s="67">
        <f t="shared" si="23"/>
        <v>4.7984916666666662</v>
      </c>
      <c r="E1085" s="67">
        <f t="shared" si="23"/>
        <v>5.8677333333333328</v>
      </c>
      <c r="F1085" s="67">
        <f t="shared" si="23"/>
        <v>5.8677333333333328</v>
      </c>
      <c r="G1085" s="67">
        <f t="shared" si="23"/>
        <v>5.8698333333333332</v>
      </c>
      <c r="H1085" s="67">
        <f t="shared" si="23"/>
        <v>9.3800000000000008</v>
      </c>
      <c r="I1085" s="67">
        <f t="shared" si="23"/>
        <v>9.382125000000002</v>
      </c>
      <c r="J1085" s="67">
        <f t="shared" si="23"/>
        <v>5.8677333333333328</v>
      </c>
      <c r="K1085" s="67">
        <f t="shared" si="23"/>
        <v>5.8698333333333332</v>
      </c>
    </row>
    <row r="1086" spans="1:11" ht="15">
      <c r="A1086" s="3">
        <v>2038</v>
      </c>
      <c r="B1086" s="67">
        <f t="shared" ref="B1086:K1086" si="24">AVERAGE(B305:B316)</f>
        <v>4.9241666666666664</v>
      </c>
      <c r="C1086" s="67">
        <f t="shared" si="24"/>
        <v>4.9241666666666664</v>
      </c>
      <c r="D1086" s="67">
        <f t="shared" si="24"/>
        <v>4.925841666666666</v>
      </c>
      <c r="E1086" s="67">
        <f t="shared" si="24"/>
        <v>6.0242416666666658</v>
      </c>
      <c r="F1086" s="67">
        <f t="shared" si="24"/>
        <v>6.0242416666666658</v>
      </c>
      <c r="G1086" s="67">
        <f t="shared" si="24"/>
        <v>6.0263416666666663</v>
      </c>
      <c r="H1086" s="67">
        <f t="shared" si="24"/>
        <v>9.6172250000000012</v>
      </c>
      <c r="I1086" s="67">
        <f t="shared" si="24"/>
        <v>9.6193333333333335</v>
      </c>
      <c r="J1086" s="67">
        <f t="shared" si="24"/>
        <v>6.0242416666666658</v>
      </c>
      <c r="K1086" s="67">
        <f t="shared" si="24"/>
        <v>6.0263416666666663</v>
      </c>
    </row>
    <row r="1087" spans="1:11" ht="15">
      <c r="A1087" s="3">
        <v>2039</v>
      </c>
      <c r="B1087" s="67">
        <f t="shared" ref="B1087:K1087" si="25">AVERAGE(B317:B328)</f>
        <v>5.0543916666666666</v>
      </c>
      <c r="C1087" s="67">
        <f t="shared" si="25"/>
        <v>5.0543916666666666</v>
      </c>
      <c r="D1087" s="67">
        <f t="shared" si="25"/>
        <v>5.0560583333333335</v>
      </c>
      <c r="E1087" s="67">
        <f t="shared" si="25"/>
        <v>6.1721166666666667</v>
      </c>
      <c r="F1087" s="67">
        <f t="shared" si="25"/>
        <v>6.1721166666666667</v>
      </c>
      <c r="G1087" s="67">
        <f t="shared" si="25"/>
        <v>6.1742166666666662</v>
      </c>
      <c r="H1087" s="67">
        <f t="shared" si="25"/>
        <v>9.8604250000000011</v>
      </c>
      <c r="I1087" s="67">
        <f t="shared" si="25"/>
        <v>9.8625333333333334</v>
      </c>
      <c r="J1087" s="67">
        <f t="shared" si="25"/>
        <v>6.1721166666666667</v>
      </c>
      <c r="K1087" s="67">
        <f t="shared" si="25"/>
        <v>6.1742166666666662</v>
      </c>
    </row>
    <row r="1088" spans="1:11" ht="15">
      <c r="A1088" s="3">
        <v>2040</v>
      </c>
      <c r="B1088" s="67">
        <f t="shared" ref="B1088:K1088" si="26">AVERAGE(B329:B340)</f>
        <v>5.1875999999999998</v>
      </c>
      <c r="C1088" s="67">
        <f t="shared" si="26"/>
        <v>5.1875999999999998</v>
      </c>
      <c r="D1088" s="67">
        <f t="shared" si="26"/>
        <v>5.1892583333333322</v>
      </c>
      <c r="E1088" s="67">
        <f t="shared" si="26"/>
        <v>6.3228333333333326</v>
      </c>
      <c r="F1088" s="67">
        <f t="shared" si="26"/>
        <v>6.3228333333333326</v>
      </c>
      <c r="G1088" s="67">
        <f t="shared" si="26"/>
        <v>6.3249500000000003</v>
      </c>
      <c r="H1088" s="67">
        <f t="shared" si="26"/>
        <v>10.109775000000001</v>
      </c>
      <c r="I1088" s="67">
        <f t="shared" si="26"/>
        <v>10.111883333333333</v>
      </c>
      <c r="J1088" s="67">
        <f t="shared" si="26"/>
        <v>6.3228333333333326</v>
      </c>
      <c r="K1088" s="67">
        <f t="shared" si="26"/>
        <v>6.3249500000000003</v>
      </c>
    </row>
    <row r="1089" spans="1:11" ht="15">
      <c r="A1089" s="3">
        <v>2041</v>
      </c>
      <c r="B1089" s="67">
        <f t="shared" ref="B1089:K1089" si="27">AVERAGE(B341:B352)</f>
        <v>5.324349999999999</v>
      </c>
      <c r="C1089" s="67">
        <f t="shared" si="27"/>
        <v>5.324349999999999</v>
      </c>
      <c r="D1089" s="67">
        <f t="shared" si="27"/>
        <v>5.3259999999999996</v>
      </c>
      <c r="E1089" s="67">
        <f t="shared" si="27"/>
        <v>6.4772500000000006</v>
      </c>
      <c r="F1089" s="67">
        <f t="shared" si="27"/>
        <v>6.4772500000000006</v>
      </c>
      <c r="G1089" s="67">
        <f t="shared" si="27"/>
        <v>6.4793666666666665</v>
      </c>
      <c r="H1089" s="67">
        <f t="shared" si="27"/>
        <v>10.365450000000001</v>
      </c>
      <c r="I1089" s="67">
        <f t="shared" si="27"/>
        <v>10.367533333333332</v>
      </c>
      <c r="J1089" s="67">
        <f t="shared" si="27"/>
        <v>6.4772500000000006</v>
      </c>
      <c r="K1089" s="67">
        <f t="shared" si="27"/>
        <v>6.4793666666666665</v>
      </c>
    </row>
    <row r="1090" spans="1:11" ht="15">
      <c r="A1090" s="3">
        <v>2042</v>
      </c>
      <c r="B1090" s="67">
        <f t="shared" ref="B1090:K1090" si="28">AVERAGE(B353:B364)</f>
        <v>5.4647166666666651</v>
      </c>
      <c r="C1090" s="67">
        <f t="shared" si="28"/>
        <v>5.4647166666666651</v>
      </c>
      <c r="D1090" s="67">
        <f t="shared" si="28"/>
        <v>5.4663749999999993</v>
      </c>
      <c r="E1090" s="67">
        <f t="shared" si="28"/>
        <v>6.6354583333333323</v>
      </c>
      <c r="F1090" s="67">
        <f t="shared" si="28"/>
        <v>6.6354583333333323</v>
      </c>
      <c r="G1090" s="67">
        <f t="shared" si="28"/>
        <v>6.6375750000000009</v>
      </c>
      <c r="H1090" s="67">
        <f t="shared" si="28"/>
        <v>10.627558333333333</v>
      </c>
      <c r="I1090" s="67">
        <f t="shared" si="28"/>
        <v>10.629666666666667</v>
      </c>
      <c r="J1090" s="67">
        <f t="shared" si="28"/>
        <v>6.6354583333333323</v>
      </c>
      <c r="K1090" s="67">
        <f t="shared" si="28"/>
        <v>6.6375750000000009</v>
      </c>
    </row>
    <row r="1091" spans="1:11" ht="15">
      <c r="A1091" s="3">
        <v>2043</v>
      </c>
      <c r="B1091" s="67">
        <f t="shared" ref="B1091:K1091" si="29">AVERAGE(B365:B376)</f>
        <v>5.6088500000000003</v>
      </c>
      <c r="C1091" s="67">
        <f t="shared" si="29"/>
        <v>5.6088500000000003</v>
      </c>
      <c r="D1091" s="67">
        <f t="shared" si="29"/>
        <v>5.6104916666666673</v>
      </c>
      <c r="E1091" s="67">
        <f t="shared" si="29"/>
        <v>6.7975583333333347</v>
      </c>
      <c r="F1091" s="67">
        <f t="shared" si="29"/>
        <v>6.7975583333333347</v>
      </c>
      <c r="G1091" s="67">
        <f t="shared" si="29"/>
        <v>6.7996500000000006</v>
      </c>
      <c r="H1091" s="67">
        <f t="shared" si="29"/>
        <v>10.896333333333331</v>
      </c>
      <c r="I1091" s="67">
        <f t="shared" si="29"/>
        <v>10.898424999999998</v>
      </c>
      <c r="J1091" s="67">
        <f t="shared" si="29"/>
        <v>6.7975583333333347</v>
      </c>
      <c r="K1091" s="67">
        <f t="shared" si="29"/>
        <v>6.7996500000000006</v>
      </c>
    </row>
    <row r="1092" spans="1:11" ht="15">
      <c r="A1092" s="3">
        <v>2044</v>
      </c>
      <c r="B1092" s="67">
        <f t="shared" ref="B1092:K1092" si="30">AVERAGE(B377:B388)</f>
        <v>5.7567750000000011</v>
      </c>
      <c r="C1092" s="67">
        <f t="shared" si="30"/>
        <v>5.7567750000000011</v>
      </c>
      <c r="D1092" s="67">
        <f t="shared" si="30"/>
        <v>5.7584499999999998</v>
      </c>
      <c r="E1092" s="67">
        <f t="shared" si="30"/>
        <v>6.9636083333333332</v>
      </c>
      <c r="F1092" s="67">
        <f t="shared" si="30"/>
        <v>6.9636083333333332</v>
      </c>
      <c r="G1092" s="67">
        <f t="shared" si="30"/>
        <v>6.9657249999999999</v>
      </c>
      <c r="H1092" s="67">
        <f t="shared" si="30"/>
        <v>11.171875</v>
      </c>
      <c r="I1092" s="67">
        <f t="shared" si="30"/>
        <v>11.173974999999999</v>
      </c>
      <c r="J1092" s="67">
        <f t="shared" si="30"/>
        <v>6.9636083333333332</v>
      </c>
      <c r="K1092" s="67">
        <f t="shared" si="30"/>
        <v>6.9657249999999999</v>
      </c>
    </row>
    <row r="1093" spans="1:11" ht="15">
      <c r="A1093" s="3">
        <v>2045</v>
      </c>
      <c r="B1093" s="67">
        <f t="shared" ref="B1093:K1093" si="31">AVERAGE(B389:B400)</f>
        <v>5.9086583333333325</v>
      </c>
      <c r="C1093" s="67">
        <f t="shared" si="31"/>
        <v>5.9086583333333325</v>
      </c>
      <c r="D1093" s="67">
        <f t="shared" si="31"/>
        <v>5.9103333333333339</v>
      </c>
      <c r="E1093" s="67">
        <f t="shared" si="31"/>
        <v>7.13375</v>
      </c>
      <c r="F1093" s="67">
        <f t="shared" si="31"/>
        <v>7.13375</v>
      </c>
      <c r="G1093" s="67">
        <f t="shared" si="31"/>
        <v>7.1358583333333341</v>
      </c>
      <c r="H1093" s="67">
        <f t="shared" si="31"/>
        <v>11.454391666666668</v>
      </c>
      <c r="I1093" s="67">
        <f t="shared" si="31"/>
        <v>11.456491666666667</v>
      </c>
      <c r="J1093" s="67">
        <f t="shared" si="31"/>
        <v>7.13375</v>
      </c>
      <c r="K1093" s="67">
        <f t="shared" si="31"/>
        <v>7.1358583333333341</v>
      </c>
    </row>
    <row r="1094" spans="1:11" ht="15">
      <c r="A1094" s="3">
        <v>2046</v>
      </c>
      <c r="B1094" s="67">
        <f t="shared" ref="B1094:K1094" si="32">AVERAGE(B401:B412)</f>
        <v>6.0645833333333341</v>
      </c>
      <c r="C1094" s="67">
        <f t="shared" si="32"/>
        <v>6.0645833333333341</v>
      </c>
      <c r="D1094" s="67">
        <f t="shared" si="32"/>
        <v>6.0662583333333338</v>
      </c>
      <c r="E1094" s="67">
        <f t="shared" si="32"/>
        <v>7.308083333333335</v>
      </c>
      <c r="F1094" s="67">
        <f t="shared" si="32"/>
        <v>7.308083333333335</v>
      </c>
      <c r="G1094" s="67">
        <f t="shared" si="32"/>
        <v>7.3101666666666674</v>
      </c>
      <c r="H1094" s="67">
        <f t="shared" si="32"/>
        <v>11.744066666666667</v>
      </c>
      <c r="I1094" s="67">
        <f t="shared" si="32"/>
        <v>11.746158333333334</v>
      </c>
      <c r="J1094" s="67">
        <f t="shared" si="32"/>
        <v>7.308083333333335</v>
      </c>
      <c r="K1094" s="67">
        <f t="shared" si="32"/>
        <v>7.3101666666666674</v>
      </c>
    </row>
    <row r="1095" spans="1:11" ht="15">
      <c r="A1095" s="3">
        <v>2047</v>
      </c>
      <c r="B1095" s="67">
        <f t="shared" ref="B1095:K1095" si="33">AVERAGE(B413:B424)</f>
        <v>6.2246583333333332</v>
      </c>
      <c r="C1095" s="67">
        <f t="shared" si="33"/>
        <v>6.2246583333333332</v>
      </c>
      <c r="D1095" s="67">
        <f t="shared" si="33"/>
        <v>6.2263416666666664</v>
      </c>
      <c r="E1095" s="67">
        <f t="shared" si="33"/>
        <v>7.4866750000000009</v>
      </c>
      <c r="F1095" s="67">
        <f t="shared" si="33"/>
        <v>7.4866750000000009</v>
      </c>
      <c r="G1095" s="67">
        <f t="shared" si="33"/>
        <v>7.488741666666666</v>
      </c>
      <c r="H1095" s="67">
        <f t="shared" si="33"/>
        <v>12.041049999999998</v>
      </c>
      <c r="I1095" s="67">
        <f t="shared" si="33"/>
        <v>12.043141666666665</v>
      </c>
      <c r="J1095" s="67">
        <f t="shared" si="33"/>
        <v>7.4866750000000009</v>
      </c>
      <c r="K1095" s="67">
        <f t="shared" si="33"/>
        <v>7.488741666666666</v>
      </c>
    </row>
    <row r="1096" spans="1:11" ht="15">
      <c r="A1096" s="3">
        <v>2048</v>
      </c>
      <c r="B1096" s="67">
        <f t="shared" ref="B1096:K1096" si="34">AVERAGE(B425:B436)</f>
        <v>6.3890083333333338</v>
      </c>
      <c r="C1096" s="67">
        <f t="shared" si="34"/>
        <v>6.3890083333333338</v>
      </c>
      <c r="D1096" s="67">
        <f t="shared" si="34"/>
        <v>6.3906833333333317</v>
      </c>
      <c r="E1096" s="67">
        <f t="shared" si="34"/>
        <v>7.6696083333333327</v>
      </c>
      <c r="F1096" s="67">
        <f t="shared" si="34"/>
        <v>7.6696083333333327</v>
      </c>
      <c r="G1096" s="67">
        <f t="shared" si="34"/>
        <v>7.6717249999999995</v>
      </c>
      <c r="H1096" s="67">
        <f t="shared" si="34"/>
        <v>12.345541666666668</v>
      </c>
      <c r="I1096" s="67">
        <f t="shared" si="34"/>
        <v>12.347641666666668</v>
      </c>
      <c r="J1096" s="67">
        <f t="shared" si="34"/>
        <v>7.6696083333333327</v>
      </c>
      <c r="K1096" s="67">
        <f t="shared" si="34"/>
        <v>7.6717249999999995</v>
      </c>
    </row>
    <row r="1097" spans="1:11" ht="15">
      <c r="A1097" s="3">
        <v>2049</v>
      </c>
      <c r="B1097" s="67">
        <f t="shared" ref="B1097:K1097" si="35">AVERAGE(B437:B448)</f>
        <v>6.5577333333333323</v>
      </c>
      <c r="C1097" s="67">
        <f t="shared" si="35"/>
        <v>6.5577333333333323</v>
      </c>
      <c r="D1097" s="67">
        <f t="shared" si="35"/>
        <v>6.5593916666666674</v>
      </c>
      <c r="E1097" s="67">
        <f t="shared" si="35"/>
        <v>7.8570916666666655</v>
      </c>
      <c r="F1097" s="67">
        <f t="shared" si="35"/>
        <v>7.8570916666666655</v>
      </c>
      <c r="G1097" s="67">
        <f t="shared" si="35"/>
        <v>7.859208333333334</v>
      </c>
      <c r="H1097" s="67">
        <f t="shared" si="35"/>
        <v>12.65775</v>
      </c>
      <c r="I1097" s="67">
        <f t="shared" si="35"/>
        <v>12.659833333333331</v>
      </c>
      <c r="J1097" s="67">
        <f t="shared" si="35"/>
        <v>7.8570916666666655</v>
      </c>
      <c r="K1097" s="67">
        <f t="shared" si="35"/>
        <v>7.859208333333334</v>
      </c>
    </row>
    <row r="1098" spans="1:11" ht="15">
      <c r="A1098" s="3">
        <v>2050</v>
      </c>
      <c r="B1098" s="67">
        <f t="shared" ref="B1098:K1098" si="36">AVERAGE(B449:B460)</f>
        <v>6.7309499999999991</v>
      </c>
      <c r="C1098" s="67">
        <f t="shared" si="36"/>
        <v>6.7309499999999991</v>
      </c>
      <c r="D1098" s="67">
        <f t="shared" si="36"/>
        <v>6.7326083333333324</v>
      </c>
      <c r="E1098" s="67">
        <f t="shared" si="36"/>
        <v>8.0491666666666681</v>
      </c>
      <c r="F1098" s="67">
        <f t="shared" si="36"/>
        <v>8.0491666666666681</v>
      </c>
      <c r="G1098" s="67">
        <f t="shared" si="36"/>
        <v>8.0512666666666668</v>
      </c>
      <c r="H1098" s="67">
        <f t="shared" si="36"/>
        <v>12.977841666666668</v>
      </c>
      <c r="I1098" s="67">
        <f t="shared" si="36"/>
        <v>12.979949999999997</v>
      </c>
      <c r="J1098" s="67">
        <f t="shared" si="36"/>
        <v>8.0491666666666681</v>
      </c>
      <c r="K1098" s="67">
        <f t="shared" si="36"/>
        <v>8.0512666666666668</v>
      </c>
    </row>
    <row r="1099" spans="1:11" ht="15">
      <c r="A1099" s="3">
        <v>2051</v>
      </c>
      <c r="B1099" s="67">
        <f t="shared" ref="B1099:K1099" si="37">AVERAGE(B461:B472)</f>
        <v>6.9087916666666667</v>
      </c>
      <c r="C1099" s="67">
        <f t="shared" si="37"/>
        <v>6.9087916666666667</v>
      </c>
      <c r="D1099" s="67">
        <f t="shared" si="37"/>
        <v>6.91045</v>
      </c>
      <c r="E1099" s="67">
        <f t="shared" si="37"/>
        <v>8.2459583333333324</v>
      </c>
      <c r="F1099" s="67">
        <f t="shared" si="37"/>
        <v>8.2459583333333324</v>
      </c>
      <c r="G1099" s="67">
        <f t="shared" si="37"/>
        <v>8.2480583333333328</v>
      </c>
      <c r="H1099" s="67">
        <f t="shared" si="37"/>
        <v>13.306033333333334</v>
      </c>
      <c r="I1099" s="67">
        <f t="shared" si="37"/>
        <v>13.308116666666665</v>
      </c>
      <c r="J1099" s="67">
        <f t="shared" si="37"/>
        <v>8.2459583333333324</v>
      </c>
      <c r="K1099" s="67">
        <f t="shared" si="37"/>
        <v>8.2480583333333328</v>
      </c>
    </row>
    <row r="1100" spans="1:11" ht="15">
      <c r="A1100" s="3">
        <v>2052</v>
      </c>
      <c r="B1100" s="67">
        <f t="shared" ref="B1100:K1100" si="38">AVERAGE(B473:B484)</f>
        <v>7.0913833333333329</v>
      </c>
      <c r="C1100" s="67">
        <f t="shared" si="38"/>
        <v>7.0913833333333329</v>
      </c>
      <c r="D1100" s="67">
        <f t="shared" si="38"/>
        <v>7.0930416666666671</v>
      </c>
      <c r="E1100" s="67">
        <f t="shared" si="38"/>
        <v>8.4475583333333333</v>
      </c>
      <c r="F1100" s="67">
        <f t="shared" si="38"/>
        <v>8.4475583333333333</v>
      </c>
      <c r="G1100" s="67">
        <f t="shared" si="38"/>
        <v>8.4496750000000009</v>
      </c>
      <c r="H1100" s="67">
        <f t="shared" si="38"/>
        <v>13.642516666666667</v>
      </c>
      <c r="I1100" s="67">
        <f t="shared" si="38"/>
        <v>13.644625000000003</v>
      </c>
      <c r="J1100" s="67">
        <f t="shared" si="38"/>
        <v>8.4475583333333333</v>
      </c>
      <c r="K1100" s="67">
        <f t="shared" si="38"/>
        <v>8.4496750000000009</v>
      </c>
    </row>
    <row r="1101" spans="1:11" ht="15">
      <c r="A1101" s="3">
        <v>2053</v>
      </c>
      <c r="B1101" s="67">
        <f t="shared" ref="B1101:K1101" si="39">AVERAGE(B485:B496)</f>
        <v>7.2788166666666667</v>
      </c>
      <c r="C1101" s="67">
        <f t="shared" si="39"/>
        <v>7.2788166666666667</v>
      </c>
      <c r="D1101" s="67">
        <f t="shared" si="39"/>
        <v>7.2804916666666672</v>
      </c>
      <c r="E1101" s="67">
        <f t="shared" si="39"/>
        <v>8.6541250000000005</v>
      </c>
      <c r="F1101" s="67">
        <f t="shared" si="39"/>
        <v>8.6541250000000005</v>
      </c>
      <c r="G1101" s="67">
        <f t="shared" si="39"/>
        <v>8.6562416666666664</v>
      </c>
      <c r="H1101" s="67">
        <f t="shared" si="39"/>
        <v>13.987525</v>
      </c>
      <c r="I1101" s="67">
        <f t="shared" si="39"/>
        <v>13.989633333333332</v>
      </c>
      <c r="J1101" s="67">
        <f t="shared" si="39"/>
        <v>8.6541250000000005</v>
      </c>
      <c r="K1101" s="67">
        <f t="shared" si="39"/>
        <v>8.6562416666666664</v>
      </c>
    </row>
    <row r="1102" spans="1:11" ht="15">
      <c r="A1102" s="3">
        <v>2054</v>
      </c>
      <c r="B1102" s="67">
        <f t="shared" ref="B1102:K1102" si="40">AVERAGE(B497:B508)</f>
        <v>7.4712500000000004</v>
      </c>
      <c r="C1102" s="67">
        <f t="shared" si="40"/>
        <v>7.4712500000000004</v>
      </c>
      <c r="D1102" s="67">
        <f t="shared" si="40"/>
        <v>7.4729083333333337</v>
      </c>
      <c r="E1102" s="67">
        <f t="shared" si="40"/>
        <v>8.8657833333333329</v>
      </c>
      <c r="F1102" s="67">
        <f t="shared" si="40"/>
        <v>8.8657833333333329</v>
      </c>
      <c r="G1102" s="67">
        <f t="shared" si="40"/>
        <v>8.8678749999999997</v>
      </c>
      <c r="H1102" s="67">
        <f t="shared" si="40"/>
        <v>14.341249999999997</v>
      </c>
      <c r="I1102" s="67">
        <f t="shared" si="40"/>
        <v>14.343341666666667</v>
      </c>
      <c r="J1102" s="67">
        <f t="shared" si="40"/>
        <v>8.8657833333333329</v>
      </c>
      <c r="K1102" s="67">
        <f t="shared" si="40"/>
        <v>8.8678749999999997</v>
      </c>
    </row>
    <row r="1103" spans="1:11" ht="15">
      <c r="A1103" s="3">
        <v>2055</v>
      </c>
      <c r="B1103" s="67">
        <f t="shared" ref="B1103:K1103" si="41">AVERAGE(B17:B520)</f>
        <v>4.7406188492063492</v>
      </c>
      <c r="C1103" s="67">
        <f t="shared" si="41"/>
        <v>4.7409805555555558</v>
      </c>
      <c r="D1103" s="67">
        <f t="shared" si="41"/>
        <v>4.7426438492063498</v>
      </c>
      <c r="E1103" s="67">
        <f t="shared" si="41"/>
        <v>5.7063898809523801</v>
      </c>
      <c r="F1103" s="67">
        <f t="shared" si="41"/>
        <v>5.7124347222222216</v>
      </c>
      <c r="G1103" s="67">
        <f t="shared" si="41"/>
        <v>5.7146019841269862</v>
      </c>
      <c r="H1103" s="67">
        <f t="shared" si="41"/>
        <v>9.2281309523809387</v>
      </c>
      <c r="I1103" s="67">
        <f t="shared" si="41"/>
        <v>9.230298214285714</v>
      </c>
      <c r="J1103" s="67">
        <f t="shared" si="41"/>
        <v>5.7063898809523801</v>
      </c>
      <c r="K1103" s="67">
        <f t="shared" si="41"/>
        <v>5.7085563492063507</v>
      </c>
    </row>
    <row r="1104" spans="1:11" ht="15">
      <c r="A1104" s="3">
        <v>2056</v>
      </c>
      <c r="B1104" s="67">
        <f t="shared" ref="B1104:K1104" si="42">AVERAGE(B521:B532)</f>
        <v>7.8716833333333343</v>
      </c>
      <c r="C1104" s="67">
        <f t="shared" si="42"/>
        <v>7.8716833333333343</v>
      </c>
      <c r="D1104" s="67">
        <f t="shared" si="42"/>
        <v>7.8733499999999985</v>
      </c>
      <c r="E1104" s="67">
        <f t="shared" si="42"/>
        <v>9.3047749999999994</v>
      </c>
      <c r="F1104" s="67">
        <f t="shared" si="42"/>
        <v>9.3047749999999994</v>
      </c>
      <c r="G1104" s="67">
        <f t="shared" si="42"/>
        <v>9.3068833333333316</v>
      </c>
      <c r="H1104" s="67">
        <f t="shared" si="42"/>
        <v>15.075749999999999</v>
      </c>
      <c r="I1104" s="67">
        <f t="shared" si="42"/>
        <v>15.07785</v>
      </c>
      <c r="J1104" s="67">
        <f t="shared" si="42"/>
        <v>9.3047749999999994</v>
      </c>
      <c r="K1104" s="67">
        <f t="shared" si="42"/>
        <v>9.3068833333333316</v>
      </c>
    </row>
    <row r="1105" spans="1:11" ht="15">
      <c r="A1105" s="3">
        <v>2057</v>
      </c>
      <c r="B1105" s="67">
        <f t="shared" ref="B1105:K1105" si="43">AVERAGE(B533:B544)</f>
        <v>8.079958333333332</v>
      </c>
      <c r="C1105" s="67">
        <f t="shared" si="43"/>
        <v>8.079958333333332</v>
      </c>
      <c r="D1105" s="67">
        <f t="shared" si="43"/>
        <v>8.0816083333333335</v>
      </c>
      <c r="E1105" s="67">
        <f t="shared" si="43"/>
        <v>9.5323916666666673</v>
      </c>
      <c r="F1105" s="67">
        <f t="shared" si="43"/>
        <v>9.5323916666666673</v>
      </c>
      <c r="G1105" s="67">
        <f t="shared" si="43"/>
        <v>9.5345083333333331</v>
      </c>
      <c r="H1105" s="67">
        <f t="shared" si="43"/>
        <v>15.456983333333335</v>
      </c>
      <c r="I1105" s="67">
        <f t="shared" si="43"/>
        <v>15.459108333333331</v>
      </c>
      <c r="J1105" s="67">
        <f t="shared" si="43"/>
        <v>9.5323916666666673</v>
      </c>
      <c r="K1105" s="67">
        <f t="shared" si="43"/>
        <v>9.5345083333333331</v>
      </c>
    </row>
    <row r="1106" spans="1:11" ht="15">
      <c r="A1106" s="3">
        <v>2058</v>
      </c>
      <c r="B1106" s="67">
        <f t="shared" ref="B1106:K1106" si="44">AVERAGE(B545:B556)</f>
        <v>8.2937916666666691</v>
      </c>
      <c r="C1106" s="67">
        <f t="shared" si="44"/>
        <v>8.2937916666666691</v>
      </c>
      <c r="D1106" s="67">
        <f t="shared" si="44"/>
        <v>8.2954666666666661</v>
      </c>
      <c r="E1106" s="67">
        <f t="shared" si="44"/>
        <v>9.7656249999999982</v>
      </c>
      <c r="F1106" s="67">
        <f t="shared" si="44"/>
        <v>9.7656249999999982</v>
      </c>
      <c r="G1106" s="67">
        <f t="shared" si="44"/>
        <v>9.7677416666666677</v>
      </c>
      <c r="H1106" s="67">
        <f t="shared" si="44"/>
        <v>15.847866666666668</v>
      </c>
      <c r="I1106" s="67">
        <f t="shared" si="44"/>
        <v>15.849974999999995</v>
      </c>
      <c r="J1106" s="67">
        <f t="shared" si="44"/>
        <v>9.7656249999999982</v>
      </c>
      <c r="K1106" s="67">
        <f t="shared" si="44"/>
        <v>9.7677416666666677</v>
      </c>
    </row>
    <row r="1107" spans="1:11" ht="15">
      <c r="A1107" s="3">
        <v>2059</v>
      </c>
      <c r="B1107" s="67">
        <f t="shared" ref="B1107:K1107" si="45">AVERAGE(B557:B568)</f>
        <v>8.513325</v>
      </c>
      <c r="C1107" s="67">
        <f t="shared" si="45"/>
        <v>8.513325</v>
      </c>
      <c r="D1107" s="67">
        <f t="shared" si="45"/>
        <v>8.5149833333333333</v>
      </c>
      <c r="E1107" s="67">
        <f t="shared" si="45"/>
        <v>10.004574999999999</v>
      </c>
      <c r="F1107" s="67">
        <f t="shared" si="45"/>
        <v>10.004574999999999</v>
      </c>
      <c r="G1107" s="67">
        <f t="shared" si="45"/>
        <v>10.006675</v>
      </c>
      <c r="H1107" s="67">
        <f t="shared" si="45"/>
        <v>16.248641666666668</v>
      </c>
      <c r="I1107" s="67">
        <f t="shared" si="45"/>
        <v>16.25075</v>
      </c>
      <c r="J1107" s="67">
        <f t="shared" si="45"/>
        <v>10.004574999999999</v>
      </c>
      <c r="K1107" s="67">
        <f t="shared" si="45"/>
        <v>10.006675</v>
      </c>
    </row>
    <row r="1108" spans="1:11" ht="15">
      <c r="A1108" s="3">
        <v>2060</v>
      </c>
      <c r="B1108" s="67">
        <f t="shared" ref="B1108:K1108" si="46">AVERAGE(B569:B580)</f>
        <v>8.738741666666666</v>
      </c>
      <c r="C1108" s="67">
        <f t="shared" si="46"/>
        <v>8.738741666666666</v>
      </c>
      <c r="D1108" s="67">
        <f t="shared" si="46"/>
        <v>8.7403999999999993</v>
      </c>
      <c r="E1108" s="67">
        <f t="shared" si="46"/>
        <v>10.249391666666666</v>
      </c>
      <c r="F1108" s="67">
        <f t="shared" si="46"/>
        <v>10.249391666666666</v>
      </c>
      <c r="G1108" s="67">
        <f t="shared" si="46"/>
        <v>10.2515</v>
      </c>
      <c r="H1108" s="67">
        <f t="shared" si="46"/>
        <v>16.659549999999999</v>
      </c>
      <c r="I1108" s="67">
        <f t="shared" si="46"/>
        <v>16.661641666666668</v>
      </c>
      <c r="J1108" s="67">
        <f t="shared" si="46"/>
        <v>10.249391666666666</v>
      </c>
      <c r="K1108" s="67">
        <f t="shared" si="46"/>
        <v>10.2515</v>
      </c>
    </row>
    <row r="1109" spans="1:11" ht="15">
      <c r="A1109" s="3">
        <v>2061</v>
      </c>
      <c r="B1109" s="67">
        <f t="shared" ref="B1109:K1109" si="47">AVERAGE(B581:B592)</f>
        <v>8.9701666666666657</v>
      </c>
      <c r="C1109" s="67">
        <f t="shared" si="47"/>
        <v>8.9701666666666657</v>
      </c>
      <c r="D1109" s="67">
        <f t="shared" si="47"/>
        <v>8.9718166666666654</v>
      </c>
      <c r="E1109" s="67">
        <f t="shared" si="47"/>
        <v>10.500225000000002</v>
      </c>
      <c r="F1109" s="67">
        <f t="shared" si="47"/>
        <v>10.500225000000002</v>
      </c>
      <c r="G1109" s="67">
        <f t="shared" si="47"/>
        <v>10.502350000000002</v>
      </c>
      <c r="H1109" s="67">
        <f t="shared" si="47"/>
        <v>17.080841666666668</v>
      </c>
      <c r="I1109" s="67">
        <f t="shared" si="47"/>
        <v>17.08295</v>
      </c>
      <c r="J1109" s="67">
        <f t="shared" si="47"/>
        <v>10.500225000000002</v>
      </c>
      <c r="K1109" s="67">
        <f t="shared" si="47"/>
        <v>10.502350000000002</v>
      </c>
    </row>
    <row r="1110" spans="1:11" ht="15">
      <c r="A1110" s="3">
        <v>2062</v>
      </c>
      <c r="B1110" s="67">
        <f t="shared" ref="B1110:K1119" ca="1" si="48">AVERAGE(OFFSET(B$593,($A1110-$A$1110)*12,0,12,1))</f>
        <v>9.2077833333333352</v>
      </c>
      <c r="C1110" s="67">
        <f t="shared" ca="1" si="48"/>
        <v>9.2077833333333352</v>
      </c>
      <c r="D1110" s="67">
        <f t="shared" ca="1" si="48"/>
        <v>9.2094499999999986</v>
      </c>
      <c r="E1110" s="67">
        <f t="shared" ca="1" si="48"/>
        <v>10.757233333333332</v>
      </c>
      <c r="F1110" s="67">
        <f t="shared" ca="1" si="48"/>
        <v>10.757233333333332</v>
      </c>
      <c r="G1110" s="67">
        <f t="shared" ca="1" si="48"/>
        <v>10.75935</v>
      </c>
      <c r="H1110" s="67">
        <f t="shared" ca="1" si="48"/>
        <v>17.512791666666665</v>
      </c>
      <c r="I1110" s="67">
        <f t="shared" ca="1" si="48"/>
        <v>17.514875</v>
      </c>
      <c r="J1110" s="67">
        <f t="shared" ca="1" si="48"/>
        <v>10.757233333333332</v>
      </c>
      <c r="K1110" s="67">
        <f t="shared" ca="1" si="48"/>
        <v>10.75935</v>
      </c>
    </row>
    <row r="1111" spans="1:11" ht="15">
      <c r="A1111" s="3">
        <v>2063</v>
      </c>
      <c r="B1111" s="67">
        <f t="shared" ca="1" si="48"/>
        <v>9.4453666666666667</v>
      </c>
      <c r="C1111" s="67">
        <f t="shared" ca="1" si="48"/>
        <v>9.4453666666666667</v>
      </c>
      <c r="D1111" s="67">
        <f t="shared" ca="1" si="48"/>
        <v>9.4470500000000008</v>
      </c>
      <c r="E1111" s="67">
        <f t="shared" ca="1" si="48"/>
        <v>11.014258333333332</v>
      </c>
      <c r="F1111" s="67">
        <f t="shared" ca="1" si="48"/>
        <v>11.014258333333332</v>
      </c>
      <c r="G1111" s="67">
        <f t="shared" ca="1" si="48"/>
        <v>11.016366666666668</v>
      </c>
      <c r="H1111" s="67">
        <f t="shared" ca="1" si="48"/>
        <v>17.944733333333335</v>
      </c>
      <c r="I1111" s="67">
        <f t="shared" ca="1" si="48"/>
        <v>17.946824999999997</v>
      </c>
      <c r="J1111" s="67">
        <f t="shared" ca="1" si="48"/>
        <v>11.014258333333332</v>
      </c>
      <c r="K1111" s="67">
        <f t="shared" ca="1" si="48"/>
        <v>11.016366666666668</v>
      </c>
    </row>
    <row r="1112" spans="1:11" ht="15">
      <c r="A1112" s="3">
        <v>2064</v>
      </c>
      <c r="B1112" s="67">
        <f t="shared" ca="1" si="48"/>
        <v>9.6830083333333334</v>
      </c>
      <c r="C1112" s="67">
        <f t="shared" ca="1" si="48"/>
        <v>9.6830083333333334</v>
      </c>
      <c r="D1112" s="67">
        <f t="shared" ca="1" si="48"/>
        <v>9.6846666666666668</v>
      </c>
      <c r="E1112" s="67">
        <f t="shared" ca="1" si="48"/>
        <v>11.271266666666667</v>
      </c>
      <c r="F1112" s="67">
        <f t="shared" ca="1" si="48"/>
        <v>11.271266666666667</v>
      </c>
      <c r="G1112" s="67">
        <f t="shared" ca="1" si="48"/>
        <v>11.273375000000001</v>
      </c>
      <c r="H1112" s="67">
        <f t="shared" ca="1" si="48"/>
        <v>18.376683333333336</v>
      </c>
      <c r="I1112" s="67">
        <f t="shared" ca="1" si="48"/>
        <v>18.378766666666667</v>
      </c>
      <c r="J1112" s="67">
        <f t="shared" ca="1" si="48"/>
        <v>11.271266666666667</v>
      </c>
      <c r="K1112" s="67">
        <f t="shared" ca="1" si="48"/>
        <v>11.273375000000001</v>
      </c>
    </row>
    <row r="1113" spans="1:11" ht="15">
      <c r="A1113" s="3">
        <v>2065</v>
      </c>
      <c r="B1113" s="67">
        <f t="shared" ca="1" si="48"/>
        <v>9.9206166666666658</v>
      </c>
      <c r="C1113" s="67">
        <f t="shared" ca="1" si="48"/>
        <v>9.9206166666666658</v>
      </c>
      <c r="D1113" s="67">
        <f t="shared" ca="1" si="48"/>
        <v>9.9222833333333327</v>
      </c>
      <c r="E1113" s="67">
        <f t="shared" ca="1" si="48"/>
        <v>11.528291666666666</v>
      </c>
      <c r="F1113" s="67">
        <f t="shared" ca="1" si="48"/>
        <v>11.528291666666666</v>
      </c>
      <c r="G1113" s="67">
        <f t="shared" ca="1" si="48"/>
        <v>11.530374999999999</v>
      </c>
      <c r="H1113" s="67">
        <f t="shared" ca="1" si="48"/>
        <v>18.808624999999996</v>
      </c>
      <c r="I1113" s="67">
        <f t="shared" ca="1" si="48"/>
        <v>18.810733333333335</v>
      </c>
      <c r="J1113" s="67">
        <f t="shared" ca="1" si="48"/>
        <v>11.528291666666666</v>
      </c>
      <c r="K1113" s="67">
        <f t="shared" ca="1" si="48"/>
        <v>11.530374999999999</v>
      </c>
    </row>
    <row r="1114" spans="1:11" ht="15">
      <c r="A1114" s="3">
        <v>2066</v>
      </c>
      <c r="B1114" s="67">
        <f t="shared" ca="1" si="48"/>
        <v>10.158233333333335</v>
      </c>
      <c r="C1114" s="67">
        <f t="shared" ca="1" si="48"/>
        <v>10.158233333333335</v>
      </c>
      <c r="D1114" s="67">
        <f t="shared" ca="1" si="48"/>
        <v>10.159883333333335</v>
      </c>
      <c r="E1114" s="67">
        <f t="shared" ca="1" si="48"/>
        <v>11.785283333333332</v>
      </c>
      <c r="F1114" s="67">
        <f t="shared" ca="1" si="48"/>
        <v>11.785283333333332</v>
      </c>
      <c r="G1114" s="67">
        <f t="shared" ca="1" si="48"/>
        <v>11.78739166666667</v>
      </c>
      <c r="H1114" s="67">
        <f t="shared" ca="1" si="48"/>
        <v>19.240558333333329</v>
      </c>
      <c r="I1114" s="67">
        <f t="shared" ca="1" si="48"/>
        <v>19.242683333333336</v>
      </c>
      <c r="J1114" s="67">
        <f t="shared" ca="1" si="48"/>
        <v>11.785283333333332</v>
      </c>
      <c r="K1114" s="67">
        <f t="shared" ca="1" si="48"/>
        <v>11.78739166666667</v>
      </c>
    </row>
    <row r="1115" spans="1:11" ht="15">
      <c r="A1115" s="3">
        <v>2067</v>
      </c>
      <c r="B1115" s="67">
        <f t="shared" ca="1" si="48"/>
        <v>10.395849999999998</v>
      </c>
      <c r="C1115" s="67">
        <f t="shared" ca="1" si="48"/>
        <v>10.395849999999998</v>
      </c>
      <c r="D1115" s="67">
        <f t="shared" ca="1" si="48"/>
        <v>10.397508333333333</v>
      </c>
      <c r="E1115" s="67">
        <f t="shared" ca="1" si="48"/>
        <v>12.042299999999999</v>
      </c>
      <c r="F1115" s="67">
        <f t="shared" ca="1" si="48"/>
        <v>12.042299999999999</v>
      </c>
      <c r="G1115" s="67">
        <f t="shared" ca="1" si="48"/>
        <v>12.044400000000001</v>
      </c>
      <c r="H1115" s="67">
        <f t="shared" ca="1" si="48"/>
        <v>19.672508333333329</v>
      </c>
      <c r="I1115" s="67">
        <f t="shared" ca="1" si="48"/>
        <v>19.674633333333333</v>
      </c>
      <c r="J1115" s="67">
        <f t="shared" ca="1" si="48"/>
        <v>12.042299999999999</v>
      </c>
      <c r="K1115" s="67">
        <f t="shared" ca="1" si="48"/>
        <v>12.044400000000001</v>
      </c>
    </row>
    <row r="1116" spans="1:11" ht="15">
      <c r="A1116" s="3">
        <v>2068</v>
      </c>
      <c r="B1116" s="67">
        <f t="shared" ca="1" si="48"/>
        <v>10.633449999999998</v>
      </c>
      <c r="C1116" s="67">
        <f t="shared" ca="1" si="48"/>
        <v>10.633449999999998</v>
      </c>
      <c r="D1116" s="67">
        <f t="shared" ca="1" si="48"/>
        <v>10.635116666666669</v>
      </c>
      <c r="E1116" s="67">
        <f t="shared" ca="1" si="48"/>
        <v>12.299291666666669</v>
      </c>
      <c r="F1116" s="67">
        <f t="shared" ca="1" si="48"/>
        <v>12.299291666666669</v>
      </c>
      <c r="G1116" s="67">
        <f t="shared" ca="1" si="48"/>
        <v>12.301416666666668</v>
      </c>
      <c r="H1116" s="67">
        <f t="shared" ca="1" si="48"/>
        <v>20.104458333333334</v>
      </c>
      <c r="I1116" s="67">
        <f t="shared" ca="1" si="48"/>
        <v>20.106566666666662</v>
      </c>
      <c r="J1116" s="67">
        <f t="shared" ca="1" si="48"/>
        <v>12.299291666666669</v>
      </c>
      <c r="K1116" s="67">
        <f t="shared" ca="1" si="48"/>
        <v>12.301416666666668</v>
      </c>
    </row>
    <row r="1117" spans="1:11" ht="15">
      <c r="A1117" s="3">
        <v>2069</v>
      </c>
      <c r="B1117" s="67">
        <f t="shared" ca="1" si="48"/>
        <v>10.871066666666664</v>
      </c>
      <c r="C1117" s="67">
        <f t="shared" ca="1" si="48"/>
        <v>10.871066666666664</v>
      </c>
      <c r="D1117" s="67">
        <f t="shared" ca="1" si="48"/>
        <v>10.872724999999997</v>
      </c>
      <c r="E1117" s="67">
        <f t="shared" ca="1" si="48"/>
        <v>12.556333333333333</v>
      </c>
      <c r="F1117" s="67">
        <f t="shared" ca="1" si="48"/>
        <v>12.556333333333333</v>
      </c>
      <c r="G1117" s="67">
        <f t="shared" ca="1" si="48"/>
        <v>12.558433333333333</v>
      </c>
      <c r="H1117" s="67">
        <f t="shared" ca="1" si="48"/>
        <v>20.536424999999998</v>
      </c>
      <c r="I1117" s="67">
        <f t="shared" ca="1" si="48"/>
        <v>20.53853333333333</v>
      </c>
      <c r="J1117" s="67">
        <f t="shared" ca="1" si="48"/>
        <v>12.556333333333333</v>
      </c>
      <c r="K1117" s="67">
        <f t="shared" ca="1" si="48"/>
        <v>12.558433333333333</v>
      </c>
    </row>
    <row r="1118" spans="1:11" ht="15">
      <c r="A1118" s="3">
        <v>2070</v>
      </c>
      <c r="B1118" s="67">
        <f t="shared" ca="1" si="48"/>
        <v>11.108683333333333</v>
      </c>
      <c r="C1118" s="67">
        <f t="shared" ca="1" si="48"/>
        <v>11.108683333333333</v>
      </c>
      <c r="D1118" s="67">
        <f t="shared" ca="1" si="48"/>
        <v>11.110358333333332</v>
      </c>
      <c r="E1118" s="67">
        <f t="shared" ca="1" si="48"/>
        <v>12.813333333333333</v>
      </c>
      <c r="F1118" s="67">
        <f t="shared" ca="1" si="48"/>
        <v>12.813333333333333</v>
      </c>
      <c r="G1118" s="67">
        <f t="shared" ca="1" si="48"/>
        <v>12.815424999999999</v>
      </c>
      <c r="H1118" s="67">
        <f t="shared" ca="1" si="48"/>
        <v>20.968374999999998</v>
      </c>
      <c r="I1118" s="67">
        <f t="shared" ca="1" si="48"/>
        <v>20.970474999999997</v>
      </c>
      <c r="J1118" s="67">
        <f t="shared" ca="1" si="48"/>
        <v>12.813333333333333</v>
      </c>
      <c r="K1118" s="67">
        <f t="shared" ca="1" si="48"/>
        <v>12.815424999999999</v>
      </c>
    </row>
    <row r="1119" spans="1:11" ht="15">
      <c r="A1119" s="3">
        <v>2071</v>
      </c>
      <c r="B1119" s="67">
        <f t="shared" ca="1" si="48"/>
        <v>11.346308333333333</v>
      </c>
      <c r="C1119" s="67">
        <f t="shared" ca="1" si="48"/>
        <v>11.346308333333333</v>
      </c>
      <c r="D1119" s="67">
        <f t="shared" ca="1" si="48"/>
        <v>11.347958333333333</v>
      </c>
      <c r="E1119" s="67">
        <f t="shared" ca="1" si="48"/>
        <v>13.070333333333332</v>
      </c>
      <c r="F1119" s="67">
        <f t="shared" ca="1" si="48"/>
        <v>13.070333333333332</v>
      </c>
      <c r="G1119" s="67">
        <f t="shared" ca="1" si="48"/>
        <v>13.072449999999998</v>
      </c>
      <c r="H1119" s="67">
        <f t="shared" ca="1" si="48"/>
        <v>21.400316666666669</v>
      </c>
      <c r="I1119" s="67">
        <f t="shared" ca="1" si="48"/>
        <v>21.402424999999997</v>
      </c>
      <c r="J1119" s="67">
        <f t="shared" ca="1" si="48"/>
        <v>13.070333333333332</v>
      </c>
      <c r="K1119" s="67">
        <f t="shared" ca="1" si="48"/>
        <v>13.072449999999998</v>
      </c>
    </row>
    <row r="1120" spans="1:11" ht="15">
      <c r="A1120" s="3">
        <v>2072</v>
      </c>
      <c r="B1120" s="67">
        <f t="shared" ref="B1120:K1129" ca="1" si="49">AVERAGE(OFFSET(B$593,($A1120-$A$1110)*12,0,12,1))</f>
        <v>11.583908333333333</v>
      </c>
      <c r="C1120" s="67">
        <f t="shared" ca="1" si="49"/>
        <v>11.583908333333333</v>
      </c>
      <c r="D1120" s="67">
        <f t="shared" ca="1" si="49"/>
        <v>11.585575</v>
      </c>
      <c r="E1120" s="67">
        <f t="shared" ca="1" si="49"/>
        <v>13.327350000000001</v>
      </c>
      <c r="F1120" s="67">
        <f t="shared" ca="1" si="49"/>
        <v>13.327350000000001</v>
      </c>
      <c r="G1120" s="67">
        <f t="shared" ca="1" si="49"/>
        <v>13.329458333333333</v>
      </c>
      <c r="H1120" s="67">
        <f t="shared" ca="1" si="49"/>
        <v>21.832266666666669</v>
      </c>
      <c r="I1120" s="67">
        <f t="shared" ca="1" si="49"/>
        <v>21.834366666666668</v>
      </c>
      <c r="J1120" s="67">
        <f t="shared" ca="1" si="49"/>
        <v>13.327350000000001</v>
      </c>
      <c r="K1120" s="67">
        <f t="shared" ca="1" si="49"/>
        <v>13.329458333333333</v>
      </c>
    </row>
    <row r="1121" spans="1:11" ht="15">
      <c r="A1121" s="3">
        <v>2073</v>
      </c>
      <c r="B1121" s="67">
        <f t="shared" ca="1" si="49"/>
        <v>11.821525000000001</v>
      </c>
      <c r="C1121" s="67">
        <f t="shared" ca="1" si="49"/>
        <v>11.821525000000001</v>
      </c>
      <c r="D1121" s="67">
        <f t="shared" ca="1" si="49"/>
        <v>11.823183333333334</v>
      </c>
      <c r="E1121" s="67">
        <f t="shared" ca="1" si="49"/>
        <v>13.584366666666666</v>
      </c>
      <c r="F1121" s="67">
        <f t="shared" ca="1" si="49"/>
        <v>13.584366666666666</v>
      </c>
      <c r="G1121" s="67">
        <f t="shared" ca="1" si="49"/>
        <v>13.586458333333335</v>
      </c>
      <c r="H1121" s="67">
        <f t="shared" ca="1" si="49"/>
        <v>22.264208333333329</v>
      </c>
      <c r="I1121" s="67">
        <f t="shared" ca="1" si="49"/>
        <v>22.266308333333338</v>
      </c>
      <c r="J1121" s="67">
        <f t="shared" ca="1" si="49"/>
        <v>13.584366666666666</v>
      </c>
      <c r="K1121" s="67">
        <f t="shared" ca="1" si="49"/>
        <v>13.586458333333335</v>
      </c>
    </row>
    <row r="1122" spans="1:11" ht="15">
      <c r="A1122" s="3">
        <v>2074</v>
      </c>
      <c r="B1122" s="67">
        <f t="shared" ca="1" si="49"/>
        <v>12.059150000000001</v>
      </c>
      <c r="C1122" s="67">
        <f t="shared" ca="1" si="49"/>
        <v>12.059150000000001</v>
      </c>
      <c r="D1122" s="67">
        <f t="shared" ca="1" si="49"/>
        <v>12.060808333333334</v>
      </c>
      <c r="E1122" s="67">
        <f t="shared" ca="1" si="49"/>
        <v>13.841366666666666</v>
      </c>
      <c r="F1122" s="67">
        <f t="shared" ca="1" si="49"/>
        <v>13.841366666666666</v>
      </c>
      <c r="G1122" s="67">
        <f t="shared" ca="1" si="49"/>
        <v>13.843483333333333</v>
      </c>
      <c r="H1122" s="67">
        <f t="shared" ca="1" si="49"/>
        <v>22.696166666666667</v>
      </c>
      <c r="I1122" s="67">
        <f t="shared" ca="1" si="49"/>
        <v>22.698266666666665</v>
      </c>
      <c r="J1122" s="67">
        <f t="shared" ca="1" si="49"/>
        <v>13.841366666666666</v>
      </c>
      <c r="K1122" s="67">
        <f t="shared" ca="1" si="49"/>
        <v>13.843483333333333</v>
      </c>
    </row>
    <row r="1123" spans="1:11" ht="15">
      <c r="A1123" s="3">
        <v>2075</v>
      </c>
      <c r="B1123" s="67">
        <f t="shared" ca="1" si="49"/>
        <v>12.296750000000001</v>
      </c>
      <c r="C1123" s="67">
        <f t="shared" ca="1" si="49"/>
        <v>12.296750000000001</v>
      </c>
      <c r="D1123" s="67">
        <f t="shared" ca="1" si="49"/>
        <v>12.298425</v>
      </c>
      <c r="E1123" s="67">
        <f t="shared" ca="1" si="49"/>
        <v>14.098391666666664</v>
      </c>
      <c r="F1123" s="67">
        <f t="shared" ca="1" si="49"/>
        <v>14.098391666666664</v>
      </c>
      <c r="G1123" s="67">
        <f t="shared" ca="1" si="49"/>
        <v>14.100483333333331</v>
      </c>
      <c r="H1123" s="67">
        <f t="shared" ca="1" si="49"/>
        <v>23.128116666666671</v>
      </c>
      <c r="I1123" s="67">
        <f t="shared" ca="1" si="49"/>
        <v>23.130208333333332</v>
      </c>
      <c r="J1123" s="67">
        <f t="shared" ca="1" si="49"/>
        <v>14.098391666666664</v>
      </c>
      <c r="K1123" s="67">
        <f t="shared" ca="1" si="49"/>
        <v>14.100483333333331</v>
      </c>
    </row>
    <row r="1124" spans="1:11" ht="15">
      <c r="A1124" s="3">
        <v>2076</v>
      </c>
      <c r="B1124" s="67">
        <f t="shared" ca="1" si="49"/>
        <v>12.534383333333331</v>
      </c>
      <c r="C1124" s="67">
        <f t="shared" ca="1" si="49"/>
        <v>12.534383333333331</v>
      </c>
      <c r="D1124" s="67">
        <f t="shared" ca="1" si="49"/>
        <v>12.536025</v>
      </c>
      <c r="E1124" s="67">
        <f t="shared" ca="1" si="49"/>
        <v>14.355391666666668</v>
      </c>
      <c r="F1124" s="67">
        <f t="shared" ca="1" si="49"/>
        <v>14.355391666666668</v>
      </c>
      <c r="G1124" s="67">
        <f t="shared" ca="1" si="49"/>
        <v>14.357500000000002</v>
      </c>
      <c r="H1124" s="67">
        <f t="shared" ca="1" si="49"/>
        <v>23.560049999999993</v>
      </c>
      <c r="I1124" s="67">
        <f t="shared" ca="1" si="49"/>
        <v>23.56216666666667</v>
      </c>
      <c r="J1124" s="67">
        <f t="shared" ca="1" si="49"/>
        <v>14.355391666666668</v>
      </c>
      <c r="K1124" s="67">
        <f t="shared" ca="1" si="49"/>
        <v>14.357500000000002</v>
      </c>
    </row>
    <row r="1125" spans="1:11" ht="15">
      <c r="A1125" s="3">
        <v>2077</v>
      </c>
      <c r="B1125" s="67">
        <f t="shared" ca="1" si="49"/>
        <v>12.771983333333333</v>
      </c>
      <c r="C1125" s="67">
        <f t="shared" ca="1" si="49"/>
        <v>12.771983333333333</v>
      </c>
      <c r="D1125" s="67">
        <f t="shared" ca="1" si="49"/>
        <v>12.773658333333335</v>
      </c>
      <c r="E1125" s="67">
        <f t="shared" ca="1" si="49"/>
        <v>14.612399999999999</v>
      </c>
      <c r="F1125" s="67">
        <f t="shared" ca="1" si="49"/>
        <v>14.612399999999999</v>
      </c>
      <c r="G1125" s="67">
        <f t="shared" ca="1" si="49"/>
        <v>14.614491666666666</v>
      </c>
      <c r="H1125" s="67">
        <f t="shared" ca="1" si="49"/>
        <v>23.992008333333334</v>
      </c>
      <c r="I1125" s="67">
        <f t="shared" ca="1" si="49"/>
        <v>23.994124999999997</v>
      </c>
      <c r="J1125" s="67">
        <f t="shared" ca="1" si="49"/>
        <v>14.612399999999999</v>
      </c>
      <c r="K1125" s="67">
        <f t="shared" ca="1" si="49"/>
        <v>14.614491666666666</v>
      </c>
    </row>
    <row r="1126" spans="1:11" ht="15">
      <c r="A1126" s="3">
        <v>2078</v>
      </c>
      <c r="B1126" s="67">
        <f t="shared" ca="1" si="49"/>
        <v>13.009583333333333</v>
      </c>
      <c r="C1126" s="67">
        <f t="shared" ca="1" si="49"/>
        <v>13.009583333333333</v>
      </c>
      <c r="D1126" s="67">
        <f t="shared" ca="1" si="49"/>
        <v>13.011250000000002</v>
      </c>
      <c r="E1126" s="67">
        <f t="shared" ca="1" si="49"/>
        <v>14.869391666666665</v>
      </c>
      <c r="F1126" s="67">
        <f t="shared" ca="1" si="49"/>
        <v>14.869391666666665</v>
      </c>
      <c r="G1126" s="67">
        <f t="shared" ca="1" si="49"/>
        <v>14.871525</v>
      </c>
      <c r="H1126" s="67">
        <f t="shared" ca="1" si="49"/>
        <v>24.423966666666669</v>
      </c>
      <c r="I1126" s="67">
        <f t="shared" ca="1" si="49"/>
        <v>24.426066666666671</v>
      </c>
      <c r="J1126" s="67">
        <f t="shared" ca="1" si="49"/>
        <v>14.869391666666665</v>
      </c>
      <c r="K1126" s="67">
        <f t="shared" ca="1" si="49"/>
        <v>14.871525</v>
      </c>
    </row>
    <row r="1127" spans="1:11" ht="15">
      <c r="A1127" s="3">
        <v>2079</v>
      </c>
      <c r="B1127" s="67">
        <f t="shared" ca="1" si="49"/>
        <v>13.247225000000002</v>
      </c>
      <c r="C1127" s="67">
        <f t="shared" ca="1" si="49"/>
        <v>13.247225000000002</v>
      </c>
      <c r="D1127" s="67">
        <f t="shared" ca="1" si="49"/>
        <v>13.248883333333332</v>
      </c>
      <c r="E1127" s="67">
        <f t="shared" ca="1" si="49"/>
        <v>15.126424999999999</v>
      </c>
      <c r="F1127" s="67">
        <f t="shared" ca="1" si="49"/>
        <v>15.126424999999999</v>
      </c>
      <c r="G1127" s="67">
        <f t="shared" ca="1" si="49"/>
        <v>15.128533333333335</v>
      </c>
      <c r="H1127" s="67">
        <f t="shared" ca="1" si="49"/>
        <v>24.855908333333332</v>
      </c>
      <c r="I1127" s="67">
        <f t="shared" ca="1" si="49"/>
        <v>24.858024999999998</v>
      </c>
      <c r="J1127" s="67">
        <f t="shared" ca="1" si="49"/>
        <v>15.126424999999999</v>
      </c>
      <c r="K1127" s="67">
        <f t="shared" ca="1" si="49"/>
        <v>15.128533333333335</v>
      </c>
    </row>
    <row r="1128" spans="1:11" ht="15">
      <c r="A1128" s="3">
        <v>2080</v>
      </c>
      <c r="B1128" s="67">
        <f t="shared" ca="1" si="49"/>
        <v>13.484824999999995</v>
      </c>
      <c r="C1128" s="67">
        <f t="shared" ca="1" si="49"/>
        <v>13.484824999999995</v>
      </c>
      <c r="D1128" s="67">
        <f t="shared" ca="1" si="49"/>
        <v>13.486483333333332</v>
      </c>
      <c r="E1128" s="67">
        <f t="shared" ca="1" si="49"/>
        <v>15.383441666666668</v>
      </c>
      <c r="F1128" s="67">
        <f t="shared" ca="1" si="49"/>
        <v>15.383441666666668</v>
      </c>
      <c r="G1128" s="67">
        <f t="shared" ca="1" si="49"/>
        <v>15.385533333333333</v>
      </c>
      <c r="H1128" s="67">
        <f t="shared" ca="1" si="49"/>
        <v>25.287858333333336</v>
      </c>
      <c r="I1128" s="67">
        <f t="shared" ca="1" si="49"/>
        <v>25.289966666666668</v>
      </c>
      <c r="J1128" s="67">
        <f t="shared" ca="1" si="49"/>
        <v>15.383441666666668</v>
      </c>
      <c r="K1128" s="67">
        <f t="shared" ca="1" si="49"/>
        <v>15.385533333333333</v>
      </c>
    </row>
    <row r="1129" spans="1:11" ht="15">
      <c r="A1129" s="3">
        <v>2081</v>
      </c>
      <c r="B1129" s="67">
        <f t="shared" ca="1" si="49"/>
        <v>13.72245</v>
      </c>
      <c r="C1129" s="67">
        <f t="shared" ca="1" si="49"/>
        <v>13.72245</v>
      </c>
      <c r="D1129" s="67">
        <f t="shared" ca="1" si="49"/>
        <v>13.724091666666666</v>
      </c>
      <c r="E1129" s="67">
        <f t="shared" ca="1" si="49"/>
        <v>15.640424999999999</v>
      </c>
      <c r="F1129" s="67">
        <f t="shared" ca="1" si="49"/>
        <v>15.640424999999999</v>
      </c>
      <c r="G1129" s="67">
        <f t="shared" ca="1" si="49"/>
        <v>15.642558333333332</v>
      </c>
      <c r="H1129" s="67">
        <f t="shared" ca="1" si="49"/>
        <v>25.719799999999996</v>
      </c>
      <c r="I1129" s="67">
        <f t="shared" ca="1" si="49"/>
        <v>25.721908333333332</v>
      </c>
      <c r="J1129" s="67">
        <f t="shared" ca="1" si="49"/>
        <v>15.640424999999999</v>
      </c>
      <c r="K1129" s="67">
        <f t="shared" ca="1" si="49"/>
        <v>15.642558333333332</v>
      </c>
    </row>
    <row r="1130" spans="1:11" ht="15">
      <c r="A1130" s="3">
        <v>2082</v>
      </c>
      <c r="B1130" s="67">
        <f t="shared" ref="B1130:K1139" ca="1" si="50">AVERAGE(OFFSET(B$593,($A1130-$A$1110)*12,0,12,1))</f>
        <v>13.960058333333334</v>
      </c>
      <c r="C1130" s="67">
        <f t="shared" ca="1" si="50"/>
        <v>13.960058333333334</v>
      </c>
      <c r="D1130" s="67">
        <f t="shared" ca="1" si="50"/>
        <v>13.961716666666668</v>
      </c>
      <c r="E1130" s="67">
        <f t="shared" ca="1" si="50"/>
        <v>15.897450000000001</v>
      </c>
      <c r="F1130" s="67">
        <f t="shared" ca="1" si="50"/>
        <v>15.897450000000001</v>
      </c>
      <c r="G1130" s="67">
        <f t="shared" ca="1" si="50"/>
        <v>15.89955</v>
      </c>
      <c r="H1130" s="67">
        <f t="shared" ca="1" si="50"/>
        <v>26.151750000000003</v>
      </c>
      <c r="I1130" s="67">
        <f t="shared" ca="1" si="50"/>
        <v>26.153841666666661</v>
      </c>
      <c r="J1130" s="67">
        <f t="shared" ca="1" si="50"/>
        <v>15.897450000000001</v>
      </c>
      <c r="K1130" s="67">
        <f t="shared" ca="1" si="50"/>
        <v>15.89955</v>
      </c>
    </row>
    <row r="1131" spans="1:11" ht="15">
      <c r="A1131" s="3">
        <v>2083</v>
      </c>
      <c r="B1131" s="67">
        <f t="shared" ca="1" si="50"/>
        <v>14.197650000000001</v>
      </c>
      <c r="C1131" s="67">
        <f t="shared" ca="1" si="50"/>
        <v>14.197650000000001</v>
      </c>
      <c r="D1131" s="67">
        <f t="shared" ca="1" si="50"/>
        <v>14.19931666666667</v>
      </c>
      <c r="E1131" s="67">
        <f t="shared" ca="1" si="50"/>
        <v>16.154466666666668</v>
      </c>
      <c r="F1131" s="67">
        <f t="shared" ca="1" si="50"/>
        <v>16.154466666666668</v>
      </c>
      <c r="G1131" s="67">
        <f t="shared" ca="1" si="50"/>
        <v>16.156549999999996</v>
      </c>
      <c r="H1131" s="67">
        <f t="shared" ca="1" si="50"/>
        <v>26.583700000000004</v>
      </c>
      <c r="I1131" s="67">
        <f t="shared" ca="1" si="50"/>
        <v>26.585783333333335</v>
      </c>
      <c r="J1131" s="67">
        <f t="shared" ca="1" si="50"/>
        <v>16.154466666666668</v>
      </c>
      <c r="K1131" s="67">
        <f t="shared" ca="1" si="50"/>
        <v>16.156549999999996</v>
      </c>
    </row>
    <row r="1132" spans="1:11" ht="15">
      <c r="A1132" s="3">
        <v>2084</v>
      </c>
      <c r="B1132" s="67">
        <f t="shared" ca="1" si="50"/>
        <v>14.435274999999997</v>
      </c>
      <c r="C1132" s="67">
        <f t="shared" ca="1" si="50"/>
        <v>14.435274999999997</v>
      </c>
      <c r="D1132" s="67">
        <f t="shared" ca="1" si="50"/>
        <v>14.436941666666668</v>
      </c>
      <c r="E1132" s="67">
        <f t="shared" ca="1" si="50"/>
        <v>16.411466666666669</v>
      </c>
      <c r="F1132" s="67">
        <f t="shared" ca="1" si="50"/>
        <v>16.411466666666669</v>
      </c>
      <c r="G1132" s="67">
        <f t="shared" ca="1" si="50"/>
        <v>16.413558333333334</v>
      </c>
      <c r="H1132" s="67">
        <f t="shared" ca="1" si="50"/>
        <v>27.01563333333333</v>
      </c>
      <c r="I1132" s="67">
        <f t="shared" ca="1" si="50"/>
        <v>27.017741666666666</v>
      </c>
      <c r="J1132" s="67">
        <f t="shared" ca="1" si="50"/>
        <v>16.411466666666669</v>
      </c>
      <c r="K1132" s="67">
        <f t="shared" ca="1" si="50"/>
        <v>16.413558333333334</v>
      </c>
    </row>
    <row r="1133" spans="1:11" ht="15">
      <c r="A1133" s="3">
        <v>2085</v>
      </c>
      <c r="B1133" s="67">
        <f t="shared" ca="1" si="50"/>
        <v>14.672899999999998</v>
      </c>
      <c r="C1133" s="67">
        <f t="shared" ca="1" si="50"/>
        <v>14.672899999999998</v>
      </c>
      <c r="D1133" s="67">
        <f t="shared" ca="1" si="50"/>
        <v>14.674566666666664</v>
      </c>
      <c r="E1133" s="67">
        <f t="shared" ca="1" si="50"/>
        <v>16.668466666666667</v>
      </c>
      <c r="F1133" s="67">
        <f t="shared" ca="1" si="50"/>
        <v>16.668466666666667</v>
      </c>
      <c r="G1133" s="67">
        <f t="shared" ca="1" si="50"/>
        <v>16.670591666666667</v>
      </c>
      <c r="H1133" s="67">
        <f t="shared" ca="1" si="50"/>
        <v>27.447583333333338</v>
      </c>
      <c r="I1133" s="67">
        <f t="shared" ca="1" si="50"/>
        <v>27.449691666666666</v>
      </c>
      <c r="J1133" s="67">
        <f t="shared" ca="1" si="50"/>
        <v>16.668466666666667</v>
      </c>
      <c r="K1133" s="67">
        <f t="shared" ca="1" si="50"/>
        <v>16.670591666666667</v>
      </c>
    </row>
    <row r="1134" spans="1:11" ht="15">
      <c r="A1134" s="3">
        <v>2086</v>
      </c>
      <c r="B1134" s="67">
        <f t="shared" ca="1" si="50"/>
        <v>14.910500000000004</v>
      </c>
      <c r="C1134" s="67">
        <f t="shared" ca="1" si="50"/>
        <v>14.910500000000004</v>
      </c>
      <c r="D1134" s="67">
        <f t="shared" ca="1" si="50"/>
        <v>14.912166666666669</v>
      </c>
      <c r="E1134" s="67">
        <f t="shared" ca="1" si="50"/>
        <v>16.925483333333336</v>
      </c>
      <c r="F1134" s="67">
        <f t="shared" ca="1" si="50"/>
        <v>16.925483333333336</v>
      </c>
      <c r="G1134" s="67">
        <f t="shared" ca="1" si="50"/>
        <v>16.927599999999998</v>
      </c>
      <c r="H1134" s="67">
        <f t="shared" ca="1" si="50"/>
        <v>27.879516666666664</v>
      </c>
      <c r="I1134" s="67">
        <f t="shared" ca="1" si="50"/>
        <v>27.88163333333334</v>
      </c>
      <c r="J1134" s="67">
        <f t="shared" ca="1" si="50"/>
        <v>16.925483333333336</v>
      </c>
      <c r="K1134" s="67">
        <f t="shared" ca="1" si="50"/>
        <v>16.927599999999998</v>
      </c>
    </row>
    <row r="1135" spans="1:11" ht="15">
      <c r="A1135" s="3">
        <v>2087</v>
      </c>
      <c r="B1135" s="67">
        <f t="shared" ca="1" si="50"/>
        <v>15.148116666666667</v>
      </c>
      <c r="C1135" s="67">
        <f t="shared" ca="1" si="50"/>
        <v>15.148116666666667</v>
      </c>
      <c r="D1135" s="67">
        <f t="shared" ca="1" si="50"/>
        <v>15.149783333333337</v>
      </c>
      <c r="E1135" s="67">
        <f t="shared" ca="1" si="50"/>
        <v>17.182508333333335</v>
      </c>
      <c r="F1135" s="67">
        <f t="shared" ca="1" si="50"/>
        <v>17.182508333333335</v>
      </c>
      <c r="G1135" s="67">
        <f t="shared" ca="1" si="50"/>
        <v>17.184591666666662</v>
      </c>
      <c r="H1135" s="67">
        <f t="shared" ca="1" si="50"/>
        <v>28.311475000000002</v>
      </c>
      <c r="I1135" s="67">
        <f t="shared" ca="1" si="50"/>
        <v>28.313591666666664</v>
      </c>
      <c r="J1135" s="67">
        <f t="shared" ca="1" si="50"/>
        <v>17.182508333333335</v>
      </c>
      <c r="K1135" s="67">
        <f t="shared" ca="1" si="50"/>
        <v>17.184591666666662</v>
      </c>
    </row>
    <row r="1136" spans="1:11" ht="15">
      <c r="A1136" s="3">
        <v>2088</v>
      </c>
      <c r="B1136" s="67">
        <f t="shared" ca="1" si="50"/>
        <v>15.385741666666663</v>
      </c>
      <c r="C1136" s="67">
        <f t="shared" ca="1" si="50"/>
        <v>15.385741666666663</v>
      </c>
      <c r="D1136" s="67">
        <f t="shared" ca="1" si="50"/>
        <v>15.3874</v>
      </c>
      <c r="E1136" s="67">
        <f t="shared" ca="1" si="50"/>
        <v>17.439516666666666</v>
      </c>
      <c r="F1136" s="67">
        <f t="shared" ca="1" si="50"/>
        <v>17.439516666666666</v>
      </c>
      <c r="G1136" s="67">
        <f t="shared" ca="1" si="50"/>
        <v>17.441633333333336</v>
      </c>
      <c r="H1136" s="67">
        <f t="shared" ca="1" si="50"/>
        <v>28.743433333333339</v>
      </c>
      <c r="I1136" s="67">
        <f t="shared" ca="1" si="50"/>
        <v>28.745558333333335</v>
      </c>
      <c r="J1136" s="67">
        <f t="shared" ca="1" si="50"/>
        <v>17.439516666666666</v>
      </c>
      <c r="K1136" s="67">
        <f t="shared" ca="1" si="50"/>
        <v>17.441633333333336</v>
      </c>
    </row>
    <row r="1137" spans="1:11" ht="15">
      <c r="A1137" s="3">
        <v>2089</v>
      </c>
      <c r="B1137" s="67">
        <f t="shared" ca="1" si="50"/>
        <v>15.623341666666667</v>
      </c>
      <c r="C1137" s="67">
        <f t="shared" ca="1" si="50"/>
        <v>15.623341666666667</v>
      </c>
      <c r="D1137" s="67">
        <f t="shared" ca="1" si="50"/>
        <v>15.625016666666667</v>
      </c>
      <c r="E1137" s="67">
        <f t="shared" ca="1" si="50"/>
        <v>17.696524999999998</v>
      </c>
      <c r="F1137" s="67">
        <f t="shared" ca="1" si="50"/>
        <v>17.696524999999998</v>
      </c>
      <c r="G1137" s="67">
        <f t="shared" ca="1" si="50"/>
        <v>17.698625000000003</v>
      </c>
      <c r="H1137" s="67">
        <f t="shared" ca="1" si="50"/>
        <v>29.175374999999999</v>
      </c>
      <c r="I1137" s="67">
        <f t="shared" ca="1" si="50"/>
        <v>29.177491666666672</v>
      </c>
      <c r="J1137" s="67">
        <f t="shared" ca="1" si="50"/>
        <v>17.696524999999998</v>
      </c>
      <c r="K1137" s="67">
        <f t="shared" ca="1" si="50"/>
        <v>17.698625000000003</v>
      </c>
    </row>
    <row r="1138" spans="1:11" ht="15">
      <c r="A1138" s="3">
        <v>2090</v>
      </c>
      <c r="B1138" s="67">
        <f t="shared" ca="1" si="50"/>
        <v>15.860966666666668</v>
      </c>
      <c r="C1138" s="67">
        <f t="shared" ca="1" si="50"/>
        <v>15.860966666666668</v>
      </c>
      <c r="D1138" s="67">
        <f t="shared" ca="1" si="50"/>
        <v>15.862625000000001</v>
      </c>
      <c r="E1138" s="67">
        <f t="shared" ca="1" si="50"/>
        <v>17.953533333333333</v>
      </c>
      <c r="F1138" s="67">
        <f t="shared" ca="1" si="50"/>
        <v>17.953533333333333</v>
      </c>
      <c r="G1138" s="67">
        <f t="shared" ca="1" si="50"/>
        <v>17.955616666666668</v>
      </c>
      <c r="H1138" s="67">
        <f t="shared" ca="1" si="50"/>
        <v>29.607325000000003</v>
      </c>
      <c r="I1138" s="67">
        <f t="shared" ca="1" si="50"/>
        <v>29.609433333333332</v>
      </c>
      <c r="J1138" s="67">
        <f t="shared" ca="1" si="50"/>
        <v>17.953533333333333</v>
      </c>
      <c r="K1138" s="67">
        <f t="shared" ca="1" si="50"/>
        <v>17.955616666666668</v>
      </c>
    </row>
    <row r="1139" spans="1:11" ht="15">
      <c r="A1139" s="3">
        <v>2091</v>
      </c>
      <c r="B1139" s="67">
        <f t="shared" ca="1" si="50"/>
        <v>16.098591666666668</v>
      </c>
      <c r="C1139" s="67">
        <f t="shared" ca="1" si="50"/>
        <v>16.098591666666668</v>
      </c>
      <c r="D1139" s="67">
        <f t="shared" ca="1" si="50"/>
        <v>16.100241666666665</v>
      </c>
      <c r="E1139" s="67">
        <f t="shared" ca="1" si="50"/>
        <v>18.210533333333338</v>
      </c>
      <c r="F1139" s="67">
        <f t="shared" ca="1" si="50"/>
        <v>18.210533333333338</v>
      </c>
      <c r="G1139" s="67">
        <f t="shared" ca="1" si="50"/>
        <v>18.212641666666666</v>
      </c>
      <c r="H1139" s="67">
        <f t="shared" ca="1" si="50"/>
        <v>30.039275</v>
      </c>
      <c r="I1139" s="67">
        <f t="shared" ca="1" si="50"/>
        <v>30.041383333333343</v>
      </c>
      <c r="J1139" s="67">
        <f t="shared" ca="1" si="50"/>
        <v>18.210533333333338</v>
      </c>
      <c r="K1139" s="67">
        <f t="shared" ca="1" si="50"/>
        <v>18.212641666666666</v>
      </c>
    </row>
    <row r="1140" spans="1:11" ht="15">
      <c r="A1140" s="3">
        <v>2092</v>
      </c>
      <c r="B1140" s="67">
        <f t="shared" ref="B1140:K1148" ca="1" si="51">AVERAGE(OFFSET(B$593,($A1140-$A$1110)*12,0,12,1))</f>
        <v>16.336183333333331</v>
      </c>
      <c r="C1140" s="67">
        <f t="shared" ca="1" si="51"/>
        <v>16.336183333333331</v>
      </c>
      <c r="D1140" s="67">
        <f t="shared" ca="1" si="51"/>
        <v>16.337858333333333</v>
      </c>
      <c r="E1140" s="67">
        <f t="shared" ca="1" si="51"/>
        <v>18.467549999999999</v>
      </c>
      <c r="F1140" s="67">
        <f t="shared" ca="1" si="51"/>
        <v>18.467549999999999</v>
      </c>
      <c r="G1140" s="67">
        <f t="shared" ca="1" si="51"/>
        <v>18.469658333333332</v>
      </c>
      <c r="H1140" s="67">
        <f t="shared" ca="1" si="51"/>
        <v>30.471233333333327</v>
      </c>
      <c r="I1140" s="67">
        <f t="shared" ca="1" si="51"/>
        <v>30.473325000000003</v>
      </c>
      <c r="J1140" s="67">
        <f t="shared" ca="1" si="51"/>
        <v>18.467549999999999</v>
      </c>
      <c r="K1140" s="67">
        <f t="shared" ca="1" si="51"/>
        <v>18.469658333333332</v>
      </c>
    </row>
    <row r="1141" spans="1:11" ht="15">
      <c r="A1141" s="3">
        <v>2093</v>
      </c>
      <c r="B1141" s="67">
        <f t="shared" ca="1" si="51"/>
        <v>16.573799999999999</v>
      </c>
      <c r="C1141" s="67">
        <f t="shared" ca="1" si="51"/>
        <v>16.573799999999999</v>
      </c>
      <c r="D1141" s="67">
        <f t="shared" ca="1" si="51"/>
        <v>16.575458333333334</v>
      </c>
      <c r="E1141" s="67">
        <f t="shared" ca="1" si="51"/>
        <v>18.724558333333331</v>
      </c>
      <c r="F1141" s="67">
        <f t="shared" ca="1" si="51"/>
        <v>18.724558333333331</v>
      </c>
      <c r="G1141" s="67">
        <f t="shared" ca="1" si="51"/>
        <v>18.726675</v>
      </c>
      <c r="H1141" s="67">
        <f t="shared" ca="1" si="51"/>
        <v>30.903175000000005</v>
      </c>
      <c r="I1141" s="67">
        <f t="shared" ca="1" si="51"/>
        <v>30.90528333333334</v>
      </c>
      <c r="J1141" s="67">
        <f t="shared" ca="1" si="51"/>
        <v>18.724558333333331</v>
      </c>
      <c r="K1141" s="67">
        <f t="shared" ca="1" si="51"/>
        <v>18.726675</v>
      </c>
    </row>
    <row r="1142" spans="1:11" ht="15">
      <c r="A1142" s="3">
        <v>2094</v>
      </c>
      <c r="B1142" s="67">
        <f t="shared" ca="1" si="51"/>
        <v>16.81141666666667</v>
      </c>
      <c r="C1142" s="67">
        <f t="shared" ca="1" si="51"/>
        <v>16.81141666666667</v>
      </c>
      <c r="D1142" s="67">
        <f t="shared" ca="1" si="51"/>
        <v>16.813100000000002</v>
      </c>
      <c r="E1142" s="67">
        <f t="shared" ca="1" si="51"/>
        <v>18.981583333333333</v>
      </c>
      <c r="F1142" s="67">
        <f t="shared" ca="1" si="51"/>
        <v>18.981583333333333</v>
      </c>
      <c r="G1142" s="67">
        <f t="shared" ca="1" si="51"/>
        <v>18.983675000000002</v>
      </c>
      <c r="H1142" s="67">
        <f t="shared" ca="1" si="51"/>
        <v>31.335108333333334</v>
      </c>
      <c r="I1142" s="67">
        <f t="shared" ca="1" si="51"/>
        <v>31.337225000000004</v>
      </c>
      <c r="J1142" s="67">
        <f t="shared" ca="1" si="51"/>
        <v>18.981583333333333</v>
      </c>
      <c r="K1142" s="67">
        <f t="shared" ca="1" si="51"/>
        <v>18.983675000000002</v>
      </c>
    </row>
    <row r="1143" spans="1:11" ht="15">
      <c r="A1143" s="3">
        <v>2095</v>
      </c>
      <c r="B1143" s="67">
        <f t="shared" ca="1" si="51"/>
        <v>17.049025</v>
      </c>
      <c r="C1143" s="67">
        <f t="shared" ca="1" si="51"/>
        <v>17.049025</v>
      </c>
      <c r="D1143" s="67">
        <f t="shared" ca="1" si="51"/>
        <v>17.050700000000003</v>
      </c>
      <c r="E1143" s="67">
        <f t="shared" ca="1" si="51"/>
        <v>19.238591666666668</v>
      </c>
      <c r="F1143" s="67">
        <f t="shared" ca="1" si="51"/>
        <v>19.238591666666668</v>
      </c>
      <c r="G1143" s="67">
        <f t="shared" ca="1" si="51"/>
        <v>19.240675</v>
      </c>
      <c r="H1143" s="67">
        <f t="shared" ca="1" si="51"/>
        <v>31.767058333333324</v>
      </c>
      <c r="I1143" s="67">
        <f t="shared" ca="1" si="51"/>
        <v>31.769175000000001</v>
      </c>
      <c r="J1143" s="67">
        <f t="shared" ca="1" si="51"/>
        <v>19.238591666666668</v>
      </c>
      <c r="K1143" s="67">
        <f t="shared" ca="1" si="51"/>
        <v>19.240675</v>
      </c>
    </row>
    <row r="1144" spans="1:11" ht="15">
      <c r="A1144" s="3">
        <v>2096</v>
      </c>
      <c r="B1144" s="67">
        <f t="shared" ca="1" si="51"/>
        <v>17.286658333333332</v>
      </c>
      <c r="C1144" s="67">
        <f t="shared" ca="1" si="51"/>
        <v>17.286658333333332</v>
      </c>
      <c r="D1144" s="67">
        <f t="shared" ca="1" si="51"/>
        <v>17.28830833333333</v>
      </c>
      <c r="E1144" s="67">
        <f t="shared" ca="1" si="51"/>
        <v>19.49559166666667</v>
      </c>
      <c r="F1144" s="67">
        <f t="shared" ca="1" si="51"/>
        <v>19.49559166666667</v>
      </c>
      <c r="G1144" s="67">
        <f t="shared" ca="1" si="51"/>
        <v>19.497699999999998</v>
      </c>
      <c r="H1144" s="67">
        <f t="shared" ca="1" si="51"/>
        <v>32.199016666666672</v>
      </c>
      <c r="I1144" s="67">
        <f t="shared" ca="1" si="51"/>
        <v>32.201124999999998</v>
      </c>
      <c r="J1144" s="67">
        <f t="shared" ca="1" si="51"/>
        <v>19.49559166666667</v>
      </c>
      <c r="K1144" s="67">
        <f t="shared" ca="1" si="51"/>
        <v>19.497699999999998</v>
      </c>
    </row>
    <row r="1145" spans="1:11" ht="15">
      <c r="A1145" s="3">
        <v>2097</v>
      </c>
      <c r="B1145" s="67">
        <f t="shared" ca="1" si="51"/>
        <v>17.524258333333332</v>
      </c>
      <c r="C1145" s="67">
        <f t="shared" ca="1" si="51"/>
        <v>17.524258333333332</v>
      </c>
      <c r="D1145" s="67">
        <f t="shared" ca="1" si="51"/>
        <v>17.525925000000004</v>
      </c>
      <c r="E1145" s="67">
        <f t="shared" ca="1" si="51"/>
        <v>19.752591666666664</v>
      </c>
      <c r="F1145" s="67">
        <f t="shared" ca="1" si="51"/>
        <v>19.752591666666664</v>
      </c>
      <c r="G1145" s="67">
        <f t="shared" ca="1" si="51"/>
        <v>19.7547</v>
      </c>
      <c r="H1145" s="67">
        <f t="shared" ca="1" si="51"/>
        <v>32.630966666666666</v>
      </c>
      <c r="I1145" s="67">
        <f t="shared" ca="1" si="51"/>
        <v>32.633074999999998</v>
      </c>
      <c r="J1145" s="67">
        <f t="shared" ca="1" si="51"/>
        <v>19.752591666666664</v>
      </c>
      <c r="K1145" s="67">
        <f t="shared" ca="1" si="51"/>
        <v>19.7547</v>
      </c>
    </row>
    <row r="1146" spans="1:11" ht="15">
      <c r="A1146" s="3">
        <v>2098</v>
      </c>
      <c r="B1146" s="67">
        <f t="shared" ca="1" si="51"/>
        <v>17.761866666666666</v>
      </c>
      <c r="C1146" s="67">
        <f t="shared" ca="1" si="51"/>
        <v>17.761866666666666</v>
      </c>
      <c r="D1146" s="67">
        <f t="shared" ca="1" si="51"/>
        <v>17.763525000000001</v>
      </c>
      <c r="E1146" s="67">
        <f t="shared" ca="1" si="51"/>
        <v>20.009608333333329</v>
      </c>
      <c r="F1146" s="67">
        <f t="shared" ca="1" si="51"/>
        <v>20.009608333333329</v>
      </c>
      <c r="G1146" s="67">
        <f t="shared" ca="1" si="51"/>
        <v>20.011716666666668</v>
      </c>
      <c r="H1146" s="67">
        <f t="shared" ca="1" si="51"/>
        <v>33.062925</v>
      </c>
      <c r="I1146" s="67">
        <f t="shared" ca="1" si="51"/>
        <v>33.065033333333332</v>
      </c>
      <c r="J1146" s="67">
        <f t="shared" ca="1" si="51"/>
        <v>20.009608333333329</v>
      </c>
      <c r="K1146" s="67">
        <f t="shared" ca="1" si="51"/>
        <v>20.011716666666668</v>
      </c>
    </row>
    <row r="1147" spans="1:11" ht="15">
      <c r="A1147" s="3">
        <v>2099</v>
      </c>
      <c r="B1147" s="67">
        <f t="shared" ca="1" si="51"/>
        <v>17.999491666666668</v>
      </c>
      <c r="C1147" s="67">
        <f t="shared" ca="1" si="51"/>
        <v>17.999491666666668</v>
      </c>
      <c r="D1147" s="67">
        <f t="shared" ca="1" si="51"/>
        <v>18.001158333333336</v>
      </c>
      <c r="E1147" s="67">
        <f t="shared" ca="1" si="51"/>
        <v>20.266633333333331</v>
      </c>
      <c r="F1147" s="67">
        <f t="shared" ca="1" si="51"/>
        <v>20.266633333333331</v>
      </c>
      <c r="G1147" s="67">
        <f t="shared" ca="1" si="51"/>
        <v>20.268733333333333</v>
      </c>
      <c r="H1147" s="67">
        <f t="shared" ca="1" si="51"/>
        <v>33.494875</v>
      </c>
      <c r="I1147" s="67">
        <f t="shared" ca="1" si="51"/>
        <v>33.496974999999999</v>
      </c>
      <c r="J1147" s="67">
        <f t="shared" ca="1" si="51"/>
        <v>20.266633333333331</v>
      </c>
      <c r="K1147" s="67">
        <f t="shared" ca="1" si="51"/>
        <v>20.268733333333333</v>
      </c>
    </row>
    <row r="1148" spans="1:11" ht="15">
      <c r="A1148" s="3">
        <v>2100</v>
      </c>
      <c r="B1148" s="67">
        <f t="shared" ca="1" si="51"/>
        <v>18.237108333333328</v>
      </c>
      <c r="C1148" s="67">
        <f t="shared" ca="1" si="51"/>
        <v>18.237108333333328</v>
      </c>
      <c r="D1148" s="67">
        <f t="shared" ca="1" si="51"/>
        <v>18.238766666666667</v>
      </c>
      <c r="E1148" s="67">
        <f t="shared" ca="1" si="51"/>
        <v>20.523624999999999</v>
      </c>
      <c r="F1148" s="67">
        <f t="shared" ca="1" si="51"/>
        <v>20.523624999999999</v>
      </c>
      <c r="G1148" s="67">
        <f t="shared" ca="1" si="51"/>
        <v>20.525733333333331</v>
      </c>
      <c r="H1148" s="67">
        <f t="shared" ca="1" si="51"/>
        <v>33.926825000000001</v>
      </c>
      <c r="I1148" s="67">
        <f t="shared" ca="1" si="51"/>
        <v>33.928916666666666</v>
      </c>
      <c r="J1148" s="67">
        <f t="shared" ca="1" si="51"/>
        <v>20.523624999999999</v>
      </c>
      <c r="K1148" s="67">
        <f t="shared" ca="1" si="51"/>
        <v>20.525733333333331</v>
      </c>
    </row>
  </sheetData>
  <mergeCells count="7">
    <mergeCell ref="B14:D14"/>
    <mergeCell ref="L14:M14"/>
    <mergeCell ref="N14:O14"/>
    <mergeCell ref="L13:O13"/>
    <mergeCell ref="E14:G14"/>
    <mergeCell ref="J14:K14"/>
    <mergeCell ref="H14:I14"/>
  </mergeCells>
  <pageMargins left="0.25" right="0.25" top="0.5" bottom="0.5" header="0.25" footer="0.25"/>
  <pageSetup paperSize="119" scale="80" orientation="landscape" horizontalDpi="1200" verticalDpi="1200" r:id="rId1"/>
  <headerFooter alignWithMargins="0">
    <oddFooter>&amp;R&amp;A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Drop Down 1">
              <controlPr locked="0" defaultSize="0" autoLine="0" autoPict="0">
                <anchor moveWithCells="1">
                  <from>
                    <xdr:col>5</xdr:col>
                    <xdr:colOff>371475</xdr:colOff>
                    <xdr:row>11</xdr:row>
                    <xdr:rowOff>38100</xdr:rowOff>
                  </from>
                  <to>
                    <xdr:col>6</xdr:col>
                    <xdr:colOff>381000</xdr:colOff>
                    <xdr:row>12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E37"/>
  <sheetViews>
    <sheetView showGridLines="0" zoomScale="70" zoomScaleNormal="70" workbookViewId="0">
      <selection activeCell="A7" sqref="A7"/>
    </sheetView>
  </sheetViews>
  <sheetFormatPr defaultColWidth="8.88671875" defaultRowHeight="15.75"/>
  <cols>
    <col min="1" max="1" width="8.88671875" style="80"/>
    <col min="2" max="2" width="15.5546875" style="80" bestFit="1" customWidth="1"/>
    <col min="3" max="3" width="9.5546875" style="80" bestFit="1" customWidth="1"/>
    <col min="4" max="16384" width="8.88671875" style="80"/>
  </cols>
  <sheetData>
    <row r="1" spans="1:3">
      <c r="A1" s="88" t="s">
        <v>64</v>
      </c>
    </row>
    <row r="2" spans="1:3">
      <c r="A2" s="88" t="s">
        <v>65</v>
      </c>
    </row>
    <row r="3" spans="1:3">
      <c r="A3" s="88" t="s">
        <v>66</v>
      </c>
    </row>
    <row r="4" spans="1:3">
      <c r="A4" s="88" t="s">
        <v>67</v>
      </c>
    </row>
    <row r="5" spans="1:3">
      <c r="A5" s="88" t="s">
        <v>69</v>
      </c>
    </row>
    <row r="6" spans="1:3">
      <c r="A6" s="88" t="s">
        <v>70</v>
      </c>
    </row>
    <row r="8" spans="1:3">
      <c r="B8" s="85" t="s">
        <v>63</v>
      </c>
      <c r="C8" s="85" t="s">
        <v>54</v>
      </c>
    </row>
    <row r="9" spans="1:3">
      <c r="B9" s="87" t="s">
        <v>61</v>
      </c>
      <c r="C9" s="97">
        <v>2</v>
      </c>
    </row>
    <row r="10" spans="1:3">
      <c r="B10" s="87" t="s">
        <v>60</v>
      </c>
      <c r="C10" s="99"/>
    </row>
    <row r="11" spans="1:3">
      <c r="B11" s="86" t="s">
        <v>59</v>
      </c>
      <c r="C11" s="98"/>
    </row>
    <row r="14" spans="1:3">
      <c r="B14" s="85" t="s">
        <v>55</v>
      </c>
      <c r="C14" s="85" t="s">
        <v>54</v>
      </c>
    </row>
    <row r="15" spans="1:3">
      <c r="B15" s="87" t="s">
        <v>61</v>
      </c>
      <c r="C15" s="97">
        <v>2</v>
      </c>
    </row>
    <row r="16" spans="1:3">
      <c r="B16" s="87" t="s">
        <v>60</v>
      </c>
      <c r="C16" s="99"/>
    </row>
    <row r="17" spans="2:3">
      <c r="B17" s="86" t="s">
        <v>59</v>
      </c>
      <c r="C17" s="98"/>
    </row>
    <row r="21" spans="2:3">
      <c r="B21" s="85" t="s">
        <v>62</v>
      </c>
      <c r="C21" s="85" t="s">
        <v>54</v>
      </c>
    </row>
    <row r="22" spans="2:3">
      <c r="B22" s="87" t="s">
        <v>61</v>
      </c>
      <c r="C22" s="97">
        <v>2</v>
      </c>
    </row>
    <row r="23" spans="2:3">
      <c r="B23" s="87" t="s">
        <v>60</v>
      </c>
      <c r="C23" s="99"/>
    </row>
    <row r="24" spans="2:3">
      <c r="B24" s="86" t="s">
        <v>59</v>
      </c>
      <c r="C24" s="98"/>
    </row>
    <row r="27" spans="2:3">
      <c r="B27" s="85" t="s">
        <v>58</v>
      </c>
      <c r="C27" s="85" t="s">
        <v>54</v>
      </c>
    </row>
    <row r="28" spans="2:3">
      <c r="B28" s="84" t="s">
        <v>57</v>
      </c>
      <c r="C28" s="97">
        <v>1</v>
      </c>
    </row>
    <row r="29" spans="2:3">
      <c r="B29" s="83" t="s">
        <v>56</v>
      </c>
      <c r="C29" s="98"/>
    </row>
    <row r="31" spans="2:3">
      <c r="B31" s="85" t="s">
        <v>55</v>
      </c>
      <c r="C31" s="85" t="s">
        <v>54</v>
      </c>
    </row>
    <row r="32" spans="2:3">
      <c r="B32" s="84" t="s">
        <v>53</v>
      </c>
      <c r="C32" s="97">
        <v>1</v>
      </c>
    </row>
    <row r="33" spans="2:5">
      <c r="B33" s="83" t="s">
        <v>52</v>
      </c>
      <c r="C33" s="98"/>
    </row>
    <row r="37" spans="2:5">
      <c r="C37" s="82"/>
      <c r="E37" s="81"/>
    </row>
  </sheetData>
  <mergeCells count="5">
    <mergeCell ref="C32:C33"/>
    <mergeCell ref="C22:C24"/>
    <mergeCell ref="C28:C29"/>
    <mergeCell ref="C9:C11"/>
    <mergeCell ref="C15:C17"/>
  </mergeCells>
  <pageMargins left="0.25" right="0.25" top="0.5" bottom="0.5" header="0.25" footer="0.25"/>
  <pageSetup orientation="portrait" horizontalDpi="1200" verticalDpi="1200" r:id="rId1"/>
  <headerFooter alignWithMargins="0">
    <oddFooter>&amp;R&amp;A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8</vt:i4>
      </vt:variant>
    </vt:vector>
  </HeadingPairs>
  <TitlesOfParts>
    <vt:vector size="13" baseType="lpstr">
      <vt:lpstr>RAP-NATURAL GAS PRICES</vt:lpstr>
      <vt:lpstr>RAP TEMPLATE-GAS AVAILABILITY</vt:lpstr>
      <vt:lpstr>RAP-HEAVY &amp; LIGHT OIL &amp; WTI</vt:lpstr>
      <vt:lpstr>RAP-SOLID FUEL PRICES</vt:lpstr>
      <vt:lpstr>CONTROL</vt:lpstr>
      <vt:lpstr>'RAP TEMPLATE-GAS AVAILABILITY'!Print_Area</vt:lpstr>
      <vt:lpstr>'RAP-HEAVY &amp; LIGHT OIL &amp; WTI'!Print_Area</vt:lpstr>
      <vt:lpstr>'RAP-NATURAL GAS PRICES'!Print_Area</vt:lpstr>
      <vt:lpstr>'RAP-SOLID FUEL PRICES'!Print_Area</vt:lpstr>
      <vt:lpstr>'RAP TEMPLATE-GAS AVAILABILITY'!Print_Titles</vt:lpstr>
      <vt:lpstr>'RAP-HEAVY &amp; LIGHT OIL &amp; WTI'!Print_Titles</vt:lpstr>
      <vt:lpstr>'RAP-NATURAL GAS PRICES'!Print_Titles</vt:lpstr>
      <vt:lpstr>'RAP-SOLID FUEL PRICES'!Print_Titles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2016-07-29T16:30:50Z</dcterms:created>
  <dcterms:modified xsi:type="dcterms:W3CDTF">2016-07-29T16:31:11Z</dcterms:modified>
</cp:coreProperties>
</file>