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24226"/>
  <xr:revisionPtr revIDLastSave="0" documentId="8_{333ED744-27D6-42C8-9180-77F1D8BFFAF5}" xr6:coauthVersionLast="45" xr6:coauthVersionMax="45" xr10:uidLastSave="{00000000-0000-0000-0000-000000000000}"/>
  <bookViews>
    <workbookView xWindow="-120" yWindow="-120" windowWidth="29040" windowHeight="15840" tabRatio="917" xr2:uid="{00000000-000D-0000-FFFF-FFFF00000000}"/>
  </bookViews>
  <sheets>
    <sheet name="2 Proxy Sum" sheetId="3" r:id="rId1"/>
    <sheet name="3 Stock Price" sheetId="4" r:id="rId2"/>
    <sheet name="4 Div Yields" sheetId="29" r:id="rId3"/>
    <sheet name="5 Growth Determinants" sheetId="52" r:id="rId4"/>
    <sheet name="6 DCF Result" sheetId="53" r:id="rId5"/>
    <sheet name="7 Risk Free Rate" sheetId="10" r:id="rId6"/>
    <sheet name="8 Beta" sheetId="15" r:id="rId7"/>
    <sheet name="9 Implied ERP" sheetId="21" r:id="rId8"/>
    <sheet name="10 ERP Result" sheetId="61" r:id="rId9"/>
    <sheet name="11 CAPM Result" sheetId="7" r:id="rId10"/>
    <sheet name="12 COE Summary" sheetId="17" r:id="rId11"/>
    <sheet name="13 Market COE" sheetId="59" r:id="rId12"/>
    <sheet name="14 Historic Trends" sheetId="81" r:id="rId13"/>
    <sheet name="15 Competitive Debt Ratios" sheetId="79" r:id="rId14"/>
    <sheet name="16 Proxy Debt Ratios" sheetId="80" r:id="rId15"/>
    <sheet name="Fig Industry Betas" sheetId="66" r:id="rId16"/>
    <sheet name="Fig CAPM Graph" sheetId="67" r:id="rId17"/>
    <sheet name="Fig Bus Cycle" sheetId="68" r:id="rId18"/>
    <sheet name="Fig Diversify" sheetId="70" r:id="rId19"/>
  </sheets>
  <definedNames>
    <definedName name="_xlnm.Print_Area" localSheetId="8">'10 ERP Result'!$A$1:$E$19</definedName>
    <definedName name="_xlnm.Print_Area" localSheetId="12">'14 Historic Trends'!$A$1:$U$45</definedName>
    <definedName name="_xlnm.Print_Area" localSheetId="13">'15 Competitive Debt Ratios'!$A$1:$E$65</definedName>
    <definedName name="_xlnm.Print_Area" localSheetId="17">'Fig Bus Cycle'!$A$3:$M$6</definedName>
    <definedName name="solver_adj" localSheetId="7" hidden="1">'9 Implied ERP'!$C$32</definedName>
    <definedName name="solver_cvg" localSheetId="7" hidden="1">0.0001</definedName>
    <definedName name="solver_drv" localSheetId="7" hidden="1">1</definedName>
    <definedName name="solver_eng" localSheetId="7" hidden="1">1</definedName>
    <definedName name="solver_est" localSheetId="7" hidden="1">1</definedName>
    <definedName name="solver_itr" localSheetId="7" hidden="1">100</definedName>
    <definedName name="solver_lin" localSheetId="7" hidden="1">2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2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'9 Implied ERP'!$C$28</definedName>
    <definedName name="solver_pre" localSheetId="7" hidden="1">0.000001</definedName>
    <definedName name="solver_rbv" localSheetId="7" hidden="1">1</definedName>
    <definedName name="solver_rlx" localSheetId="7" hidden="1">1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100</definedName>
    <definedName name="solver_tol" localSheetId="7" hidden="1">0.05</definedName>
    <definedName name="solver_typ" localSheetId="7" hidden="1">3</definedName>
    <definedName name="solver_val" localSheetId="7" hidden="1">3391</definedName>
    <definedName name="solver_ver" localSheetId="7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53" l="1"/>
  <c r="G7" i="3" l="1"/>
  <c r="C8" i="80" l="1"/>
  <c r="A8" i="80"/>
  <c r="I11" i="7"/>
  <c r="G11" i="7"/>
  <c r="L11" i="7" s="1"/>
  <c r="E11" i="7"/>
  <c r="C11" i="7"/>
  <c r="A11" i="7"/>
  <c r="C8" i="15"/>
  <c r="A8" i="15"/>
  <c r="C11" i="29"/>
  <c r="A11" i="29"/>
  <c r="F3" i="4"/>
  <c r="F6" i="4"/>
  <c r="F5" i="4"/>
  <c r="G11" i="29" s="1"/>
  <c r="I11" i="29" s="1"/>
  <c r="U37" i="81" l="1"/>
  <c r="M37" i="81"/>
  <c r="K37" i="81"/>
  <c r="U36" i="81"/>
  <c r="M36" i="81"/>
  <c r="K36" i="81"/>
  <c r="U35" i="81"/>
  <c r="M35" i="81"/>
  <c r="K35" i="81" s="1"/>
  <c r="U34" i="81"/>
  <c r="M34" i="81"/>
  <c r="K34" i="81"/>
  <c r="U33" i="81"/>
  <c r="M33" i="81"/>
  <c r="K33" i="81"/>
  <c r="U32" i="81"/>
  <c r="M32" i="81"/>
  <c r="K32" i="81" s="1"/>
  <c r="U31" i="81"/>
  <c r="M31" i="81"/>
  <c r="K31" i="81" s="1"/>
  <c r="U30" i="81"/>
  <c r="M30" i="81"/>
  <c r="K30" i="81" s="1"/>
  <c r="U29" i="81"/>
  <c r="M29" i="81"/>
  <c r="K29" i="81"/>
  <c r="U28" i="81"/>
  <c r="M28" i="81"/>
  <c r="K28" i="81"/>
  <c r="U27" i="81"/>
  <c r="M27" i="81"/>
  <c r="K27" i="81" s="1"/>
  <c r="U26" i="81"/>
  <c r="M26" i="81"/>
  <c r="K26" i="81" s="1"/>
  <c r="U25" i="81"/>
  <c r="M25" i="81"/>
  <c r="K25" i="81"/>
  <c r="U24" i="81"/>
  <c r="M24" i="81"/>
  <c r="K24" i="81" s="1"/>
  <c r="U23" i="81"/>
  <c r="M23" i="81"/>
  <c r="K23" i="81" s="1"/>
  <c r="U22" i="81"/>
  <c r="M22" i="81"/>
  <c r="K22" i="81" s="1"/>
  <c r="U21" i="81"/>
  <c r="M21" i="81"/>
  <c r="K21" i="81" s="1"/>
  <c r="U20" i="81"/>
  <c r="M20" i="81"/>
  <c r="K20" i="81" s="1"/>
  <c r="U19" i="81"/>
  <c r="M19" i="81"/>
  <c r="K19" i="81"/>
  <c r="U18" i="81"/>
  <c r="M18" i="81"/>
  <c r="K18" i="81" s="1"/>
  <c r="U17" i="81"/>
  <c r="M17" i="81"/>
  <c r="K17" i="81" s="1"/>
  <c r="U16" i="81"/>
  <c r="M16" i="81"/>
  <c r="K16" i="81"/>
  <c r="U15" i="81"/>
  <c r="M15" i="81"/>
  <c r="K15" i="81" s="1"/>
  <c r="U14" i="81"/>
  <c r="M14" i="81"/>
  <c r="K14" i="81" s="1"/>
  <c r="U13" i="81"/>
  <c r="M13" i="81"/>
  <c r="K13" i="81"/>
  <c r="U12" i="81"/>
  <c r="M12" i="81"/>
  <c r="K12" i="81"/>
  <c r="U11" i="81"/>
  <c r="M11" i="81"/>
  <c r="K11" i="81" s="1"/>
  <c r="U10" i="81"/>
  <c r="M10" i="81"/>
  <c r="K10" i="81" s="1"/>
  <c r="U9" i="81"/>
  <c r="M9" i="81"/>
  <c r="K9" i="81"/>
  <c r="U8" i="81"/>
  <c r="M8" i="81"/>
  <c r="K8" i="81" s="1"/>
  <c r="C14" i="21" l="1"/>
  <c r="G5" i="3" l="1"/>
  <c r="G6" i="3"/>
  <c r="G8" i="3"/>
  <c r="G9" i="3"/>
  <c r="A6" i="80"/>
  <c r="C6" i="80"/>
  <c r="A7" i="80"/>
  <c r="C7" i="80"/>
  <c r="A9" i="80"/>
  <c r="C9" i="80"/>
  <c r="A10" i="80"/>
  <c r="C10" i="80"/>
  <c r="A11" i="80"/>
  <c r="C11" i="80"/>
  <c r="C5" i="80"/>
  <c r="A5" i="80"/>
  <c r="E13" i="80"/>
  <c r="E61" i="79"/>
  <c r="C61" i="79"/>
  <c r="M47" i="79"/>
  <c r="K47" i="79"/>
  <c r="G9" i="7" l="1"/>
  <c r="G10" i="7"/>
  <c r="G12" i="7"/>
  <c r="G13" i="7"/>
  <c r="G14" i="7"/>
  <c r="C9" i="7"/>
  <c r="C10" i="7"/>
  <c r="C12" i="7"/>
  <c r="C13" i="7"/>
  <c r="C14" i="7"/>
  <c r="A9" i="7"/>
  <c r="A10" i="7"/>
  <c r="A12" i="7"/>
  <c r="A13" i="7"/>
  <c r="A14" i="7"/>
  <c r="C6" i="15"/>
  <c r="C7" i="15"/>
  <c r="C9" i="15"/>
  <c r="C10" i="15"/>
  <c r="C11" i="15"/>
  <c r="A6" i="15"/>
  <c r="A7" i="15"/>
  <c r="A9" i="15"/>
  <c r="A10" i="15"/>
  <c r="A11" i="15"/>
  <c r="C9" i="29"/>
  <c r="C10" i="29"/>
  <c r="C12" i="29"/>
  <c r="C13" i="29"/>
  <c r="C14" i="29"/>
  <c r="A9" i="29"/>
  <c r="A10" i="29"/>
  <c r="A12" i="29"/>
  <c r="A13" i="29"/>
  <c r="A14" i="29"/>
  <c r="D5" i="4"/>
  <c r="G9" i="29" s="1"/>
  <c r="I9" i="29" s="1"/>
  <c r="E5" i="4"/>
  <c r="G10" i="29" s="1"/>
  <c r="I10" i="29" s="1"/>
  <c r="G5" i="4"/>
  <c r="G12" i="29" s="1"/>
  <c r="I12" i="29" s="1"/>
  <c r="H5" i="4"/>
  <c r="G13" i="29" s="1"/>
  <c r="I13" i="29" s="1"/>
  <c r="D6" i="4"/>
  <c r="E6" i="4"/>
  <c r="G6" i="4"/>
  <c r="H6" i="4"/>
  <c r="H3" i="4"/>
  <c r="G3" i="4"/>
  <c r="E3" i="4"/>
  <c r="D3" i="4"/>
  <c r="G8" i="7" l="1"/>
  <c r="G16" i="7" l="1"/>
  <c r="G10" i="3" l="1"/>
  <c r="C15" i="21" l="1"/>
  <c r="O10" i="21"/>
  <c r="M10" i="21"/>
  <c r="Q10" i="21" s="1"/>
  <c r="K10" i="21"/>
  <c r="I6" i="4" l="1"/>
  <c r="I5" i="4"/>
  <c r="G14" i="29" s="1"/>
  <c r="I14" i="29" s="1"/>
  <c r="I3" i="4"/>
  <c r="K11" i="21" l="1"/>
  <c r="M11" i="21"/>
  <c r="O11" i="21"/>
  <c r="Q11" i="21" l="1"/>
  <c r="D119" i="68" l="1"/>
  <c r="D118" i="68"/>
  <c r="D117" i="68"/>
  <c r="D116" i="68"/>
  <c r="D115" i="68"/>
  <c r="D114" i="68"/>
  <c r="D113" i="68"/>
  <c r="D112" i="68"/>
  <c r="D111" i="68"/>
  <c r="D110" i="68"/>
  <c r="D109" i="68"/>
  <c r="D108" i="68"/>
  <c r="D107" i="68"/>
  <c r="D106" i="68"/>
  <c r="D105" i="68"/>
  <c r="D104" i="68"/>
  <c r="M5" i="68" s="1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J5" i="68" s="1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G5" i="68" s="1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6" i="68"/>
  <c r="D5" i="68"/>
  <c r="D4" i="68"/>
  <c r="K9" i="21" l="1"/>
  <c r="M9" i="21"/>
  <c r="O9" i="21"/>
  <c r="Q9" i="21" l="1"/>
  <c r="E35" i="10" l="1"/>
  <c r="E12" i="7" l="1"/>
  <c r="E14" i="7"/>
  <c r="E9" i="7"/>
  <c r="E13" i="7"/>
  <c r="E10" i="7"/>
  <c r="C11" i="52"/>
  <c r="C13" i="52" s="1"/>
  <c r="C4" i="67"/>
  <c r="C14" i="61" l="1"/>
  <c r="C18" i="61" l="1"/>
  <c r="C16" i="61"/>
  <c r="I9" i="7" l="1"/>
  <c r="L9" i="7" s="1"/>
  <c r="I13" i="7"/>
  <c r="L13" i="7" s="1"/>
  <c r="I10" i="7"/>
  <c r="L10" i="7" s="1"/>
  <c r="I12" i="7"/>
  <c r="L12" i="7" s="1"/>
  <c r="I14" i="7"/>
  <c r="C5" i="67"/>
  <c r="B10" i="67" s="1"/>
  <c r="L14" i="7"/>
  <c r="I8" i="7"/>
  <c r="B11" i="67" l="1"/>
  <c r="B13" i="67"/>
  <c r="O8" i="21"/>
  <c r="M8" i="21"/>
  <c r="K8" i="21"/>
  <c r="Q8" i="21" l="1"/>
  <c r="E16" i="29" l="1"/>
  <c r="A8" i="53" s="1"/>
  <c r="G4" i="3" l="1"/>
  <c r="C5" i="4" l="1"/>
  <c r="C8" i="29" l="1"/>
  <c r="A8" i="29"/>
  <c r="C3" i="4"/>
  <c r="C6" i="4"/>
  <c r="B6" i="4"/>
  <c r="G8" i="29"/>
  <c r="I8" i="29" s="1"/>
  <c r="B5" i="4"/>
  <c r="C17" i="21" s="1"/>
  <c r="M6" i="21"/>
  <c r="O6" i="21"/>
  <c r="M7" i="21"/>
  <c r="O7" i="21"/>
  <c r="K7" i="21"/>
  <c r="K6" i="21"/>
  <c r="C5" i="15"/>
  <c r="A5" i="15"/>
  <c r="C8" i="7"/>
  <c r="A8" i="7"/>
  <c r="C5" i="59" l="1"/>
  <c r="C7" i="59"/>
  <c r="C9" i="59"/>
  <c r="E8" i="7"/>
  <c r="L8" i="7" s="1"/>
  <c r="I16" i="29"/>
  <c r="G16" i="29"/>
  <c r="C8" i="53" s="1"/>
  <c r="H8" i="53" s="1"/>
  <c r="C5" i="17" s="1"/>
  <c r="Q6" i="21"/>
  <c r="C16" i="21"/>
  <c r="C30" i="21" s="1"/>
  <c r="C11" i="59" s="1"/>
  <c r="E13" i="15"/>
  <c r="C6" i="67" s="1"/>
  <c r="A12" i="67" s="1"/>
  <c r="Q7" i="21"/>
  <c r="C13" i="59" l="1"/>
  <c r="D10" i="67"/>
  <c r="D11" i="67"/>
  <c r="B12" i="67"/>
  <c r="K24" i="21"/>
  <c r="C10" i="67" l="1"/>
  <c r="E11" i="67" s="1"/>
  <c r="C12" i="67"/>
  <c r="C11" i="67"/>
  <c r="G24" i="21"/>
  <c r="G26" i="21" s="1"/>
  <c r="E24" i="21"/>
  <c r="E26" i="21" s="1"/>
  <c r="C24" i="21"/>
  <c r="C26" i="21" s="1"/>
  <c r="I24" i="21"/>
  <c r="I26" i="21" s="1"/>
  <c r="K25" i="21"/>
  <c r="K26" i="21" s="1"/>
  <c r="C28" i="21" l="1"/>
  <c r="L16" i="7"/>
  <c r="C7" i="17" l="1"/>
  <c r="C9" i="17" s="1"/>
  <c r="AH30" i="81" s="1"/>
  <c r="C7" i="67"/>
</calcChain>
</file>

<file path=xl/sharedStrings.xml><?xml version="1.0" encoding="utf-8"?>
<sst xmlns="http://schemas.openxmlformats.org/spreadsheetml/2006/main" count="400" uniqueCount="253">
  <si>
    <t>Company</t>
  </si>
  <si>
    <t>Ticker</t>
  </si>
  <si>
    <t>Price</t>
  </si>
  <si>
    <t>[1]</t>
  </si>
  <si>
    <t>[2]</t>
  </si>
  <si>
    <t>[3]</t>
  </si>
  <si>
    <t>[4]</t>
  </si>
  <si>
    <t>[5]</t>
  </si>
  <si>
    <t>Standard Deviation</t>
  </si>
  <si>
    <t>30-day Average</t>
  </si>
  <si>
    <t>Date</t>
  </si>
  <si>
    <t>^GSPC</t>
  </si>
  <si>
    <t>Source</t>
  </si>
  <si>
    <t>Capital Asset Pricing Model</t>
  </si>
  <si>
    <t>[6]</t>
  </si>
  <si>
    <t>[7]</t>
  </si>
  <si>
    <t>[8]</t>
  </si>
  <si>
    <t>Financial Strength</t>
  </si>
  <si>
    <t>Rate</t>
  </si>
  <si>
    <t>[9]</t>
  </si>
  <si>
    <t>Dividends</t>
  </si>
  <si>
    <t>Buyback Yield</t>
  </si>
  <si>
    <t>Dividend Yield</t>
  </si>
  <si>
    <t>Operating Earnings</t>
  </si>
  <si>
    <t>Buybacks</t>
  </si>
  <si>
    <t>Year</t>
  </si>
  <si>
    <t>Earnings Yield</t>
  </si>
  <si>
    <t>Gross Cash Yield</t>
  </si>
  <si>
    <t>Cash Yield</t>
  </si>
  <si>
    <t>Growth Rate</t>
  </si>
  <si>
    <t>[10]</t>
  </si>
  <si>
    <t>Risk-free Rate</t>
  </si>
  <si>
    <t>[11]</t>
  </si>
  <si>
    <t>Current Index Value</t>
  </si>
  <si>
    <t>Expected Dividends</t>
  </si>
  <si>
    <t>Expected Terminal Value</t>
  </si>
  <si>
    <t>Present Value</t>
  </si>
  <si>
    <t>Intrinsic Index Value</t>
  </si>
  <si>
    <t>[12]</t>
  </si>
  <si>
    <t>[13]</t>
  </si>
  <si>
    <t>[14]</t>
  </si>
  <si>
    <t>[15]</t>
  </si>
  <si>
    <t>[16]</t>
  </si>
  <si>
    <t>[17]</t>
  </si>
  <si>
    <t>Implied Equity Risk Premium</t>
  </si>
  <si>
    <t>[5] = [2] / [1]</t>
  </si>
  <si>
    <t>[6] = [3] / [1]</t>
  </si>
  <si>
    <t>[7] = [4] / [1]</t>
  </si>
  <si>
    <t>[8] = [6] + [7]</t>
  </si>
  <si>
    <t>[9] = Average of [8]</t>
  </si>
  <si>
    <t>[18]</t>
  </si>
  <si>
    <t>[19]</t>
  </si>
  <si>
    <t>Beta</t>
  </si>
  <si>
    <t>ROE</t>
  </si>
  <si>
    <t>Value Line Safety Rank</t>
  </si>
  <si>
    <t>Market Category</t>
  </si>
  <si>
    <t>Market Cap. ($ millions)</t>
  </si>
  <si>
    <t>Dividend</t>
  </si>
  <si>
    <t>Stock Price</t>
  </si>
  <si>
    <r>
      <t>(d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</si>
  <si>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r>
      <t>(P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</si>
  <si>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t>(g)</t>
  </si>
  <si>
    <t>Results</t>
  </si>
  <si>
    <t>Required Return on Market</t>
  </si>
  <si>
    <t>[20]</t>
  </si>
  <si>
    <t>Average</t>
  </si>
  <si>
    <t>Industry</t>
  </si>
  <si>
    <t>Broadcasting</t>
  </si>
  <si>
    <t>[19] = [20] + [11]</t>
  </si>
  <si>
    <t>[1] Market value of S&amp;P 500</t>
  </si>
  <si>
    <t>Cost of Equity</t>
  </si>
  <si>
    <t>Risk Free Rate</t>
  </si>
  <si>
    <r>
      <t>[13-16] Expected dividends = [9]*[12]*(1+[10])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; Present value = expected dividend / (1+[11]+[19])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</t>
    </r>
  </si>
  <si>
    <r>
      <t>[17] Expected terminal value = expected dividend * (1+[11]) / [19] ; Present value = (expected dividend + expected terminal value) / (1+[11]+[19])</t>
    </r>
    <r>
      <rPr>
        <vertAlign val="superscript"/>
        <sz val="9"/>
        <color theme="1"/>
        <rFont val="Calibri"/>
        <family val="2"/>
        <scheme val="minor"/>
      </rPr>
      <t>n</t>
    </r>
  </si>
  <si>
    <t>[18] = Sum([13-17]) present values.</t>
  </si>
  <si>
    <t>[20] Internal rate of return calculation setting [18] equal to [12] and solving for the discount rate</t>
  </si>
  <si>
    <t>Damodaran</t>
  </si>
  <si>
    <t>Risk-Free</t>
  </si>
  <si>
    <t>Value Line</t>
  </si>
  <si>
    <t>Risk</t>
  </si>
  <si>
    <t>CAPM</t>
  </si>
  <si>
    <t xml:space="preserve">Rate </t>
  </si>
  <si>
    <t>Premium</t>
  </si>
  <si>
    <t>Company ERP</t>
  </si>
  <si>
    <t>Result</t>
  </si>
  <si>
    <t>Discounted Cash Flow Model</t>
  </si>
  <si>
    <t>Model</t>
  </si>
  <si>
    <t>DCF</t>
  </si>
  <si>
    <t>A</t>
  </si>
  <si>
    <t>B++</t>
  </si>
  <si>
    <t>B+</t>
  </si>
  <si>
    <t xml:space="preserve">All prices are adjusted closing prices reported by Yahoo! Finance, http://finance.yahoo.com </t>
  </si>
  <si>
    <t>Nominal GDP</t>
  </si>
  <si>
    <t>Yield</t>
  </si>
  <si>
    <t>Stock</t>
  </si>
  <si>
    <t>Inflation</t>
  </si>
  <si>
    <t>Garrett</t>
  </si>
  <si>
    <t>[6] = [1] + [2] * [3]</t>
  </si>
  <si>
    <t>Estimate</t>
  </si>
  <si>
    <t>Graham Harvey Survey</t>
  </si>
  <si>
    <t>IESE Survey</t>
  </si>
  <si>
    <t>IESE Business School Survey</t>
  </si>
  <si>
    <t>Graham &amp; Harvey Survey</t>
  </si>
  <si>
    <t>Duff &amp; Phelps Report</t>
  </si>
  <si>
    <r>
      <t>[4] Quarterly DCF Approximation = [d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>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/P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]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- 1</t>
    </r>
  </si>
  <si>
    <t>Highest</t>
  </si>
  <si>
    <t xml:space="preserve">Beta </t>
  </si>
  <si>
    <t>Hospitals</t>
  </si>
  <si>
    <t xml:space="preserve">See Betas by Sector (US) at http://pages.stern.nyu.edu/~adamodar/.  </t>
  </si>
  <si>
    <t>Equity risk premium</t>
  </si>
  <si>
    <t>X</t>
  </si>
  <si>
    <t>Y</t>
  </si>
  <si>
    <t>ER</t>
  </si>
  <si>
    <t>a</t>
  </si>
  <si>
    <t>b</t>
  </si>
  <si>
    <t>Top Line</t>
  </si>
  <si>
    <t>Mid Line</t>
  </si>
  <si>
    <t>Bot. Line</t>
  </si>
  <si>
    <t>Top Arrow</t>
  </si>
  <si>
    <t>Bottom Arrow</t>
  </si>
  <si>
    <t>CAPM Result</t>
  </si>
  <si>
    <t>Electric Utilities</t>
  </si>
  <si>
    <t>Gas Utilities</t>
  </si>
  <si>
    <t>Total Utilities</t>
  </si>
  <si>
    <t>S&amp;P 500</t>
  </si>
  <si>
    <t>T-Bond</t>
  </si>
  <si>
    <t>Market</t>
  </si>
  <si>
    <t>#</t>
  </si>
  <si>
    <t>Returns</t>
  </si>
  <si>
    <t>COE</t>
  </si>
  <si>
    <t>[4], [5], [6] Annual S&amp;P 500 return, 10-year T-bond Rate, and equity risk premium published by NYU Stern School of Business</t>
  </si>
  <si>
    <t xml:space="preserve">[7] = [5] + [6] ; Market cost of equity represents the required return for investing in all stocks in the market for a given year </t>
  </si>
  <si>
    <t>Terminal Growth Determinants</t>
  </si>
  <si>
    <t>Market Value</t>
  </si>
  <si>
    <t>[3] = [1] + [2]</t>
  </si>
  <si>
    <t>Steel</t>
  </si>
  <si>
    <t>Software</t>
  </si>
  <si>
    <t>Utilities</t>
  </si>
  <si>
    <t>*2018, year to date through Sept. 30, 2018</t>
  </si>
  <si>
    <t>[1-4] S&amp;P Quarterly Press Releases, data found at https://us.spindices.com/indices/equity/sp-500, Q4 2018</t>
  </si>
  <si>
    <r>
      <t>[10] = Compound annual growth rate of [2] = (end value / beginning value)^</t>
    </r>
    <r>
      <rPr>
        <vertAlign val="superscript"/>
        <sz val="9"/>
        <color theme="1"/>
        <rFont val="Calibri"/>
        <family val="2"/>
        <scheme val="minor"/>
      </rPr>
      <t>1/4</t>
    </r>
    <r>
      <rPr>
        <sz val="9"/>
        <color theme="1"/>
        <rFont val="Calibri"/>
        <family val="2"/>
        <scheme val="minor"/>
      </rPr>
      <t>-1</t>
    </r>
  </si>
  <si>
    <t>[11] Risk-free rate from DJG-1-7</t>
  </si>
  <si>
    <t>[12] 30-day average of closing index prices from DJG-1-3 (^GSPC column)</t>
  </si>
  <si>
    <t>[1] From DJG-1-7, risk-free rate exhibit</t>
  </si>
  <si>
    <t>[2] From DJG-1-8, beta exhibit</t>
  </si>
  <si>
    <t>[3] From DJG-1-10, equity risk premium exhibit</t>
  </si>
  <si>
    <t>[1] Average reported ERP + riskfree rate from DJG-1-7</t>
  </si>
  <si>
    <t>[2] Average reported ERP + risk-free rate from DJG-1-7</t>
  </si>
  <si>
    <t>[3] Recent highest reported ERP + risk-free rate from DJG-1-7</t>
  </si>
  <si>
    <t>[4] From DJG-1-9, Implied ERP exhibit</t>
  </si>
  <si>
    <t>Figure</t>
  </si>
  <si>
    <t># Firms</t>
  </si>
  <si>
    <t>Debt Ratio</t>
  </si>
  <si>
    <t>Tobacco</t>
  </si>
  <si>
    <t>Financial Svcs. (Non-bank &amp; Insurance)</t>
  </si>
  <si>
    <t>Financial Svcs.</t>
  </si>
  <si>
    <t>Retail (Building Supply)</t>
  </si>
  <si>
    <t>Hospitals/Healthcare Facilities</t>
  </si>
  <si>
    <t>Advertising</t>
  </si>
  <si>
    <t>Retail (Automotive)</t>
  </si>
  <si>
    <t>Brokerage &amp; Investment Banking</t>
  </si>
  <si>
    <t>Auto &amp; Truck</t>
  </si>
  <si>
    <t>Food Wholesalers</t>
  </si>
  <si>
    <t>Bank (Money Center)</t>
  </si>
  <si>
    <t>Transportation</t>
  </si>
  <si>
    <t>Hotel/Gaming</t>
  </si>
  <si>
    <t>Packaging &amp; Container</t>
  </si>
  <si>
    <t>Retail (Grocery and Food)</t>
  </si>
  <si>
    <t>R.E.I.T.</t>
  </si>
  <si>
    <t>Retail (Special Lines)</t>
  </si>
  <si>
    <t>Green &amp; Renewable Energy</t>
  </si>
  <si>
    <t>Recreation</t>
  </si>
  <si>
    <t>Software (Internet)</t>
  </si>
  <si>
    <t>Air Transport</t>
  </si>
  <si>
    <t>Retail (Distributors)</t>
  </si>
  <si>
    <t>Computers/Peripherals</t>
  </si>
  <si>
    <t>Telecom (Wireless)</t>
  </si>
  <si>
    <t>Farming/Agriculture</t>
  </si>
  <si>
    <t>Cable TV</t>
  </si>
  <si>
    <t>Computer Services</t>
  </si>
  <si>
    <t>Beverage (Soft)</t>
  </si>
  <si>
    <t>Telecom. Services</t>
  </si>
  <si>
    <t>Trucking</t>
  </si>
  <si>
    <t>Power</t>
  </si>
  <si>
    <t>Office Equipment &amp; Services</t>
  </si>
  <si>
    <t>Chemical (Diversified)</t>
  </si>
  <si>
    <t>Retail (Online)</t>
  </si>
  <si>
    <t>Aerospace/Defense</t>
  </si>
  <si>
    <t>Oil/Gas Distribution</t>
  </si>
  <si>
    <t>Business &amp; Consumer Services</t>
  </si>
  <si>
    <t>Construction Supplies</t>
  </si>
  <si>
    <t>Real Estate (Operations &amp; Services)</t>
  </si>
  <si>
    <t>Household Products</t>
  </si>
  <si>
    <t>Environmental &amp; Waste Services</t>
  </si>
  <si>
    <t>Rubber&amp; Tires</t>
  </si>
  <si>
    <t>Transportation (Railroads)</t>
  </si>
  <si>
    <t>Retail (General)</t>
  </si>
  <si>
    <t>Total / Average</t>
  </si>
  <si>
    <t>Chemical (Basic)</t>
  </si>
  <si>
    <t>Building Materials</t>
  </si>
  <si>
    <t>Apparel</t>
  </si>
  <si>
    <t>Real Estate (Development)</t>
  </si>
  <si>
    <t>Healthcare Support Services</t>
  </si>
  <si>
    <t>Drugs (Biotechnology)</t>
  </si>
  <si>
    <t>Electrical Equipment</t>
  </si>
  <si>
    <t>Food Processing</t>
  </si>
  <si>
    <t>Machinery</t>
  </si>
  <si>
    <t>Furn/Home Furnishings</t>
  </si>
  <si>
    <t>Beverage (Alcoholic)</t>
  </si>
  <si>
    <t>Drugs (Pharmaceutical)</t>
  </si>
  <si>
    <t>Garrett Objective Analysis</t>
  </si>
  <si>
    <t>Proxy Group of Utilities</t>
  </si>
  <si>
    <t>Garrett Proposal</t>
  </si>
  <si>
    <t>Company's Proposal</t>
  </si>
  <si>
    <t>http://pages.stern.nyu.edu/~adamodar/New_Home_Page/datafile/dbtfund.htm</t>
  </si>
  <si>
    <t>[2] Average stock price from Exhibit DJG-3</t>
  </si>
  <si>
    <t>[1] 2020 Q3 reported quarterly dividends per share.  Nasdaq.com</t>
  </si>
  <si>
    <t>[3] = [1] / [2] (quarterly dividend yield)</t>
  </si>
  <si>
    <t>[1] Average proxy dividend from Exhibit DJG-4</t>
  </si>
  <si>
    <t>[2] Average proxy stock price from Exhibit DJG-3</t>
  </si>
  <si>
    <t>[3] Highest growth determinant from Exhibit DJG-5</t>
  </si>
  <si>
    <t>*Daily Treasury Yield Curve Rates on 30-year T-bonds, http://www.treasury.gov/resources-center/data-chart-center/interest-rates/</t>
  </si>
  <si>
    <t>Betas from Value Line Investment Survey</t>
  </si>
  <si>
    <t>Damodaran (COVID Adjusted)</t>
  </si>
  <si>
    <t>[1] IESE Business School Survey 2020</t>
  </si>
  <si>
    <t>[2] Graham and Harvey Survey 2018</t>
  </si>
  <si>
    <t xml:space="preserve">[3] Duff &amp; Phelps, 3-5-2020 </t>
  </si>
  <si>
    <t>[6] From Exhibit DJG-9</t>
  </si>
  <si>
    <t>Damodaran (highest)</t>
  </si>
  <si>
    <t>Company Cost of Equity</t>
  </si>
  <si>
    <t>Company Proposed ROE</t>
  </si>
  <si>
    <t>Gradual ROE Proposal</t>
  </si>
  <si>
    <t>[1], [2], [3] Average annual authorized ROE for electric and gas utilities, RRA Regulatory Focus:  Major Rate Case Decisions</t>
  </si>
  <si>
    <t>American States Water Co</t>
  </si>
  <si>
    <t>American Water Works Co Inc</t>
  </si>
  <si>
    <t>California Water Service Gp</t>
  </si>
  <si>
    <t>Middlesex Water Co</t>
  </si>
  <si>
    <t>York Water Co</t>
  </si>
  <si>
    <t>AWR</t>
  </si>
  <si>
    <t>AWK</t>
  </si>
  <si>
    <t>CWT</t>
  </si>
  <si>
    <t>MSEX</t>
  </si>
  <si>
    <t>SJW</t>
  </si>
  <si>
    <t>YORW</t>
  </si>
  <si>
    <t>Value Line Investment Survey and Yahoo! Finance</t>
  </si>
  <si>
    <t>[4], [5] http://pages.stern.nyu.edu/~adamodar/ , 10-1-20</t>
  </si>
  <si>
    <t>Real GDP</t>
  </si>
  <si>
    <t>[1], [2], [3] CBO, The 2019 Long-Term Budget Outlook, p. 54, June 2019</t>
  </si>
  <si>
    <t>[4] From Exhibit DJG-7</t>
  </si>
  <si>
    <t>Essential Utilities, Inc.</t>
  </si>
  <si>
    <t>WTRG</t>
  </si>
  <si>
    <t>SJW Group</t>
  </si>
  <si>
    <t>Debt ratios from Value Line Investment Survey and Yahoo! Finance - 2020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</si>
</sst>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_);[Red]\(#,##0.000\)"/>
    <numFmt numFmtId="167" formatCode="0.00_);[Red]\(0.00\)"/>
    <numFmt numFmtId="168" formatCode="0.000_);[Red]\(0.000\)"/>
    <numFmt numFmtId="169" formatCode="#,##0.0000_);[Red]\(#,##0.0000\)"/>
    <numFmt numFmtId="170" formatCode="mm/dd/yy;@"/>
    <numFmt numFmtId="171" formatCode="0.0"/>
    <numFmt numFmtId="172" formatCode="0.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Verdana"/>
      <family val="2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name val="Genev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/>
    <xf numFmtId="10" fontId="0" fillId="0" borderId="0" xfId="0" applyNumberForma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164" fontId="0" fillId="0" borderId="0" xfId="1" applyNumberFormat="1" applyFon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wrapText="1"/>
    </xf>
    <xf numFmtId="10" fontId="3" fillId="0" borderId="0" xfId="1" applyNumberFormat="1" applyFont="1" applyAlignment="1">
      <alignment horizontal="center"/>
    </xf>
    <xf numFmtId="10" fontId="0" fillId="0" borderId="0" xfId="1" applyNumberFormat="1" applyFont="1"/>
    <xf numFmtId="10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0" fontId="3" fillId="0" borderId="0" xfId="0" applyNumberFormat="1" applyFont="1"/>
    <xf numFmtId="0" fontId="3" fillId="0" borderId="0" xfId="0" applyFont="1" applyAlignment="1">
      <alignment horizontal="left"/>
    </xf>
    <xf numFmtId="37" fontId="0" fillId="0" borderId="0" xfId="2" applyNumberFormat="1" applyFont="1" applyAlignment="1">
      <alignment horizontal="right" indent="1"/>
    </xf>
    <xf numFmtId="37" fontId="0" fillId="0" borderId="0" xfId="2" applyNumberFormat="1" applyFont="1" applyAlignment="1">
      <alignment horizontal="center"/>
    </xf>
    <xf numFmtId="37" fontId="0" fillId="0" borderId="0" xfId="2" applyNumberFormat="1" applyFont="1" applyAlignment="1">
      <alignment horizontal="right" indent="2"/>
    </xf>
    <xf numFmtId="0" fontId="0" fillId="0" borderId="1" xfId="0" applyBorder="1" applyAlignment="1">
      <alignment horizontal="left"/>
    </xf>
    <xf numFmtId="10" fontId="3" fillId="0" borderId="1" xfId="0" applyNumberFormat="1" applyFont="1" applyBorder="1"/>
    <xf numFmtId="10" fontId="0" fillId="0" borderId="0" xfId="1" applyNumberFormat="1" applyFont="1" applyAlignment="1">
      <alignment horizontal="right" indent="2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3" xfId="0" applyBorder="1" applyAlignment="1">
      <alignment horizontal="center"/>
    </xf>
    <xf numFmtId="17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6" fillId="0" borderId="0" xfId="0" applyFont="1"/>
    <xf numFmtId="166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8" fontId="0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6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40" fontId="0" fillId="0" borderId="0" xfId="0" applyNumberFormat="1" applyAlignment="1">
      <alignment horizontal="center"/>
    </xf>
    <xf numFmtId="40" fontId="0" fillId="0" borderId="0" xfId="2" applyNumberFormat="1" applyFont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8" fontId="3" fillId="0" borderId="0" xfId="0" applyNumberFormat="1" applyFont="1" applyAlignment="1">
      <alignment horizontal="right" indent="3"/>
    </xf>
    <xf numFmtId="10" fontId="0" fillId="0" borderId="2" xfId="1" applyNumberFormat="1" applyFont="1" applyBorder="1" applyAlignment="1">
      <alignment horizontal="right" indent="2"/>
    </xf>
    <xf numFmtId="40" fontId="0" fillId="0" borderId="1" xfId="1" applyNumberFormat="1" applyFont="1" applyBorder="1" applyAlignment="1">
      <alignment horizontal="right" indent="2"/>
    </xf>
    <xf numFmtId="8" fontId="3" fillId="0" borderId="0" xfId="0" applyNumberFormat="1" applyFont="1" applyAlignment="1">
      <alignment horizontal="right" indent="2"/>
    </xf>
    <xf numFmtId="0" fontId="3" fillId="0" borderId="1" xfId="0" applyFont="1" applyBorder="1" applyAlignment="1">
      <alignment horizontal="center" wrapText="1"/>
    </xf>
    <xf numFmtId="8" fontId="0" fillId="0" borderId="0" xfId="0" applyNumberFormat="1" applyAlignment="1">
      <alignment horizontal="center"/>
    </xf>
    <xf numFmtId="167" fontId="1" fillId="0" borderId="0" xfId="1" applyNumberFormat="1" applyAlignment="1">
      <alignment horizontal="center"/>
    </xf>
    <xf numFmtId="40" fontId="0" fillId="0" borderId="1" xfId="2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" fontId="0" fillId="0" borderId="0" xfId="0" applyNumberFormat="1" applyAlignment="1">
      <alignment horizontal="right" indent="1"/>
    </xf>
    <xf numFmtId="1" fontId="0" fillId="0" borderId="0" xfId="0" applyNumberFormat="1"/>
    <xf numFmtId="1" fontId="0" fillId="0" borderId="1" xfId="0" applyNumberFormat="1" applyBorder="1" applyAlignment="1">
      <alignment horizontal="right" indent="1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 indent="2"/>
    </xf>
    <xf numFmtId="166" fontId="0" fillId="0" borderId="1" xfId="0" applyNumberFormat="1" applyBorder="1" applyAlignment="1">
      <alignment horizontal="right" indent="2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1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0" fontId="12" fillId="0" borderId="0" xfId="1" applyNumberFormat="1" applyFont="1"/>
    <xf numFmtId="164" fontId="12" fillId="0" borderId="0" xfId="1" applyNumberFormat="1" applyFont="1" applyAlignment="1">
      <alignment horizontal="center"/>
    </xf>
    <xf numFmtId="10" fontId="12" fillId="0" borderId="0" xfId="1" applyNumberFormat="1" applyFont="1" applyAlignment="1">
      <alignment horizontal="center"/>
    </xf>
    <xf numFmtId="164" fontId="12" fillId="0" borderId="0" xfId="0" applyNumberFormat="1" applyFont="1"/>
    <xf numFmtId="164" fontId="12" fillId="0" borderId="1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1" xfId="0" applyFont="1" applyBorder="1"/>
    <xf numFmtId="10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38" fontId="16" fillId="0" borderId="0" xfId="0" applyNumberFormat="1" applyFont="1" applyAlignment="1">
      <alignment horizontal="right" indent="1"/>
    </xf>
    <xf numFmtId="38" fontId="16" fillId="0" borderId="0" xfId="0" applyNumberFormat="1" applyFont="1" applyAlignment="1">
      <alignment horizontal="right" indent="3"/>
    </xf>
    <xf numFmtId="38" fontId="16" fillId="0" borderId="0" xfId="0" applyNumberFormat="1" applyFont="1" applyAlignment="1">
      <alignment horizontal="left" indent="1"/>
    </xf>
    <xf numFmtId="38" fontId="16" fillId="0" borderId="0" xfId="0" applyNumberFormat="1" applyFont="1" applyAlignment="1">
      <alignment horizontal="left" indent="2"/>
    </xf>
    <xf numFmtId="0" fontId="16" fillId="0" borderId="0" xfId="0" applyFont="1" applyAlignment="1">
      <alignment horizontal="left" indent="3"/>
    </xf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38" fontId="16" fillId="0" borderId="1" xfId="0" applyNumberFormat="1" applyFont="1" applyBorder="1" applyAlignment="1">
      <alignment horizontal="right" indent="2"/>
    </xf>
    <xf numFmtId="38" fontId="16" fillId="0" borderId="1" xfId="0" applyNumberFormat="1" applyFont="1" applyBorder="1" applyAlignment="1">
      <alignment horizontal="right" indent="3"/>
    </xf>
    <xf numFmtId="38" fontId="16" fillId="0" borderId="1" xfId="0" applyNumberFormat="1" applyFont="1" applyBorder="1" applyAlignment="1">
      <alignment horizontal="left" indent="1"/>
    </xf>
    <xf numFmtId="38" fontId="16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left" indent="3"/>
    </xf>
    <xf numFmtId="0" fontId="17" fillId="0" borderId="0" xfId="0" applyFont="1" applyAlignment="1">
      <alignment horizontal="center"/>
    </xf>
    <xf numFmtId="38" fontId="16" fillId="0" borderId="0" xfId="0" applyNumberFormat="1" applyFont="1" applyAlignment="1">
      <alignment horizontal="right" indent="2"/>
    </xf>
    <xf numFmtId="0" fontId="18" fillId="0" borderId="0" xfId="0" applyFont="1"/>
    <xf numFmtId="0" fontId="19" fillId="0" borderId="0" xfId="0" applyFont="1" applyAlignment="1">
      <alignment wrapText="1"/>
    </xf>
    <xf numFmtId="2" fontId="19" fillId="0" borderId="0" xfId="0" applyNumberFormat="1" applyFont="1" applyAlignment="1">
      <alignment horizontal="center" wrapText="1"/>
    </xf>
    <xf numFmtId="0" fontId="20" fillId="0" borderId="0" xfId="0" applyFont="1"/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172" fontId="0" fillId="0" borderId="0" xfId="0" applyNumberFormat="1"/>
    <xf numFmtId="2" fontId="0" fillId="3" borderId="0" xfId="0" applyNumberFormat="1" applyFill="1"/>
    <xf numFmtId="172" fontId="0" fillId="3" borderId="0" xfId="0" applyNumberFormat="1" applyFill="1"/>
    <xf numFmtId="0" fontId="5" fillId="0" borderId="1" xfId="4" applyBorder="1"/>
    <xf numFmtId="0" fontId="5" fillId="0" borderId="0" xfId="4"/>
    <xf numFmtId="0" fontId="5" fillId="0" borderId="1" xfId="4" applyBorder="1" applyAlignment="1">
      <alignment horizontal="center"/>
    </xf>
    <xf numFmtId="0" fontId="5" fillId="0" borderId="0" xfId="4" applyAlignment="1">
      <alignment horizontal="center"/>
    </xf>
    <xf numFmtId="1" fontId="5" fillId="0" borderId="0" xfId="4" applyNumberFormat="1"/>
    <xf numFmtId="0" fontId="21" fillId="4" borderId="0" xfId="0" applyFont="1" applyFill="1" applyAlignment="1">
      <alignment horizontal="righ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3"/>
    </xf>
    <xf numFmtId="0" fontId="0" fillId="0" borderId="1" xfId="0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0" fontId="0" fillId="0" borderId="0" xfId="1" applyNumberFormat="1" applyFont="1" applyAlignment="1">
      <alignment horizontal="center"/>
    </xf>
    <xf numFmtId="0" fontId="0" fillId="0" borderId="0" xfId="0"/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164" fontId="14" fillId="0" borderId="0" xfId="1" applyNumberFormat="1" applyFont="1" applyAlignment="1">
      <alignment vertical="top"/>
    </xf>
    <xf numFmtId="0" fontId="6" fillId="0" borderId="0" xfId="0" applyFont="1"/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1" applyFont="1" applyAlignment="1">
      <alignment horizontal="center"/>
    </xf>
    <xf numFmtId="0" fontId="1" fillId="0" borderId="1" xfId="0" applyFont="1" applyBorder="1"/>
    <xf numFmtId="9" fontId="1" fillId="0" borderId="1" xfId="1" applyBorder="1"/>
    <xf numFmtId="0" fontId="1" fillId="0" borderId="0" xfId="0" applyFont="1"/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9" fontId="1" fillId="0" borderId="0" xfId="1" applyAlignment="1">
      <alignment horizontal="center"/>
    </xf>
    <xf numFmtId="0" fontId="0" fillId="0" borderId="0" xfId="0" applyAlignment="1">
      <alignment horizontal="right" indent="2"/>
    </xf>
    <xf numFmtId="0" fontId="3" fillId="5" borderId="0" xfId="0" applyFont="1" applyFill="1"/>
    <xf numFmtId="9" fontId="3" fillId="5" borderId="0" xfId="1" applyFont="1" applyFill="1" applyAlignment="1">
      <alignment horizontal="center"/>
    </xf>
    <xf numFmtId="9" fontId="3" fillId="0" borderId="0" xfId="1" applyFont="1" applyFill="1" applyAlignment="1">
      <alignment horizontal="center"/>
    </xf>
    <xf numFmtId="9" fontId="1" fillId="0" borderId="0" xfId="1" applyFont="1" applyFill="1" applyAlignment="1">
      <alignment horizontal="center"/>
    </xf>
    <xf numFmtId="9" fontId="1" fillId="0" borderId="0" xfId="1" applyFont="1" applyAlignment="1">
      <alignment horizontal="center"/>
    </xf>
    <xf numFmtId="0" fontId="1" fillId="0" borderId="1" xfId="0" applyFont="1" applyBorder="1" applyAlignment="1">
      <alignment horizontal="right" indent="2"/>
    </xf>
    <xf numFmtId="9" fontId="1" fillId="0" borderId="1" xfId="1" applyBorder="1" applyAlignment="1">
      <alignment horizontal="center"/>
    </xf>
    <xf numFmtId="37" fontId="3" fillId="0" borderId="0" xfId="2" applyNumberFormat="1" applyFont="1" applyAlignment="1">
      <alignment horizontal="right" indent="1"/>
    </xf>
    <xf numFmtId="9" fontId="3" fillId="0" borderId="0" xfId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0" fillId="0" borderId="0" xfId="0" applyAlignment="1">
      <alignment horizontal="left" vertical="center"/>
    </xf>
    <xf numFmtId="9" fontId="1" fillId="0" borderId="0" xfId="1" applyFont="1" applyFill="1" applyAlignment="1">
      <alignment horizontal="center" vertical="center"/>
    </xf>
    <xf numFmtId="9" fontId="3" fillId="6" borderId="0" xfId="1" applyFont="1" applyFill="1" applyAlignment="1">
      <alignment horizontal="center" vertical="center"/>
    </xf>
    <xf numFmtId="9" fontId="1" fillId="0" borderId="0" xfId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37" fontId="0" fillId="0" borderId="0" xfId="2" applyNumberFormat="1" applyFont="1" applyFill="1" applyAlignment="1">
      <alignment horizontal="right" indent="1"/>
    </xf>
    <xf numFmtId="37" fontId="0" fillId="0" borderId="0" xfId="2" applyNumberFormat="1" applyFont="1" applyFill="1" applyAlignment="1">
      <alignment horizontal="right" indent="2"/>
    </xf>
    <xf numFmtId="10" fontId="0" fillId="0" borderId="0" xfId="1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indent="1"/>
    </xf>
    <xf numFmtId="0" fontId="12" fillId="0" borderId="0" xfId="0" applyFont="1" applyFill="1"/>
    <xf numFmtId="10" fontId="12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9" fontId="3" fillId="0" borderId="0" xfId="1" applyFont="1" applyFill="1" applyAlignment="1">
      <alignment horizontal="center" vertical="center"/>
    </xf>
    <xf numFmtId="0" fontId="1" fillId="0" borderId="0" xfId="0" applyFont="1" applyFill="1"/>
    <xf numFmtId="9" fontId="3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6" fillId="0" borderId="1" xfId="0" applyFont="1" applyFill="1" applyBorder="1" applyAlignment="1">
      <alignment horizontal="center"/>
    </xf>
    <xf numFmtId="9" fontId="0" fillId="0" borderId="0" xfId="1" applyFont="1"/>
    <xf numFmtId="0" fontId="0" fillId="0" borderId="0" xfId="0" applyFill="1" applyAlignment="1">
      <alignment horizontal="center" wrapText="1"/>
    </xf>
    <xf numFmtId="170" fontId="0" fillId="0" borderId="0" xfId="0" applyNumberFormat="1" applyFill="1" applyAlignment="1">
      <alignment horizontal="center"/>
    </xf>
    <xf numFmtId="0" fontId="0" fillId="0" borderId="1" xfId="0" applyFill="1" applyBorder="1"/>
    <xf numFmtId="0" fontId="12" fillId="0" borderId="1" xfId="0" applyFont="1" applyFill="1" applyBorder="1"/>
    <xf numFmtId="9" fontId="0" fillId="0" borderId="1" xfId="1" applyFont="1" applyFill="1" applyBorder="1" applyAlignment="1">
      <alignment horizontal="center"/>
    </xf>
    <xf numFmtId="9" fontId="0" fillId="0" borderId="0" xfId="1" applyNumberFormat="1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left" indent="1"/>
    </xf>
    <xf numFmtId="10" fontId="12" fillId="0" borderId="0" xfId="1" applyNumberFormat="1" applyFont="1" applyFill="1"/>
    <xf numFmtId="164" fontId="13" fillId="5" borderId="0" xfId="0" applyNumberFormat="1" applyFont="1" applyFill="1" applyAlignment="1">
      <alignment horizontal="center"/>
    </xf>
    <xf numFmtId="0" fontId="1" fillId="2" borderId="0" xfId="0" applyFont="1" applyFill="1"/>
    <xf numFmtId="9" fontId="4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3" fillId="0" borderId="0" xfId="1" applyNumberFormat="1" applyFont="1" applyAlignment="1">
      <alignment horizontal="center"/>
    </xf>
    <xf numFmtId="8" fontId="0" fillId="0" borderId="0" xfId="0" applyNumberFormat="1"/>
    <xf numFmtId="9" fontId="0" fillId="0" borderId="0" xfId="0" applyNumberFormat="1" applyAlignment="1">
      <alignment horizontal="center"/>
    </xf>
    <xf numFmtId="0" fontId="6" fillId="0" borderId="0" xfId="0" applyFont="1"/>
    <xf numFmtId="14" fontId="6" fillId="0" borderId="0" xfId="0" applyNumberFormat="1" applyFont="1"/>
    <xf numFmtId="0" fontId="0" fillId="0" borderId="0" xfId="0"/>
    <xf numFmtId="0" fontId="6" fillId="0" borderId="0" xfId="0" applyFont="1" applyFill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9" fontId="3" fillId="6" borderId="0" xfId="1" applyNumberFormat="1" applyFont="1" applyFill="1" applyAlignment="1">
      <alignment horizontal="center" vertical="center"/>
    </xf>
  </cellXfs>
  <cellStyles count="13">
    <cellStyle name="_x000a_bidires=100_x000d_" xfId="3" xr:uid="{00000000-0005-0000-0000-000000000000}"/>
    <cellStyle name="Comma" xfId="2" builtinId="3"/>
    <cellStyle name="Comma 2" xfId="6" xr:uid="{00000000-0005-0000-0000-000002000000}"/>
    <cellStyle name="Currency 15" xfId="9" xr:uid="{00000000-0005-0000-0000-000003000000}"/>
    <cellStyle name="Normal" xfId="0" builtinId="0"/>
    <cellStyle name="Normal 2" xfId="4" xr:uid="{00000000-0005-0000-0000-000005000000}"/>
    <cellStyle name="Normal 3" xfId="11" xr:uid="{00000000-0005-0000-0000-000038000000}"/>
    <cellStyle name="Normal 4 2" xfId="8" xr:uid="{00000000-0005-0000-0000-000006000000}"/>
    <cellStyle name="Percent" xfId="1" builtinId="5"/>
    <cellStyle name="Percent 10" xfId="10" xr:uid="{00000000-0005-0000-0000-00000C000000}"/>
    <cellStyle name="Percent 2" xfId="5" xr:uid="{00000000-0005-0000-0000-00000D000000}"/>
    <cellStyle name="Percent 3" xfId="7" xr:uid="{00000000-0005-0000-0000-00000E000000}"/>
    <cellStyle name="Percent 4" xfId="12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'10 ERP Result'!$A$4</c:f>
              <c:strCache>
                <c:ptCount val="1"/>
                <c:pt idx="0">
                  <c:v>IESE Business School Survey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3.3078677233260097E-3"/>
                  <c:y val="-7.3922114884588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IESE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Result'!$C$4</c:f>
              <c:numCache>
                <c:formatCode>0.0%</c:formatCode>
                <c:ptCount val="1"/>
                <c:pt idx="0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8-417D-8839-F59111CA5FA3}"/>
            </c:ext>
          </c:extLst>
        </c:ser>
        <c:ser>
          <c:idx val="1"/>
          <c:order val="1"/>
          <c:tx>
            <c:strRef>
              <c:f>'10 ERP Result'!$A$6</c:f>
              <c:strCache>
                <c:ptCount val="1"/>
                <c:pt idx="0">
                  <c:v>Graham &amp; Harvey Survey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1.6533477067208915E-3"/>
                  <c:y val="-9.37858523403898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Graham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Result'!$C$6</c:f>
              <c:numCache>
                <c:formatCode>0.0%</c:formatCode>
                <c:ptCount val="1"/>
                <c:pt idx="0">
                  <c:v>4.4200000000000003E-2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8-417D-8839-F59111CA5FA3}"/>
            </c:ext>
          </c:extLst>
        </c:ser>
        <c:ser>
          <c:idx val="5"/>
          <c:order val="2"/>
          <c:tx>
            <c:v>Damodaran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3085190065950247E-3"/>
                  <c:y val="-2.84496652491524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Result'!$C$10</c:f>
              <c:numCache>
                <c:formatCode>0.0%</c:formatCode>
                <c:ptCount val="1"/>
                <c:pt idx="0">
                  <c:v>5.7599999999999998E-2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8-417D-8839-F59111CA5FA3}"/>
            </c:ext>
          </c:extLst>
        </c:ser>
        <c:ser>
          <c:idx val="0"/>
          <c:order val="3"/>
          <c:tx>
            <c:strRef>
              <c:f>'10 ERP Result'!$H$4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'10 ERP Result'!$C$8</c:f>
              <c:numCache>
                <c:formatCode>0.0%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18-417D-8839-F59111CA5FA3}"/>
            </c:ext>
          </c:extLst>
        </c:ser>
        <c:ser>
          <c:idx val="2"/>
          <c:order val="4"/>
          <c:tx>
            <c:strRef>
              <c:f>'10 ERP Result'!$A$14</c:f>
              <c:strCache>
                <c:ptCount val="1"/>
                <c:pt idx="0">
                  <c:v>Garrett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080259909566853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Result'!$C$14</c:f>
              <c:numCache>
                <c:formatCode>0.0%</c:formatCode>
                <c:ptCount val="1"/>
                <c:pt idx="0">
                  <c:v>5.9619550741500479E-2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18-417D-8839-F59111CA5FA3}"/>
            </c:ext>
          </c:extLst>
        </c:ser>
        <c:ser>
          <c:idx val="3"/>
          <c:order val="5"/>
          <c:tx>
            <c:strRef>
              <c:f>'10 ERP Result'!$H$3</c:f>
              <c:strCache>
                <c:ptCount val="1"/>
                <c:pt idx="0">
                  <c:v>Company ERP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114300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018-417D-8839-F59111CA5FA3}"/>
              </c:ext>
            </c:extLst>
          </c:dPt>
          <c:dLbls>
            <c:dLbl>
              <c:idx val="0"/>
              <c:layout>
                <c:manualLayout>
                  <c:x val="6.4737548507571554E-4"/>
                  <c:y val="-2.2475518275098961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D'Ascendis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649480432327"/>
                      <c:h val="9.618117234515730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Result'!$I$3</c:f>
              <c:numCache>
                <c:formatCode>0.00%</c:formatCode>
                <c:ptCount val="1"/>
                <c:pt idx="0">
                  <c:v>0.11940000000000001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18-417D-8839-F59111CA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30"/>
        <c:axId val="387372176"/>
        <c:axId val="387371056"/>
      </c:barChart>
      <c:catAx>
        <c:axId val="387372176"/>
        <c:scaling>
          <c:orientation val="minMax"/>
        </c:scaling>
        <c:delete val="1"/>
        <c:axPos val="b"/>
        <c:majorTickMark val="out"/>
        <c:minorTickMark val="none"/>
        <c:tickLblPos val="none"/>
        <c:crossAx val="387371056"/>
        <c:crosses val="autoZero"/>
        <c:auto val="1"/>
        <c:lblAlgn val="ctr"/>
        <c:lblOffset val="100"/>
        <c:noMultiLvlLbl val="0"/>
      </c:catAx>
      <c:valAx>
        <c:axId val="387371056"/>
        <c:scaling>
          <c:orientation val="minMax"/>
          <c:max val="0.13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out"/>
        <c:minorTickMark val="none"/>
        <c:tickLblPos val="nextTo"/>
        <c:crossAx val="38737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'14 Historic Trends'!$C$8:$C$37</c:f>
              <c:numCache>
                <c:formatCode>0.00%</c:formatCode>
                <c:ptCount val="30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9.64E-2</c:v>
                </c:pt>
                <c:pt idx="29">
                  <c:v>9.64E-2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364-47F2-B86D-2242D7236370}"/>
            </c:ext>
          </c:extLst>
        </c:ser>
        <c:ser>
          <c:idx val="3"/>
          <c:order val="3"/>
          <c:tx>
            <c:v>Risk-free Rate</c:v>
          </c:tx>
          <c:spPr>
            <a:ln w="25400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'14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'14 Historic Trends'!$Q$8:$Q$37</c:f>
              <c:numCache>
                <c:formatCode>0.00%</c:formatCode>
                <c:ptCount val="30"/>
                <c:pt idx="0">
                  <c:v>8.0699999999999994E-2</c:v>
                </c:pt>
                <c:pt idx="1">
                  <c:v>6.7000000000000004E-2</c:v>
                </c:pt>
                <c:pt idx="2">
                  <c:v>6.6799999999999998E-2</c:v>
                </c:pt>
                <c:pt idx="3">
                  <c:v>5.79E-2</c:v>
                </c:pt>
                <c:pt idx="4">
                  <c:v>7.8200000000000006E-2</c:v>
                </c:pt>
                <c:pt idx="5">
                  <c:v>5.57E-2</c:v>
                </c:pt>
                <c:pt idx="6">
                  <c:v>6.4100000000000004E-2</c:v>
                </c:pt>
                <c:pt idx="7">
                  <c:v>5.74E-2</c:v>
                </c:pt>
                <c:pt idx="8">
                  <c:v>4.65E-2</c:v>
                </c:pt>
                <c:pt idx="9">
                  <c:v>6.4399999999999999E-2</c:v>
                </c:pt>
                <c:pt idx="10">
                  <c:v>5.11E-2</c:v>
                </c:pt>
                <c:pt idx="11">
                  <c:v>5.0500000000000003E-2</c:v>
                </c:pt>
                <c:pt idx="12">
                  <c:v>3.8100000000000002E-2</c:v>
                </c:pt>
                <c:pt idx="13">
                  <c:v>4.2500000000000003E-2</c:v>
                </c:pt>
                <c:pt idx="14">
                  <c:v>4.2200000000000001E-2</c:v>
                </c:pt>
                <c:pt idx="15">
                  <c:v>4.3900000000000002E-2</c:v>
                </c:pt>
                <c:pt idx="16">
                  <c:v>4.7E-2</c:v>
                </c:pt>
                <c:pt idx="17">
                  <c:v>4.02E-2</c:v>
                </c:pt>
                <c:pt idx="18">
                  <c:v>2.2100000000000002E-2</c:v>
                </c:pt>
                <c:pt idx="19">
                  <c:v>3.8399999999999997E-2</c:v>
                </c:pt>
                <c:pt idx="20">
                  <c:v>3.2899999999999999E-2</c:v>
                </c:pt>
                <c:pt idx="21">
                  <c:v>1.8800000000000001E-2</c:v>
                </c:pt>
                <c:pt idx="22">
                  <c:v>1.7600000000000001E-2</c:v>
                </c:pt>
                <c:pt idx="23">
                  <c:v>3.04E-2</c:v>
                </c:pt>
                <c:pt idx="24">
                  <c:v>2.1700000000000001E-2</c:v>
                </c:pt>
                <c:pt idx="25">
                  <c:v>2.2700000000000001E-2</c:v>
                </c:pt>
                <c:pt idx="26">
                  <c:v>2.4500000000000001E-2</c:v>
                </c:pt>
                <c:pt idx="27">
                  <c:v>2.41E-2</c:v>
                </c:pt>
                <c:pt idx="28">
                  <c:v>2.6800000000000001E-2</c:v>
                </c:pt>
                <c:pt idx="29">
                  <c:v>1.9199999999999998E-2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64-47F2-B86D-2242D7236370}"/>
            </c:ext>
          </c:extLst>
        </c:ser>
        <c:ser>
          <c:idx val="4"/>
          <c:order val="4"/>
          <c:tx>
            <c:v>Equity Risk Premium</c:v>
          </c:tx>
          <c:spPr>
            <a:ln w="254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'14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'14 Historic Trends'!$S$8:$S$37</c:f>
              <c:numCache>
                <c:formatCode>0.00%</c:formatCode>
                <c:ptCount val="30"/>
                <c:pt idx="0">
                  <c:v>3.8899999999999997E-2</c:v>
                </c:pt>
                <c:pt idx="1">
                  <c:v>3.4799999999999998E-2</c:v>
                </c:pt>
                <c:pt idx="2">
                  <c:v>3.5499999999999997E-2</c:v>
                </c:pt>
                <c:pt idx="3">
                  <c:v>3.1699999999999999E-2</c:v>
                </c:pt>
                <c:pt idx="4">
                  <c:v>3.5499999999999997E-2</c:v>
                </c:pt>
                <c:pt idx="5">
                  <c:v>3.2899999999999999E-2</c:v>
                </c:pt>
                <c:pt idx="6">
                  <c:v>3.2000000000000001E-2</c:v>
                </c:pt>
                <c:pt idx="7">
                  <c:v>2.7300000000000001E-2</c:v>
                </c:pt>
                <c:pt idx="8">
                  <c:v>2.2599999999999999E-2</c:v>
                </c:pt>
                <c:pt idx="9">
                  <c:v>2.0500000000000001E-2</c:v>
                </c:pt>
                <c:pt idx="10">
                  <c:v>2.87E-2</c:v>
                </c:pt>
                <c:pt idx="11">
                  <c:v>3.6200000000000003E-2</c:v>
                </c:pt>
                <c:pt idx="12">
                  <c:v>4.1000000000000002E-2</c:v>
                </c:pt>
                <c:pt idx="13">
                  <c:v>3.6900000000000002E-2</c:v>
                </c:pt>
                <c:pt idx="14">
                  <c:v>3.6499999999999998E-2</c:v>
                </c:pt>
                <c:pt idx="15">
                  <c:v>4.0800000000000003E-2</c:v>
                </c:pt>
                <c:pt idx="16">
                  <c:v>4.1599999999999998E-2</c:v>
                </c:pt>
                <c:pt idx="17">
                  <c:v>4.3700000000000003E-2</c:v>
                </c:pt>
                <c:pt idx="18">
                  <c:v>6.4299999999999996E-2</c:v>
                </c:pt>
                <c:pt idx="19">
                  <c:v>4.36E-2</c:v>
                </c:pt>
                <c:pt idx="20">
                  <c:v>5.1999999999999998E-2</c:v>
                </c:pt>
                <c:pt idx="21">
                  <c:v>6.0100000000000001E-2</c:v>
                </c:pt>
                <c:pt idx="22">
                  <c:v>5.7799999999999997E-2</c:v>
                </c:pt>
                <c:pt idx="23">
                  <c:v>4.9599999999999998E-2</c:v>
                </c:pt>
                <c:pt idx="24">
                  <c:v>5.7799999999999997E-2</c:v>
                </c:pt>
                <c:pt idx="25">
                  <c:v>6.1199999999999997E-2</c:v>
                </c:pt>
                <c:pt idx="26">
                  <c:v>5.6899999999999999E-2</c:v>
                </c:pt>
                <c:pt idx="27">
                  <c:v>5.0799999999999998E-2</c:v>
                </c:pt>
                <c:pt idx="28">
                  <c:v>5.96E-2</c:v>
                </c:pt>
                <c:pt idx="29">
                  <c:v>5.1999999999999998E-2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64-47F2-B86D-2242D7236370}"/>
            </c:ext>
          </c:extLst>
        </c:ser>
        <c:ser>
          <c:idx val="5"/>
          <c:order val="5"/>
          <c:tx>
            <c:v>Market Cost of Equity</c:v>
          </c:tx>
          <c:spPr>
            <a:ln w="2540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'14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'14 Historic Trends'!$U$8:$U$37</c:f>
              <c:numCache>
                <c:formatCode>0.00%</c:formatCode>
                <c:ptCount val="30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64-47F2-B86D-2242D7236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Trends'!$A$8:$A$39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2019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Trends'!$G$8:$G$37</c15:sqref>
                        </c15:formulaRef>
                      </c:ext>
                    </c:extLst>
                    <c:numCache>
                      <c:formatCode>0.00%</c:formatCode>
                      <c:ptCount val="30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  <c:pt idx="28">
                        <c:v>9.6199999999999994E-2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364-47F2-B86D-2242D7236370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Trends'!$O$8:$O$37</c15:sqref>
                        </c15:formulaRef>
                      </c:ext>
                    </c:extLst>
                    <c:numCache>
                      <c:formatCode>0.00%</c:formatCode>
                      <c:ptCount val="30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  <c:pt idx="28">
                        <c:v>-4.2299999999999997E-2</c:v>
                      </c:pt>
                      <c:pt idx="29">
                        <c:v>0.31219999999999998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364-47F2-B86D-2242D723637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Trends'!$K$8:$K$37</c15:sqref>
                        </c15:formulaRef>
                      </c:ext>
                    </c:extLst>
                    <c:numCache>
                      <c:formatCode>0.00%</c:formatCode>
                      <c:ptCount val="30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  <c:pt idx="28">
                        <c:v>9.6317460317460329E-2</c:v>
                      </c:pt>
                      <c:pt idx="29">
                        <c:v>9.64E-2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364-47F2-B86D-2242D7236370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Avg. Awarded Electric ROE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Trends'!$A$8:$A$39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2019</c:v>
                </c:pt>
              </c:numCache>
            </c:numRef>
          </c:xVal>
          <c:yVal>
            <c:numRef>
              <c:f>'14 Historic Trends'!$C$8:$C$37</c:f>
              <c:numCache>
                <c:formatCode>0.00%</c:formatCode>
                <c:ptCount val="30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9.64E-2</c:v>
                </c:pt>
                <c:pt idx="29">
                  <c:v>9.64E-2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7CC-41DB-ADEB-6E61E5D95556}"/>
            </c:ext>
          </c:extLst>
        </c:ser>
        <c:ser>
          <c:idx val="5"/>
          <c:order val="5"/>
          <c:tx>
            <c:v>Market Cost of Equity</c:v>
          </c:tx>
          <c:spPr>
            <a:ln w="317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'14 Historic Trends'!$A$8:$A$37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xVal>
          <c:yVal>
            <c:numRef>
              <c:f>'14 Historic Trends'!$U$8:$U$37</c:f>
              <c:numCache>
                <c:formatCode>0.00%</c:formatCode>
                <c:ptCount val="30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C-41DB-ADEB-6E61E5D95556}"/>
            </c:ext>
          </c:extLst>
        </c:ser>
        <c:ser>
          <c:idx val="7"/>
          <c:order val="7"/>
          <c:tx>
            <c:strRef>
              <c:f>'14 Historic Trends'!$AH$29</c:f>
              <c:strCache>
                <c:ptCount val="1"/>
                <c:pt idx="0">
                  <c:v>Company Cost of Equity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3.53501864898460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C-41DB-ADEB-6E61E5D95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'14 Historic Trends'!$A$38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'14 Historic Trends'!$AH$30</c:f>
              <c:numCache>
                <c:formatCode>0.0%</c:formatCode>
                <c:ptCount val="1"/>
                <c:pt idx="0">
                  <c:v>5.9207509226660418E-2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CC-41DB-ADEB-6E61E5D95556}"/>
            </c:ext>
          </c:extLst>
        </c:ser>
        <c:ser>
          <c:idx val="8"/>
          <c:order val="8"/>
          <c:tx>
            <c:strRef>
              <c:f>'14 Historic Trends'!$AH$32</c:f>
              <c:strCache>
                <c:ptCount val="1"/>
                <c:pt idx="0">
                  <c:v>Company Proposed ROE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8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CC-41DB-ADEB-6E61E5D95556}"/>
              </c:ext>
            </c:extLst>
          </c:dPt>
          <c:dLbls>
            <c:dLbl>
              <c:idx val="0"/>
              <c:layout>
                <c:manualLayout>
                  <c:x val="-5.7135069553363544E-3"/>
                  <c:y val="-3.48252521066448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C-41DB-ADEB-6E61E5D95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'14 Historic Trends'!$A$38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'14 Historic Trends'!$AH$33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CC-41DB-ADEB-6E61E5D95556}"/>
            </c:ext>
          </c:extLst>
        </c:ser>
        <c:ser>
          <c:idx val="9"/>
          <c:order val="9"/>
          <c:tx>
            <c:strRef>
              <c:f>'14 Historic Trends'!$AH$35</c:f>
              <c:strCache>
                <c:ptCount val="1"/>
                <c:pt idx="0">
                  <c:v>Gradual ROE Proposal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2.6246719160104988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C-41DB-ADEB-6E61E5D95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'14 Historic Trends'!$A$38</c:f>
              <c:numCache>
                <c:formatCode>General</c:formatCode>
                <c:ptCount val="1"/>
                <c:pt idx="0">
                  <c:v>2019</c:v>
                </c:pt>
              </c:numCache>
            </c:numRef>
          </c:xVal>
          <c:yVal>
            <c:numRef>
              <c:f>'14 Historic Trends'!$AH$37</c:f>
              <c:numCache>
                <c:formatCode>0.00%</c:formatCode>
                <c:ptCount val="1"/>
                <c:pt idx="0">
                  <c:v>0.09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CC-41DB-ADEB-6E61E5D9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Avg. Awarded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Trends'!$G$8:$G$35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27CC-41DB-ADEB-6E61E5D9555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CC-41DB-ADEB-6E61E5D9555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CC-41DB-ADEB-6E61E5D95556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CC-41DB-ADEB-6E61E5D9555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CC-41DB-ADEB-6E61E5D95556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5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Trends'!$A$8:$A$37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xVal>
          <c:yVal>
            <c:numRef>
              <c:f>'14 Historic Trends'!$C$8:$C$37</c:f>
              <c:numCache>
                <c:formatCode>0.00%</c:formatCode>
                <c:ptCount val="30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9.64E-2</c:v>
                </c:pt>
                <c:pt idx="29">
                  <c:v>9.64E-2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155-4506-B4CD-A8C2AE9C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Trends'!$G$8:$G$35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155-4506-B4CD-A8C2AE9C24D3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155-4506-B4CD-A8C2AE9C24D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155-4506-B4CD-A8C2AE9C24D3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155-4506-B4CD-A8C2AE9C24D3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Market Cost of Equity</c:v>
                </c:tx>
                <c:spPr>
                  <a:ln w="317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Trends'!$U$8:$U$35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0.11959999999999998</c:v>
                      </c:pt>
                      <c:pt idx="1">
                        <c:v>0.1018</c:v>
                      </c:pt>
                      <c:pt idx="2">
                        <c:v>0.1023</c:v>
                      </c:pt>
                      <c:pt idx="3">
                        <c:v>8.9599999999999999E-2</c:v>
                      </c:pt>
                      <c:pt idx="4">
                        <c:v>0.1137</c:v>
                      </c:pt>
                      <c:pt idx="5">
                        <c:v>8.8599999999999998E-2</c:v>
                      </c:pt>
                      <c:pt idx="6">
                        <c:v>9.6100000000000005E-2</c:v>
                      </c:pt>
                      <c:pt idx="7">
                        <c:v>8.4699999999999998E-2</c:v>
                      </c:pt>
                      <c:pt idx="8">
                        <c:v>6.9099999999999995E-2</c:v>
                      </c:pt>
                      <c:pt idx="9">
                        <c:v>8.4900000000000003E-2</c:v>
                      </c:pt>
                      <c:pt idx="10">
                        <c:v>7.9799999999999996E-2</c:v>
                      </c:pt>
                      <c:pt idx="11">
                        <c:v>8.6699999999999999E-2</c:v>
                      </c:pt>
                      <c:pt idx="12">
                        <c:v>7.9100000000000004E-2</c:v>
                      </c:pt>
                      <c:pt idx="13">
                        <c:v>7.9399999999999998E-2</c:v>
                      </c:pt>
                      <c:pt idx="14">
                        <c:v>7.8699999999999992E-2</c:v>
                      </c:pt>
                      <c:pt idx="15">
                        <c:v>8.4699999999999998E-2</c:v>
                      </c:pt>
                      <c:pt idx="16">
                        <c:v>8.8599999999999998E-2</c:v>
                      </c:pt>
                      <c:pt idx="17">
                        <c:v>8.3900000000000002E-2</c:v>
                      </c:pt>
                      <c:pt idx="18">
                        <c:v>8.6400000000000005E-2</c:v>
                      </c:pt>
                      <c:pt idx="19">
                        <c:v>8.199999999999999E-2</c:v>
                      </c:pt>
                      <c:pt idx="20">
                        <c:v>8.4900000000000003E-2</c:v>
                      </c:pt>
                      <c:pt idx="21">
                        <c:v>7.8899999999999998E-2</c:v>
                      </c:pt>
                      <c:pt idx="22">
                        <c:v>7.5399999999999995E-2</c:v>
                      </c:pt>
                      <c:pt idx="23">
                        <c:v>0.08</c:v>
                      </c:pt>
                      <c:pt idx="24">
                        <c:v>7.9500000000000001E-2</c:v>
                      </c:pt>
                      <c:pt idx="25">
                        <c:v>8.3900000000000002E-2</c:v>
                      </c:pt>
                      <c:pt idx="26">
                        <c:v>8.14E-2</c:v>
                      </c:pt>
                      <c:pt idx="27">
                        <c:v>7.4899999999999994E-2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155-4506-B4CD-A8C2AE9C24D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155-4506-B4CD-A8C2AE9C24D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3155-4506-B4CD-A8C2AE9C24D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Trends'!$AH$30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5.9207509226660418E-2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155-4506-B4CD-A8C2AE9C24D3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3155-4506-B4CD-A8C2AE9C24D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9-3155-4506-B4CD-A8C2AE9C24D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Trends'!$AH$33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0.1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155-4506-B4CD-A8C2AE9C24D3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3155-4506-B4CD-A8C2AE9C24D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Trends'!$AH$37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0.09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155-4506-B4CD-A8C2AE9C24D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Trends'!$Q$5:$Q$6</c15:sqref>
                        </c15:formulaRef>
                      </c:ext>
                    </c:extLst>
                    <c:strCache>
                      <c:ptCount val="2"/>
                      <c:pt idx="0">
                        <c:v>T-Bond</c:v>
                      </c:pt>
                      <c:pt idx="1">
                        <c:v>Rate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Trends'!$A$8:$A$37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Trends'!$Q$8:$Q$37</c15:sqref>
                        </c15:formulaRef>
                      </c:ext>
                    </c:extLst>
                    <c:numCache>
                      <c:formatCode>0.00%</c:formatCode>
                      <c:ptCount val="30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  <c:pt idx="28">
                        <c:v>2.6800000000000001E-2</c:v>
                      </c:pt>
                      <c:pt idx="29">
                        <c:v>1.9199999999999998E-2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155-4506-B4CD-A8C2AE9C24D3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Authorized Gas ROE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'14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  <c:extLst xmlns:c15="http://schemas.microsoft.com/office/drawing/2012/chart"/>
            </c:numRef>
          </c:xVal>
          <c:yVal>
            <c:numRef>
              <c:f>'14 Historic Trends'!$G$8:$G$35</c:f>
              <c:numCache>
                <c:formatCode>0.00%</c:formatCode>
                <c:ptCount val="28"/>
                <c:pt idx="0">
                  <c:v>0.1268</c:v>
                </c:pt>
                <c:pt idx="1">
                  <c:v>0.1245</c:v>
                </c:pt>
                <c:pt idx="2">
                  <c:v>0.1202</c:v>
                </c:pt>
                <c:pt idx="3">
                  <c:v>0.1137</c:v>
                </c:pt>
                <c:pt idx="4">
                  <c:v>0.1124</c:v>
                </c:pt>
                <c:pt idx="5">
                  <c:v>0.1144</c:v>
                </c:pt>
                <c:pt idx="6">
                  <c:v>0.11119999999999999</c:v>
                </c:pt>
                <c:pt idx="7">
                  <c:v>0.113</c:v>
                </c:pt>
                <c:pt idx="8">
                  <c:v>0.11509999999999999</c:v>
                </c:pt>
                <c:pt idx="9">
                  <c:v>0.1074</c:v>
                </c:pt>
                <c:pt idx="10">
                  <c:v>0.1134</c:v>
                </c:pt>
                <c:pt idx="11">
                  <c:v>0.1096</c:v>
                </c:pt>
                <c:pt idx="12">
                  <c:v>0.11169999999999999</c:v>
                </c:pt>
                <c:pt idx="13">
                  <c:v>0.1099</c:v>
                </c:pt>
                <c:pt idx="14">
                  <c:v>0.10630000000000001</c:v>
                </c:pt>
                <c:pt idx="15">
                  <c:v>0.1041</c:v>
                </c:pt>
                <c:pt idx="16">
                  <c:v>0.10400000000000001</c:v>
                </c:pt>
                <c:pt idx="17">
                  <c:v>0.10220000000000001</c:v>
                </c:pt>
                <c:pt idx="18">
                  <c:v>0.10390000000000001</c:v>
                </c:pt>
                <c:pt idx="19">
                  <c:v>0.10220000000000001</c:v>
                </c:pt>
                <c:pt idx="20">
                  <c:v>0.10150000000000001</c:v>
                </c:pt>
                <c:pt idx="21">
                  <c:v>9.9199999999999997E-2</c:v>
                </c:pt>
                <c:pt idx="22">
                  <c:v>9.9399999999999988E-2</c:v>
                </c:pt>
                <c:pt idx="23">
                  <c:v>9.6799999999999997E-2</c:v>
                </c:pt>
                <c:pt idx="24">
                  <c:v>9.7799999999999998E-2</c:v>
                </c:pt>
                <c:pt idx="25">
                  <c:v>9.6000000000000002E-2</c:v>
                </c:pt>
                <c:pt idx="26">
                  <c:v>9.5399999999999985E-2</c:v>
                </c:pt>
                <c:pt idx="27">
                  <c:v>9.7200000000000009E-2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12D-4D73-A75A-64003DBAE012}"/>
            </c:ext>
          </c:extLst>
        </c:ser>
        <c:ser>
          <c:idx val="1"/>
          <c:order val="1"/>
          <c:tx>
            <c:v>Authorized Electric ROE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'14 Historic Trends'!$A$8:$A$37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xVal>
          <c:yVal>
            <c:numRef>
              <c:f>'14 Historic Trends'!$C$8:$C$37</c:f>
              <c:numCache>
                <c:formatCode>0.00%</c:formatCode>
                <c:ptCount val="30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9.64E-2</c:v>
                </c:pt>
                <c:pt idx="29">
                  <c:v>9.64E-2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12D-4D73-A75A-64003DBAE012}"/>
            </c:ext>
          </c:extLst>
        </c:ser>
        <c:ser>
          <c:idx val="5"/>
          <c:order val="5"/>
          <c:tx>
            <c:v>Market Cost of Equity</c:v>
          </c:tx>
          <c:spPr>
            <a:ln w="3492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'14 Historic Trends'!$A$8:$A$35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'14 Historic Trends'!$U$8:$U$37</c:f>
              <c:numCache>
                <c:formatCode>0.00%</c:formatCode>
                <c:ptCount val="30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D-4D73-A75A-64003DBAE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'14 Historic Trends'!$O$8:$O$35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212D-4D73-A75A-64003DBAE012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Trends'!$Q$8:$Q$35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12D-4D73-A75A-64003DBAE012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Trends'!$S$8:$S$35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12D-4D73-A75A-64003DBAE012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Trends'!$A$8:$A$35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Trends'!$K$8:$K$35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12D-4D73-A75A-64003DBAE012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212D-4D73-A75A-64003DBAE01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Trends'!$AH$30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5.9207509226660418E-2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12D-4D73-A75A-64003DBAE012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212D-4D73-A75A-64003DBAE01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9-212D-4D73-A75A-64003DBAE01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Trends'!$AH$33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0.1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12D-4D73-A75A-64003DBAE012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212D-4D73-A75A-64003DBAE01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Trends'!$A$38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'14 Historic Trends'!$AH$37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0.09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12D-4D73-A75A-64003DBAE012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62916155857243E-2"/>
          <c:y val="8.269097807105516E-2"/>
          <c:w val="0.89140133345400785"/>
          <c:h val="0.81802185380152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Industry Betas'!$A$5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Utilities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FB0-4CF5-A1A1-ECFD0A95E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 Industry Betas'!$B$5</c:f>
              <c:numCache>
                <c:formatCode>0.00</c:formatCode>
                <c:ptCount val="1"/>
                <c:pt idx="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0-4CF5-A1A1-ECFD0A95E958}"/>
            </c:ext>
          </c:extLst>
        </c:ser>
        <c:ser>
          <c:idx val="1"/>
          <c:order val="1"/>
          <c:tx>
            <c:strRef>
              <c:f>'Fig Industry Betas'!$A$6</c:f>
              <c:strCache>
                <c:ptCount val="1"/>
                <c:pt idx="0">
                  <c:v>Broadcasting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Broadcasting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FB0-4CF5-A1A1-ECFD0A95E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 Industry Betas'!$B$6</c:f>
              <c:numCache>
                <c:formatCode>0.00</c:formatCode>
                <c:ptCount val="1"/>
                <c:pt idx="0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B0-4CF5-A1A1-ECFD0A95E958}"/>
            </c:ext>
          </c:extLst>
        </c:ser>
        <c:ser>
          <c:idx val="3"/>
          <c:order val="2"/>
          <c:tx>
            <c:strRef>
              <c:f>'Fig Industry Betas'!$A$7</c:f>
              <c:strCache>
                <c:ptCount val="1"/>
                <c:pt idx="0">
                  <c:v>Hospitals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Betas'!$B$7</c:f>
              <c:numCache>
                <c:formatCode>0.00</c:formatCode>
                <c:ptCount val="1"/>
                <c:pt idx="0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B0-4CF5-A1A1-ECFD0A95E958}"/>
            </c:ext>
          </c:extLst>
        </c:ser>
        <c:ser>
          <c:idx val="7"/>
          <c:order val="3"/>
          <c:tx>
            <c:strRef>
              <c:f>'Fig Industry Betas'!$A$8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Betas'!$B$8</c:f>
              <c:numCache>
                <c:formatCode>0.00</c:formatCode>
                <c:ptCount val="1"/>
                <c:pt idx="0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B0-4CF5-A1A1-ECFD0A95E958}"/>
            </c:ext>
          </c:extLst>
        </c:ser>
        <c:ser>
          <c:idx val="8"/>
          <c:order val="4"/>
          <c:tx>
            <c:strRef>
              <c:f>'Fig Industry Betas'!$A$9</c:f>
              <c:strCache>
                <c:ptCount val="1"/>
                <c:pt idx="0">
                  <c:v>Steel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Betas'!$B$9</c:f>
              <c:numCache>
                <c:formatCode>0.00</c:formatCode>
                <c:ptCount val="1"/>
                <c:pt idx="0">
                  <c:v>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B0-4CF5-A1A1-ECFD0A95E9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51"/>
        <c:axId val="390906992"/>
        <c:axId val="390907552"/>
      </c:barChart>
      <c:catAx>
        <c:axId val="390906992"/>
        <c:scaling>
          <c:orientation val="minMax"/>
        </c:scaling>
        <c:delete val="1"/>
        <c:axPos val="b"/>
        <c:majorTickMark val="none"/>
        <c:minorTickMark val="none"/>
        <c:tickLblPos val="none"/>
        <c:crossAx val="390907552"/>
        <c:crosses val="autoZero"/>
        <c:auto val="1"/>
        <c:lblAlgn val="ctr"/>
        <c:lblOffset val="100"/>
        <c:noMultiLvlLbl val="0"/>
      </c:catAx>
      <c:valAx>
        <c:axId val="39090755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Beta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0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K = R</a:t>
            </a:r>
            <a:r>
              <a:rPr lang="en-US" sz="1800" i="1" baseline="-25000">
                <a:latin typeface="Cambria Math" panose="02040503050406030204" pitchFamily="18" charset="0"/>
                <a:ea typeface="Cambria Math" panose="02040503050406030204" pitchFamily="18" charset="0"/>
              </a:rPr>
              <a:t>F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 + </a:t>
            </a:r>
            <a:r>
              <a:rPr lang="el-GR" sz="1800" i="1">
                <a:latin typeface="Cambria Math" panose="02040503050406030204" pitchFamily="18" charset="0"/>
                <a:ea typeface="Cambria Math" panose="02040503050406030204" pitchFamily="18" charset="0"/>
              </a:rPr>
              <a:t>β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(ERP)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16009885446752"/>
          <c:y val="0.13172682414698161"/>
          <c:w val="0.68290820393946083"/>
          <c:h val="0.71886866141732286"/>
        </c:manualLayout>
      </c:layout>
      <c:scatterChart>
        <c:scatterStyle val="smoothMarker"/>
        <c:varyColors val="0"/>
        <c:ser>
          <c:idx val="0"/>
          <c:order val="0"/>
          <c:tx>
            <c:v>SML</c:v>
          </c:tx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0.76428571428571423</c:v>
                </c:pt>
                <c:pt idx="3">
                  <c:v>1</c:v>
                </c:pt>
              </c:numCache>
            </c:numRef>
          </c:xVal>
          <c:yVal>
            <c:numRef>
              <c:f>'Fig CAPM Graph'!$B$10:$B$14</c:f>
              <c:numCache>
                <c:formatCode>0.0000</c:formatCode>
                <c:ptCount val="5"/>
                <c:pt idx="0">
                  <c:v>1.512E-2</c:v>
                </c:pt>
                <c:pt idx="1">
                  <c:v>4.512E-2</c:v>
                </c:pt>
                <c:pt idx="2">
                  <c:v>6.0977142857142855E-2</c:v>
                </c:pt>
                <c:pt idx="3">
                  <c:v>7.5119999999999992E-2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77-4368-AAC1-F808B78923B7}"/>
            </c:ext>
          </c:extLst>
        </c:ser>
        <c:ser>
          <c:idx val="1"/>
          <c:order val="1"/>
          <c:spPr>
            <a:ln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0.76428571428571423</c:v>
                </c:pt>
                <c:pt idx="3">
                  <c:v>1</c:v>
                </c:pt>
              </c:numCache>
            </c:numRef>
          </c:xVal>
          <c:yVal>
            <c:numRef>
              <c:f>'Fig CAPM Graph'!$C$10:$C$12</c:f>
              <c:numCache>
                <c:formatCode>0.0000</c:formatCode>
                <c:ptCount val="3"/>
                <c:pt idx="0">
                  <c:v>6.0977142857142855E-2</c:v>
                </c:pt>
                <c:pt idx="1">
                  <c:v>6.0977142857142855E-2</c:v>
                </c:pt>
                <c:pt idx="2">
                  <c:v>6.0977142857142855E-2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77-4368-AAC1-F808B78923B7}"/>
            </c:ext>
          </c:extLst>
        </c:ser>
        <c:ser>
          <c:idx val="2"/>
          <c:order val="2"/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CAPM Graph'!$D$10:$D$11</c:f>
              <c:numCache>
                <c:formatCode>0.0000</c:formatCode>
                <c:ptCount val="2"/>
                <c:pt idx="0">
                  <c:v>0.76428571428571423</c:v>
                </c:pt>
                <c:pt idx="1">
                  <c:v>0.76428571428571423</c:v>
                </c:pt>
              </c:numCache>
            </c:numRef>
          </c:xVal>
          <c:yVal>
            <c:numRef>
              <c:f>'Fig CAPM Graph'!$E$10:$E$11</c:f>
              <c:numCache>
                <c:formatCode>0.0000</c:formatCode>
                <c:ptCount val="2"/>
                <c:pt idx="0">
                  <c:v>0</c:v>
                </c:pt>
                <c:pt idx="1">
                  <c:v>6.0977142857142855E-2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77-4368-AAC1-F808B789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911472"/>
        <c:axId val="390912032"/>
      </c:scatterChart>
      <c:valAx>
        <c:axId val="39091147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sz="1400"/>
                </a:pPr>
                <a:r>
                  <a:rPr lang="en-US" sz="1400"/>
                  <a:t>Beta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0912032"/>
        <c:crosses val="autoZero"/>
        <c:crossBetween val="midCat"/>
        <c:majorUnit val="0.76400000000000012"/>
      </c:valAx>
      <c:valAx>
        <c:axId val="390912032"/>
        <c:scaling>
          <c:orientation val="minMax"/>
          <c:max val="9.0000000000000024E-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Equity</a:t>
                </a:r>
              </a:p>
            </c:rich>
          </c:tx>
          <c:layout>
            <c:manualLayout>
              <c:xMode val="edge"/>
              <c:yMode val="edge"/>
              <c:x val="1.2160034951158425E-2"/>
              <c:y val="0.26460181741086047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390911472"/>
        <c:crosses val="autoZero"/>
        <c:crossBetween val="midCat"/>
        <c:majorUnit val="6.1000000000000013E-2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3013676320683E-2"/>
          <c:y val="0.12402165506574003"/>
          <c:w val="0.88331094976762614"/>
          <c:h val="0.75842227378190252"/>
        </c:manualLayout>
      </c:layout>
      <c:scatterChart>
        <c:scatterStyle val="smoothMarker"/>
        <c:varyColors val="0"/>
        <c:ser>
          <c:idx val="0"/>
          <c:order val="0"/>
          <c:tx>
            <c:v>Growth Rate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Cycle'!$C$4:$C$119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'Fig Bus Cycle'!$D$4:$D$119</c:f>
              <c:numCache>
                <c:formatCode>0</c:formatCode>
                <c:ptCount val="116"/>
                <c:pt idx="0">
                  <c:v>0</c:v>
                </c:pt>
                <c:pt idx="1">
                  <c:v>5.46</c:v>
                </c:pt>
                <c:pt idx="2">
                  <c:v>21.68</c:v>
                </c:pt>
                <c:pt idx="3">
                  <c:v>48.42</c:v>
                </c:pt>
                <c:pt idx="4">
                  <c:v>85.44</c:v>
                </c:pt>
                <c:pt idx="5">
                  <c:v>132.5</c:v>
                </c:pt>
                <c:pt idx="6">
                  <c:v>189.36</c:v>
                </c:pt>
                <c:pt idx="7">
                  <c:v>255.78</c:v>
                </c:pt>
                <c:pt idx="8">
                  <c:v>331.52</c:v>
                </c:pt>
                <c:pt idx="9">
                  <c:v>416.34</c:v>
                </c:pt>
                <c:pt idx="10">
                  <c:v>510</c:v>
                </c:pt>
                <c:pt idx="11">
                  <c:v>612.26</c:v>
                </c:pt>
                <c:pt idx="12">
                  <c:v>722.88</c:v>
                </c:pt>
                <c:pt idx="13">
                  <c:v>841.62</c:v>
                </c:pt>
                <c:pt idx="14">
                  <c:v>968.24</c:v>
                </c:pt>
                <c:pt idx="15">
                  <c:v>1102.5</c:v>
                </c:pt>
                <c:pt idx="16">
                  <c:v>1244.1600000000001</c:v>
                </c:pt>
                <c:pt idx="17">
                  <c:v>1392.98</c:v>
                </c:pt>
                <c:pt idx="18">
                  <c:v>1548.72</c:v>
                </c:pt>
                <c:pt idx="19">
                  <c:v>1711.1399999999999</c:v>
                </c:pt>
                <c:pt idx="20">
                  <c:v>1880</c:v>
                </c:pt>
                <c:pt idx="21">
                  <c:v>2055.06</c:v>
                </c:pt>
                <c:pt idx="22">
                  <c:v>2236.08</c:v>
                </c:pt>
                <c:pt idx="23">
                  <c:v>2422.8200000000002</c:v>
                </c:pt>
                <c:pt idx="24">
                  <c:v>2615.04</c:v>
                </c:pt>
                <c:pt idx="25">
                  <c:v>2812.5</c:v>
                </c:pt>
                <c:pt idx="26">
                  <c:v>3014.96</c:v>
                </c:pt>
                <c:pt idx="27">
                  <c:v>3222.18</c:v>
                </c:pt>
                <c:pt idx="28">
                  <c:v>3433.92</c:v>
                </c:pt>
                <c:pt idx="29">
                  <c:v>3649.94</c:v>
                </c:pt>
                <c:pt idx="30">
                  <c:v>3870</c:v>
                </c:pt>
                <c:pt idx="31">
                  <c:v>4093.8599999999997</c:v>
                </c:pt>
                <c:pt idx="32">
                  <c:v>4321.28</c:v>
                </c:pt>
                <c:pt idx="33">
                  <c:v>4552.0200000000004</c:v>
                </c:pt>
                <c:pt idx="34">
                  <c:v>4785.84</c:v>
                </c:pt>
                <c:pt idx="35">
                  <c:v>5022.5</c:v>
                </c:pt>
                <c:pt idx="36">
                  <c:v>5261.76</c:v>
                </c:pt>
                <c:pt idx="37">
                  <c:v>5503.38</c:v>
                </c:pt>
                <c:pt idx="38">
                  <c:v>5747.12</c:v>
                </c:pt>
                <c:pt idx="39">
                  <c:v>5992.74</c:v>
                </c:pt>
                <c:pt idx="40">
                  <c:v>6240</c:v>
                </c:pt>
                <c:pt idx="41">
                  <c:v>6488.66</c:v>
                </c:pt>
                <c:pt idx="42">
                  <c:v>6738.48</c:v>
                </c:pt>
                <c:pt idx="43">
                  <c:v>6989.2199999999993</c:v>
                </c:pt>
                <c:pt idx="44">
                  <c:v>7240.6399999999994</c:v>
                </c:pt>
                <c:pt idx="45">
                  <c:v>7492.5</c:v>
                </c:pt>
                <c:pt idx="46">
                  <c:v>7744.5599999999995</c:v>
                </c:pt>
                <c:pt idx="47">
                  <c:v>7996.58</c:v>
                </c:pt>
                <c:pt idx="48">
                  <c:v>8248.32</c:v>
                </c:pt>
                <c:pt idx="49">
                  <c:v>8499.5400000000009</c:v>
                </c:pt>
                <c:pt idx="50">
                  <c:v>8750</c:v>
                </c:pt>
                <c:pt idx="51">
                  <c:v>8999.4599999999991</c:v>
                </c:pt>
                <c:pt idx="52">
                  <c:v>9247.68</c:v>
                </c:pt>
                <c:pt idx="53">
                  <c:v>9494.42</c:v>
                </c:pt>
                <c:pt idx="54">
                  <c:v>9739.4399999999987</c:v>
                </c:pt>
                <c:pt idx="55">
                  <c:v>9982.5</c:v>
                </c:pt>
                <c:pt idx="56">
                  <c:v>10223.36</c:v>
                </c:pt>
                <c:pt idx="57">
                  <c:v>10461.779999999999</c:v>
                </c:pt>
                <c:pt idx="58">
                  <c:v>10697.52</c:v>
                </c:pt>
                <c:pt idx="59">
                  <c:v>10930.34</c:v>
                </c:pt>
                <c:pt idx="60">
                  <c:v>11160</c:v>
                </c:pt>
                <c:pt idx="61">
                  <c:v>11386.26</c:v>
                </c:pt>
                <c:pt idx="62">
                  <c:v>11608.88</c:v>
                </c:pt>
                <c:pt idx="63">
                  <c:v>11827.619999999999</c:v>
                </c:pt>
                <c:pt idx="64">
                  <c:v>12042.24</c:v>
                </c:pt>
                <c:pt idx="65">
                  <c:v>12252.5</c:v>
                </c:pt>
                <c:pt idx="66">
                  <c:v>12458.16</c:v>
                </c:pt>
                <c:pt idx="67">
                  <c:v>12658.98</c:v>
                </c:pt>
                <c:pt idx="68">
                  <c:v>12854.72</c:v>
                </c:pt>
                <c:pt idx="69">
                  <c:v>13045.14</c:v>
                </c:pt>
                <c:pt idx="70">
                  <c:v>13230</c:v>
                </c:pt>
                <c:pt idx="71">
                  <c:v>13409.06</c:v>
                </c:pt>
                <c:pt idx="72">
                  <c:v>13582.08</c:v>
                </c:pt>
                <c:pt idx="73">
                  <c:v>13748.82</c:v>
                </c:pt>
                <c:pt idx="74">
                  <c:v>13909.039999999999</c:v>
                </c:pt>
                <c:pt idx="75">
                  <c:v>14062.5</c:v>
                </c:pt>
                <c:pt idx="76">
                  <c:v>14208.96</c:v>
                </c:pt>
                <c:pt idx="77">
                  <c:v>14348.18</c:v>
                </c:pt>
                <c:pt idx="78">
                  <c:v>14479.919999999998</c:v>
                </c:pt>
                <c:pt idx="79">
                  <c:v>14603.939999999999</c:v>
                </c:pt>
                <c:pt idx="80">
                  <c:v>14720</c:v>
                </c:pt>
                <c:pt idx="81">
                  <c:v>14827.86</c:v>
                </c:pt>
                <c:pt idx="82">
                  <c:v>14927.279999999999</c:v>
                </c:pt>
                <c:pt idx="83">
                  <c:v>15018.02</c:v>
                </c:pt>
                <c:pt idx="84">
                  <c:v>15099.84</c:v>
                </c:pt>
                <c:pt idx="85">
                  <c:v>15172.5</c:v>
                </c:pt>
                <c:pt idx="86">
                  <c:v>15235.759999999998</c:v>
                </c:pt>
                <c:pt idx="87">
                  <c:v>15289.380000000001</c:v>
                </c:pt>
                <c:pt idx="88">
                  <c:v>15333.119999999999</c:v>
                </c:pt>
                <c:pt idx="89">
                  <c:v>15366.739999999998</c:v>
                </c:pt>
                <c:pt idx="90">
                  <c:v>15390</c:v>
                </c:pt>
                <c:pt idx="91">
                  <c:v>15402.66</c:v>
                </c:pt>
                <c:pt idx="92">
                  <c:v>15404.48</c:v>
                </c:pt>
                <c:pt idx="93">
                  <c:v>15395.219999999998</c:v>
                </c:pt>
                <c:pt idx="94">
                  <c:v>15374.64</c:v>
                </c:pt>
                <c:pt idx="95">
                  <c:v>15342.5</c:v>
                </c:pt>
                <c:pt idx="96">
                  <c:v>15298.559999999998</c:v>
                </c:pt>
                <c:pt idx="97">
                  <c:v>15242.580000000002</c:v>
                </c:pt>
                <c:pt idx="98">
                  <c:v>15174.32</c:v>
                </c:pt>
                <c:pt idx="99">
                  <c:v>15093.54</c:v>
                </c:pt>
                <c:pt idx="100">
                  <c:v>15000</c:v>
                </c:pt>
                <c:pt idx="101">
                  <c:v>14893.46</c:v>
                </c:pt>
                <c:pt idx="102">
                  <c:v>14773.68</c:v>
                </c:pt>
                <c:pt idx="103">
                  <c:v>14640.419999999998</c:v>
                </c:pt>
                <c:pt idx="104">
                  <c:v>14493.440000000002</c:v>
                </c:pt>
                <c:pt idx="105">
                  <c:v>14332.5</c:v>
                </c:pt>
                <c:pt idx="106">
                  <c:v>14157.36</c:v>
                </c:pt>
                <c:pt idx="107">
                  <c:v>13967.779999999999</c:v>
                </c:pt>
                <c:pt idx="108">
                  <c:v>13763.519999999997</c:v>
                </c:pt>
                <c:pt idx="109">
                  <c:v>13544.339999999997</c:v>
                </c:pt>
                <c:pt idx="110">
                  <c:v>13310</c:v>
                </c:pt>
                <c:pt idx="111">
                  <c:v>13060.260000000002</c:v>
                </c:pt>
                <c:pt idx="112">
                  <c:v>12794.879999999997</c:v>
                </c:pt>
                <c:pt idx="113">
                  <c:v>12513.619999999995</c:v>
                </c:pt>
                <c:pt idx="114">
                  <c:v>12216.239999999998</c:v>
                </c:pt>
                <c:pt idx="115">
                  <c:v>11902.5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60-4664-A374-A27E4BEE566D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Cycle'!$F$4:$F$5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'Fig Bus Cycle'!$G$4:$G$5</c:f>
              <c:numCache>
                <c:formatCode>General</c:formatCode>
                <c:ptCount val="2"/>
                <c:pt idx="0">
                  <c:v>0</c:v>
                </c:pt>
                <c:pt idx="1">
                  <c:v>1880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60-4664-A374-A27E4BEE566D}"/>
            </c:ext>
          </c:extLst>
        </c:ser>
        <c:ser>
          <c:idx val="2"/>
          <c:order val="2"/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Cycle'!$I$4:$I$5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'Fig Bus Cycle'!$J$4:$J$5</c:f>
              <c:numCache>
                <c:formatCode>General</c:formatCode>
                <c:ptCount val="2"/>
                <c:pt idx="0">
                  <c:v>0</c:v>
                </c:pt>
                <c:pt idx="1">
                  <c:v>11160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60-4664-A374-A27E4BEE566D}"/>
            </c:ext>
          </c:extLst>
        </c:ser>
        <c:ser>
          <c:idx val="3"/>
          <c:order val="3"/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Cycle'!$L$4:$L$5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'Fig Bus Cycle'!$M$4:$M$5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60-4664-A374-A27E4BEE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25840"/>
        <c:axId val="393156048"/>
      </c:scatterChart>
      <c:valAx>
        <c:axId val="3910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3156048"/>
        <c:crosses val="autoZero"/>
        <c:crossBetween val="midCat"/>
      </c:valAx>
      <c:valAx>
        <c:axId val="3931560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39102584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2198118334001E-2"/>
          <c:y val="3.2796660703637445E-2"/>
          <c:w val="0.68483426209071663"/>
          <c:h val="0.8411717920286789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Diversify'!$A$2:$A$21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'Fig Diversify'!$B$2:$B$21</c:f>
              <c:numCache>
                <c:formatCode>General</c:formatCode>
                <c:ptCount val="20"/>
                <c:pt idx="0">
                  <c:v>100</c:v>
                </c:pt>
                <c:pt idx="1">
                  <c:v>75</c:v>
                </c:pt>
                <c:pt idx="2">
                  <c:v>55</c:v>
                </c:pt>
                <c:pt idx="3">
                  <c:v>37</c:v>
                </c:pt>
                <c:pt idx="4">
                  <c:v>25</c:v>
                </c:pt>
                <c:pt idx="5">
                  <c:v>17</c:v>
                </c:pt>
                <c:pt idx="6">
                  <c:v>12</c:v>
                </c:pt>
                <c:pt idx="7">
                  <c:v>8.25</c:v>
                </c:pt>
                <c:pt idx="8">
                  <c:v>5.5</c:v>
                </c:pt>
                <c:pt idx="9">
                  <c:v>4</c:v>
                </c:pt>
                <c:pt idx="10">
                  <c:v>3.2</c:v>
                </c:pt>
                <c:pt idx="11">
                  <c:v>2.7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1.7</c:v>
                </c:pt>
                <c:pt idx="15">
                  <c:v>1.5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B8-45C9-92C8-863BFB83A8E7}"/>
            </c:ext>
          </c:extLst>
        </c:ser>
        <c:ser>
          <c:idx val="1"/>
          <c:order val="1"/>
          <c:tx>
            <c:v>Top Line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Diversify'!$D$2:$D$22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B8-45C9-92C8-863BFB83A8E7}"/>
            </c:ext>
          </c:extLst>
        </c:ser>
        <c:ser>
          <c:idx val="2"/>
          <c:order val="2"/>
          <c:tx>
            <c:v>Middle Line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Diversify'!$E$2:$E$22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B8-45C9-92C8-863BFB83A8E7}"/>
            </c:ext>
          </c:extLst>
        </c:ser>
        <c:ser>
          <c:idx val="3"/>
          <c:order val="3"/>
          <c:tx>
            <c:v>Bottom Line</c:v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Diversify'!$F$2:$F$22</c:f>
              <c:numCache>
                <c:formatCode>General</c:formatCode>
                <c:ptCount val="21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-40</c:v>
                </c:pt>
                <c:pt idx="8">
                  <c:v>-40</c:v>
                </c:pt>
                <c:pt idx="9">
                  <c:v>-40</c:v>
                </c:pt>
                <c:pt idx="10">
                  <c:v>-40</c:v>
                </c:pt>
                <c:pt idx="11">
                  <c:v>-40</c:v>
                </c:pt>
                <c:pt idx="12">
                  <c:v>-40</c:v>
                </c:pt>
                <c:pt idx="13">
                  <c:v>-40</c:v>
                </c:pt>
                <c:pt idx="14">
                  <c:v>-40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-40</c:v>
                </c:pt>
                <c:pt idx="19">
                  <c:v>-40</c:v>
                </c:pt>
                <c:pt idx="20">
                  <c:v>-40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B8-45C9-92C8-863BFB83A8E7}"/>
            </c:ext>
          </c:extLst>
        </c:ser>
        <c:ser>
          <c:idx val="4"/>
          <c:order val="4"/>
          <c:tx>
            <c:v>Top Arrow</c:v>
          </c:tx>
          <c:spPr>
            <a:ln>
              <a:headEnd type="triangle" w="lg" len="lg"/>
              <a:tailEnd type="triangle" w="lg" len="lg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5"/>
                </a:solidFill>
                <a:headEnd type="triangle" w="lg" len="lg"/>
                <a:tailEnd type="triangle" w="lg" len="lg"/>
              </a:ln>
            </c:spPr>
            <c:extLst>
              <c:ext xmlns:c16="http://schemas.microsoft.com/office/drawing/2014/chart" uri="{C3380CC4-5D6E-409C-BE32-E72D297353CC}">
                <c16:uniqueId val="{00000005-52B8-45C9-92C8-863BFB83A8E7}"/>
              </c:ext>
            </c:extLst>
          </c:dPt>
          <c:xVal>
            <c:numRef>
              <c:f>'Fig Diversify'!$G$2:$G$3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Diversify'!$H$2:$H$3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B8-45C9-92C8-863BFB83A8E7}"/>
            </c:ext>
          </c:extLst>
        </c:ser>
        <c:ser>
          <c:idx val="5"/>
          <c:order val="5"/>
          <c:tx>
            <c:v>Bottom Arrow</c:v>
          </c:tx>
          <c:spPr>
            <a:ln>
              <a:solidFill>
                <a:schemeClr val="accent3"/>
              </a:solidFill>
              <a:headEnd type="triangle" w="lg" len="lg"/>
              <a:tailEnd type="triangle" w="lg" len="lg"/>
            </a:ln>
          </c:spPr>
          <c:marker>
            <c:symbol val="none"/>
          </c:marker>
          <c:xVal>
            <c:numRef>
              <c:f>'Fig Diversify'!$I$2:$I$3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Diversify'!$J$2:$J$3</c:f>
              <c:numCache>
                <c:formatCode>General</c:formatCode>
                <c:ptCount val="2"/>
                <c:pt idx="0">
                  <c:v>-5</c:v>
                </c:pt>
                <c:pt idx="1">
                  <c:v>-35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B8-45C9-92C8-863BFB83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312400"/>
        <c:axId val="390312960"/>
      </c:scatterChart>
      <c:valAx>
        <c:axId val="390312400"/>
        <c:scaling>
          <c:orientation val="minMax"/>
          <c:max val="25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</a:t>
                </a:r>
                <a:r>
                  <a:rPr lang="en-US" sz="1200" baseline="0"/>
                  <a:t> Securities in Portfolio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17769348520203748"/>
              <c:y val="0.9179703472894819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90312960"/>
        <c:crosses val="autoZero"/>
        <c:crossBetween val="midCat"/>
        <c:majorUnit val="10"/>
      </c:valAx>
      <c:valAx>
        <c:axId val="390312960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Portfolio  Variance</a:t>
                </a:r>
              </a:p>
            </c:rich>
          </c:tx>
          <c:layout>
            <c:manualLayout>
              <c:xMode val="edge"/>
              <c:yMode val="edge"/>
              <c:x val="3.050108932461874E-2"/>
              <c:y val="0.32305203799436139"/>
            </c:manualLayout>
          </c:layout>
          <c:overlay val="0"/>
        </c:title>
        <c:numFmt formatCode=";;;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390312400"/>
        <c:crosses val="autoZero"/>
        <c:crossBetween val="midCat"/>
        <c:majorUnit val="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349250</xdr:colOff>
      <xdr:row>4</xdr:row>
      <xdr:rowOff>63500</xdr:rowOff>
    </xdr:from>
    <xdr:to>
      <xdr:col>23</xdr:col>
      <xdr:colOff>285750</xdr:colOff>
      <xdr:row>25</xdr:row>
      <xdr:rowOff>42333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B98E16-67EE-4AE6-BD93-2F223D0E3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0.53179</cdr:x>
      <cdr:y>0.45211</cdr:y>
    </cdr:from>
    <cdr:to>
      <cdr:x>0.6531</cdr:x>
      <cdr:y>0.53403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272523-ADD0-4887-92EA-1A5294C6192B}"/>
            </a:ext>
          </a:extLst>
        </cdr:cNvPr>
        <cdr:cNvSpPr txBox="1"/>
      </cdr:nvSpPr>
      <cdr:spPr>
        <a:xfrm xmlns:a="http://schemas.openxmlformats.org/drawingml/2006/main">
          <a:off x="4209857" y="1775188"/>
          <a:ext cx="960330" cy="321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Duff &amp; Phelps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</xdr:row>
      <xdr:rowOff>147638</xdr:rowOff>
    </xdr:from>
    <xdr:to>
      <xdr:col>32</xdr:col>
      <xdr:colOff>47625</xdr:colOff>
      <xdr:row>25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DE83AB-E279-4E0A-A9A4-7DC6CB1A6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9526</xdr:colOff>
      <xdr:row>25</xdr:row>
      <xdr:rowOff>180975</xdr:rowOff>
    </xdr:from>
    <xdr:to>
      <xdr:col>32</xdr:col>
      <xdr:colOff>142875</xdr:colOff>
      <xdr:row>45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44AF07-60E6-4C8A-A6CE-5B4BCC40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9525</xdr:colOff>
      <xdr:row>47</xdr:row>
      <xdr:rowOff>47625</xdr:rowOff>
    </xdr:from>
    <xdr:to>
      <xdr:col>32</xdr:col>
      <xdr:colOff>142874</xdr:colOff>
      <xdr:row>66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9BF5F5-AED1-4795-A8B9-3E6DD03AF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65</xdr:row>
      <xdr:rowOff>0</xdr:rowOff>
    </xdr:from>
    <xdr:to>
      <xdr:col>32</xdr:col>
      <xdr:colOff>133349</xdr:colOff>
      <xdr:row>84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C1B4BC-DAE1-44CD-BE70-CE2DA4339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0.1477</cdr:x>
      <cdr:y>0.08421</cdr:y>
    </cdr:from>
    <cdr:to>
      <cdr:x>0.19103</cdr:x>
      <cdr:y>0.32674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CF3E631E-32F3-4FE4-8335-FBC88B064CE5}"/>
            </a:ext>
          </a:extLst>
        </cdr:cNvPr>
        <cdr:cNvSpPr/>
      </cdr:nvSpPr>
      <cdr:spPr>
        <a:xfrm xmlns:a="http://schemas.openxmlformats.org/drawingml/2006/main">
          <a:off x="830009" y="304781"/>
          <a:ext cx="243504" cy="87783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175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0.18644</cdr:x>
      <cdr:y>0.66842</cdr:y>
    </cdr:from>
    <cdr:to>
      <cdr:x>0.34915</cdr:x>
      <cdr:y>0.72105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8F7F0EA-4DFD-4EA5-8E92-E255CE2B01CA}"/>
            </a:ext>
          </a:extLst>
        </cdr:cNvPr>
        <cdr:cNvSpPr txBox="1"/>
      </cdr:nvSpPr>
      <cdr:spPr>
        <a:xfrm xmlns:a="http://schemas.openxmlformats.org/drawingml/2006/main">
          <a:off x="1047749" y="2419350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</cdr:x>
      <cdr:y>0.50263</cdr:y>
    </cdr:from>
    <cdr:to>
      <cdr:x>0.74746</cdr:x>
      <cdr:y>0.57632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A5AEA99-2F08-4ACD-ABE6-070FFCEC1913}"/>
            </a:ext>
          </a:extLst>
        </cdr:cNvPr>
        <cdr:cNvSpPr txBox="1"/>
      </cdr:nvSpPr>
      <cdr:spPr>
        <a:xfrm xmlns:a="http://schemas.openxmlformats.org/drawingml/2006/main">
          <a:off x="561974" y="1819275"/>
          <a:ext cx="36385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C00000"/>
              </a:solidFill>
            </a:rPr>
            <a:t>Utility Cost</a:t>
          </a:r>
          <a:r>
            <a:rPr lang="en-US" sz="1200" baseline="0">
              <a:solidFill>
                <a:srgbClr val="C00000"/>
              </a:solidFill>
            </a:rPr>
            <a:t> of Equity Must be Below Market Cost of Equity</a:t>
          </a:r>
          <a:endParaRPr lang="en-US" sz="120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0.18292</cdr:x>
      <cdr:y>0.36842</cdr:y>
    </cdr:from>
    <cdr:to>
      <cdr:x>0.20339</cdr:x>
      <cdr:y>0.48158</cdr:y>
    </cdr:to>
    <cdr:sp macro="" textlink="">
      <cdr:nvSpPr>
        <cdr:cNvPr id="5" name="Arrow: Right 4">
          <a:extLst xmlns:a="http://schemas.openxmlformats.org/drawingml/2006/main">
            <a:ext uri="{FF2B5EF4-FFF2-40B4-BE49-F238E27FC236}">
              <a16:creationId xmlns:a16="http://schemas.microsoft.com/office/drawing/2014/main" id="{359C5C5A-4501-4396-BE8A-A15AECDD23E9}"/>
            </a:ext>
          </a:extLst>
        </cdr:cNvPr>
        <cdr:cNvSpPr/>
      </cdr:nvSpPr>
      <cdr:spPr>
        <a:xfrm xmlns:a="http://schemas.openxmlformats.org/drawingml/2006/main" rot="5400000">
          <a:off x="880681" y="1480758"/>
          <a:ext cx="409573" cy="11506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0.69209</cdr:x>
      <cdr:y>0.3693</cdr:y>
    </cdr:from>
    <cdr:to>
      <cdr:x>0.71256</cdr:x>
      <cdr:y>0.48246</cdr:y>
    </cdr:to>
    <cdr:sp macro="" textlink="">
      <cdr:nvSpPr>
        <cdr:cNvPr id="7" name="Arrow: Right 6">
          <a:extLst xmlns:a="http://schemas.openxmlformats.org/drawingml/2006/main">
            <a:ext uri="{FF2B5EF4-FFF2-40B4-BE49-F238E27FC236}">
              <a16:creationId xmlns:a16="http://schemas.microsoft.com/office/drawing/2014/main" id="{7DABA7EE-D468-4758-A14B-F7EBFCECC1A9}"/>
            </a:ext>
          </a:extLst>
        </cdr:cNvPr>
        <cdr:cNvSpPr/>
      </cdr:nvSpPr>
      <cdr:spPr>
        <a:xfrm xmlns:a="http://schemas.openxmlformats.org/drawingml/2006/main" rot="5400000">
          <a:off x="3742119" y="1483931"/>
          <a:ext cx="409573" cy="11506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4</xdr:row>
      <xdr:rowOff>200023</xdr:rowOff>
    </xdr:from>
    <xdr:to>
      <xdr:col>22</xdr:col>
      <xdr:colOff>9525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2FB9F3-C38B-45D3-96E2-ACDEBE8E2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0.31791</cdr:x>
      <cdr:y>0.9024</cdr:y>
    </cdr:from>
    <cdr:to>
      <cdr:x>0.7185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6576" y="5019676"/>
          <a:ext cx="38766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0.30315</cdr:x>
      <cdr:y>0.95034</cdr:y>
    </cdr:from>
    <cdr:to>
      <cdr:x>0.76476</cdr:x>
      <cdr:y>0.95205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5258FD8-03D8-4CDA-8BB0-C637EB0B3502}"/>
            </a:ext>
          </a:extLst>
        </cdr:cNvPr>
        <cdr:cNvCxnSpPr/>
      </cdr:nvCxnSpPr>
      <cdr:spPr>
        <a:xfrm xmlns:a="http://schemas.openxmlformats.org/drawingml/2006/main">
          <a:off x="2933702" y="5286378"/>
          <a:ext cx="4467225" cy="9524"/>
        </a:xfrm>
        <a:prstGeom xmlns:a="http://schemas.openxmlformats.org/drawingml/2006/main" prst="straightConnector1">
          <a:avLst/>
        </a:prstGeom>
        <a:ln xmlns:a="http://schemas.openxmlformats.org/drawingml/2006/main" w="762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0.72539</cdr:x>
      <cdr:y>0.92466</cdr:y>
    </cdr:from>
    <cdr:to>
      <cdr:x>0.81988</cdr:x>
      <cdr:y>0.97603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019927" y="5143502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0.82972</cdr:x>
      <cdr:y>0.92123</cdr:y>
    </cdr:from>
    <cdr:to>
      <cdr:x>0.92421</cdr:x>
      <cdr:y>0.97774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029577" y="5124452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High Risk</a:t>
          </a:r>
        </a:p>
      </cdr:txBody>
    </cdr:sp>
  </cdr:relSizeAnchor>
  <cdr:relSizeAnchor xmlns:cdr="http://schemas.openxmlformats.org/drawingml/2006/chartDrawing">
    <cdr:from>
      <cdr:x>0.13484</cdr:x>
      <cdr:y>0.91952</cdr:y>
    </cdr:from>
    <cdr:to>
      <cdr:x>0.22933</cdr:x>
      <cdr:y>0.97774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304927" y="5114926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Low Risk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558165</xdr:colOff>
      <xdr:row>5</xdr:row>
      <xdr:rowOff>146685</xdr:rowOff>
    </xdr:from>
    <xdr:to>
      <xdr:col>16</xdr:col>
      <xdr:colOff>459105</xdr:colOff>
      <xdr:row>26</xdr:row>
      <xdr:rowOff>24765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1ADFD-8B37-40BC-A284-4D9524DE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0.06434</cdr:x>
      <cdr:y>0.69401</cdr:y>
    </cdr:from>
    <cdr:to>
      <cdr:x>0.14728</cdr:x>
      <cdr:y>0.79021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5843" y="2691766"/>
          <a:ext cx="497386" cy="373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1.51%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11</xdr:row>
      <xdr:rowOff>3810</xdr:rowOff>
    </xdr:from>
    <xdr:to>
      <xdr:col>21</xdr:col>
      <xdr:colOff>421005</xdr:colOff>
      <xdr:row>36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DB52-5C0D-4A25-92E1-B1A35EF03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0.15007</cdr:x>
      <cdr:y>0.77726</cdr:y>
    </cdr:from>
    <cdr:to>
      <cdr:x>0.2886</cdr:x>
      <cdr:y>0.96056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0" y="3190875"/>
          <a:ext cx="91440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0.08081</cdr:x>
      <cdr:y>0.89095</cdr:y>
    </cdr:from>
    <cdr:to>
      <cdr:x>0.19163</cdr:x>
      <cdr:y>0.95777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3657599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Start-up</a:t>
          </a:r>
        </a:p>
      </cdr:txBody>
    </cdr:sp>
  </cdr:relSizeAnchor>
  <cdr:relSizeAnchor xmlns:cdr="http://schemas.openxmlformats.org/drawingml/2006/chartDrawing">
    <cdr:from>
      <cdr:x>0.28716</cdr:x>
      <cdr:y>0.89791</cdr:y>
    </cdr:from>
    <cdr:to>
      <cdr:x>0.39798</cdr:x>
      <cdr:y>0.96473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5475" y="3686175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Growth</a:t>
          </a:r>
        </a:p>
      </cdr:txBody>
    </cdr:sp>
  </cdr:relSizeAnchor>
  <cdr:relSizeAnchor xmlns:cdr="http://schemas.openxmlformats.org/drawingml/2006/chartDrawing">
    <cdr:from>
      <cdr:x>0.52092</cdr:x>
      <cdr:y>0.89559</cdr:y>
    </cdr:from>
    <cdr:to>
      <cdr:x>0.63175</cdr:x>
      <cdr:y>0.96241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38525" y="3676650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Maturity</a:t>
          </a:r>
        </a:p>
      </cdr:txBody>
    </cdr:sp>
  </cdr:relSizeAnchor>
  <cdr:relSizeAnchor xmlns:cdr="http://schemas.openxmlformats.org/drawingml/2006/chartDrawing">
    <cdr:from>
      <cdr:x>0.50877</cdr:x>
      <cdr:y>0.39689</cdr:y>
    </cdr:from>
    <cdr:to>
      <cdr:x>0.68787</cdr:x>
      <cdr:y>0.46372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43618" y="1686037"/>
          <a:ext cx="1212202" cy="28390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Public</a:t>
          </a:r>
          <a:r>
            <a:rPr lang="en-US" sz="1400" baseline="0"/>
            <a:t> Utilities</a:t>
          </a:r>
          <a:endParaRPr lang="en-US" sz="14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4</xdr:row>
      <xdr:rowOff>83820</xdr:rowOff>
    </xdr:from>
    <xdr:to>
      <xdr:col>21</xdr:col>
      <xdr:colOff>167640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0031EB-40B2-4A9B-8DED-EB7A56F8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0.76455</cdr:x>
      <cdr:y>0.21478</cdr:y>
    </cdr:from>
    <cdr:to>
      <cdr:x>0.95564</cdr:x>
      <cdr:y>0.32442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5300" y="918162"/>
          <a:ext cx="1076096" cy="468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5"/>
              </a:solidFill>
            </a:rPr>
            <a:t>Firm-Specific</a:t>
          </a:r>
          <a:r>
            <a:rPr lang="en-US" sz="1200" b="1" baseline="0">
              <a:solidFill>
                <a:schemeClr val="accent5"/>
              </a:solidFill>
            </a:rPr>
            <a:t> Risk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accent5"/>
              </a:solidFill>
            </a:rPr>
            <a:t> (unrewarded)</a:t>
          </a:r>
          <a:endParaRPr lang="en-US" sz="1200" b="1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0.81046</cdr:x>
      <cdr:y>0.65832</cdr:y>
    </cdr:from>
    <cdr:to>
      <cdr:x>0.96732</cdr:x>
      <cdr:y>0.87299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24400" y="28041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0.77896</cdr:x>
      <cdr:y>0.70102</cdr:y>
    </cdr:from>
    <cdr:to>
      <cdr:x>0.93583</cdr:x>
      <cdr:y>0.81818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6472" y="2996723"/>
          <a:ext cx="883363" cy="50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Market Risk</a:t>
          </a:r>
        </a:p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(rewarded)</a:t>
          </a:r>
        </a:p>
      </cdr:txBody>
    </cdr:sp>
  </cdr:relSizeAnchor>
  <cdr:relSizeAnchor xmlns:cdr="http://schemas.openxmlformats.org/drawingml/2006/chartDrawing">
    <cdr:from>
      <cdr:x>0.05586</cdr:x>
      <cdr:y>0.85976</cdr:y>
    </cdr:from>
    <cdr:to>
      <cdr:x>0.09711</cdr:x>
      <cdr:y>0.92832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63" y="3675298"/>
          <a:ext cx="232286" cy="293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0</a:t>
          </a:r>
        </a:p>
      </cdr:txBody>
    </cdr:sp>
  </cdr:relSizeAnchor>
  <cdr:relSizeAnchor xmlns:cdr="http://schemas.openxmlformats.org/drawingml/2006/chartDrawing">
    <cdr:from>
      <cdr:x>0.60408</cdr:x>
      <cdr:y>0.86823</cdr:y>
    </cdr:from>
    <cdr:to>
      <cdr:x>0.68283</cdr:x>
      <cdr:y>0.93679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401701" y="3711517"/>
          <a:ext cx="443456" cy="293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500+</a:t>
          </a:r>
        </a:p>
      </cdr:txBody>
    </cdr:sp>
  </cdr:relSizeAnchor>
  <cdr:relSizeAnchor xmlns:cdr="http://schemas.openxmlformats.org/drawingml/2006/chartDrawing">
    <cdr:from>
      <cdr:x>0.43572</cdr:x>
      <cdr:y>0.21925</cdr:y>
    </cdr:from>
    <cdr:to>
      <cdr:x>0.64411</cdr:x>
      <cdr:y>0.37433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453640" y="937260"/>
          <a:ext cx="1173480" cy="6629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 Utility Operations</a:t>
          </a:r>
        </a:p>
        <a:p xmlns:a="http://schemas.openxmlformats.org/drawingml/2006/main">
          <a:r>
            <a:rPr lang="en-US" sz="1100"/>
            <a:t>- Financial Risk</a:t>
          </a:r>
        </a:p>
        <a:p xmlns:a="http://schemas.openxmlformats.org/drawingml/2006/main">
          <a:r>
            <a:rPr lang="en-US" sz="1100"/>
            <a:t>- Default Risk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0.50744</cdr:x>
      <cdr:y>0.70945</cdr:y>
    </cdr:from>
    <cdr:to>
      <cdr:x>0.66982</cdr:x>
      <cdr:y>0.82531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857500" y="3032760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0.42355</cdr:x>
      <cdr:y>0.69162</cdr:y>
    </cdr:from>
    <cdr:to>
      <cdr:x>0.63735</cdr:x>
      <cdr:y>0.80214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385060" y="2956560"/>
          <a:ext cx="1203960" cy="4724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</a:t>
          </a:r>
          <a:r>
            <a:rPr lang="en-US" sz="1100" baseline="0"/>
            <a:t> Interest Rate Risk</a:t>
          </a:r>
        </a:p>
        <a:p xmlns:a="http://schemas.openxmlformats.org/drawingml/2006/main">
          <a:r>
            <a:rPr lang="en-US" sz="1100" baseline="0"/>
            <a:t>- Inflation Risk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K14"/>
  <sheetViews>
    <sheetView tabSelected="1" zoomScaleNormal="100" workbookViewId="0"/>
  </sheetViews>
  <sheetFormatPr defaultRowHeight="15"/>
  <cols>
    <col min="1" max="1" width="41.5703125" style="109" bestFit="1" customWidth="1"/>
    <col min="2" max="2" width="2.7109375" style="109" customWidth="1"/>
    <col min="3" max="3" width="8" style="109" customWidth="1"/>
    <col min="4" max="4" width="2.7109375" style="109" customWidth="1"/>
    <col min="5" max="5" width="12.28515625" style="109" customWidth="1"/>
    <col min="6" max="6" width="2.7109375" style="109" customWidth="1"/>
    <col min="7" max="7" width="12.28515625" style="109" customWidth="1"/>
    <col min="8" max="8" width="2.7109375" style="109" customWidth="1"/>
    <col min="9" max="9" width="12.28515625" style="109" customWidth="1"/>
    <col min="10" max="10" width="2.7109375" style="109" customWidth="1"/>
    <col min="11" max="11" width="12.28515625" style="109" customWidth="1"/>
    <col min="12" max="16384" width="9.140625" style="109"/>
  </cols>
  <sheetData>
    <row r="1" spans="1:11" ht="18.75">
      <c r="A1" s="209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9.5" customHeight="1"/>
    <row r="3" spans="1:11" ht="30">
      <c r="A3" s="213" t="s">
        <v>0</v>
      </c>
      <c r="B3" s="110"/>
      <c r="C3" s="213" t="s">
        <v>1</v>
      </c>
      <c r="D3" s="110"/>
      <c r="E3" s="145" t="s">
        <v>56</v>
      </c>
      <c r="F3" s="112"/>
      <c r="G3" s="145" t="s">
        <v>55</v>
      </c>
      <c r="H3" s="112"/>
      <c r="I3" s="145" t="s">
        <v>54</v>
      </c>
      <c r="J3" s="112"/>
      <c r="K3" s="145" t="s">
        <v>17</v>
      </c>
    </row>
    <row r="4" spans="1:11" ht="19.5" customHeight="1">
      <c r="A4" s="212" t="s">
        <v>233</v>
      </c>
      <c r="C4" s="142" t="s">
        <v>238</v>
      </c>
      <c r="E4" s="113">
        <v>2700</v>
      </c>
      <c r="F4" s="114"/>
      <c r="G4" s="115" t="str">
        <f t="shared" ref="G4:G10" si="0">IF(E4&gt;=200000,"Mega Cap",IF(E4&gt;=10000,"Large Cap",IF(E4&gt;=2000,"Mid Cap",IF(E4&gt;=300,"Small Cap",IF(E4&gt;=50,"Micro Cap",IF(E4&lt;50,"Nano Cap"))))))</f>
        <v>Mid Cap</v>
      </c>
      <c r="H4" s="116"/>
      <c r="I4" s="110">
        <v>2</v>
      </c>
      <c r="K4" s="143" t="s">
        <v>88</v>
      </c>
    </row>
    <row r="5" spans="1:11" ht="19.5" customHeight="1">
      <c r="A5" s="212" t="s">
        <v>234</v>
      </c>
      <c r="C5" s="142" t="s">
        <v>239</v>
      </c>
      <c r="E5" s="113">
        <v>26200</v>
      </c>
      <c r="F5" s="114"/>
      <c r="G5" s="115" t="str">
        <f t="shared" si="0"/>
        <v>Large Cap</v>
      </c>
      <c r="H5" s="116"/>
      <c r="I5" s="110">
        <v>3</v>
      </c>
      <c r="K5" s="143" t="s">
        <v>89</v>
      </c>
    </row>
    <row r="6" spans="1:11" ht="19.5" customHeight="1">
      <c r="A6" s="212" t="s">
        <v>235</v>
      </c>
      <c r="C6" s="142" t="s">
        <v>240</v>
      </c>
      <c r="E6" s="113">
        <v>2200</v>
      </c>
      <c r="F6" s="114"/>
      <c r="G6" s="115" t="str">
        <f t="shared" si="0"/>
        <v>Mid Cap</v>
      </c>
      <c r="H6" s="116"/>
      <c r="I6" s="110">
        <v>3</v>
      </c>
      <c r="K6" s="143" t="s">
        <v>89</v>
      </c>
    </row>
    <row r="7" spans="1:11" ht="19.5" customHeight="1">
      <c r="A7" s="212" t="s">
        <v>249</v>
      </c>
      <c r="C7" s="142" t="s">
        <v>250</v>
      </c>
      <c r="E7" s="113">
        <v>9800</v>
      </c>
      <c r="F7" s="114"/>
      <c r="G7" s="115" t="str">
        <f t="shared" si="0"/>
        <v>Mid Cap</v>
      </c>
      <c r="H7" s="116"/>
      <c r="I7" s="110">
        <v>2</v>
      </c>
      <c r="K7" s="143" t="s">
        <v>88</v>
      </c>
    </row>
    <row r="8" spans="1:11" ht="19.5" customHeight="1">
      <c r="A8" s="212" t="s">
        <v>236</v>
      </c>
      <c r="C8" s="142" t="s">
        <v>241</v>
      </c>
      <c r="E8" s="113">
        <v>1100</v>
      </c>
      <c r="F8" s="114"/>
      <c r="G8" s="115" t="str">
        <f t="shared" si="0"/>
        <v>Small Cap</v>
      </c>
      <c r="H8" s="116"/>
      <c r="I8" s="110">
        <v>2</v>
      </c>
      <c r="K8" s="143" t="s">
        <v>89</v>
      </c>
    </row>
    <row r="9" spans="1:11" ht="19.5" customHeight="1">
      <c r="A9" s="212" t="s">
        <v>251</v>
      </c>
      <c r="C9" s="142" t="s">
        <v>242</v>
      </c>
      <c r="E9" s="113">
        <v>1700</v>
      </c>
      <c r="F9" s="114"/>
      <c r="G9" s="115" t="str">
        <f t="shared" si="0"/>
        <v>Small Cap</v>
      </c>
      <c r="H9" s="116"/>
      <c r="I9" s="110">
        <v>3</v>
      </c>
      <c r="K9" s="143" t="s">
        <v>90</v>
      </c>
    </row>
    <row r="10" spans="1:11" ht="19.5" customHeight="1">
      <c r="A10" s="212" t="s">
        <v>237</v>
      </c>
      <c r="C10" s="224" t="s">
        <v>243</v>
      </c>
      <c r="E10" s="113">
        <v>575</v>
      </c>
      <c r="F10" s="114"/>
      <c r="G10" s="115" t="str">
        <f t="shared" si="0"/>
        <v>Small Cap</v>
      </c>
      <c r="H10" s="116"/>
      <c r="I10" s="110">
        <v>3</v>
      </c>
      <c r="K10" s="143" t="s">
        <v>90</v>
      </c>
    </row>
    <row r="11" spans="1:11">
      <c r="A11" s="118"/>
      <c r="B11" s="118"/>
      <c r="C11" s="119"/>
      <c r="D11" s="118"/>
      <c r="E11" s="120"/>
      <c r="F11" s="121"/>
      <c r="G11" s="122"/>
      <c r="H11" s="123"/>
      <c r="I11" s="111"/>
      <c r="J11" s="118"/>
      <c r="K11" s="124"/>
    </row>
    <row r="12" spans="1:11">
      <c r="C12" s="125"/>
      <c r="E12" s="126"/>
      <c r="F12" s="114"/>
      <c r="G12" s="116"/>
      <c r="H12" s="116"/>
      <c r="I12" s="110"/>
      <c r="K12" s="117"/>
    </row>
    <row r="13" spans="1:11" s="127" customFormat="1" ht="14.45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</row>
    <row r="14" spans="1:11" s="127" customFormat="1" ht="14.45" customHeight="1">
      <c r="A14" s="234" t="s">
        <v>244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</row>
  </sheetData>
  <sortState xmlns:xlrd2="http://schemas.microsoft.com/office/spreadsheetml/2017/richdata2" ref="A4:K10">
    <sortCondition ref="A4:A10"/>
  </sortState>
  <mergeCells count="1">
    <mergeCell ref="A14:K14"/>
  </mergeCells>
  <phoneticPr fontId="23" type="noConversion"/>
  <printOptions horizontalCentered="1"/>
  <pageMargins left="0.7" right="0.7" top="0.75" bottom="0.75" header="0.3" footer="0.3"/>
  <pageSetup orientation="landscape" r:id="rId1"/>
  <headerFooter scaleWithDoc="0">
    <oddHeader>&amp;C&amp;"-,Bold"&amp;14Proxy Group Summary&amp;RExhibit DJG-2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I49"/>
  <sheetViews>
    <sheetView zoomScale="80" zoomScaleNormal="80" workbookViewId="0"/>
  </sheetViews>
  <sheetFormatPr defaultRowHeight="15"/>
  <cols>
    <col min="1" max="1" width="20.28515625" customWidth="1"/>
    <col min="2" max="3" width="7.7109375" customWidth="1"/>
    <col min="4" max="5" width="7.7109375" style="162" customWidth="1"/>
    <col min="6" max="6" width="7.7109375" style="221" customWidth="1"/>
    <col min="7" max="8" width="7.7109375" style="162" customWidth="1"/>
    <col min="9" max="10" width="7.7109375" customWidth="1"/>
    <col min="11" max="12" width="12.7109375" customWidth="1"/>
  </cols>
  <sheetData>
    <row r="1" spans="1:9" ht="18.75">
      <c r="A1" s="209"/>
      <c r="B1" s="209"/>
      <c r="C1" s="47"/>
      <c r="D1" s="163"/>
      <c r="E1" s="163"/>
      <c r="F1" s="222"/>
      <c r="G1" s="163"/>
      <c r="H1" s="163"/>
      <c r="I1" s="47"/>
    </row>
    <row r="2" spans="1:9">
      <c r="B2" s="5"/>
      <c r="C2" s="5"/>
      <c r="D2" s="5"/>
      <c r="E2" s="5"/>
      <c r="F2" s="5"/>
      <c r="G2" s="5"/>
      <c r="H2" s="5"/>
      <c r="I2" s="5"/>
    </row>
    <row r="3" spans="1:9" ht="19.899999999999999" customHeight="1">
      <c r="A3" s="1" t="s">
        <v>1</v>
      </c>
      <c r="B3" s="193" t="s">
        <v>11</v>
      </c>
      <c r="C3" s="193" t="str">
        <f>'2 Proxy Sum'!C4</f>
        <v>AWR</v>
      </c>
      <c r="D3" s="193" t="str">
        <f>'2 Proxy Sum'!C5</f>
        <v>AWK</v>
      </c>
      <c r="E3" s="193" t="str">
        <f>'2 Proxy Sum'!C6</f>
        <v>CWT</v>
      </c>
      <c r="F3" s="193" t="str">
        <f>'2 Proxy Sum'!C7</f>
        <v>WTRG</v>
      </c>
      <c r="G3" s="193" t="str">
        <f>'2 Proxy Sum'!C8</f>
        <v>MSEX</v>
      </c>
      <c r="H3" s="193" t="str">
        <f>'2 Proxy Sum'!C9</f>
        <v>SJW</v>
      </c>
      <c r="I3" s="193" t="str">
        <f>'2 Proxy Sum'!C10</f>
        <v>YORW</v>
      </c>
    </row>
    <row r="4" spans="1:9" ht="19.899999999999999" customHeight="1">
      <c r="C4" s="1"/>
      <c r="D4" s="164"/>
      <c r="E4" s="164"/>
      <c r="F4" s="223"/>
      <c r="G4" s="164"/>
      <c r="H4" s="164"/>
    </row>
    <row r="5" spans="1:9" ht="19.899999999999999" customHeight="1">
      <c r="A5" s="2" t="s">
        <v>9</v>
      </c>
      <c r="B5" s="20">
        <f>AVERAGE(B8:B37)</f>
        <v>3391.2159994999993</v>
      </c>
      <c r="C5" s="19">
        <f t="shared" ref="C5:I5" si="0">AVERAGE(C8:C37)</f>
        <v>75.848333000000011</v>
      </c>
      <c r="D5" s="19">
        <f t="shared" ref="D5:H5" si="1">AVERAGE(D8:D37)</f>
        <v>149.80866753333333</v>
      </c>
      <c r="E5" s="19">
        <f t="shared" si="1"/>
        <v>44.829666599999996</v>
      </c>
      <c r="F5" s="19">
        <f t="shared" si="1"/>
        <v>41.275999633333335</v>
      </c>
      <c r="G5" s="19">
        <f t="shared" si="1"/>
        <v>64.538999599999997</v>
      </c>
      <c r="H5" s="19">
        <f t="shared" si="1"/>
        <v>61.417333566666684</v>
      </c>
      <c r="I5" s="19">
        <f t="shared" si="0"/>
        <v>43.694901466666664</v>
      </c>
    </row>
    <row r="6" spans="1:9" ht="19.899999999999999" customHeight="1">
      <c r="A6" s="42" t="s">
        <v>8</v>
      </c>
      <c r="B6" s="43">
        <f>STDEV(B8:B37)</f>
        <v>80.695108311513223</v>
      </c>
      <c r="C6" s="44">
        <f t="shared" ref="C6:I6" si="2">STDEV(C8:C37)</f>
        <v>2.2722058716639819</v>
      </c>
      <c r="D6" s="44">
        <f t="shared" ref="D6:H6" si="3">STDEV(D8:D37)</f>
        <v>6.4235886259201109</v>
      </c>
      <c r="E6" s="44">
        <f t="shared" si="3"/>
        <v>1.8051926948949748</v>
      </c>
      <c r="F6" s="44">
        <f t="shared" si="3"/>
        <v>1.5623316749281593</v>
      </c>
      <c r="G6" s="44">
        <f t="shared" si="3"/>
        <v>2.718937793077068</v>
      </c>
      <c r="H6" s="44">
        <f t="shared" si="3"/>
        <v>1.1852717166153026</v>
      </c>
      <c r="I6" s="44">
        <f t="shared" si="2"/>
        <v>1.5563440836685114</v>
      </c>
    </row>
    <row r="7" spans="1:9" ht="19.899999999999999" customHeight="1">
      <c r="A7" s="18"/>
      <c r="C7" s="1"/>
      <c r="D7" s="164"/>
      <c r="E7" s="164"/>
      <c r="F7" s="223"/>
      <c r="G7" s="164"/>
      <c r="H7" s="164"/>
    </row>
    <row r="8" spans="1:9" ht="19.899999999999999" customHeight="1">
      <c r="A8" s="216">
        <v>44091</v>
      </c>
      <c r="B8" s="21">
        <v>3357.01001</v>
      </c>
      <c r="C8" s="3">
        <v>71.230002999999996</v>
      </c>
      <c r="D8" s="3">
        <v>141.020004</v>
      </c>
      <c r="E8" s="3">
        <v>42.27</v>
      </c>
      <c r="F8" s="3">
        <v>39.770000000000003</v>
      </c>
      <c r="G8" s="3">
        <v>62.799999</v>
      </c>
      <c r="H8" s="3">
        <v>61.099997999999999</v>
      </c>
      <c r="I8" s="3">
        <v>42.692157999999999</v>
      </c>
    </row>
    <row r="9" spans="1:9" ht="19.899999999999999" customHeight="1">
      <c r="A9" s="38">
        <v>44092</v>
      </c>
      <c r="B9" s="21">
        <v>3319.469971</v>
      </c>
      <c r="C9" s="3">
        <v>69.989998</v>
      </c>
      <c r="D9" s="3">
        <v>138.279999</v>
      </c>
      <c r="E9" s="3">
        <v>41.849997999999999</v>
      </c>
      <c r="F9" s="3">
        <v>39.189999</v>
      </c>
      <c r="G9" s="3">
        <v>62.419998</v>
      </c>
      <c r="H9" s="3">
        <v>59.91</v>
      </c>
      <c r="I9" s="3">
        <v>43.887180000000001</v>
      </c>
    </row>
    <row r="10" spans="1:9" ht="19.899999999999999" customHeight="1">
      <c r="A10" s="38">
        <v>44095</v>
      </c>
      <c r="B10" s="21">
        <v>3281.0600589999999</v>
      </c>
      <c r="C10" s="3">
        <v>74.370002999999997</v>
      </c>
      <c r="D10" s="3">
        <v>139.720001</v>
      </c>
      <c r="E10" s="3">
        <v>42.790000999999997</v>
      </c>
      <c r="F10" s="3">
        <v>39.310001</v>
      </c>
      <c r="G10" s="3">
        <v>62.09</v>
      </c>
      <c r="H10" s="3">
        <v>60.619999</v>
      </c>
      <c r="I10" s="3">
        <v>42.144440000000003</v>
      </c>
    </row>
    <row r="11" spans="1:9" ht="19.899999999999999" customHeight="1">
      <c r="A11" s="38">
        <v>44096</v>
      </c>
      <c r="B11" s="21">
        <v>3315.570068</v>
      </c>
      <c r="C11" s="3">
        <v>73.489998</v>
      </c>
      <c r="D11" s="3">
        <v>140.16999799999999</v>
      </c>
      <c r="E11" s="3">
        <v>42.869999</v>
      </c>
      <c r="F11" s="3">
        <v>39.389999000000003</v>
      </c>
      <c r="G11" s="3">
        <v>61.57</v>
      </c>
      <c r="H11" s="3">
        <v>60.66</v>
      </c>
      <c r="I11" s="3">
        <v>41.696303999999998</v>
      </c>
    </row>
    <row r="12" spans="1:9" ht="19.899999999999999" customHeight="1">
      <c r="A12" s="38">
        <v>44097</v>
      </c>
      <c r="B12" s="21">
        <v>3236.919922</v>
      </c>
      <c r="C12" s="3">
        <v>72.029999000000004</v>
      </c>
      <c r="D12" s="3">
        <v>138.050003</v>
      </c>
      <c r="E12" s="3">
        <v>41.66</v>
      </c>
      <c r="F12" s="3">
        <v>38.529998999999997</v>
      </c>
      <c r="G12" s="3">
        <v>59.639999000000003</v>
      </c>
      <c r="H12" s="3">
        <v>58.560001</v>
      </c>
      <c r="I12" s="3">
        <v>40.501282000000003</v>
      </c>
    </row>
    <row r="13" spans="1:9" ht="19.899999999999999" customHeight="1">
      <c r="A13" s="38">
        <v>44098</v>
      </c>
      <c r="B13" s="21">
        <v>3246.5900879999999</v>
      </c>
      <c r="C13" s="3">
        <v>72.919998000000007</v>
      </c>
      <c r="D13" s="3">
        <v>140.66000399999999</v>
      </c>
      <c r="E13" s="3">
        <v>42.23</v>
      </c>
      <c r="F13" s="3">
        <v>39.049999</v>
      </c>
      <c r="G13" s="3">
        <v>60.630001</v>
      </c>
      <c r="H13" s="3">
        <v>59.810001</v>
      </c>
      <c r="I13" s="3">
        <v>40.969334000000003</v>
      </c>
    </row>
    <row r="14" spans="1:9" ht="19.899999999999999" customHeight="1">
      <c r="A14" s="38">
        <v>44099</v>
      </c>
      <c r="B14" s="21">
        <v>3298.459961</v>
      </c>
      <c r="C14" s="3">
        <v>73.839995999999999</v>
      </c>
      <c r="D14" s="3">
        <v>144.229996</v>
      </c>
      <c r="E14" s="3">
        <v>42.73</v>
      </c>
      <c r="F14" s="3">
        <v>39.57</v>
      </c>
      <c r="G14" s="3">
        <v>61.57</v>
      </c>
      <c r="H14" s="3">
        <v>60.810001</v>
      </c>
      <c r="I14" s="3">
        <v>41.686348000000002</v>
      </c>
    </row>
    <row r="15" spans="1:9" ht="19.899999999999999" customHeight="1">
      <c r="A15" s="38">
        <v>44102</v>
      </c>
      <c r="B15" s="21">
        <v>3351.6000979999999</v>
      </c>
      <c r="C15" s="3">
        <v>74.330001999999993</v>
      </c>
      <c r="D15" s="3">
        <v>144.550003</v>
      </c>
      <c r="E15" s="3">
        <v>43.549999</v>
      </c>
      <c r="F15" s="3">
        <v>39.93</v>
      </c>
      <c r="G15" s="3">
        <v>62.369999</v>
      </c>
      <c r="H15" s="3">
        <v>61.23</v>
      </c>
      <c r="I15" s="3">
        <v>43.209999000000003</v>
      </c>
    </row>
    <row r="16" spans="1:9" ht="19.899999999999999" customHeight="1">
      <c r="A16" s="38">
        <v>44103</v>
      </c>
      <c r="B16" s="21">
        <v>3335.469971</v>
      </c>
      <c r="C16" s="3">
        <v>74.449996999999996</v>
      </c>
      <c r="D16" s="3">
        <v>143.699997</v>
      </c>
      <c r="E16" s="3">
        <v>43.439999</v>
      </c>
      <c r="F16" s="3">
        <v>39.779998999999997</v>
      </c>
      <c r="G16" s="3">
        <v>62.48</v>
      </c>
      <c r="H16" s="3">
        <v>61.099997999999999</v>
      </c>
      <c r="I16" s="3">
        <v>42.950001</v>
      </c>
    </row>
    <row r="17" spans="1:9" ht="19.899999999999999" customHeight="1">
      <c r="A17" s="38">
        <v>44104</v>
      </c>
      <c r="B17" s="21">
        <v>3363</v>
      </c>
      <c r="C17" s="3">
        <v>74.949996999999996</v>
      </c>
      <c r="D17" s="3">
        <v>144.88000500000001</v>
      </c>
      <c r="E17" s="3">
        <v>43.450001</v>
      </c>
      <c r="F17" s="3">
        <v>40.25</v>
      </c>
      <c r="G17" s="3">
        <v>62.150002000000001</v>
      </c>
      <c r="H17" s="3">
        <v>60.860000999999997</v>
      </c>
      <c r="I17" s="3">
        <v>42.27</v>
      </c>
    </row>
    <row r="18" spans="1:9" ht="19.899999999999999" customHeight="1">
      <c r="A18" s="38">
        <v>44105</v>
      </c>
      <c r="B18" s="21">
        <v>3380.8000489999999</v>
      </c>
      <c r="C18" s="3">
        <v>76.099997999999999</v>
      </c>
      <c r="D18" s="3">
        <v>148.570007</v>
      </c>
      <c r="E18" s="3">
        <v>44.639999000000003</v>
      </c>
      <c r="F18" s="3">
        <v>40.830002</v>
      </c>
      <c r="G18" s="3">
        <v>63.419998</v>
      </c>
      <c r="H18" s="3">
        <v>61.599997999999999</v>
      </c>
      <c r="I18" s="3">
        <v>42.599997999999999</v>
      </c>
    </row>
    <row r="19" spans="1:9" ht="19.899999999999999" customHeight="1">
      <c r="A19" s="38">
        <v>44106</v>
      </c>
      <c r="B19" s="21">
        <v>3348.419922</v>
      </c>
      <c r="C19" s="3">
        <v>76.720000999999996</v>
      </c>
      <c r="D19" s="3">
        <v>148.96000699999999</v>
      </c>
      <c r="E19" s="3">
        <v>44.900002000000001</v>
      </c>
      <c r="F19" s="3">
        <v>41.66</v>
      </c>
      <c r="G19" s="3">
        <v>63.02</v>
      </c>
      <c r="H19" s="3">
        <v>61.560001</v>
      </c>
      <c r="I19" s="3">
        <v>42.68</v>
      </c>
    </row>
    <row r="20" spans="1:9" ht="19.899999999999999" customHeight="1">
      <c r="A20" s="38">
        <v>44109</v>
      </c>
      <c r="B20" s="21">
        <v>3408.6000979999999</v>
      </c>
      <c r="C20" s="3">
        <v>76.400002000000001</v>
      </c>
      <c r="D20" s="3">
        <v>151.88999899999999</v>
      </c>
      <c r="E20" s="3">
        <v>44.830002</v>
      </c>
      <c r="F20" s="3">
        <v>41.779998999999997</v>
      </c>
      <c r="G20" s="3">
        <v>63.18</v>
      </c>
      <c r="H20" s="3">
        <v>61.93</v>
      </c>
      <c r="I20" s="3">
        <v>42.939999</v>
      </c>
    </row>
    <row r="21" spans="1:9" ht="19.899999999999999" customHeight="1">
      <c r="A21" s="38">
        <v>44110</v>
      </c>
      <c r="B21" s="21">
        <v>3360.969971</v>
      </c>
      <c r="C21" s="3">
        <v>76.779999000000004</v>
      </c>
      <c r="D21" s="3">
        <v>152.490005</v>
      </c>
      <c r="E21" s="3">
        <v>45.02</v>
      </c>
      <c r="F21" s="3">
        <v>41.130001</v>
      </c>
      <c r="G21" s="3">
        <v>62.939999</v>
      </c>
      <c r="H21" s="3">
        <v>60.110000999999997</v>
      </c>
      <c r="I21" s="3">
        <v>42.540000999999997</v>
      </c>
    </row>
    <row r="22" spans="1:9" ht="19.899999999999999" customHeight="1">
      <c r="A22" s="38">
        <v>44111</v>
      </c>
      <c r="B22" s="21">
        <v>3419.4399410000001</v>
      </c>
      <c r="C22" s="3">
        <v>75.919998000000007</v>
      </c>
      <c r="D22" s="3">
        <v>154.509995</v>
      </c>
      <c r="E22" s="3">
        <v>44.630001</v>
      </c>
      <c r="F22" s="3">
        <v>41.029998999999997</v>
      </c>
      <c r="G22" s="3">
        <v>63.349997999999999</v>
      </c>
      <c r="H22" s="3">
        <v>61.27</v>
      </c>
      <c r="I22" s="3">
        <v>43.209999000000003</v>
      </c>
    </row>
    <row r="23" spans="1:9" ht="19.899999999999999" customHeight="1">
      <c r="A23" s="38">
        <v>44112</v>
      </c>
      <c r="B23" s="21">
        <v>3446.830078</v>
      </c>
      <c r="C23" s="3">
        <v>76.540001000000004</v>
      </c>
      <c r="D23" s="3">
        <v>155.85000600000001</v>
      </c>
      <c r="E23" s="3">
        <v>45.009998000000003</v>
      </c>
      <c r="F23" s="3">
        <v>41.709999000000003</v>
      </c>
      <c r="G23" s="3">
        <v>64.319999999999993</v>
      </c>
      <c r="H23" s="3">
        <v>61.27</v>
      </c>
      <c r="I23" s="3">
        <v>43.66</v>
      </c>
    </row>
    <row r="24" spans="1:9" ht="19.899999999999999" customHeight="1">
      <c r="A24" s="38">
        <v>44113</v>
      </c>
      <c r="B24" s="21">
        <v>3477.139893</v>
      </c>
      <c r="C24" s="3">
        <v>76.669998000000007</v>
      </c>
      <c r="D24" s="3">
        <v>155.75</v>
      </c>
      <c r="E24" s="3">
        <v>44.93</v>
      </c>
      <c r="F24" s="3">
        <v>41.639999000000003</v>
      </c>
      <c r="G24" s="3">
        <v>64.279999000000004</v>
      </c>
      <c r="H24" s="3">
        <v>61.279998999999997</v>
      </c>
      <c r="I24" s="3">
        <v>43.580002</v>
      </c>
    </row>
    <row r="25" spans="1:9" ht="19.899999999999999" customHeight="1">
      <c r="A25" s="38">
        <v>44116</v>
      </c>
      <c r="B25" s="21">
        <v>3534.219971</v>
      </c>
      <c r="C25" s="3">
        <v>79.110000999999997</v>
      </c>
      <c r="D25" s="3">
        <v>158.320007</v>
      </c>
      <c r="E25" s="3">
        <v>46.43</v>
      </c>
      <c r="F25" s="3">
        <v>42.25</v>
      </c>
      <c r="G25" s="3">
        <v>67.040001000000004</v>
      </c>
      <c r="H25" s="3">
        <v>62.560001</v>
      </c>
      <c r="I25" s="3">
        <v>45.330002</v>
      </c>
    </row>
    <row r="26" spans="1:9" ht="19.899999999999999" customHeight="1">
      <c r="A26" s="38">
        <v>44117</v>
      </c>
      <c r="B26" s="21">
        <v>3511.929932</v>
      </c>
      <c r="C26" s="3">
        <v>78.279999000000004</v>
      </c>
      <c r="D26" s="3">
        <v>156.08000200000001</v>
      </c>
      <c r="E26" s="3">
        <v>45.720001000000003</v>
      </c>
      <c r="F26" s="3">
        <v>42.099997999999999</v>
      </c>
      <c r="G26" s="3">
        <v>65.519997000000004</v>
      </c>
      <c r="H26" s="3">
        <v>62.240001999999997</v>
      </c>
      <c r="I26" s="3">
        <v>45.02</v>
      </c>
    </row>
    <row r="27" spans="1:9" ht="19.899999999999999" customHeight="1">
      <c r="A27" s="38">
        <v>44118</v>
      </c>
      <c r="B27" s="21">
        <v>3488.669922</v>
      </c>
      <c r="C27" s="3">
        <v>77.370002999999997</v>
      </c>
      <c r="D27" s="3">
        <v>155.759995</v>
      </c>
      <c r="E27" s="3">
        <v>45.360000999999997</v>
      </c>
      <c r="F27" s="3">
        <v>41.59</v>
      </c>
      <c r="G27" s="3">
        <v>64.650002000000001</v>
      </c>
      <c r="H27" s="3">
        <v>61.299999</v>
      </c>
      <c r="I27" s="3">
        <v>44.48</v>
      </c>
    </row>
    <row r="28" spans="1:9" ht="19.899999999999999" customHeight="1">
      <c r="A28" s="38">
        <v>44119</v>
      </c>
      <c r="B28" s="21">
        <v>3483.3400879999999</v>
      </c>
      <c r="C28" s="3">
        <v>77.309997999999993</v>
      </c>
      <c r="D28" s="3">
        <v>155.86000100000001</v>
      </c>
      <c r="E28" s="3">
        <v>45.709999000000003</v>
      </c>
      <c r="F28" s="3">
        <v>41.470001000000003</v>
      </c>
      <c r="G28" s="3">
        <v>65.779999000000004</v>
      </c>
      <c r="H28" s="3">
        <v>61.490001999999997</v>
      </c>
      <c r="I28" s="3">
        <v>44.919998</v>
      </c>
    </row>
    <row r="29" spans="1:9" ht="19.899999999999999" customHeight="1">
      <c r="A29" s="38">
        <v>44120</v>
      </c>
      <c r="B29" s="21">
        <v>3483.8100589999999</v>
      </c>
      <c r="C29" s="3">
        <v>77.620002999999997</v>
      </c>
      <c r="D29" s="3">
        <v>155.720001</v>
      </c>
      <c r="E29" s="3">
        <v>46.27</v>
      </c>
      <c r="F29" s="3">
        <v>41.849997999999999</v>
      </c>
      <c r="G29" s="3">
        <v>66.879997000000003</v>
      </c>
      <c r="H29" s="3">
        <v>61.650002000000001</v>
      </c>
      <c r="I29" s="3">
        <v>45.23</v>
      </c>
    </row>
    <row r="30" spans="1:9" ht="19.899999999999999" customHeight="1">
      <c r="A30" s="38">
        <v>44123</v>
      </c>
      <c r="B30" s="21">
        <v>3426.919922</v>
      </c>
      <c r="C30" s="3">
        <v>76.680000000000007</v>
      </c>
      <c r="D30" s="3">
        <v>154.520004</v>
      </c>
      <c r="E30" s="3">
        <v>45.66</v>
      </c>
      <c r="F30" s="3">
        <v>41.549999</v>
      </c>
      <c r="G30" s="3">
        <v>67.330001999999993</v>
      </c>
      <c r="H30" s="3">
        <v>61.029998999999997</v>
      </c>
      <c r="I30" s="3">
        <v>45.110000999999997</v>
      </c>
    </row>
    <row r="31" spans="1:9" ht="19.899999999999999" customHeight="1">
      <c r="A31" s="38">
        <v>44124</v>
      </c>
      <c r="B31" s="21">
        <v>3443.1201169999999</v>
      </c>
      <c r="C31" s="3">
        <v>76.519997000000004</v>
      </c>
      <c r="D31" s="3">
        <v>153.14999399999999</v>
      </c>
      <c r="E31" s="3">
        <v>46.16</v>
      </c>
      <c r="F31" s="3">
        <v>42.099997999999999</v>
      </c>
      <c r="G31" s="3">
        <v>66.470000999999996</v>
      </c>
      <c r="H31" s="3">
        <v>60.66</v>
      </c>
      <c r="I31" s="3">
        <v>45.369999</v>
      </c>
    </row>
    <row r="32" spans="1:9" ht="19.899999999999999" customHeight="1">
      <c r="A32" s="38">
        <v>44125</v>
      </c>
      <c r="B32" s="21">
        <v>3435.5600589999999</v>
      </c>
      <c r="C32" s="3">
        <v>77.139999000000003</v>
      </c>
      <c r="D32" s="3">
        <v>152.25</v>
      </c>
      <c r="E32" s="3">
        <v>46.689999</v>
      </c>
      <c r="F32" s="3">
        <v>42.57</v>
      </c>
      <c r="G32" s="3">
        <v>67.430000000000007</v>
      </c>
      <c r="H32" s="3">
        <v>61.57</v>
      </c>
      <c r="I32" s="3">
        <v>45.48</v>
      </c>
    </row>
    <row r="33" spans="1:9" ht="19.899999999999999" customHeight="1">
      <c r="A33" s="38">
        <v>44126</v>
      </c>
      <c r="B33" s="21">
        <v>3453.48999</v>
      </c>
      <c r="C33" s="3">
        <v>77.769997000000004</v>
      </c>
      <c r="D33" s="3">
        <v>153.61000100000001</v>
      </c>
      <c r="E33" s="3">
        <v>47.549999</v>
      </c>
      <c r="F33" s="3">
        <v>44</v>
      </c>
      <c r="G33" s="3">
        <v>68.610000999999997</v>
      </c>
      <c r="H33" s="3">
        <v>62.880001</v>
      </c>
      <c r="I33" s="3">
        <v>45.740001999999997</v>
      </c>
    </row>
    <row r="34" spans="1:9" ht="19.899999999999999" customHeight="1">
      <c r="A34" s="38">
        <v>44127</v>
      </c>
      <c r="B34" s="21">
        <v>3465.389893</v>
      </c>
      <c r="C34" s="3">
        <v>79.230002999999996</v>
      </c>
      <c r="D34" s="3">
        <v>154.08000200000001</v>
      </c>
      <c r="E34" s="3">
        <v>48.18</v>
      </c>
      <c r="F34" s="3">
        <v>44.5</v>
      </c>
      <c r="G34" s="3">
        <v>69.699996999999996</v>
      </c>
      <c r="H34" s="3">
        <v>64.290001000000004</v>
      </c>
      <c r="I34" s="3">
        <v>46.27</v>
      </c>
    </row>
    <row r="35" spans="1:9" ht="19.899999999999999" customHeight="1">
      <c r="A35" s="38">
        <v>44130</v>
      </c>
      <c r="B35" s="21">
        <v>3400.969971</v>
      </c>
      <c r="C35" s="3">
        <v>77.800003000000004</v>
      </c>
      <c r="D35" s="3">
        <v>154.009995</v>
      </c>
      <c r="E35" s="3">
        <v>47.34</v>
      </c>
      <c r="F35" s="3">
        <v>43.900002000000001</v>
      </c>
      <c r="G35" s="3">
        <v>68.739998</v>
      </c>
      <c r="H35" s="3">
        <v>63.540000999999997</v>
      </c>
      <c r="I35" s="3">
        <v>45.689999</v>
      </c>
    </row>
    <row r="36" spans="1:9" ht="19.899999999999999" customHeight="1">
      <c r="A36" s="38">
        <v>44131</v>
      </c>
      <c r="B36" s="21">
        <v>3390.679932</v>
      </c>
      <c r="C36" s="3">
        <v>78.089995999999999</v>
      </c>
      <c r="D36" s="3">
        <v>154.61999499999999</v>
      </c>
      <c r="E36" s="3">
        <v>47.299999</v>
      </c>
      <c r="F36" s="3">
        <v>43.459999000000003</v>
      </c>
      <c r="G36" s="3">
        <v>68.970000999999996</v>
      </c>
      <c r="H36" s="3">
        <v>63.790000999999997</v>
      </c>
      <c r="I36" s="3">
        <v>45.189999</v>
      </c>
    </row>
    <row r="37" spans="1:9" ht="19.899999999999999" customHeight="1">
      <c r="A37" s="38">
        <v>44132</v>
      </c>
      <c r="B37" s="21">
        <v>3271.030029</v>
      </c>
      <c r="C37" s="3">
        <v>75.800003000000004</v>
      </c>
      <c r="D37" s="3">
        <v>153</v>
      </c>
      <c r="E37" s="3">
        <v>45.720001000000003</v>
      </c>
      <c r="F37" s="3">
        <v>42.389999000000003</v>
      </c>
      <c r="G37" s="3">
        <v>66.819999999999993</v>
      </c>
      <c r="H37" s="3">
        <v>61.84</v>
      </c>
      <c r="I37" s="3">
        <v>43.799999</v>
      </c>
    </row>
    <row r="38" spans="1:9">
      <c r="A38" s="51"/>
      <c r="B38" s="51"/>
      <c r="C38" s="19"/>
      <c r="D38" s="19"/>
      <c r="E38" s="19"/>
      <c r="F38" s="19"/>
      <c r="G38" s="19"/>
      <c r="H38" s="19"/>
      <c r="I38" s="15"/>
    </row>
    <row r="39" spans="1:9">
      <c r="A39" s="52"/>
      <c r="B39" s="52"/>
      <c r="C39" s="3"/>
      <c r="D39" s="3"/>
      <c r="E39" s="3"/>
      <c r="F39" s="3"/>
      <c r="G39" s="3"/>
      <c r="H39" s="3"/>
    </row>
    <row r="40" spans="1:9">
      <c r="A40" s="6"/>
      <c r="B40" s="6"/>
    </row>
    <row r="41" spans="1:9" s="53" customFormat="1" ht="14.45" customHeight="1">
      <c r="A41" s="235" t="s">
        <v>91</v>
      </c>
      <c r="B41" s="235"/>
      <c r="C41" s="235"/>
      <c r="D41" s="235"/>
      <c r="E41" s="235"/>
      <c r="F41" s="235"/>
      <c r="G41" s="235"/>
      <c r="H41" s="235"/>
      <c r="I41" s="235"/>
    </row>
    <row r="42" spans="1:9">
      <c r="A42" s="6"/>
      <c r="B42" s="6"/>
    </row>
    <row r="43" spans="1:9">
      <c r="A43" s="6"/>
      <c r="B43" s="6"/>
    </row>
    <row r="44" spans="1:9">
      <c r="A44" s="6"/>
      <c r="B44" s="6"/>
    </row>
    <row r="45" spans="1:9">
      <c r="A45" s="6"/>
      <c r="B45" s="6"/>
    </row>
    <row r="46" spans="1:9">
      <c r="A46" s="6"/>
      <c r="B46" s="6"/>
    </row>
    <row r="47" spans="1:9">
      <c r="A47" s="6"/>
      <c r="B47" s="6"/>
    </row>
    <row r="48" spans="1:9">
      <c r="A48" s="6"/>
      <c r="B48" s="6"/>
    </row>
    <row r="49" spans="1:2">
      <c r="A49" s="6"/>
      <c r="B49" s="6"/>
    </row>
  </sheetData>
  <mergeCells count="1">
    <mergeCell ref="A41:I41"/>
  </mergeCells>
  <printOptions horizontalCentered="1"/>
  <pageMargins left="0.7" right="0.7" top="0.75" bottom="0.75" header="0.3" footer="0.3"/>
  <pageSetup scale="66" orientation="landscape" r:id="rId1"/>
  <headerFooter scaleWithDoc="0">
    <oddHeader>&amp;C&amp;"-,Bold"&amp;14DCF Stock and Index Prices&amp;RExhibit DJG-3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A1:K23"/>
  <sheetViews>
    <sheetView zoomScaleNormal="100" workbookViewId="0"/>
  </sheetViews>
  <sheetFormatPr defaultColWidth="8.85546875" defaultRowHeight="15"/>
  <cols>
    <col min="1" max="1" width="31.85546875" customWidth="1"/>
    <col min="2" max="2" width="2.7109375" customWidth="1"/>
    <col min="3" max="3" width="7.7109375" bestFit="1" customWidth="1"/>
    <col min="4" max="4" width="2.7109375" customWidth="1"/>
    <col min="5" max="5" width="11.7109375" customWidth="1"/>
    <col min="6" max="6" width="2.7109375" customWidth="1"/>
    <col min="7" max="7" width="11.7109375" customWidth="1"/>
    <col min="8" max="8" width="2.7109375" customWidth="1"/>
    <col min="9" max="9" width="11.7109375" customWidth="1"/>
  </cols>
  <sheetData>
    <row r="1" spans="1:11" ht="18.75">
      <c r="A1" s="222"/>
      <c r="B1" s="222"/>
      <c r="C1" s="222"/>
      <c r="D1" s="222"/>
      <c r="E1" s="222"/>
      <c r="F1" s="222"/>
      <c r="G1" s="222"/>
      <c r="H1" s="222"/>
      <c r="I1" s="222"/>
    </row>
    <row r="3" spans="1:11" ht="19.899999999999999" customHeight="1">
      <c r="E3" s="1" t="s">
        <v>3</v>
      </c>
      <c r="F3" s="1"/>
      <c r="G3" s="1" t="s">
        <v>4</v>
      </c>
      <c r="H3" s="1"/>
      <c r="I3" s="1" t="s">
        <v>5</v>
      </c>
    </row>
    <row r="4" spans="1:11" ht="19.899999999999999" customHeight="1">
      <c r="E4" s="1"/>
      <c r="F4" s="1"/>
      <c r="G4" s="1"/>
      <c r="H4" s="1"/>
      <c r="I4" s="1"/>
    </row>
    <row r="5" spans="1:11" ht="19.899999999999999" customHeight="1">
      <c r="C5" s="1"/>
      <c r="D5" s="1"/>
      <c r="E5" s="1"/>
      <c r="F5" s="1"/>
      <c r="G5" s="1" t="s">
        <v>94</v>
      </c>
      <c r="H5" s="1"/>
      <c r="I5" s="1" t="s">
        <v>57</v>
      </c>
    </row>
    <row r="6" spans="1:11" ht="19.899999999999999" customHeight="1">
      <c r="A6" s="2" t="s">
        <v>0</v>
      </c>
      <c r="B6" s="1"/>
      <c r="C6" s="2" t="s">
        <v>1</v>
      </c>
      <c r="D6" s="1"/>
      <c r="E6" s="144" t="s">
        <v>57</v>
      </c>
      <c r="F6" s="5"/>
      <c r="G6" s="144" t="s">
        <v>2</v>
      </c>
      <c r="H6" s="5"/>
      <c r="I6" s="144" t="s">
        <v>93</v>
      </c>
    </row>
    <row r="7" spans="1:11" ht="19.899999999999999" customHeight="1">
      <c r="A7" s="1"/>
      <c r="B7" s="1"/>
      <c r="C7" s="1"/>
      <c r="D7" s="1"/>
      <c r="E7" s="5"/>
      <c r="F7" s="5"/>
      <c r="G7" s="5"/>
      <c r="H7" s="5"/>
      <c r="I7" s="5"/>
    </row>
    <row r="8" spans="1:11" ht="19.899999999999999" customHeight="1">
      <c r="A8" t="str">
        <f>'2 Proxy Sum'!A4</f>
        <v>American States Water Co</v>
      </c>
      <c r="C8" s="39" t="str">
        <f>'2 Proxy Sum'!C4</f>
        <v>AWR</v>
      </c>
      <c r="D8" s="1"/>
      <c r="E8" s="86">
        <v>0.33500000000000002</v>
      </c>
      <c r="F8" s="71"/>
      <c r="G8" s="70">
        <f>'3 Stock Price'!C5</f>
        <v>75.848333000000011</v>
      </c>
      <c r="H8" s="8"/>
      <c r="I8" s="22">
        <f>E8/G8</f>
        <v>4.4167088022883765E-3</v>
      </c>
      <c r="K8" s="214"/>
    </row>
    <row r="9" spans="1:11" s="162" customFormat="1" ht="19.899999999999999" customHeight="1">
      <c r="A9" s="162" t="str">
        <f>'2 Proxy Sum'!A5</f>
        <v>American Water Works Co Inc</v>
      </c>
      <c r="C9" s="39" t="str">
        <f>'2 Proxy Sum'!C5</f>
        <v>AWK</v>
      </c>
      <c r="D9" s="164"/>
      <c r="E9" s="86">
        <v>0.55000000000000004</v>
      </c>
      <c r="F9" s="71"/>
      <c r="G9" s="70">
        <f>'3 Stock Price'!D5</f>
        <v>149.80866753333333</v>
      </c>
      <c r="H9" s="8"/>
      <c r="I9" s="150">
        <f t="shared" ref="I9:I13" si="0">E9/G9</f>
        <v>3.6713496559044002E-3</v>
      </c>
      <c r="K9" s="214"/>
    </row>
    <row r="10" spans="1:11" s="162" customFormat="1" ht="19.899999999999999" customHeight="1">
      <c r="A10" s="162" t="str">
        <f>'2 Proxy Sum'!A6</f>
        <v>California Water Service Gp</v>
      </c>
      <c r="C10" s="39" t="str">
        <f>'2 Proxy Sum'!C6</f>
        <v>CWT</v>
      </c>
      <c r="D10" s="164"/>
      <c r="E10" s="86">
        <v>0.21299999999999999</v>
      </c>
      <c r="F10" s="71"/>
      <c r="G10" s="70">
        <f>'3 Stock Price'!E5</f>
        <v>44.829666599999996</v>
      </c>
      <c r="H10" s="8"/>
      <c r="I10" s="150">
        <f t="shared" si="0"/>
        <v>4.7513179587197734E-3</v>
      </c>
      <c r="K10" s="214"/>
    </row>
    <row r="11" spans="1:11" s="221" customFormat="1" ht="19.899999999999999" customHeight="1">
      <c r="A11" s="221" t="str">
        <f>'2 Proxy Sum'!A7</f>
        <v>Essential Utilities, Inc.</v>
      </c>
      <c r="C11" s="39" t="str">
        <f>'2 Proxy Sum'!C7</f>
        <v>WTRG</v>
      </c>
      <c r="D11" s="223"/>
      <c r="E11" s="86">
        <v>0.251</v>
      </c>
      <c r="F11" s="71"/>
      <c r="G11" s="70">
        <f>'3 Stock Price'!F5</f>
        <v>41.275999633333335</v>
      </c>
      <c r="H11" s="8"/>
      <c r="I11" s="150">
        <f t="shared" si="0"/>
        <v>6.081015656306467E-3</v>
      </c>
      <c r="K11" s="214"/>
    </row>
    <row r="12" spans="1:11" s="162" customFormat="1" ht="19.899999999999999" customHeight="1">
      <c r="A12" s="162" t="str">
        <f>'2 Proxy Sum'!A8</f>
        <v>Middlesex Water Co</v>
      </c>
      <c r="C12" s="39" t="str">
        <f>'2 Proxy Sum'!C8</f>
        <v>MSEX</v>
      </c>
      <c r="D12" s="164"/>
      <c r="E12" s="86">
        <v>0.27250000000000002</v>
      </c>
      <c r="F12" s="71"/>
      <c r="G12" s="70">
        <f>'3 Stock Price'!G5</f>
        <v>64.538999599999997</v>
      </c>
      <c r="H12" s="8"/>
      <c r="I12" s="150">
        <f t="shared" si="0"/>
        <v>4.2222532374053103E-3</v>
      </c>
      <c r="K12" s="214"/>
    </row>
    <row r="13" spans="1:11" s="162" customFormat="1" ht="19.899999999999999" customHeight="1">
      <c r="A13" s="162" t="str">
        <f>'2 Proxy Sum'!A9</f>
        <v>SJW Group</v>
      </c>
      <c r="C13" s="39" t="str">
        <f>'2 Proxy Sum'!C9</f>
        <v>SJW</v>
      </c>
      <c r="D13" s="164"/>
      <c r="E13" s="86">
        <v>0.32</v>
      </c>
      <c r="F13" s="71"/>
      <c r="G13" s="70">
        <f>'3 Stock Price'!H5</f>
        <v>61.417333566666684</v>
      </c>
      <c r="H13" s="8"/>
      <c r="I13" s="150">
        <f t="shared" si="0"/>
        <v>5.2102554998199255E-3</v>
      </c>
      <c r="K13" s="214"/>
    </row>
    <row r="14" spans="1:11" ht="19.899999999999999" customHeight="1">
      <c r="A14" s="15" t="str">
        <f>'2 Proxy Sum'!A10</f>
        <v>York Water Co</v>
      </c>
      <c r="C14" s="39" t="str">
        <f>'2 Proxy Sum'!C10</f>
        <v>YORW</v>
      </c>
      <c r="D14" s="1"/>
      <c r="E14" s="87">
        <v>0.1802</v>
      </c>
      <c r="F14" s="71"/>
      <c r="G14" s="74">
        <f>'3 Stock Price'!I5</f>
        <v>43.694901466666664</v>
      </c>
      <c r="H14" s="8"/>
      <c r="I14" s="17">
        <f t="shared" ref="I14" si="1">E14/G14</f>
        <v>4.1240509522024755E-3</v>
      </c>
      <c r="K14" s="214"/>
    </row>
    <row r="15" spans="1:11" ht="19.899999999999999" customHeight="1">
      <c r="C15" s="1"/>
      <c r="D15" s="1"/>
      <c r="E15" s="69"/>
      <c r="F15" s="71"/>
      <c r="G15" s="70"/>
      <c r="H15" s="8"/>
      <c r="I15" s="9"/>
    </row>
    <row r="16" spans="1:11">
      <c r="A16" s="13" t="s">
        <v>65</v>
      </c>
      <c r="B16" s="13"/>
      <c r="C16" s="1"/>
      <c r="D16" s="1"/>
      <c r="E16" s="75">
        <f>AVERAGE(E8:E14)</f>
        <v>0.30310000000000004</v>
      </c>
      <c r="F16" s="72"/>
      <c r="G16" s="75">
        <f>AVERAGE(G8:G14)</f>
        <v>68.773414485714298</v>
      </c>
      <c r="H16" s="72"/>
      <c r="I16" s="26">
        <f>AVERAGE(I8:I14)</f>
        <v>4.6395645375209614E-3</v>
      </c>
    </row>
    <row r="17" spans="1:9">
      <c r="A17" s="48"/>
      <c r="B17" s="48"/>
      <c r="C17" s="2"/>
      <c r="D17" s="2"/>
      <c r="E17" s="54"/>
      <c r="F17" s="54"/>
      <c r="G17" s="55"/>
      <c r="H17" s="55"/>
      <c r="I17" s="56"/>
    </row>
    <row r="18" spans="1:9">
      <c r="A18" s="13"/>
      <c r="B18" s="13"/>
      <c r="C18" s="1"/>
      <c r="D18" s="1"/>
      <c r="E18" s="7"/>
      <c r="F18" s="7"/>
      <c r="G18" s="8"/>
      <c r="H18" s="8"/>
      <c r="I18" s="9"/>
    </row>
    <row r="19" spans="1:9" s="53" customFormat="1" ht="14.45" customHeight="1">
      <c r="A19"/>
      <c r="B19"/>
      <c r="C19"/>
      <c r="D19"/>
      <c r="E19"/>
      <c r="F19"/>
      <c r="G19"/>
      <c r="H19"/>
      <c r="I19"/>
    </row>
    <row r="20" spans="1:9" s="53" customFormat="1" ht="14.45" customHeight="1">
      <c r="A20" s="234" t="s">
        <v>216</v>
      </c>
      <c r="B20" s="234"/>
      <c r="C20" s="234"/>
      <c r="D20" s="234"/>
      <c r="E20" s="234"/>
      <c r="F20" s="234"/>
      <c r="G20" s="234"/>
      <c r="H20" s="234"/>
      <c r="I20" s="234"/>
    </row>
    <row r="21" spans="1:9" s="53" customFormat="1" ht="14.45" customHeight="1">
      <c r="A21" s="237" t="s">
        <v>215</v>
      </c>
      <c r="B21" s="237"/>
      <c r="C21" s="237"/>
      <c r="D21" s="237"/>
      <c r="E21" s="237"/>
      <c r="F21" s="237"/>
      <c r="G21" s="237"/>
      <c r="H21" s="237"/>
      <c r="I21" s="237"/>
    </row>
    <row r="22" spans="1:9">
      <c r="A22" s="234" t="s">
        <v>217</v>
      </c>
      <c r="B22" s="234"/>
      <c r="C22" s="234"/>
      <c r="D22" s="234"/>
      <c r="E22" s="234"/>
      <c r="F22" s="234"/>
      <c r="G22" s="234"/>
      <c r="H22" s="234"/>
      <c r="I22" s="234"/>
    </row>
    <row r="23" spans="1:9">
      <c r="A23" s="236"/>
      <c r="B23" s="236"/>
      <c r="C23" s="236"/>
      <c r="D23" s="236"/>
      <c r="E23" s="236"/>
      <c r="F23" s="236"/>
      <c r="G23" s="236"/>
      <c r="H23" s="236"/>
      <c r="I23" s="236"/>
    </row>
  </sheetData>
  <sortState xmlns:xlrd2="http://schemas.microsoft.com/office/spreadsheetml/2017/richdata2" ref="A8:L18">
    <sortCondition ref="A8"/>
  </sortState>
  <mergeCells count="4">
    <mergeCell ref="A23:I23"/>
    <mergeCell ref="A20:I20"/>
    <mergeCell ref="A21:I21"/>
    <mergeCell ref="A22:I22"/>
  </mergeCells>
  <printOptions horizontalCentered="1"/>
  <pageMargins left="0.7" right="0.7" top="0.75" bottom="0.75" header="0.3" footer="0.3"/>
  <pageSetup orientation="portrait" r:id="rId1"/>
  <headerFooter scaleWithDoc="0">
    <oddHeader>&amp;C&amp;"-,Bold"&amp;14DCF Dividend Yields&amp;RExhibit DJG-4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D17"/>
  <sheetViews>
    <sheetView workbookViewId="0"/>
  </sheetViews>
  <sheetFormatPr defaultRowHeight="15"/>
  <cols>
    <col min="1" max="1" width="30.85546875" bestFit="1" customWidth="1"/>
    <col min="2" max="2" width="2.7109375" customWidth="1"/>
    <col min="3" max="3" width="12.7109375" customWidth="1"/>
    <col min="4" max="4" width="5" customWidth="1"/>
  </cols>
  <sheetData>
    <row r="1" spans="1:4">
      <c r="A1" s="217"/>
      <c r="B1" s="217"/>
      <c r="C1" s="217"/>
      <c r="D1" s="15"/>
    </row>
    <row r="3" spans="1:4">
      <c r="A3" s="194" t="s">
        <v>132</v>
      </c>
      <c r="B3" s="1"/>
      <c r="C3" s="194" t="s">
        <v>18</v>
      </c>
    </row>
    <row r="5" spans="1:4">
      <c r="A5" t="s">
        <v>92</v>
      </c>
      <c r="B5" s="1"/>
      <c r="C5" s="16">
        <v>3.9E-2</v>
      </c>
      <c r="D5" s="1" t="s">
        <v>3</v>
      </c>
    </row>
    <row r="6" spans="1:4">
      <c r="B6" s="1"/>
      <c r="C6" s="16"/>
      <c r="D6" s="1"/>
    </row>
    <row r="7" spans="1:4" s="210" customFormat="1">
      <c r="A7" s="210" t="s">
        <v>246</v>
      </c>
      <c r="B7" s="211"/>
      <c r="C7" s="16">
        <v>1.9E-2</v>
      </c>
      <c r="D7" s="211" t="s">
        <v>4</v>
      </c>
    </row>
    <row r="8" spans="1:4" s="210" customFormat="1">
      <c r="B8" s="211"/>
      <c r="C8" s="16"/>
      <c r="D8" s="211"/>
    </row>
    <row r="9" spans="1:4">
      <c r="A9" t="s">
        <v>95</v>
      </c>
      <c r="B9" s="1"/>
      <c r="C9" s="16">
        <v>0.02</v>
      </c>
      <c r="D9" s="1" t="s">
        <v>5</v>
      </c>
    </row>
    <row r="10" spans="1:4" s="154" customFormat="1">
      <c r="B10" s="155"/>
      <c r="C10" s="16"/>
      <c r="D10" s="155"/>
    </row>
    <row r="11" spans="1:4">
      <c r="A11" s="15" t="s">
        <v>71</v>
      </c>
      <c r="B11" s="1"/>
      <c r="C11" s="88">
        <f>'7 Risk Free Rate'!E35</f>
        <v>1.512E-2</v>
      </c>
      <c r="D11" s="1" t="s">
        <v>6</v>
      </c>
    </row>
    <row r="12" spans="1:4">
      <c r="C12" s="148"/>
    </row>
    <row r="13" spans="1:4">
      <c r="A13" s="13" t="s">
        <v>105</v>
      </c>
      <c r="C13" s="149">
        <f>MAX(C5:C11)</f>
        <v>3.9E-2</v>
      </c>
    </row>
    <row r="14" spans="1:4">
      <c r="A14" s="15"/>
      <c r="B14" s="15"/>
      <c r="C14" s="15"/>
      <c r="D14" s="15"/>
    </row>
    <row r="16" spans="1:4">
      <c r="A16" s="234" t="s">
        <v>247</v>
      </c>
      <c r="B16" s="234"/>
      <c r="C16" s="234"/>
      <c r="D16" s="234"/>
    </row>
    <row r="17" spans="1:4">
      <c r="A17" s="237" t="s">
        <v>248</v>
      </c>
      <c r="B17" s="237"/>
      <c r="C17" s="237"/>
      <c r="D17" s="237"/>
    </row>
  </sheetData>
  <mergeCells count="2">
    <mergeCell ref="A16:D16"/>
    <mergeCell ref="A17:D17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&amp;C&amp;"-,Bold"&amp;14DCF Terminal Growth Rate Determinants&amp;RExhibit DJG-5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L14"/>
  <sheetViews>
    <sheetView workbookViewId="0"/>
  </sheetViews>
  <sheetFormatPr defaultRowHeight="15"/>
  <cols>
    <col min="1" max="1" width="11.7109375" customWidth="1"/>
    <col min="2" max="2" width="2.7109375" customWidth="1"/>
    <col min="3" max="3" width="11.7109375" customWidth="1"/>
    <col min="4" max="4" width="2.7109375" customWidth="1"/>
    <col min="5" max="5" width="13" customWidth="1"/>
    <col min="6" max="7" width="2.7109375" customWidth="1"/>
    <col min="8" max="8" width="11.7109375" customWidth="1"/>
  </cols>
  <sheetData>
    <row r="1" spans="1:12">
      <c r="A1" s="15"/>
      <c r="B1" s="15"/>
      <c r="C1" s="15"/>
      <c r="D1" s="15"/>
      <c r="E1" s="15"/>
      <c r="F1" s="15"/>
      <c r="G1" s="15"/>
      <c r="H1" s="15"/>
    </row>
    <row r="3" spans="1:12">
      <c r="A3" s="1" t="s">
        <v>3</v>
      </c>
      <c r="C3" s="1" t="s">
        <v>4</v>
      </c>
      <c r="D3" s="1"/>
      <c r="E3" s="1" t="s">
        <v>5</v>
      </c>
      <c r="F3" s="1"/>
      <c r="G3" s="1"/>
      <c r="H3" s="1" t="s">
        <v>6</v>
      </c>
    </row>
    <row r="5" spans="1:12">
      <c r="A5" s="1" t="s">
        <v>57</v>
      </c>
      <c r="B5" s="1"/>
      <c r="C5" s="1" t="s">
        <v>58</v>
      </c>
      <c r="D5" s="1"/>
      <c r="E5" s="1" t="s">
        <v>29</v>
      </c>
      <c r="F5" s="40"/>
      <c r="G5" s="1"/>
      <c r="H5" s="13" t="s">
        <v>87</v>
      </c>
      <c r="J5" s="14"/>
    </row>
    <row r="6" spans="1:12" ht="18">
      <c r="A6" s="4" t="s">
        <v>59</v>
      </c>
      <c r="B6" s="5"/>
      <c r="C6" s="4" t="s">
        <v>60</v>
      </c>
      <c r="D6" s="5"/>
      <c r="E6" s="4" t="s">
        <v>61</v>
      </c>
      <c r="F6" s="25"/>
      <c r="G6" s="5"/>
      <c r="H6" s="76" t="s">
        <v>84</v>
      </c>
    </row>
    <row r="7" spans="1:12">
      <c r="A7" s="5"/>
      <c r="B7" s="5"/>
      <c r="C7" s="5"/>
      <c r="D7" s="5"/>
      <c r="E7" s="5"/>
      <c r="F7" s="25"/>
      <c r="G7" s="5"/>
      <c r="H7" s="5"/>
    </row>
    <row r="8" spans="1:12">
      <c r="A8" s="77">
        <f>'4 Div Yields'!E16</f>
        <v>0.30310000000000004</v>
      </c>
      <c r="B8" s="71"/>
      <c r="C8" s="77">
        <f>'4 Div Yields'!G16</f>
        <v>68.773414485714298</v>
      </c>
      <c r="D8" s="78"/>
      <c r="E8" s="28">
        <f>'5 Growth Determinants'!C13</f>
        <v>3.9E-2</v>
      </c>
      <c r="F8" s="73"/>
      <c r="G8" s="37"/>
      <c r="H8" s="231">
        <f t="shared" ref="H8" si="0">(A8*(1+E8)^0.25/C8+(1+E8)^0.25)^4-1</f>
        <v>5.7437875596177967E-2</v>
      </c>
      <c r="K8" s="232"/>
    </row>
    <row r="9" spans="1:12">
      <c r="A9" s="15"/>
      <c r="B9" s="15"/>
      <c r="C9" s="15"/>
      <c r="D9" s="15"/>
      <c r="E9" s="15"/>
      <c r="F9" s="15"/>
      <c r="G9" s="15"/>
      <c r="H9" s="15"/>
    </row>
    <row r="10" spans="1:12">
      <c r="K10" s="12"/>
    </row>
    <row r="11" spans="1:12">
      <c r="A11" s="237" t="s">
        <v>218</v>
      </c>
      <c r="B11" s="237"/>
      <c r="C11" s="237"/>
      <c r="D11" s="237"/>
      <c r="E11" s="237"/>
      <c r="F11" s="237"/>
      <c r="G11" s="237"/>
      <c r="H11" s="237"/>
      <c r="J11" s="214"/>
      <c r="K11" s="14"/>
    </row>
    <row r="12" spans="1:12">
      <c r="A12" s="237" t="s">
        <v>219</v>
      </c>
      <c r="B12" s="237"/>
      <c r="C12" s="237"/>
      <c r="D12" s="237"/>
      <c r="E12" s="237"/>
      <c r="F12" s="237"/>
      <c r="G12" s="237"/>
      <c r="H12" s="237"/>
    </row>
    <row r="13" spans="1:12">
      <c r="A13" s="237" t="s">
        <v>220</v>
      </c>
      <c r="B13" s="237"/>
      <c r="C13" s="237"/>
      <c r="D13" s="237"/>
      <c r="E13" s="237"/>
      <c r="F13" s="237"/>
      <c r="G13" s="237"/>
      <c r="H13" s="237"/>
    </row>
    <row r="14" spans="1:12">
      <c r="A14" s="234" t="s">
        <v>104</v>
      </c>
      <c r="B14" s="234"/>
      <c r="C14" s="234"/>
      <c r="D14" s="234"/>
      <c r="E14" s="234"/>
      <c r="F14" s="234"/>
      <c r="G14" s="234"/>
      <c r="H14" s="234"/>
      <c r="I14" s="53"/>
      <c r="J14" s="53"/>
      <c r="K14" s="53"/>
      <c r="L14" s="53"/>
    </row>
  </sheetData>
  <mergeCells count="4">
    <mergeCell ref="A11:H11"/>
    <mergeCell ref="A12:H12"/>
    <mergeCell ref="A13:H13"/>
    <mergeCell ref="A14:H14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&amp;C&amp;"-,Bold"&amp;14DCF Final Results&amp;RExhibit DJG-6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H40"/>
  <sheetViews>
    <sheetView zoomScaleNormal="100" workbookViewId="0"/>
  </sheetViews>
  <sheetFormatPr defaultRowHeight="15"/>
  <cols>
    <col min="1" max="2" width="8.85546875"/>
    <col min="3" max="3" width="12.42578125" customWidth="1"/>
    <col min="4" max="4" width="2.7109375" customWidth="1"/>
    <col min="5" max="5" width="11.42578125" customWidth="1"/>
    <col min="7" max="7" width="10.7109375" bestFit="1" customWidth="1"/>
  </cols>
  <sheetData>
    <row r="1" spans="1:8">
      <c r="A1" s="217"/>
      <c r="B1" s="217"/>
      <c r="C1" s="15"/>
      <c r="D1" s="15"/>
      <c r="E1" s="15"/>
      <c r="F1" s="15"/>
      <c r="G1" s="15"/>
    </row>
    <row r="3" spans="1:8">
      <c r="C3" s="156" t="s">
        <v>10</v>
      </c>
      <c r="D3" s="1"/>
      <c r="E3" s="156" t="s">
        <v>18</v>
      </c>
    </row>
    <row r="4" spans="1:8">
      <c r="C4" s="38">
        <v>44090</v>
      </c>
      <c r="D4" s="38"/>
      <c r="E4" s="22">
        <v>1.4499999999999999E-2</v>
      </c>
      <c r="G4" s="38"/>
      <c r="H4" s="38"/>
    </row>
    <row r="5" spans="1:8">
      <c r="C5" s="38">
        <v>44091</v>
      </c>
      <c r="D5" s="38"/>
      <c r="E5" s="146">
        <v>1.43E-2</v>
      </c>
      <c r="G5" s="38"/>
      <c r="H5" s="38"/>
    </row>
    <row r="6" spans="1:8">
      <c r="C6" s="38">
        <v>44092</v>
      </c>
      <c r="D6" s="38"/>
      <c r="E6" s="146">
        <v>1.4499999999999999E-2</v>
      </c>
      <c r="G6" s="38"/>
      <c r="H6" s="38"/>
    </row>
    <row r="7" spans="1:8">
      <c r="C7" s="38">
        <v>44095</v>
      </c>
      <c r="D7" s="38"/>
      <c r="E7" s="146">
        <v>1.43E-2</v>
      </c>
      <c r="G7" s="38"/>
      <c r="H7" s="38"/>
    </row>
    <row r="8" spans="1:8">
      <c r="C8" s="38">
        <v>44096</v>
      </c>
      <c r="D8" s="38"/>
      <c r="E8" s="146">
        <v>1.4199999999999999E-2</v>
      </c>
      <c r="G8" s="38"/>
      <c r="H8" s="38"/>
    </row>
    <row r="9" spans="1:8">
      <c r="C9" s="38">
        <v>44097</v>
      </c>
      <c r="D9" s="38"/>
      <c r="E9" s="146">
        <v>1.4199999999999999E-2</v>
      </c>
      <c r="G9" s="38"/>
      <c r="H9" s="38"/>
    </row>
    <row r="10" spans="1:8">
      <c r="C10" s="38">
        <v>44098</v>
      </c>
      <c r="D10" s="38"/>
      <c r="E10" s="146">
        <v>1.3999999999999999E-2</v>
      </c>
      <c r="G10" s="38"/>
      <c r="H10" s="38"/>
    </row>
    <row r="11" spans="1:8">
      <c r="C11" s="38">
        <v>44099</v>
      </c>
      <c r="D11" s="38"/>
      <c r="E11" s="146">
        <v>1.3999999999999999E-2</v>
      </c>
      <c r="G11" s="38"/>
      <c r="H11" s="38"/>
    </row>
    <row r="12" spans="1:8">
      <c r="C12" s="38">
        <v>44102</v>
      </c>
      <c r="D12" s="38"/>
      <c r="E12" s="146">
        <v>1.4199999999999999E-2</v>
      </c>
      <c r="G12" s="38"/>
      <c r="H12" s="38"/>
    </row>
    <row r="13" spans="1:8">
      <c r="C13" s="38">
        <v>44103</v>
      </c>
      <c r="D13" s="38"/>
      <c r="E13" s="146">
        <v>1.41E-2</v>
      </c>
      <c r="G13" s="38"/>
      <c r="H13" s="38"/>
    </row>
    <row r="14" spans="1:8">
      <c r="C14" s="38">
        <v>44104</v>
      </c>
      <c r="D14" s="38"/>
      <c r="E14" s="146">
        <v>1.46E-2</v>
      </c>
      <c r="G14" s="38"/>
      <c r="H14" s="38"/>
    </row>
    <row r="15" spans="1:8">
      <c r="C15" s="38">
        <v>44105</v>
      </c>
      <c r="D15" s="38"/>
      <c r="E15" s="146">
        <v>1.4499999999999999E-2</v>
      </c>
      <c r="G15" s="38"/>
      <c r="H15" s="38"/>
    </row>
    <row r="16" spans="1:8">
      <c r="C16" s="38">
        <v>44106</v>
      </c>
      <c r="D16" s="38"/>
      <c r="E16" s="146">
        <v>1.4800000000000001E-2</v>
      </c>
      <c r="G16" s="38"/>
      <c r="H16" s="38"/>
    </row>
    <row r="17" spans="3:8">
      <c r="C17" s="38">
        <v>44109</v>
      </c>
      <c r="D17" s="38"/>
      <c r="E17" s="146">
        <v>1.5700000000000002E-2</v>
      </c>
      <c r="G17" s="38"/>
      <c r="H17" s="38"/>
    </row>
    <row r="18" spans="3:8">
      <c r="C18" s="38">
        <v>44110</v>
      </c>
      <c r="D18" s="38"/>
      <c r="E18" s="146">
        <v>1.5600000000000001E-2</v>
      </c>
      <c r="G18" s="38"/>
      <c r="H18" s="38"/>
    </row>
    <row r="19" spans="3:8">
      <c r="C19" s="38">
        <v>44111</v>
      </c>
      <c r="D19" s="38"/>
      <c r="E19" s="146">
        <v>1.6E-2</v>
      </c>
      <c r="G19" s="38"/>
      <c r="H19" s="38"/>
    </row>
    <row r="20" spans="3:8">
      <c r="C20" s="38">
        <v>44112</v>
      </c>
      <c r="D20" s="38"/>
      <c r="E20" s="146">
        <v>1.5700000000000002E-2</v>
      </c>
      <c r="G20" s="38"/>
      <c r="H20" s="38"/>
    </row>
    <row r="21" spans="3:8">
      <c r="C21" s="38">
        <v>44113</v>
      </c>
      <c r="D21" s="38"/>
      <c r="E21" s="146">
        <v>1.5800000000000002E-2</v>
      </c>
      <c r="G21" s="38"/>
      <c r="H21" s="38"/>
    </row>
    <row r="22" spans="3:8">
      <c r="C22" s="38">
        <v>44117</v>
      </c>
      <c r="D22" s="38"/>
      <c r="E22" s="146">
        <v>1.52E-2</v>
      </c>
      <c r="G22" s="38"/>
      <c r="H22" s="38"/>
    </row>
    <row r="23" spans="3:8">
      <c r="C23" s="38">
        <v>44118</v>
      </c>
      <c r="D23" s="38"/>
      <c r="E23" s="146">
        <v>1.4999999999999999E-2</v>
      </c>
      <c r="G23" s="38"/>
      <c r="H23" s="38"/>
    </row>
    <row r="24" spans="3:8">
      <c r="C24" s="38">
        <v>44119</v>
      </c>
      <c r="D24" s="38"/>
      <c r="E24" s="146">
        <v>1.52E-2</v>
      </c>
      <c r="G24" s="38"/>
      <c r="H24" s="38"/>
    </row>
    <row r="25" spans="3:8">
      <c r="C25" s="38">
        <v>44120</v>
      </c>
      <c r="D25" s="38"/>
      <c r="E25" s="146">
        <v>1.52E-2</v>
      </c>
      <c r="G25" s="38"/>
      <c r="H25" s="38"/>
    </row>
    <row r="26" spans="3:8">
      <c r="C26" s="38">
        <v>44123</v>
      </c>
      <c r="D26" s="38"/>
      <c r="E26" s="146">
        <v>1.55E-2</v>
      </c>
      <c r="G26" s="38"/>
      <c r="H26" s="38"/>
    </row>
    <row r="27" spans="3:8">
      <c r="C27" s="38">
        <v>44124</v>
      </c>
      <c r="D27" s="38"/>
      <c r="E27" s="146">
        <v>1.6E-2</v>
      </c>
      <c r="G27" s="38"/>
      <c r="H27" s="38"/>
    </row>
    <row r="28" spans="3:8">
      <c r="C28" s="38">
        <v>44125</v>
      </c>
      <c r="D28" s="38"/>
      <c r="E28" s="146">
        <v>1.6200000000000003E-2</v>
      </c>
      <c r="G28" s="38"/>
      <c r="H28" s="38"/>
    </row>
    <row r="29" spans="3:8">
      <c r="C29" s="38">
        <v>44126</v>
      </c>
      <c r="D29" s="38"/>
      <c r="E29" s="146">
        <v>1.67E-2</v>
      </c>
      <c r="G29" s="38"/>
      <c r="H29" s="38"/>
    </row>
    <row r="30" spans="3:8">
      <c r="C30" s="38">
        <v>44127</v>
      </c>
      <c r="D30" s="38"/>
      <c r="E30" s="146">
        <v>1.6399999999999998E-2</v>
      </c>
      <c r="G30" s="38"/>
      <c r="H30" s="38"/>
    </row>
    <row r="31" spans="3:8">
      <c r="C31" s="38">
        <v>44130</v>
      </c>
      <c r="D31" s="38"/>
      <c r="E31" s="146">
        <v>1.5900000000000001E-2</v>
      </c>
      <c r="G31" s="38"/>
      <c r="H31" s="38"/>
    </row>
    <row r="32" spans="3:8">
      <c r="C32" s="38">
        <v>44131</v>
      </c>
      <c r="D32" s="38"/>
      <c r="E32" s="146">
        <v>1.5700000000000002E-2</v>
      </c>
      <c r="G32" s="38"/>
      <c r="H32" s="38"/>
    </row>
    <row r="33" spans="1:8">
      <c r="C33" s="45">
        <v>44132</v>
      </c>
      <c r="D33" s="38"/>
      <c r="E33" s="17">
        <v>1.5600000000000001E-2</v>
      </c>
      <c r="G33" s="38"/>
      <c r="H33" s="38"/>
    </row>
    <row r="34" spans="1:8">
      <c r="E34" s="1"/>
    </row>
    <row r="35" spans="1:8">
      <c r="C35" s="13" t="s">
        <v>65</v>
      </c>
      <c r="D35" s="13"/>
      <c r="E35" s="26">
        <f>AVERAGE(E4:E33)</f>
        <v>1.512E-2</v>
      </c>
    </row>
    <row r="36" spans="1:8">
      <c r="A36" s="15"/>
      <c r="B36" s="15"/>
      <c r="C36" s="48"/>
      <c r="D36" s="48"/>
      <c r="E36" s="57"/>
      <c r="F36" s="15"/>
      <c r="G36" s="15"/>
    </row>
    <row r="39" spans="1:8" s="53" customFormat="1" ht="28.15" customHeight="1">
      <c r="A39" s="238" t="s">
        <v>221</v>
      </c>
      <c r="B39" s="238"/>
      <c r="C39" s="238"/>
      <c r="D39" s="238"/>
      <c r="E39" s="238"/>
      <c r="F39" s="238"/>
      <c r="G39" s="238"/>
    </row>
    <row r="40" spans="1:8">
      <c r="A40" s="238"/>
      <c r="B40" s="238"/>
      <c r="C40" s="238"/>
      <c r="D40" s="238"/>
      <c r="E40" s="238"/>
      <c r="F40" s="238"/>
      <c r="G40" s="238"/>
    </row>
  </sheetData>
  <sortState xmlns:xlrd2="http://schemas.microsoft.com/office/spreadsheetml/2017/richdata2" ref="H4:H33">
    <sortCondition ref="H4"/>
  </sortState>
  <mergeCells count="1">
    <mergeCell ref="A39:G40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&amp;C&amp;"-,Bold"&amp;14CAPM Risk-Free Rate&amp;RExhibit DJG-7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E17"/>
  <sheetViews>
    <sheetView zoomScaleNormal="100" workbookViewId="0"/>
  </sheetViews>
  <sheetFormatPr defaultRowHeight="15"/>
  <cols>
    <col min="1" max="1" width="41.5703125" bestFit="1" customWidth="1"/>
    <col min="2" max="2" width="2.7109375" customWidth="1"/>
    <col min="3" max="3" width="7.7109375" bestFit="1" customWidth="1"/>
    <col min="4" max="4" width="2.7109375" customWidth="1"/>
    <col min="5" max="5" width="13.7109375" customWidth="1"/>
  </cols>
  <sheetData>
    <row r="1" spans="1:5">
      <c r="A1" s="15"/>
      <c r="B1" s="15"/>
      <c r="C1" s="15"/>
      <c r="D1" s="15"/>
      <c r="E1" s="15"/>
    </row>
    <row r="2" spans="1:5" ht="19.899999999999999" customHeight="1"/>
    <row r="3" spans="1:5" ht="19.899999999999999" customHeight="1">
      <c r="A3" s="2" t="s">
        <v>0</v>
      </c>
      <c r="B3" s="1"/>
      <c r="C3" s="2" t="s">
        <v>1</v>
      </c>
      <c r="D3" s="1"/>
      <c r="E3" s="144" t="s">
        <v>52</v>
      </c>
    </row>
    <row r="4" spans="1:5" ht="19.899999999999999" customHeight="1">
      <c r="A4" s="1"/>
      <c r="B4" s="1"/>
      <c r="C4" s="1"/>
      <c r="D4" s="1"/>
      <c r="E4" s="5"/>
    </row>
    <row r="5" spans="1:5" ht="19.899999999999999" customHeight="1">
      <c r="A5" t="str">
        <f>'2 Proxy Sum'!A4</f>
        <v>American States Water Co</v>
      </c>
      <c r="C5" s="39" t="str">
        <f>'2 Proxy Sum'!C4</f>
        <v>AWR</v>
      </c>
      <c r="D5" s="1"/>
      <c r="E5" s="67">
        <v>0.65</v>
      </c>
    </row>
    <row r="6" spans="1:5" s="162" customFormat="1" ht="19.899999999999999" customHeight="1">
      <c r="A6" s="162" t="str">
        <f>'2 Proxy Sum'!A5</f>
        <v>American Water Works Co Inc</v>
      </c>
      <c r="C6" s="39" t="str">
        <f>'2 Proxy Sum'!C5</f>
        <v>AWK</v>
      </c>
      <c r="D6" s="164"/>
      <c r="E6" s="67">
        <v>0.85</v>
      </c>
    </row>
    <row r="7" spans="1:5" s="162" customFormat="1" ht="19.899999999999999" customHeight="1">
      <c r="A7" s="162" t="str">
        <f>'2 Proxy Sum'!A6</f>
        <v>California Water Service Gp</v>
      </c>
      <c r="C7" s="39" t="str">
        <f>'2 Proxy Sum'!C6</f>
        <v>CWT</v>
      </c>
      <c r="D7" s="164"/>
      <c r="E7" s="67">
        <v>0.65</v>
      </c>
    </row>
    <row r="8" spans="1:5" s="221" customFormat="1" ht="19.899999999999999" customHeight="1">
      <c r="A8" s="221" t="str">
        <f>'2 Proxy Sum'!A7</f>
        <v>Essential Utilities, Inc.</v>
      </c>
      <c r="C8" s="39" t="str">
        <f>'2 Proxy Sum'!C7</f>
        <v>WTRG</v>
      </c>
      <c r="D8" s="223"/>
      <c r="E8" s="67">
        <v>0.9</v>
      </c>
    </row>
    <row r="9" spans="1:5" s="162" customFormat="1" ht="19.899999999999999" customHeight="1">
      <c r="A9" s="162" t="str">
        <f>'2 Proxy Sum'!A8</f>
        <v>Middlesex Water Co</v>
      </c>
      <c r="C9" s="39" t="str">
        <f>'2 Proxy Sum'!C8</f>
        <v>MSEX</v>
      </c>
      <c r="D9" s="164"/>
      <c r="E9" s="67">
        <v>0.7</v>
      </c>
    </row>
    <row r="10" spans="1:5" s="162" customFormat="1" ht="19.899999999999999" customHeight="1">
      <c r="A10" s="162" t="str">
        <f>'2 Proxy Sum'!A9</f>
        <v>SJW Group</v>
      </c>
      <c r="C10" s="39" t="str">
        <f>'2 Proxy Sum'!C9</f>
        <v>SJW</v>
      </c>
      <c r="D10" s="164"/>
      <c r="E10" s="67">
        <v>0.8</v>
      </c>
    </row>
    <row r="11" spans="1:5" ht="19.899999999999999" customHeight="1">
      <c r="A11" s="15" t="str">
        <f>'2 Proxy Sum'!A10</f>
        <v>York Water Co</v>
      </c>
      <c r="C11" s="39" t="str">
        <f>'2 Proxy Sum'!C10</f>
        <v>YORW</v>
      </c>
      <c r="D11" s="1"/>
      <c r="E11" s="79">
        <v>0.8</v>
      </c>
    </row>
    <row r="12" spans="1:5" ht="19.899999999999999" customHeight="1">
      <c r="C12" s="1"/>
      <c r="D12" s="1"/>
      <c r="E12" s="7"/>
    </row>
    <row r="13" spans="1:5">
      <c r="A13" s="1" t="s">
        <v>65</v>
      </c>
      <c r="B13" s="11"/>
      <c r="C13" s="1"/>
      <c r="D13" s="1"/>
      <c r="E13" s="68">
        <f>AVERAGE(E5:E11)</f>
        <v>0.76428571428571423</v>
      </c>
    </row>
    <row r="14" spans="1:5">
      <c r="A14" s="2"/>
      <c r="B14" s="15"/>
      <c r="C14" s="2"/>
      <c r="D14" s="2"/>
      <c r="E14" s="46"/>
    </row>
    <row r="15" spans="1:5">
      <c r="C15" s="1"/>
      <c r="D15" s="1"/>
      <c r="E15" s="7"/>
    </row>
    <row r="16" spans="1:5" s="53" customFormat="1" ht="14.45" customHeight="1">
      <c r="A16"/>
      <c r="B16"/>
      <c r="C16"/>
      <c r="D16"/>
      <c r="E16"/>
    </row>
    <row r="17" spans="1:5">
      <c r="A17" s="234" t="s">
        <v>222</v>
      </c>
      <c r="B17" s="234"/>
      <c r="C17" s="234"/>
      <c r="D17" s="234"/>
      <c r="E17" s="234"/>
    </row>
  </sheetData>
  <mergeCells count="1">
    <mergeCell ref="A17:E17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Beta Coefficient&amp;RExhibit DJG-8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  <pageSetUpPr fitToPage="1"/>
  </sheetPr>
  <dimension ref="A1:Q144"/>
  <sheetViews>
    <sheetView zoomScaleNormal="100" workbookViewId="0"/>
  </sheetViews>
  <sheetFormatPr defaultRowHeight="15"/>
  <cols>
    <col min="1" max="1" width="25.28515625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6" width="2.7109375" customWidth="1"/>
    <col min="7" max="7" width="10.7109375" customWidth="1"/>
    <col min="8" max="8" width="2.7109375" customWidth="1"/>
    <col min="9" max="9" width="10.7109375" customWidth="1"/>
    <col min="10" max="10" width="2.7109375" customWidth="1"/>
    <col min="11" max="11" width="10.7109375" customWidth="1"/>
    <col min="12" max="12" width="2.7109375" customWidth="1"/>
    <col min="13" max="13" width="10.7109375" customWidth="1"/>
    <col min="14" max="14" width="2.7109375" customWidth="1"/>
    <col min="15" max="15" width="10.7109375" customWidth="1"/>
    <col min="16" max="16" width="2.7109375" customWidth="1"/>
    <col min="17" max="18" width="10.7109375" customWidth="1"/>
  </cols>
  <sheetData>
    <row r="1" spans="1:17" ht="18.7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3" spans="1:17">
      <c r="C3" s="1" t="s">
        <v>3</v>
      </c>
      <c r="D3" s="1"/>
      <c r="E3" s="1" t="s">
        <v>4</v>
      </c>
      <c r="F3" s="1"/>
      <c r="G3" s="1" t="s">
        <v>5</v>
      </c>
      <c r="H3" s="1"/>
      <c r="I3" s="1" t="s">
        <v>6</v>
      </c>
      <c r="J3" s="1"/>
      <c r="K3" s="1" t="s">
        <v>7</v>
      </c>
      <c r="L3" s="1"/>
      <c r="M3" s="1" t="s">
        <v>14</v>
      </c>
      <c r="N3" s="1"/>
      <c r="O3" s="1" t="s">
        <v>15</v>
      </c>
      <c r="P3" s="1"/>
      <c r="Q3" s="1" t="s">
        <v>16</v>
      </c>
    </row>
    <row r="5" spans="1:17" ht="30">
      <c r="A5" s="2" t="s">
        <v>25</v>
      </c>
      <c r="B5" s="1"/>
      <c r="C5" s="4" t="s">
        <v>133</v>
      </c>
      <c r="D5" s="5"/>
      <c r="E5" s="4" t="s">
        <v>23</v>
      </c>
      <c r="F5" s="5"/>
      <c r="G5" s="4" t="s">
        <v>20</v>
      </c>
      <c r="H5" s="5"/>
      <c r="I5" s="4" t="s">
        <v>24</v>
      </c>
      <c r="J5" s="5"/>
      <c r="K5" s="4" t="s">
        <v>26</v>
      </c>
      <c r="L5" s="5"/>
      <c r="M5" s="4" t="s">
        <v>22</v>
      </c>
      <c r="N5" s="5"/>
      <c r="O5" s="4" t="s">
        <v>21</v>
      </c>
      <c r="P5" s="5"/>
      <c r="Q5" s="4" t="s">
        <v>27</v>
      </c>
    </row>
    <row r="6" spans="1:17">
      <c r="A6" s="1">
        <v>2014</v>
      </c>
      <c r="B6" s="1"/>
      <c r="C6" s="32">
        <v>18245.162915721601</v>
      </c>
      <c r="D6" s="32"/>
      <c r="E6" s="34">
        <v>1004.2233066862408</v>
      </c>
      <c r="F6" s="34"/>
      <c r="G6" s="34">
        <v>350.43209036038417</v>
      </c>
      <c r="H6" s="34"/>
      <c r="I6" s="34">
        <v>553.27531399999998</v>
      </c>
      <c r="J6" s="34"/>
      <c r="K6" s="22">
        <f t="shared" ref="K6:K7" si="0">E6/C6</f>
        <v>5.5040522867620748E-2</v>
      </c>
      <c r="L6" s="22"/>
      <c r="M6" s="22">
        <f t="shared" ref="M6:M7" si="1">G6/C6</f>
        <v>1.9206849068934415E-2</v>
      </c>
      <c r="N6" s="22"/>
      <c r="O6" s="22">
        <f t="shared" ref="O6:O7" si="2">I6/C6</f>
        <v>3.0324492938522921E-2</v>
      </c>
      <c r="P6" s="22"/>
      <c r="Q6" s="28">
        <f t="shared" ref="Q6:Q7" si="3">M6+O6</f>
        <v>4.9531342007457332E-2</v>
      </c>
    </row>
    <row r="7" spans="1:17">
      <c r="A7" s="1">
        <v>2015</v>
      </c>
      <c r="B7" s="1"/>
      <c r="C7" s="32">
        <v>17899.5562447142</v>
      </c>
      <c r="D7" s="32"/>
      <c r="E7" s="34">
        <v>885.38</v>
      </c>
      <c r="F7" s="34"/>
      <c r="G7" s="34">
        <v>382.32</v>
      </c>
      <c r="H7" s="34"/>
      <c r="I7" s="34">
        <v>572.16</v>
      </c>
      <c r="J7" s="34"/>
      <c r="K7" s="22">
        <f t="shared" si="0"/>
        <v>4.9463796079383573E-2</v>
      </c>
      <c r="L7" s="22"/>
      <c r="M7" s="22">
        <f t="shared" si="1"/>
        <v>2.1359188729212233E-2</v>
      </c>
      <c r="N7" s="22"/>
      <c r="O7" s="22">
        <f t="shared" si="2"/>
        <v>3.1965038248865013E-2</v>
      </c>
      <c r="P7" s="22"/>
      <c r="Q7" s="28">
        <f t="shared" si="3"/>
        <v>5.3324226978077247E-2</v>
      </c>
    </row>
    <row r="8" spans="1:17">
      <c r="A8" s="152">
        <v>2016</v>
      </c>
      <c r="B8" s="1"/>
      <c r="C8" s="32">
        <v>19268</v>
      </c>
      <c r="D8" s="32"/>
      <c r="E8" s="34">
        <v>919.85</v>
      </c>
      <c r="F8" s="34"/>
      <c r="G8" s="34">
        <v>397.22</v>
      </c>
      <c r="H8" s="34"/>
      <c r="I8" s="34">
        <v>536.38</v>
      </c>
      <c r="J8" s="34"/>
      <c r="K8" s="22">
        <f t="shared" ref="K8" si="4">E8/C8</f>
        <v>4.7739775794062696E-2</v>
      </c>
      <c r="L8" s="22"/>
      <c r="M8" s="22">
        <f t="shared" ref="M8" si="5">G8/C8</f>
        <v>2.06155283371393E-2</v>
      </c>
      <c r="N8" s="22"/>
      <c r="O8" s="22">
        <f t="shared" ref="O8" si="6">I8/C8</f>
        <v>2.7837865891633798E-2</v>
      </c>
      <c r="P8" s="22"/>
      <c r="Q8" s="28">
        <f t="shared" ref="Q8" si="7">M8+O8</f>
        <v>4.8453394228773095E-2</v>
      </c>
    </row>
    <row r="9" spans="1:17">
      <c r="A9" s="152">
        <v>2017</v>
      </c>
      <c r="B9" s="1"/>
      <c r="C9" s="32">
        <v>22821.240334090373</v>
      </c>
      <c r="D9" s="32"/>
      <c r="E9" s="34">
        <v>1065.995204191086</v>
      </c>
      <c r="F9" s="34"/>
      <c r="G9" s="34">
        <v>419.77</v>
      </c>
      <c r="H9" s="34"/>
      <c r="I9" s="34">
        <v>519.4</v>
      </c>
      <c r="J9" s="34"/>
      <c r="K9" s="22">
        <f t="shared" ref="K9:K10" si="8">E9/C9</f>
        <v>4.671066027023528E-2</v>
      </c>
      <c r="L9" s="22"/>
      <c r="M9" s="22">
        <f t="shared" ref="M9:M10" si="9">G9/C9</f>
        <v>1.8393829338581018E-2</v>
      </c>
      <c r="N9" s="22"/>
      <c r="O9" s="22">
        <f t="shared" ref="O9:O10" si="10">I9/C9</f>
        <v>2.2759499150627679E-2</v>
      </c>
      <c r="P9" s="22"/>
      <c r="Q9" s="28">
        <f t="shared" ref="Q9:Q10" si="11">M9+O9</f>
        <v>4.1153328489208697E-2</v>
      </c>
    </row>
    <row r="10" spans="1:17" s="153" customFormat="1">
      <c r="A10" s="152">
        <v>2018</v>
      </c>
      <c r="B10" s="152"/>
      <c r="C10" s="32">
        <v>21026.901634051301</v>
      </c>
      <c r="D10" s="32"/>
      <c r="E10" s="34">
        <v>1281.6600000000001</v>
      </c>
      <c r="F10" s="34"/>
      <c r="G10" s="34">
        <v>456.31</v>
      </c>
      <c r="H10" s="34"/>
      <c r="I10" s="34">
        <v>806.41</v>
      </c>
      <c r="J10" s="34"/>
      <c r="K10" s="150">
        <f t="shared" si="8"/>
        <v>6.0953345495489426E-2</v>
      </c>
      <c r="L10" s="150"/>
      <c r="M10" s="150">
        <f t="shared" si="9"/>
        <v>2.1701247665564017E-2</v>
      </c>
      <c r="N10" s="150"/>
      <c r="O10" s="150">
        <f t="shared" si="10"/>
        <v>3.8351346957085045E-2</v>
      </c>
      <c r="P10" s="150"/>
      <c r="Q10" s="151">
        <f t="shared" si="11"/>
        <v>6.0052594622649058E-2</v>
      </c>
    </row>
    <row r="11" spans="1:17" s="147" customFormat="1">
      <c r="A11" s="193">
        <v>2019</v>
      </c>
      <c r="B11" s="193"/>
      <c r="C11" s="196">
        <v>26759.6867868843</v>
      </c>
      <c r="D11" s="196"/>
      <c r="E11" s="197">
        <v>1304.5899999999999</v>
      </c>
      <c r="F11" s="197"/>
      <c r="G11" s="197">
        <v>485.48</v>
      </c>
      <c r="H11" s="197"/>
      <c r="I11" s="197">
        <v>728.74</v>
      </c>
      <c r="J11" s="197"/>
      <c r="K11" s="198">
        <f t="shared" ref="K11" si="12">E11/C11</f>
        <v>4.8752065388127687E-2</v>
      </c>
      <c r="L11" s="198"/>
      <c r="M11" s="198">
        <f t="shared" ref="M11" si="13">G11/C11</f>
        <v>1.8142215335567674E-2</v>
      </c>
      <c r="N11" s="198"/>
      <c r="O11" s="198">
        <f t="shared" ref="O11" si="14">I11/C11</f>
        <v>2.7232755218838237E-2</v>
      </c>
      <c r="P11" s="198"/>
      <c r="Q11" s="199">
        <f t="shared" ref="Q11" si="15">M11+O11</f>
        <v>4.5374970554405911E-2</v>
      </c>
    </row>
    <row r="12" spans="1:1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>
      <c r="A13" s="13"/>
      <c r="B13" s="13"/>
      <c r="Q13" s="30"/>
    </row>
    <row r="14" spans="1:17">
      <c r="A14" s="24" t="s">
        <v>28</v>
      </c>
      <c r="B14" s="24"/>
      <c r="C14" s="28">
        <f>AVERAGE(Q6:Q11)</f>
        <v>4.9648309480095222E-2</v>
      </c>
      <c r="D14" s="12"/>
      <c r="E14" s="1" t="s">
        <v>19</v>
      </c>
      <c r="Q14" s="30"/>
    </row>
    <row r="15" spans="1:17">
      <c r="A15" s="24" t="s">
        <v>29</v>
      </c>
      <c r="B15" s="24"/>
      <c r="C15" s="22">
        <f>(E11/E6)^(1/5)-1</f>
        <v>5.3728556392918403E-2</v>
      </c>
      <c r="D15" s="27"/>
      <c r="E15" s="1" t="s">
        <v>30</v>
      </c>
      <c r="Q15" s="30"/>
    </row>
    <row r="16" spans="1:17">
      <c r="A16" s="24" t="s">
        <v>31</v>
      </c>
      <c r="B16" s="24"/>
      <c r="C16" s="22">
        <f>'7 Risk Free Rate'!E35</f>
        <v>1.512E-2</v>
      </c>
      <c r="E16" s="1" t="s">
        <v>32</v>
      </c>
      <c r="Q16" s="30"/>
    </row>
    <row r="17" spans="1:17">
      <c r="A17" s="24" t="s">
        <v>33</v>
      </c>
      <c r="B17" s="24"/>
      <c r="C17" s="33">
        <f>'3 Stock Price'!B5</f>
        <v>3391.2159994999993</v>
      </c>
      <c r="E17" s="1" t="s">
        <v>38</v>
      </c>
      <c r="Q17" s="30"/>
    </row>
    <row r="18" spans="1:17">
      <c r="A18" s="35"/>
      <c r="B18" s="3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6"/>
    </row>
    <row r="19" spans="1:17">
      <c r="A19" s="24"/>
      <c r="B19" s="24"/>
      <c r="Q19" s="30"/>
    </row>
    <row r="20" spans="1:17">
      <c r="A20" s="24"/>
      <c r="B20" s="24"/>
      <c r="C20" s="1" t="s">
        <v>39</v>
      </c>
      <c r="D20" s="1"/>
      <c r="E20" s="1" t="s">
        <v>40</v>
      </c>
      <c r="F20" s="1"/>
      <c r="G20" s="1" t="s">
        <v>41</v>
      </c>
      <c r="H20" s="1"/>
      <c r="I20" s="1" t="s">
        <v>42</v>
      </c>
      <c r="J20" s="1"/>
      <c r="K20" s="1" t="s">
        <v>43</v>
      </c>
      <c r="Q20" s="30"/>
    </row>
    <row r="21" spans="1:17">
      <c r="A21" s="24"/>
      <c r="B21" s="24"/>
      <c r="C21" s="1"/>
      <c r="D21" s="1"/>
      <c r="E21" s="1"/>
      <c r="F21" s="1"/>
      <c r="G21" s="1"/>
      <c r="H21" s="1"/>
      <c r="I21" s="1"/>
      <c r="J21" s="1"/>
      <c r="K21" s="1"/>
      <c r="Q21" s="30"/>
    </row>
    <row r="22" spans="1:17">
      <c r="A22" s="2" t="s">
        <v>25</v>
      </c>
      <c r="B22" s="24"/>
      <c r="C22" s="2">
        <v>1</v>
      </c>
      <c r="D22" s="1"/>
      <c r="E22" s="2">
        <v>2</v>
      </c>
      <c r="F22" s="1"/>
      <c r="G22" s="2">
        <v>3</v>
      </c>
      <c r="H22" s="1"/>
      <c r="I22" s="2">
        <v>4</v>
      </c>
      <c r="J22" s="1"/>
      <c r="K22" s="2">
        <v>5</v>
      </c>
      <c r="Q22" s="30"/>
    </row>
    <row r="23" spans="1:17">
      <c r="A23" s="24"/>
      <c r="B23" s="13"/>
      <c r="Q23" s="30"/>
    </row>
    <row r="24" spans="1:17">
      <c r="A24" s="24" t="s">
        <v>34</v>
      </c>
      <c r="B24" s="13"/>
      <c r="C24" s="21">
        <f>$C$14*$C$17*(1+$C$15)^C22</f>
        <v>177.41431864007112</v>
      </c>
      <c r="D24" s="21"/>
      <c r="E24" s="21">
        <f t="shared" ref="E24:K24" si="16">$C$14*$C$17*(1+$C$15)^E22</f>
        <v>186.94653386403539</v>
      </c>
      <c r="F24" s="21"/>
      <c r="G24" s="21">
        <f t="shared" si="16"/>
        <v>196.99090125120983</v>
      </c>
      <c r="H24" s="21"/>
      <c r="I24" s="21">
        <f t="shared" si="16"/>
        <v>207.57493799797726</v>
      </c>
      <c r="J24" s="21"/>
      <c r="K24" s="82">
        <f t="shared" si="16"/>
        <v>218.72763975995812</v>
      </c>
      <c r="Q24" s="30"/>
    </row>
    <row r="25" spans="1:17">
      <c r="A25" s="24" t="s">
        <v>35</v>
      </c>
      <c r="B25" s="13"/>
      <c r="C25" s="83"/>
      <c r="D25" s="83"/>
      <c r="E25" s="83"/>
      <c r="F25" s="83"/>
      <c r="G25" s="83"/>
      <c r="H25" s="83"/>
      <c r="I25" s="83"/>
      <c r="J25" s="83"/>
      <c r="K25" s="84">
        <f>K24*(1+C16)/C32</f>
        <v>3724.1944783487415</v>
      </c>
      <c r="Q25" s="30"/>
    </row>
    <row r="26" spans="1:17">
      <c r="A26" s="24" t="s">
        <v>36</v>
      </c>
      <c r="B26" s="13"/>
      <c r="C26" s="20">
        <f>C24/(1+$C$16+$C$32)^C22</f>
        <v>165.07656996308245</v>
      </c>
      <c r="D26" s="21"/>
      <c r="E26" s="20">
        <f t="shared" ref="E26:I26" si="17">E24/(1+$C$16+$C$32)^E22</f>
        <v>161.84934818997039</v>
      </c>
      <c r="F26" s="21"/>
      <c r="G26" s="20">
        <f t="shared" si="17"/>
        <v>158.68521811045954</v>
      </c>
      <c r="H26" s="21"/>
      <c r="I26" s="20">
        <f t="shared" si="17"/>
        <v>155.58294629155969</v>
      </c>
      <c r="J26" s="21"/>
      <c r="K26" s="84">
        <f>(K24+K25)/(1+$C$16+C32)^K22</f>
        <v>2749.8059169547532</v>
      </c>
      <c r="Q26" s="30"/>
    </row>
    <row r="27" spans="1:17">
      <c r="A27" s="24"/>
      <c r="B27" s="13"/>
      <c r="Q27" s="30"/>
    </row>
    <row r="28" spans="1:17">
      <c r="A28" s="24" t="s">
        <v>37</v>
      </c>
      <c r="B28" s="13"/>
      <c r="C28" s="20">
        <f>SUM(C26,E26,G26,I26,K26)</f>
        <v>3390.9999995098251</v>
      </c>
      <c r="E28" s="1" t="s">
        <v>50</v>
      </c>
      <c r="Q28" s="30"/>
    </row>
    <row r="29" spans="1:17">
      <c r="A29" s="24"/>
      <c r="B29" s="13"/>
      <c r="C29" s="21"/>
      <c r="E29" s="1"/>
      <c r="Q29" s="30"/>
    </row>
    <row r="30" spans="1:17">
      <c r="A30" s="24" t="s">
        <v>63</v>
      </c>
      <c r="B30" s="13"/>
      <c r="C30" s="85">
        <f>C32+C16</f>
        <v>7.4739550741500474E-2</v>
      </c>
      <c r="E30" s="1" t="s">
        <v>51</v>
      </c>
      <c r="Q30" s="30"/>
    </row>
    <row r="31" spans="1:17" ht="15.75" thickBot="1">
      <c r="A31" s="24"/>
      <c r="B31" s="13"/>
      <c r="Q31" s="30"/>
    </row>
    <row r="32" spans="1:17" ht="15.75" thickBot="1">
      <c r="A32" s="31" t="s">
        <v>44</v>
      </c>
      <c r="B32" s="13"/>
      <c r="C32" s="195">
        <v>5.9619550741500479E-2</v>
      </c>
      <c r="E32" s="1" t="s">
        <v>64</v>
      </c>
      <c r="G32" s="158"/>
      <c r="H32" s="158"/>
      <c r="I32" s="158"/>
      <c r="Q32" s="30"/>
    </row>
    <row r="33" spans="1:17">
      <c r="A33" s="35"/>
      <c r="B33" s="4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36"/>
    </row>
    <row r="34" spans="1:17">
      <c r="Q34" s="30"/>
    </row>
    <row r="35" spans="1:17">
      <c r="A35" s="24"/>
    </row>
    <row r="36" spans="1:17" s="61" customFormat="1" ht="14.45" customHeight="1">
      <c r="A36" s="239" t="s">
        <v>139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</row>
    <row r="37" spans="1:17" s="61" customFormat="1" ht="14.45" customHeight="1">
      <c r="A37" s="239" t="s">
        <v>69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</row>
    <row r="38" spans="1:17" s="61" customFormat="1" ht="14.45" customHeight="1">
      <c r="A38" s="239" t="s">
        <v>45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</row>
    <row r="39" spans="1:17" s="61" customFormat="1" ht="14.45" customHeight="1">
      <c r="A39" s="239" t="s">
        <v>46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</row>
    <row r="40" spans="1:17" s="61" customFormat="1" ht="14.45" customHeight="1">
      <c r="A40" s="239" t="s">
        <v>47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</row>
    <row r="41" spans="1:17" s="61" customFormat="1" ht="14.45" customHeight="1">
      <c r="A41" s="239" t="s">
        <v>48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</row>
    <row r="42" spans="1:17" s="61" customFormat="1" ht="14.45" customHeight="1">
      <c r="A42" s="239" t="s">
        <v>49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</row>
    <row r="43" spans="1:17" s="61" customFormat="1" ht="14.45" customHeight="1">
      <c r="A43" s="239" t="s">
        <v>140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</row>
    <row r="44" spans="1:17" s="61" customFormat="1" ht="14.45" customHeight="1">
      <c r="A44" s="239" t="s">
        <v>141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</row>
    <row r="45" spans="1:17" s="61" customFormat="1" ht="14.45" customHeight="1">
      <c r="A45" s="239" t="s">
        <v>142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</row>
    <row r="46" spans="1:17" s="61" customFormat="1" ht="14.45" customHeight="1">
      <c r="A46" s="239" t="s">
        <v>72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</row>
    <row r="47" spans="1:17" s="61" customFormat="1" ht="14.45" customHeight="1">
      <c r="A47" s="239" t="s">
        <v>73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</row>
    <row r="48" spans="1:17" s="61" customFormat="1" ht="14.45" customHeight="1">
      <c r="A48" s="239" t="s">
        <v>74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</row>
    <row r="49" spans="1:17" s="61" customFormat="1" ht="14.45" customHeight="1">
      <c r="A49" s="239" t="s">
        <v>68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</row>
    <row r="50" spans="1:17" s="61" customFormat="1" ht="14.45" customHeight="1">
      <c r="A50" s="239" t="s">
        <v>75</v>
      </c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</row>
    <row r="51" spans="1:17">
      <c r="A51" s="24"/>
    </row>
    <row r="52" spans="1:17">
      <c r="A52" s="24"/>
    </row>
    <row r="53" spans="1:17">
      <c r="A53" s="24"/>
    </row>
    <row r="54" spans="1:17">
      <c r="A54" s="24"/>
    </row>
    <row r="55" spans="1:17">
      <c r="A55" s="24"/>
    </row>
    <row r="56" spans="1:17">
      <c r="A56" s="24"/>
    </row>
    <row r="57" spans="1:17">
      <c r="A57" s="24"/>
    </row>
    <row r="58" spans="1:17">
      <c r="A58" s="24"/>
    </row>
    <row r="59" spans="1:17">
      <c r="A59" s="24"/>
    </row>
    <row r="60" spans="1:17">
      <c r="A60" s="24"/>
    </row>
    <row r="61" spans="1:17">
      <c r="A61" s="24"/>
    </row>
    <row r="62" spans="1:17">
      <c r="A62" s="24"/>
    </row>
    <row r="63" spans="1:17">
      <c r="A63" s="24"/>
    </row>
    <row r="64" spans="1:17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  <row r="75" spans="1:1">
      <c r="A75" s="24"/>
    </row>
    <row r="76" spans="1:1">
      <c r="A76" s="24"/>
    </row>
    <row r="77" spans="1:1">
      <c r="A77" s="24"/>
    </row>
    <row r="78" spans="1:1">
      <c r="A78" s="24"/>
    </row>
    <row r="79" spans="1:1">
      <c r="A79" s="24"/>
    </row>
    <row r="80" spans="1:1">
      <c r="A80" s="24"/>
    </row>
    <row r="81" spans="1:1">
      <c r="A81" s="24"/>
    </row>
    <row r="82" spans="1:1">
      <c r="A82" s="24"/>
    </row>
    <row r="83" spans="1:1">
      <c r="A83" s="24"/>
    </row>
    <row r="84" spans="1:1">
      <c r="A84" s="24"/>
    </row>
    <row r="85" spans="1:1">
      <c r="A85" s="24"/>
    </row>
    <row r="86" spans="1:1">
      <c r="A86" s="24"/>
    </row>
    <row r="87" spans="1:1">
      <c r="A87" s="24"/>
    </row>
    <row r="88" spans="1:1">
      <c r="A88" s="24"/>
    </row>
    <row r="89" spans="1:1">
      <c r="A89" s="24"/>
    </row>
    <row r="90" spans="1:1">
      <c r="A90" s="24"/>
    </row>
    <row r="91" spans="1:1">
      <c r="A91" s="24"/>
    </row>
    <row r="92" spans="1:1">
      <c r="A92" s="24"/>
    </row>
    <row r="93" spans="1:1">
      <c r="A93" s="24"/>
    </row>
    <row r="94" spans="1:1">
      <c r="A94" s="24"/>
    </row>
    <row r="95" spans="1:1">
      <c r="A95" s="24"/>
    </row>
    <row r="96" spans="1:1">
      <c r="A96" s="24"/>
    </row>
    <row r="97" spans="1:1">
      <c r="A97" s="24"/>
    </row>
    <row r="98" spans="1:1">
      <c r="A98" s="24"/>
    </row>
    <row r="99" spans="1:1">
      <c r="A99" s="24"/>
    </row>
    <row r="100" spans="1:1">
      <c r="A100" s="24"/>
    </row>
    <row r="101" spans="1:1">
      <c r="A101" s="24"/>
    </row>
    <row r="102" spans="1:1">
      <c r="A102" s="24"/>
    </row>
    <row r="103" spans="1:1">
      <c r="A103" s="24"/>
    </row>
    <row r="104" spans="1:1">
      <c r="A104" s="24"/>
    </row>
    <row r="105" spans="1:1">
      <c r="A105" s="24"/>
    </row>
    <row r="106" spans="1:1">
      <c r="A106" s="24"/>
    </row>
    <row r="107" spans="1:1">
      <c r="A107" s="24"/>
    </row>
    <row r="108" spans="1:1">
      <c r="A108" s="24"/>
    </row>
    <row r="109" spans="1:1">
      <c r="A109" s="24"/>
    </row>
    <row r="110" spans="1:1">
      <c r="A110" s="24"/>
    </row>
    <row r="111" spans="1:1">
      <c r="A111" s="24"/>
    </row>
    <row r="112" spans="1:1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  <row r="124" spans="1:1">
      <c r="A124" s="24"/>
    </row>
    <row r="125" spans="1:1">
      <c r="A125" s="24"/>
    </row>
    <row r="126" spans="1:1">
      <c r="A126" s="24"/>
    </row>
    <row r="127" spans="1:1">
      <c r="A127" s="24"/>
    </row>
    <row r="128" spans="1:1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  <row r="135" spans="1:1">
      <c r="A135" s="24"/>
    </row>
    <row r="136" spans="1:1">
      <c r="A136" s="24"/>
    </row>
    <row r="137" spans="1:1">
      <c r="A137" s="24"/>
    </row>
    <row r="138" spans="1:1">
      <c r="A138" s="24"/>
    </row>
    <row r="139" spans="1:1">
      <c r="A139" s="24"/>
    </row>
    <row r="140" spans="1:1">
      <c r="A140" s="24"/>
    </row>
    <row r="141" spans="1:1">
      <c r="A141" s="24"/>
    </row>
    <row r="142" spans="1:1">
      <c r="A142" s="24"/>
    </row>
    <row r="143" spans="1:1">
      <c r="A143" s="24"/>
    </row>
    <row r="144" spans="1:1">
      <c r="A144" s="24"/>
    </row>
  </sheetData>
  <mergeCells count="15">
    <mergeCell ref="A41:Q41"/>
    <mergeCell ref="A36:Q36"/>
    <mergeCell ref="A38:Q38"/>
    <mergeCell ref="A39:Q39"/>
    <mergeCell ref="A40:Q40"/>
    <mergeCell ref="A37:Q37"/>
    <mergeCell ref="A48:Q48"/>
    <mergeCell ref="A50:Q50"/>
    <mergeCell ref="A42:Q42"/>
    <mergeCell ref="A43:Q43"/>
    <mergeCell ref="A44:Q44"/>
    <mergeCell ref="A45:Q45"/>
    <mergeCell ref="A46:Q46"/>
    <mergeCell ref="A47:Q47"/>
    <mergeCell ref="A49:Q49"/>
  </mergeCells>
  <printOptions horizontalCentered="1"/>
  <pageMargins left="0.7" right="0.7" top="0.75" bottom="0.75" header="0.3" footer="0.3"/>
  <pageSetup scale="68" orientation="landscape" r:id="rId1"/>
  <headerFooter scaleWithDoc="0">
    <oddHeader>&amp;C&amp;"-,Bold"&amp;14CAPM Implied Equity Risk Premium Estimate&amp;RExhibit DJG-9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A1:R33"/>
  <sheetViews>
    <sheetView zoomScale="90" zoomScaleNormal="90" workbookViewId="0"/>
  </sheetViews>
  <sheetFormatPr defaultRowHeight="15"/>
  <cols>
    <col min="1" max="1" width="29.7109375" style="91" customWidth="1"/>
    <col min="2" max="2" width="2.7109375" style="91" customWidth="1"/>
    <col min="3" max="3" width="10.7109375" style="91" customWidth="1"/>
    <col min="4" max="4" width="2.7109375" style="91" customWidth="1"/>
    <col min="5" max="5" width="3.28515625" style="91" customWidth="1"/>
    <col min="6" max="7" width="9.140625" style="91"/>
    <col min="8" max="8" width="17.85546875" style="91" customWidth="1"/>
    <col min="9" max="16384" width="9.140625" style="91"/>
  </cols>
  <sheetData>
    <row r="1" spans="1:10">
      <c r="A1" s="218"/>
      <c r="B1" s="90"/>
      <c r="C1" s="90"/>
      <c r="D1" s="90"/>
      <c r="E1" s="90"/>
    </row>
    <row r="3" spans="1:10">
      <c r="A3" s="92"/>
      <c r="C3" s="93"/>
      <c r="D3" s="93"/>
      <c r="E3" s="94"/>
      <c r="H3" s="91" t="s">
        <v>83</v>
      </c>
      <c r="I3" s="225">
        <v>0.11940000000000001</v>
      </c>
    </row>
    <row r="4" spans="1:10">
      <c r="A4" s="200" t="s">
        <v>101</v>
      </c>
      <c r="C4" s="157">
        <v>5.6000000000000001E-2</v>
      </c>
      <c r="D4" s="97"/>
      <c r="E4" s="94" t="s">
        <v>3</v>
      </c>
      <c r="I4" s="95"/>
      <c r="J4" s="95"/>
    </row>
    <row r="5" spans="1:10">
      <c r="A5" s="201"/>
      <c r="C5" s="96"/>
      <c r="D5" s="97"/>
      <c r="E5" s="94"/>
      <c r="I5" s="95"/>
      <c r="J5" s="95"/>
    </row>
    <row r="6" spans="1:10">
      <c r="A6" s="200" t="s">
        <v>102</v>
      </c>
      <c r="C6" s="157">
        <v>4.4200000000000003E-2</v>
      </c>
      <c r="D6" s="97"/>
      <c r="E6" s="94" t="s">
        <v>4</v>
      </c>
      <c r="I6" s="98"/>
    </row>
    <row r="7" spans="1:10">
      <c r="A7" s="202"/>
      <c r="C7" s="96"/>
      <c r="E7" s="94"/>
      <c r="I7" s="95"/>
    </row>
    <row r="8" spans="1:10">
      <c r="A8" s="202" t="s">
        <v>103</v>
      </c>
      <c r="C8" s="157">
        <v>0.06</v>
      </c>
      <c r="E8" s="94" t="s">
        <v>5</v>
      </c>
      <c r="I8" s="95"/>
    </row>
    <row r="9" spans="1:10">
      <c r="A9" s="203"/>
      <c r="C9" s="96"/>
      <c r="E9" s="94"/>
      <c r="I9" s="95"/>
    </row>
    <row r="10" spans="1:10">
      <c r="A10" s="204" t="s">
        <v>228</v>
      </c>
      <c r="C10" s="157">
        <v>5.7599999999999998E-2</v>
      </c>
      <c r="D10" s="97"/>
      <c r="E10" s="94" t="s">
        <v>6</v>
      </c>
      <c r="I10" s="95"/>
    </row>
    <row r="11" spans="1:10">
      <c r="A11" s="200"/>
      <c r="C11" s="157"/>
      <c r="D11" s="97"/>
      <c r="E11" s="94"/>
      <c r="I11" s="95"/>
    </row>
    <row r="12" spans="1:10">
      <c r="A12" s="200" t="s">
        <v>223</v>
      </c>
      <c r="C12" s="157">
        <v>4.9700000000000001E-2</v>
      </c>
      <c r="D12" s="97"/>
      <c r="E12" s="94" t="s">
        <v>7</v>
      </c>
      <c r="I12" s="95"/>
    </row>
    <row r="13" spans="1:10">
      <c r="A13" s="200"/>
      <c r="C13" s="96"/>
      <c r="D13" s="97"/>
      <c r="E13" s="94"/>
      <c r="I13" s="95"/>
    </row>
    <row r="14" spans="1:10">
      <c r="A14" s="200" t="s">
        <v>96</v>
      </c>
      <c r="C14" s="99">
        <f>'9 Implied ERP'!C32</f>
        <v>5.9619550741500479E-2</v>
      </c>
      <c r="D14" s="97"/>
      <c r="E14" s="94" t="s">
        <v>14</v>
      </c>
      <c r="I14" s="95"/>
    </row>
    <row r="15" spans="1:10">
      <c r="C15" s="100"/>
      <c r="D15" s="93"/>
      <c r="E15" s="94"/>
    </row>
    <row r="16" spans="1:10">
      <c r="A16" s="13" t="s">
        <v>65</v>
      </c>
      <c r="C16" s="101">
        <f>AVERAGE(C4:C14)</f>
        <v>5.4519925123583418E-2</v>
      </c>
      <c r="D16" s="93"/>
      <c r="E16" s="94"/>
    </row>
    <row r="17" spans="1:18">
      <c r="C17" s="100"/>
      <c r="D17" s="93"/>
      <c r="E17" s="94"/>
      <c r="I17" s="98"/>
    </row>
    <row r="18" spans="1:18">
      <c r="A18" s="13" t="s">
        <v>105</v>
      </c>
      <c r="C18" s="226">
        <f>MAX(C4:C14)</f>
        <v>0.06</v>
      </c>
      <c r="D18" s="102"/>
      <c r="E18" s="94"/>
    </row>
    <row r="19" spans="1:18">
      <c r="A19" s="103"/>
      <c r="B19" s="90"/>
      <c r="C19" s="104"/>
      <c r="D19" s="104"/>
      <c r="E19" s="105"/>
    </row>
    <row r="20" spans="1:18" s="107" customFormat="1" ht="14.25" customHeight="1">
      <c r="A20" s="91"/>
      <c r="B20" s="91"/>
      <c r="C20" s="91"/>
      <c r="D20" s="91"/>
      <c r="E20" s="91"/>
      <c r="H20" s="91"/>
      <c r="I20" s="91"/>
      <c r="J20" s="91"/>
      <c r="K20" s="91"/>
      <c r="L20" s="91"/>
      <c r="M20" s="91"/>
      <c r="N20" s="91"/>
    </row>
    <row r="21" spans="1:18" s="107" customFormat="1" ht="14.25" customHeight="1">
      <c r="A21" s="91"/>
      <c r="B21" s="91"/>
      <c r="C21" s="91"/>
      <c r="D21" s="91"/>
      <c r="E21" s="91"/>
      <c r="H21" s="106"/>
      <c r="I21" s="106"/>
      <c r="J21" s="91"/>
      <c r="K21" s="91"/>
      <c r="L21" s="91"/>
      <c r="M21" s="91"/>
      <c r="N21" s="91"/>
    </row>
    <row r="22" spans="1:18" s="107" customFormat="1" ht="14.45" customHeight="1">
      <c r="A22" s="240" t="s">
        <v>224</v>
      </c>
      <c r="B22" s="240"/>
      <c r="C22" s="240"/>
      <c r="D22" s="240"/>
      <c r="E22" s="240"/>
      <c r="H22" s="106"/>
      <c r="I22" s="106"/>
      <c r="J22" s="106"/>
      <c r="K22" s="106"/>
      <c r="L22" s="106"/>
      <c r="M22" s="106"/>
      <c r="N22" s="106"/>
      <c r="R22" s="160"/>
    </row>
    <row r="23" spans="1:18" s="107" customFormat="1" ht="14.45" customHeight="1">
      <c r="A23" s="240" t="s">
        <v>225</v>
      </c>
      <c r="B23" s="240"/>
      <c r="C23" s="240"/>
      <c r="D23" s="240"/>
      <c r="E23" s="240"/>
      <c r="I23" s="106"/>
      <c r="J23" s="106"/>
      <c r="K23" s="106"/>
      <c r="L23" s="106"/>
      <c r="M23" s="106"/>
      <c r="N23" s="106"/>
    </row>
    <row r="24" spans="1:18" s="107" customFormat="1" ht="14.45" customHeight="1">
      <c r="A24" s="240" t="s">
        <v>226</v>
      </c>
      <c r="B24" s="240"/>
      <c r="C24" s="240"/>
      <c r="D24" s="240"/>
      <c r="E24" s="240"/>
      <c r="J24" s="106"/>
      <c r="K24" s="106"/>
      <c r="L24" s="106"/>
      <c r="M24" s="106"/>
      <c r="N24" s="106"/>
    </row>
    <row r="25" spans="1:18">
      <c r="A25" s="240" t="s">
        <v>245</v>
      </c>
      <c r="B25" s="240"/>
      <c r="C25" s="240"/>
      <c r="D25" s="240"/>
      <c r="E25" s="240"/>
      <c r="H25" s="107"/>
      <c r="I25" s="107"/>
      <c r="J25" s="107"/>
      <c r="K25" s="107"/>
      <c r="L25" s="107"/>
      <c r="M25" s="107"/>
      <c r="N25" s="107"/>
    </row>
    <row r="26" spans="1:18">
      <c r="A26" s="241" t="s">
        <v>227</v>
      </c>
      <c r="B26" s="241"/>
      <c r="C26" s="241"/>
      <c r="D26" s="241"/>
      <c r="E26" s="241"/>
      <c r="H26" s="107"/>
      <c r="I26" s="107"/>
      <c r="J26" s="107"/>
      <c r="K26" s="107"/>
      <c r="L26" s="107"/>
      <c r="M26" s="107"/>
      <c r="N26" s="107"/>
    </row>
    <row r="27" spans="1:18">
      <c r="H27" s="107"/>
      <c r="I27" s="107"/>
      <c r="J27" s="107"/>
      <c r="K27" s="107"/>
      <c r="L27" s="107"/>
      <c r="M27" s="107"/>
      <c r="N27" s="107"/>
    </row>
    <row r="28" spans="1:18">
      <c r="H28" s="107"/>
      <c r="I28" s="107"/>
      <c r="J28" s="107"/>
      <c r="K28" s="107"/>
      <c r="L28" s="107"/>
      <c r="M28" s="107"/>
      <c r="N28" s="107"/>
    </row>
    <row r="29" spans="1:18">
      <c r="H29" s="107"/>
      <c r="I29" s="107"/>
      <c r="J29" s="107"/>
      <c r="K29" s="107"/>
      <c r="L29" s="107"/>
      <c r="M29" s="107"/>
      <c r="N29" s="107"/>
    </row>
    <row r="30" spans="1:18">
      <c r="H30" s="107"/>
      <c r="I30" s="107"/>
      <c r="J30" s="107"/>
      <c r="K30" s="107"/>
      <c r="L30" s="107"/>
      <c r="M30" s="107"/>
      <c r="N30" s="107"/>
    </row>
    <row r="31" spans="1:18">
      <c r="H31" s="107"/>
      <c r="I31" s="107"/>
      <c r="J31" s="107"/>
      <c r="K31" s="107"/>
      <c r="L31" s="107"/>
      <c r="M31" s="107"/>
      <c r="N31" s="107"/>
    </row>
    <row r="32" spans="1:18">
      <c r="I32" s="107"/>
      <c r="J32" s="107"/>
      <c r="K32" s="107"/>
      <c r="L32" s="107"/>
      <c r="M32" s="107"/>
      <c r="N32" s="107"/>
    </row>
    <row r="33" spans="10:14">
      <c r="J33" s="107"/>
      <c r="K33" s="107"/>
      <c r="L33" s="107"/>
      <c r="M33" s="107"/>
      <c r="N33" s="107"/>
    </row>
  </sheetData>
  <mergeCells count="5">
    <mergeCell ref="A22:E22"/>
    <mergeCell ref="A23:E23"/>
    <mergeCell ref="A24:E24"/>
    <mergeCell ref="A25:E25"/>
    <mergeCell ref="A26:E26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Equity Risk Premium Results&amp;RExhibit DJG-10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  <pageSetUpPr fitToPage="1"/>
  </sheetPr>
  <dimension ref="A1:L23"/>
  <sheetViews>
    <sheetView zoomScale="90" zoomScaleNormal="90" workbookViewId="0"/>
  </sheetViews>
  <sheetFormatPr defaultRowHeight="15"/>
  <cols>
    <col min="1" max="1" width="41.5703125" bestFit="1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6" width="2.7109375" customWidth="1"/>
    <col min="7" max="7" width="10.7109375" customWidth="1"/>
    <col min="8" max="8" width="2.7109375" customWidth="1"/>
    <col min="9" max="9" width="10.7109375" customWidth="1"/>
    <col min="10" max="11" width="2.7109375" customWidth="1"/>
    <col min="12" max="12" width="10.7109375" customWidth="1"/>
  </cols>
  <sheetData>
    <row r="1" spans="1:1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9.5" customHeight="1"/>
    <row r="3" spans="1:12" ht="19.5" customHeight="1">
      <c r="E3" s="1" t="s">
        <v>3</v>
      </c>
      <c r="F3" s="1"/>
      <c r="G3" s="1" t="s">
        <v>4</v>
      </c>
      <c r="H3" s="1"/>
      <c r="I3" s="1" t="s">
        <v>5</v>
      </c>
      <c r="J3" s="1"/>
      <c r="K3" s="1"/>
      <c r="L3" s="1" t="s">
        <v>6</v>
      </c>
    </row>
    <row r="4" spans="1:12" ht="19.5" customHeight="1">
      <c r="E4" s="1"/>
      <c r="F4" s="1"/>
      <c r="G4" s="1"/>
      <c r="H4" s="1"/>
      <c r="I4" s="1"/>
      <c r="J4" s="1"/>
      <c r="K4" s="1"/>
      <c r="L4" s="1"/>
    </row>
    <row r="5" spans="1:12" ht="19.5" customHeight="1">
      <c r="E5" s="1" t="s">
        <v>77</v>
      </c>
      <c r="F5" s="1"/>
      <c r="G5" s="1" t="s">
        <v>78</v>
      </c>
      <c r="H5" s="1"/>
      <c r="I5" s="1" t="s">
        <v>79</v>
      </c>
      <c r="J5" s="40"/>
      <c r="K5" s="1"/>
      <c r="L5" s="1" t="s">
        <v>80</v>
      </c>
    </row>
    <row r="6" spans="1:12" ht="19.5" customHeight="1">
      <c r="A6" s="2" t="s">
        <v>0</v>
      </c>
      <c r="B6" s="1"/>
      <c r="C6" s="2" t="s">
        <v>1</v>
      </c>
      <c r="D6" s="1"/>
      <c r="E6" s="4" t="s">
        <v>81</v>
      </c>
      <c r="F6" s="5"/>
      <c r="G6" s="4" t="s">
        <v>52</v>
      </c>
      <c r="H6" s="5"/>
      <c r="I6" s="4" t="s">
        <v>82</v>
      </c>
      <c r="J6" s="25"/>
      <c r="K6" s="5"/>
      <c r="L6" s="4" t="s">
        <v>62</v>
      </c>
    </row>
    <row r="7" spans="1:12" ht="19.5" customHeight="1">
      <c r="A7" s="1"/>
      <c r="B7" s="1"/>
      <c r="C7" s="1"/>
      <c r="D7" s="1"/>
      <c r="E7" s="5"/>
      <c r="F7" s="5"/>
      <c r="G7" s="5"/>
      <c r="H7" s="5"/>
      <c r="I7" s="5"/>
      <c r="J7" s="25"/>
      <c r="K7" s="5"/>
    </row>
    <row r="8" spans="1:12" ht="19.5" customHeight="1">
      <c r="A8" t="str">
        <f>'2 Proxy Sum'!A4</f>
        <v>American States Water Co</v>
      </c>
      <c r="C8" s="41" t="str">
        <f>'2 Proxy Sum'!C4</f>
        <v>AWR</v>
      </c>
      <c r="D8" s="1"/>
      <c r="E8" s="22">
        <f>'7 Risk Free Rate'!$E$35</f>
        <v>1.512E-2</v>
      </c>
      <c r="F8" s="7"/>
      <c r="G8" s="23">
        <f>'8 Beta'!E5</f>
        <v>0.65</v>
      </c>
      <c r="H8" s="23"/>
      <c r="I8" s="16">
        <f>'10 ERP Result'!$C$18</f>
        <v>0.06</v>
      </c>
      <c r="J8" s="29"/>
      <c r="K8" s="9"/>
      <c r="L8" s="16">
        <f t="shared" ref="L8:L13" si="0">E8+G8*I8</f>
        <v>5.4120000000000001E-2</v>
      </c>
    </row>
    <row r="9" spans="1:12" s="162" customFormat="1" ht="19.5" customHeight="1">
      <c r="A9" s="162" t="str">
        <f>'2 Proxy Sum'!A5</f>
        <v>American Water Works Co Inc</v>
      </c>
      <c r="C9" s="41" t="str">
        <f>'2 Proxy Sum'!C5</f>
        <v>AWK</v>
      </c>
      <c r="D9" s="164"/>
      <c r="E9" s="150">
        <f>'7 Risk Free Rate'!$E$35</f>
        <v>1.512E-2</v>
      </c>
      <c r="F9" s="7"/>
      <c r="G9" s="23">
        <f>'8 Beta'!E6</f>
        <v>0.85</v>
      </c>
      <c r="H9" s="23"/>
      <c r="I9" s="16">
        <f>'10 ERP Result'!$C$18</f>
        <v>0.06</v>
      </c>
      <c r="J9" s="29"/>
      <c r="K9" s="9"/>
      <c r="L9" s="16">
        <f t="shared" si="0"/>
        <v>6.6119999999999998E-2</v>
      </c>
    </row>
    <row r="10" spans="1:12" s="162" customFormat="1" ht="19.5" customHeight="1">
      <c r="A10" s="162" t="str">
        <f>'2 Proxy Sum'!A6</f>
        <v>California Water Service Gp</v>
      </c>
      <c r="C10" s="41" t="str">
        <f>'2 Proxy Sum'!C6</f>
        <v>CWT</v>
      </c>
      <c r="D10" s="164"/>
      <c r="E10" s="150">
        <f>'7 Risk Free Rate'!$E$35</f>
        <v>1.512E-2</v>
      </c>
      <c r="F10" s="7"/>
      <c r="G10" s="23">
        <f>'8 Beta'!E7</f>
        <v>0.65</v>
      </c>
      <c r="H10" s="23"/>
      <c r="I10" s="16">
        <f>'10 ERP Result'!$C$18</f>
        <v>0.06</v>
      </c>
      <c r="J10" s="29"/>
      <c r="K10" s="9"/>
      <c r="L10" s="16">
        <f t="shared" si="0"/>
        <v>5.4120000000000001E-2</v>
      </c>
    </row>
    <row r="11" spans="1:12" s="221" customFormat="1" ht="19.5" customHeight="1">
      <c r="A11" s="221" t="str">
        <f>'2 Proxy Sum'!A7</f>
        <v>Essential Utilities, Inc.</v>
      </c>
      <c r="C11" s="41" t="str">
        <f>'2 Proxy Sum'!C7</f>
        <v>WTRG</v>
      </c>
      <c r="D11" s="223"/>
      <c r="E11" s="150">
        <f>'7 Risk Free Rate'!$E$35</f>
        <v>1.512E-2</v>
      </c>
      <c r="F11" s="7"/>
      <c r="G11" s="23">
        <f>'8 Beta'!E8</f>
        <v>0.9</v>
      </c>
      <c r="H11" s="23"/>
      <c r="I11" s="16">
        <f>'10 ERP Result'!$C$18</f>
        <v>0.06</v>
      </c>
      <c r="J11" s="29"/>
      <c r="K11" s="9"/>
      <c r="L11" s="16">
        <f t="shared" si="0"/>
        <v>6.9120000000000001E-2</v>
      </c>
    </row>
    <row r="12" spans="1:12" s="162" customFormat="1" ht="19.5" customHeight="1">
      <c r="A12" s="162" t="str">
        <f>'2 Proxy Sum'!A8</f>
        <v>Middlesex Water Co</v>
      </c>
      <c r="C12" s="41" t="str">
        <f>'2 Proxy Sum'!C8</f>
        <v>MSEX</v>
      </c>
      <c r="D12" s="164"/>
      <c r="E12" s="150">
        <f>'7 Risk Free Rate'!$E$35</f>
        <v>1.512E-2</v>
      </c>
      <c r="F12" s="7"/>
      <c r="G12" s="23">
        <f>'8 Beta'!E9</f>
        <v>0.7</v>
      </c>
      <c r="H12" s="23"/>
      <c r="I12" s="16">
        <f>'10 ERP Result'!$C$18</f>
        <v>0.06</v>
      </c>
      <c r="J12" s="29"/>
      <c r="K12" s="9"/>
      <c r="L12" s="16">
        <f t="shared" si="0"/>
        <v>5.7119999999999997E-2</v>
      </c>
    </row>
    <row r="13" spans="1:12" s="162" customFormat="1" ht="19.5" customHeight="1">
      <c r="A13" s="162" t="str">
        <f>'2 Proxy Sum'!A9</f>
        <v>SJW Group</v>
      </c>
      <c r="C13" s="41" t="str">
        <f>'2 Proxy Sum'!C9</f>
        <v>SJW</v>
      </c>
      <c r="D13" s="164"/>
      <c r="E13" s="150">
        <f>'7 Risk Free Rate'!$E$35</f>
        <v>1.512E-2</v>
      </c>
      <c r="F13" s="7"/>
      <c r="G13" s="23">
        <f>'8 Beta'!E10</f>
        <v>0.8</v>
      </c>
      <c r="H13" s="23"/>
      <c r="I13" s="16">
        <f>'10 ERP Result'!$C$18</f>
        <v>0.06</v>
      </c>
      <c r="J13" s="29"/>
      <c r="K13" s="9"/>
      <c r="L13" s="16">
        <f t="shared" si="0"/>
        <v>6.3119999999999996E-2</v>
      </c>
    </row>
    <row r="14" spans="1:12" ht="19.5" customHeight="1">
      <c r="A14" s="15" t="str">
        <f>'2 Proxy Sum'!A10</f>
        <v>York Water Co</v>
      </c>
      <c r="C14" s="41" t="str">
        <f>'2 Proxy Sum'!C10</f>
        <v>YORW</v>
      </c>
      <c r="D14" s="1"/>
      <c r="E14" s="150">
        <f>'7 Risk Free Rate'!$E$35</f>
        <v>1.512E-2</v>
      </c>
      <c r="F14" s="7"/>
      <c r="G14" s="59">
        <f>'8 Beta'!E11</f>
        <v>0.8</v>
      </c>
      <c r="H14" s="23"/>
      <c r="I14" s="16">
        <f>'10 ERP Result'!$C$18</f>
        <v>0.06</v>
      </c>
      <c r="J14" s="29"/>
      <c r="K14" s="9"/>
      <c r="L14" s="50">
        <f t="shared" ref="L14" si="1">E14+G14*I14</f>
        <v>6.3119999999999996E-2</v>
      </c>
    </row>
    <row r="15" spans="1:12" ht="19.5" customHeight="1" thickBot="1">
      <c r="C15" s="1"/>
      <c r="D15" s="1"/>
      <c r="E15" s="7"/>
      <c r="F15" s="7"/>
      <c r="G15" s="7"/>
      <c r="H15" s="7"/>
      <c r="I15" s="9"/>
      <c r="J15" s="9"/>
      <c r="K15" s="9"/>
    </row>
    <row r="16" spans="1:12" ht="19.5" customHeight="1" thickBot="1">
      <c r="A16" s="49" t="s">
        <v>65</v>
      </c>
      <c r="B16" s="11"/>
      <c r="C16" s="1"/>
      <c r="D16" s="1"/>
      <c r="E16" s="7"/>
      <c r="F16" s="7"/>
      <c r="G16" s="23">
        <f>AVERAGE(G8:G14)</f>
        <v>0.76428571428571423</v>
      </c>
      <c r="H16" s="23"/>
      <c r="I16" s="9"/>
      <c r="J16" s="9"/>
      <c r="K16" s="9"/>
      <c r="L16" s="81">
        <f>AVERAGE(L8:L14)</f>
        <v>6.0977142857142862E-2</v>
      </c>
    </row>
    <row r="17" spans="1:12">
      <c r="A17" s="58"/>
      <c r="B17" s="58"/>
      <c r="C17" s="2"/>
      <c r="D17" s="2"/>
      <c r="E17" s="54"/>
      <c r="F17" s="54"/>
      <c r="G17" s="59"/>
      <c r="H17" s="59"/>
      <c r="I17" s="56"/>
      <c r="J17" s="56"/>
      <c r="K17" s="56"/>
      <c r="L17" s="60"/>
    </row>
    <row r="18" spans="1:12">
      <c r="A18" s="11"/>
      <c r="B18" s="11"/>
      <c r="C18" s="1"/>
      <c r="D18" s="1"/>
      <c r="E18" s="7"/>
      <c r="F18" s="7"/>
      <c r="G18" s="8"/>
      <c r="H18" s="8"/>
      <c r="I18" s="9"/>
      <c r="J18" s="9"/>
      <c r="K18" s="9"/>
      <c r="L18" s="26"/>
    </row>
    <row r="19" spans="1:12" s="53" customFormat="1" ht="14.4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53" customFormat="1" ht="14.45" customHeight="1">
      <c r="A20" s="234" t="s">
        <v>143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</row>
    <row r="21" spans="1:12" s="53" customFormat="1" ht="14.45" customHeight="1">
      <c r="A21" s="234" t="s">
        <v>144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</row>
    <row r="22" spans="1:12" s="53" customFormat="1" ht="14.45" customHeight="1">
      <c r="A22" s="234" t="s">
        <v>145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</row>
    <row r="23" spans="1:12">
      <c r="A23" s="234" t="s">
        <v>97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</row>
  </sheetData>
  <mergeCells count="4">
    <mergeCell ref="A23:L23"/>
    <mergeCell ref="A20:L20"/>
    <mergeCell ref="A21:L21"/>
    <mergeCell ref="A22:L22"/>
  </mergeCells>
  <printOptions horizontalCentered="1"/>
  <pageMargins left="0.7" right="0.7" top="0.75" bottom="0.75" header="0.3" footer="0.3"/>
  <pageSetup scale="81" orientation="portrait" r:id="rId1"/>
  <headerFooter scaleWithDoc="0">
    <oddHeader>&amp;C&amp;"-,Bold"&amp;14CAPM Final Results&amp;RExhibit DJG-11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C10"/>
  <sheetViews>
    <sheetView zoomScale="110" zoomScaleNormal="110" workbookViewId="0"/>
  </sheetViews>
  <sheetFormatPr defaultRowHeight="15"/>
  <cols>
    <col min="1" max="1" width="35.7109375" customWidth="1"/>
    <col min="2" max="2" width="4.7109375" customWidth="1"/>
    <col min="3" max="3" width="28.7109375" customWidth="1"/>
  </cols>
  <sheetData>
    <row r="1" spans="1:3">
      <c r="A1" s="15"/>
      <c r="B1" s="15"/>
      <c r="C1" s="15"/>
    </row>
    <row r="3" spans="1:3" ht="18.75">
      <c r="A3" s="47" t="s">
        <v>86</v>
      </c>
      <c r="B3" s="49"/>
      <c r="C3" s="63" t="s">
        <v>70</v>
      </c>
    </row>
    <row r="4" spans="1:3" ht="18.75">
      <c r="A4" s="64"/>
      <c r="B4" s="64"/>
      <c r="C4" s="64"/>
    </row>
    <row r="5" spans="1:3" ht="18.75">
      <c r="A5" s="64" t="s">
        <v>85</v>
      </c>
      <c r="B5" s="64"/>
      <c r="C5" s="229">
        <f>'6 DCF Result'!H8</f>
        <v>5.7437875596177967E-2</v>
      </c>
    </row>
    <row r="6" spans="1:3" ht="18.75">
      <c r="A6" s="64"/>
      <c r="B6" s="64"/>
      <c r="C6" s="80"/>
    </row>
    <row r="7" spans="1:3" ht="18.75">
      <c r="A7" s="66" t="s">
        <v>13</v>
      </c>
      <c r="B7" s="64"/>
      <c r="C7" s="230">
        <f>'11 CAPM Result'!L16</f>
        <v>6.0977142857142862E-2</v>
      </c>
    </row>
    <row r="8" spans="1:3" ht="18.75">
      <c r="A8" s="64"/>
      <c r="B8" s="64"/>
      <c r="C8" s="65"/>
    </row>
    <row r="9" spans="1:3" ht="18.75">
      <c r="A9" s="49" t="s">
        <v>65</v>
      </c>
      <c r="B9" s="62"/>
      <c r="C9" s="228">
        <f>AVERAGE(C5,C7)</f>
        <v>5.9207509226660418E-2</v>
      </c>
    </row>
    <row r="10" spans="1:3">
      <c r="A10" s="15"/>
      <c r="B10" s="15"/>
      <c r="C10" s="15"/>
    </row>
  </sheetData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&amp;C&amp;"-,Bold"&amp;14Cost of Equity Summary&amp;RExhibit DJG-12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G20"/>
  <sheetViews>
    <sheetView workbookViewId="0"/>
  </sheetViews>
  <sheetFormatPr defaultRowHeight="15"/>
  <cols>
    <col min="1" max="1" width="28.140625" customWidth="1"/>
    <col min="2" max="2" width="4.28515625" customWidth="1"/>
    <col min="3" max="3" width="12.7109375" customWidth="1"/>
    <col min="4" max="4" width="4.7109375" customWidth="1"/>
  </cols>
  <sheetData>
    <row r="1" spans="1:4">
      <c r="A1" s="15"/>
      <c r="B1" s="15"/>
      <c r="C1" s="15"/>
      <c r="D1" s="15"/>
    </row>
    <row r="3" spans="1:4">
      <c r="A3" s="48" t="s">
        <v>12</v>
      </c>
      <c r="B3" s="1"/>
      <c r="C3" s="48" t="s">
        <v>98</v>
      </c>
    </row>
    <row r="5" spans="1:4">
      <c r="A5" t="s">
        <v>100</v>
      </c>
      <c r="C5" s="16">
        <f>'10 ERP Result'!C4+'7 Risk Free Rate'!E35</f>
        <v>7.1120000000000003E-2</v>
      </c>
      <c r="D5" s="1" t="s">
        <v>3</v>
      </c>
    </row>
    <row r="6" spans="1:4">
      <c r="D6" s="1"/>
    </row>
    <row r="7" spans="1:4">
      <c r="A7" t="s">
        <v>99</v>
      </c>
      <c r="C7" s="16">
        <f>'10 ERP Result'!C6+'7 Risk Free Rate'!E35</f>
        <v>5.9320000000000005E-2</v>
      </c>
      <c r="D7" s="1" t="s">
        <v>4</v>
      </c>
    </row>
    <row r="8" spans="1:4">
      <c r="C8" s="16"/>
      <c r="D8" s="1"/>
    </row>
    <row r="9" spans="1:4">
      <c r="A9" t="s">
        <v>76</v>
      </c>
      <c r="C9" s="16">
        <f>'10 ERP Result'!C10+'7 Risk Free Rate'!E35</f>
        <v>7.2719999999999993E-2</v>
      </c>
      <c r="D9" s="1" t="s">
        <v>5</v>
      </c>
    </row>
    <row r="10" spans="1:4">
      <c r="C10" s="16"/>
      <c r="D10" s="1"/>
    </row>
    <row r="11" spans="1:4">
      <c r="A11" s="15" t="s">
        <v>96</v>
      </c>
      <c r="C11" s="88">
        <f>'9 Implied ERP'!C30</f>
        <v>7.4739550741500474E-2</v>
      </c>
      <c r="D11" s="1" t="s">
        <v>6</v>
      </c>
    </row>
    <row r="12" spans="1:4">
      <c r="C12" s="85"/>
      <c r="D12" s="1"/>
    </row>
    <row r="13" spans="1:4">
      <c r="A13" s="13" t="s">
        <v>65</v>
      </c>
      <c r="B13" s="11"/>
      <c r="C13" s="233">
        <f>AVERAGE(C5:C11)</f>
        <v>6.9474887685375117E-2</v>
      </c>
      <c r="D13" s="1"/>
    </row>
    <row r="14" spans="1:4">
      <c r="A14" s="15"/>
      <c r="B14" s="15"/>
      <c r="C14" s="15"/>
      <c r="D14" s="15"/>
    </row>
    <row r="17" spans="1:7">
      <c r="A17" s="234" t="s">
        <v>146</v>
      </c>
      <c r="B17" s="234"/>
      <c r="C17" s="234"/>
      <c r="D17" s="234"/>
    </row>
    <row r="18" spans="1:7">
      <c r="A18" s="234" t="s">
        <v>147</v>
      </c>
      <c r="B18" s="234"/>
      <c r="C18" s="234"/>
      <c r="D18" s="234"/>
    </row>
    <row r="19" spans="1:7">
      <c r="A19" s="234" t="s">
        <v>148</v>
      </c>
      <c r="B19" s="234"/>
      <c r="C19" s="234"/>
      <c r="D19" s="234"/>
      <c r="E19" s="53"/>
      <c r="F19" s="53"/>
      <c r="G19" s="53"/>
    </row>
    <row r="20" spans="1:7">
      <c r="A20" s="234" t="s">
        <v>149</v>
      </c>
      <c r="B20" s="234"/>
      <c r="C20" s="234"/>
      <c r="D20" s="234"/>
      <c r="E20" s="53"/>
      <c r="F20" s="53"/>
      <c r="G20" s="53"/>
    </row>
  </sheetData>
  <mergeCells count="4">
    <mergeCell ref="A17:D17"/>
    <mergeCell ref="A18:D18"/>
    <mergeCell ref="A19:D19"/>
    <mergeCell ref="A20:D20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&amp;C&amp;"-,Bold"&amp;14Market Cost of Equity&amp;RExhibit DJG-13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FCF2-6B11-4F95-9AFF-91B9436CF400}">
  <sheetPr>
    <tabColor theme="9"/>
    <pageSetUpPr fitToPage="1"/>
  </sheetPr>
  <dimension ref="A1:AH49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9.140625" style="166"/>
    <col min="2" max="2" width="2.7109375" style="166" customWidth="1"/>
    <col min="3" max="3" width="9.140625" style="166"/>
    <col min="4" max="4" width="1.7109375" style="166" customWidth="1"/>
    <col min="5" max="5" width="4.7109375" style="166" customWidth="1"/>
    <col min="6" max="6" width="2.7109375" style="166" customWidth="1"/>
    <col min="7" max="7" width="9.140625" style="166"/>
    <col min="8" max="8" width="1.7109375" style="166" customWidth="1"/>
    <col min="9" max="9" width="4.7109375" style="166" customWidth="1"/>
    <col min="10" max="10" width="2.7109375" style="166" customWidth="1"/>
    <col min="11" max="11" width="9.140625" style="166"/>
    <col min="12" max="12" width="1.7109375" style="166" customWidth="1"/>
    <col min="13" max="13" width="4.7109375" style="166" customWidth="1"/>
    <col min="14" max="14" width="2.7109375" style="166" customWidth="1"/>
    <col min="15" max="15" width="9.140625" style="166"/>
    <col min="16" max="16" width="2.7109375" style="166" customWidth="1"/>
    <col min="17" max="17" width="9.140625" style="166"/>
    <col min="18" max="18" width="2.7109375" style="166" customWidth="1"/>
    <col min="19" max="19" width="9.140625" style="166"/>
    <col min="20" max="20" width="2.7109375" style="166" customWidth="1"/>
    <col min="21" max="16384" width="9.140625" style="166"/>
  </cols>
  <sheetData>
    <row r="1" spans="1:21">
      <c r="A1" s="217"/>
      <c r="B1" s="217"/>
      <c r="C1" s="217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3" spans="1:21">
      <c r="C3" s="244" t="s">
        <v>3</v>
      </c>
      <c r="D3" s="244"/>
      <c r="E3" s="244"/>
      <c r="G3" s="244" t="s">
        <v>4</v>
      </c>
      <c r="H3" s="244"/>
      <c r="I3" s="244"/>
      <c r="K3" s="244" t="s">
        <v>5</v>
      </c>
      <c r="L3" s="244"/>
      <c r="M3" s="244"/>
      <c r="O3" s="168" t="s">
        <v>6</v>
      </c>
      <c r="P3" s="168"/>
      <c r="Q3" s="168" t="s">
        <v>7</v>
      </c>
      <c r="R3" s="168"/>
      <c r="S3" s="168" t="s">
        <v>14</v>
      </c>
      <c r="T3" s="168"/>
      <c r="U3" s="168" t="s">
        <v>15</v>
      </c>
    </row>
    <row r="5" spans="1:21">
      <c r="C5" s="245" t="s">
        <v>121</v>
      </c>
      <c r="D5" s="245"/>
      <c r="E5" s="245"/>
      <c r="G5" s="245" t="s">
        <v>122</v>
      </c>
      <c r="H5" s="245"/>
      <c r="I5" s="245"/>
      <c r="K5" s="245" t="s">
        <v>123</v>
      </c>
      <c r="L5" s="245"/>
      <c r="M5" s="245"/>
      <c r="O5" s="168" t="s">
        <v>124</v>
      </c>
      <c r="Q5" s="168" t="s">
        <v>125</v>
      </c>
      <c r="S5" s="168" t="s">
        <v>79</v>
      </c>
      <c r="U5" s="168" t="s">
        <v>126</v>
      </c>
    </row>
    <row r="6" spans="1:21">
      <c r="A6" s="169" t="s">
        <v>25</v>
      </c>
      <c r="B6" s="168"/>
      <c r="C6" s="169" t="s">
        <v>53</v>
      </c>
      <c r="D6" s="168"/>
      <c r="E6" s="169" t="s">
        <v>127</v>
      </c>
      <c r="F6" s="168"/>
      <c r="G6" s="169" t="s">
        <v>53</v>
      </c>
      <c r="H6" s="168"/>
      <c r="I6" s="169" t="s">
        <v>127</v>
      </c>
      <c r="K6" s="169" t="s">
        <v>53</v>
      </c>
      <c r="L6" s="168"/>
      <c r="M6" s="169" t="s">
        <v>127</v>
      </c>
      <c r="O6" s="169" t="s">
        <v>128</v>
      </c>
      <c r="Q6" s="169" t="s">
        <v>18</v>
      </c>
      <c r="S6" s="169" t="s">
        <v>82</v>
      </c>
      <c r="U6" s="169" t="s">
        <v>129</v>
      </c>
    </row>
    <row r="8" spans="1:21">
      <c r="A8" s="166">
        <v>1990</v>
      </c>
      <c r="C8" s="27">
        <v>0.127</v>
      </c>
      <c r="E8" s="166">
        <v>38</v>
      </c>
      <c r="G8" s="27">
        <v>0.1268</v>
      </c>
      <c r="I8" s="166">
        <v>33</v>
      </c>
      <c r="K8" s="27">
        <f>C8*E8/M8+G8*I8/M8</f>
        <v>0.12690704225352112</v>
      </c>
      <c r="M8" s="166">
        <f>E8+I8</f>
        <v>71</v>
      </c>
      <c r="O8" s="12">
        <v>-3.0599999999999999E-2</v>
      </c>
      <c r="Q8" s="27">
        <v>8.0699999999999994E-2</v>
      </c>
      <c r="S8" s="27">
        <v>3.8899999999999997E-2</v>
      </c>
      <c r="U8" s="12">
        <f>S8+Q8</f>
        <v>0.11959999999999998</v>
      </c>
    </row>
    <row r="9" spans="1:21">
      <c r="A9" s="166">
        <v>1991</v>
      </c>
      <c r="C9" s="27">
        <v>0.12539999999999998</v>
      </c>
      <c r="E9" s="166">
        <v>42</v>
      </c>
      <c r="G9" s="27">
        <v>0.1245</v>
      </c>
      <c r="I9" s="166">
        <v>31</v>
      </c>
      <c r="K9" s="27">
        <f t="shared" ref="K9:K37" si="0">C9*E9/M9+G9*I9/M9</f>
        <v>0.12501780821917807</v>
      </c>
      <c r="M9" s="166">
        <f t="shared" ref="M9:M37" si="1">E9+I9</f>
        <v>73</v>
      </c>
      <c r="O9" s="12">
        <v>0.30230000000000001</v>
      </c>
      <c r="Q9" s="27">
        <v>6.7000000000000004E-2</v>
      </c>
      <c r="S9" s="27">
        <v>3.4799999999999998E-2</v>
      </c>
      <c r="U9" s="12">
        <f t="shared" ref="U9:U37" si="2">S9+Q9</f>
        <v>0.1018</v>
      </c>
    </row>
    <row r="10" spans="1:21">
      <c r="A10" s="166">
        <v>1992</v>
      </c>
      <c r="C10" s="27">
        <v>0.12089999999999999</v>
      </c>
      <c r="E10" s="166">
        <v>45</v>
      </c>
      <c r="G10" s="27">
        <v>0.1202</v>
      </c>
      <c r="I10" s="166">
        <v>28</v>
      </c>
      <c r="K10" s="27">
        <f t="shared" si="0"/>
        <v>0.12063150684931508</v>
      </c>
      <c r="M10" s="166">
        <f t="shared" si="1"/>
        <v>73</v>
      </c>
      <c r="O10" s="12">
        <v>7.4899999999999994E-2</v>
      </c>
      <c r="Q10" s="27">
        <v>6.6799999999999998E-2</v>
      </c>
      <c r="S10" s="27">
        <v>3.5499999999999997E-2</v>
      </c>
      <c r="U10" s="12">
        <f t="shared" si="2"/>
        <v>0.1023</v>
      </c>
    </row>
    <row r="11" spans="1:21">
      <c r="A11" s="166">
        <v>1993</v>
      </c>
      <c r="C11" s="27">
        <v>0.11460000000000001</v>
      </c>
      <c r="E11" s="166">
        <v>28</v>
      </c>
      <c r="G11" s="27">
        <v>0.1137</v>
      </c>
      <c r="I11" s="166">
        <v>40</v>
      </c>
      <c r="K11" s="27">
        <f t="shared" si="0"/>
        <v>0.11407058823529412</v>
      </c>
      <c r="M11" s="166">
        <f t="shared" si="1"/>
        <v>68</v>
      </c>
      <c r="O11" s="12">
        <v>9.9699999999999997E-2</v>
      </c>
      <c r="Q11" s="27">
        <v>5.79E-2</v>
      </c>
      <c r="S11" s="27">
        <v>3.1699999999999999E-2</v>
      </c>
      <c r="U11" s="12">
        <f t="shared" si="2"/>
        <v>8.9599999999999999E-2</v>
      </c>
    </row>
    <row r="12" spans="1:21">
      <c r="A12" s="166">
        <v>1994</v>
      </c>
      <c r="C12" s="27">
        <v>0.11210000000000001</v>
      </c>
      <c r="E12" s="166">
        <v>28</v>
      </c>
      <c r="G12" s="27">
        <v>0.1124</v>
      </c>
      <c r="I12" s="166">
        <v>24</v>
      </c>
      <c r="K12" s="27">
        <f t="shared" si="0"/>
        <v>0.11223846153846154</v>
      </c>
      <c r="M12" s="166">
        <f t="shared" si="1"/>
        <v>52</v>
      </c>
      <c r="O12" s="12">
        <v>1.3299999999999999E-2</v>
      </c>
      <c r="Q12" s="27">
        <v>7.8200000000000006E-2</v>
      </c>
      <c r="S12" s="27">
        <v>3.5499999999999997E-2</v>
      </c>
      <c r="U12" s="12">
        <f t="shared" si="2"/>
        <v>0.1137</v>
      </c>
    </row>
    <row r="13" spans="1:21">
      <c r="A13" s="166">
        <v>1995</v>
      </c>
      <c r="C13" s="27">
        <v>0.1158</v>
      </c>
      <c r="E13" s="166">
        <v>28</v>
      </c>
      <c r="G13" s="27">
        <v>0.1144</v>
      </c>
      <c r="I13" s="166">
        <v>13</v>
      </c>
      <c r="K13" s="27">
        <f t="shared" si="0"/>
        <v>0.11535609756097562</v>
      </c>
      <c r="M13" s="166">
        <f t="shared" si="1"/>
        <v>41</v>
      </c>
      <c r="O13" s="12">
        <v>0.372</v>
      </c>
      <c r="Q13" s="27">
        <v>5.57E-2</v>
      </c>
      <c r="S13" s="27">
        <v>3.2899999999999999E-2</v>
      </c>
      <c r="U13" s="12">
        <f t="shared" si="2"/>
        <v>8.8599999999999998E-2</v>
      </c>
    </row>
    <row r="14" spans="1:21">
      <c r="A14" s="166">
        <v>1996</v>
      </c>
      <c r="C14" s="27">
        <v>0.114</v>
      </c>
      <c r="E14" s="166">
        <v>18</v>
      </c>
      <c r="G14" s="27">
        <v>0.11119999999999999</v>
      </c>
      <c r="I14" s="166">
        <v>17</v>
      </c>
      <c r="K14" s="27">
        <f t="shared" si="0"/>
        <v>0.11263999999999999</v>
      </c>
      <c r="M14" s="166">
        <f t="shared" si="1"/>
        <v>35</v>
      </c>
      <c r="O14" s="12">
        <v>0.2268</v>
      </c>
      <c r="Q14" s="27">
        <v>6.4100000000000004E-2</v>
      </c>
      <c r="S14" s="27">
        <v>3.2000000000000001E-2</v>
      </c>
      <c r="U14" s="12">
        <f t="shared" si="2"/>
        <v>9.6100000000000005E-2</v>
      </c>
    </row>
    <row r="15" spans="1:21">
      <c r="A15" s="166">
        <v>1997</v>
      </c>
      <c r="C15" s="27">
        <v>0.1133</v>
      </c>
      <c r="E15" s="166">
        <v>10</v>
      </c>
      <c r="G15" s="27">
        <v>0.113</v>
      </c>
      <c r="I15" s="166">
        <v>12</v>
      </c>
      <c r="K15" s="27">
        <f t="shared" si="0"/>
        <v>0.11313636363636365</v>
      </c>
      <c r="M15" s="166">
        <f t="shared" si="1"/>
        <v>22</v>
      </c>
      <c r="O15" s="12">
        <v>0.33100000000000002</v>
      </c>
      <c r="Q15" s="27">
        <v>5.74E-2</v>
      </c>
      <c r="S15" s="27">
        <v>2.7300000000000001E-2</v>
      </c>
      <c r="U15" s="12">
        <f t="shared" si="2"/>
        <v>8.4699999999999998E-2</v>
      </c>
    </row>
    <row r="16" spans="1:21">
      <c r="A16" s="166">
        <v>1998</v>
      </c>
      <c r="C16" s="27">
        <v>0.1177</v>
      </c>
      <c r="E16" s="166">
        <v>10</v>
      </c>
      <c r="G16" s="27">
        <v>0.11509999999999999</v>
      </c>
      <c r="I16" s="166">
        <v>10</v>
      </c>
      <c r="K16" s="27">
        <f t="shared" si="0"/>
        <v>0.1164</v>
      </c>
      <c r="M16" s="166">
        <f t="shared" si="1"/>
        <v>20</v>
      </c>
      <c r="O16" s="12">
        <v>0.28339999999999999</v>
      </c>
      <c r="Q16" s="27">
        <v>4.65E-2</v>
      </c>
      <c r="S16" s="27">
        <v>2.2599999999999999E-2</v>
      </c>
      <c r="U16" s="12">
        <f t="shared" si="2"/>
        <v>6.9099999999999995E-2</v>
      </c>
    </row>
    <row r="17" spans="1:34">
      <c r="A17" s="166">
        <v>1999</v>
      </c>
      <c r="C17" s="27">
        <v>0.1072</v>
      </c>
      <c r="E17" s="166">
        <v>6</v>
      </c>
      <c r="G17" s="27">
        <v>0.1074</v>
      </c>
      <c r="I17" s="166">
        <v>6</v>
      </c>
      <c r="K17" s="27">
        <f t="shared" si="0"/>
        <v>0.10730000000000001</v>
      </c>
      <c r="M17" s="166">
        <f t="shared" si="1"/>
        <v>12</v>
      </c>
      <c r="O17" s="12">
        <v>0.2089</v>
      </c>
      <c r="Q17" s="27">
        <v>6.4399999999999999E-2</v>
      </c>
      <c r="S17" s="27">
        <v>2.0500000000000001E-2</v>
      </c>
      <c r="U17" s="12">
        <f t="shared" si="2"/>
        <v>8.4900000000000003E-2</v>
      </c>
    </row>
    <row r="18" spans="1:34">
      <c r="A18" s="166">
        <v>2000</v>
      </c>
      <c r="C18" s="27">
        <v>0.1158</v>
      </c>
      <c r="E18" s="166">
        <v>9</v>
      </c>
      <c r="G18" s="27">
        <v>0.1134</v>
      </c>
      <c r="I18" s="166">
        <v>13</v>
      </c>
      <c r="K18" s="27">
        <f t="shared" si="0"/>
        <v>0.11438181818181818</v>
      </c>
      <c r="M18" s="166">
        <f t="shared" si="1"/>
        <v>22</v>
      </c>
      <c r="O18" s="12">
        <v>-9.0300000000000005E-2</v>
      </c>
      <c r="Q18" s="27">
        <v>5.11E-2</v>
      </c>
      <c r="S18" s="27">
        <v>2.87E-2</v>
      </c>
      <c r="U18" s="12">
        <f t="shared" si="2"/>
        <v>7.9799999999999996E-2</v>
      </c>
    </row>
    <row r="19" spans="1:34">
      <c r="A19" s="166">
        <v>2001</v>
      </c>
      <c r="C19" s="27">
        <v>0.11070000000000001</v>
      </c>
      <c r="E19" s="166">
        <v>15</v>
      </c>
      <c r="G19" s="27">
        <v>0.1096</v>
      </c>
      <c r="I19" s="166">
        <v>5</v>
      </c>
      <c r="K19" s="27">
        <f t="shared" si="0"/>
        <v>0.110425</v>
      </c>
      <c r="M19" s="166">
        <f t="shared" si="1"/>
        <v>20</v>
      </c>
      <c r="O19" s="12">
        <v>-0.11849999999999999</v>
      </c>
      <c r="Q19" s="27">
        <v>5.0500000000000003E-2</v>
      </c>
      <c r="S19" s="27">
        <v>3.6200000000000003E-2</v>
      </c>
      <c r="U19" s="12">
        <f t="shared" si="2"/>
        <v>8.6699999999999999E-2</v>
      </c>
    </row>
    <row r="20" spans="1:34">
      <c r="A20" s="166">
        <v>2002</v>
      </c>
      <c r="C20" s="27">
        <v>0.11210000000000001</v>
      </c>
      <c r="E20" s="166">
        <v>14</v>
      </c>
      <c r="G20" s="27">
        <v>0.11169999999999999</v>
      </c>
      <c r="I20" s="166">
        <v>19</v>
      </c>
      <c r="K20" s="27">
        <f t="shared" si="0"/>
        <v>0.11186969696969698</v>
      </c>
      <c r="M20" s="166">
        <f t="shared" si="1"/>
        <v>33</v>
      </c>
      <c r="O20" s="12">
        <v>-0.21970000000000001</v>
      </c>
      <c r="Q20" s="27">
        <v>3.8100000000000002E-2</v>
      </c>
      <c r="S20" s="27">
        <v>4.1000000000000002E-2</v>
      </c>
      <c r="U20" s="12">
        <f t="shared" si="2"/>
        <v>7.9100000000000004E-2</v>
      </c>
    </row>
    <row r="21" spans="1:34">
      <c r="A21" s="166">
        <v>2003</v>
      </c>
      <c r="C21" s="27">
        <v>0.1096</v>
      </c>
      <c r="E21" s="166">
        <v>20</v>
      </c>
      <c r="G21" s="27">
        <v>0.1099</v>
      </c>
      <c r="I21" s="166">
        <v>25</v>
      </c>
      <c r="K21" s="27">
        <f t="shared" si="0"/>
        <v>0.10976666666666668</v>
      </c>
      <c r="M21" s="166">
        <f t="shared" si="1"/>
        <v>45</v>
      </c>
      <c r="O21" s="12">
        <v>0.28360000000000002</v>
      </c>
      <c r="Q21" s="27">
        <v>4.2500000000000003E-2</v>
      </c>
      <c r="S21" s="27">
        <v>3.6900000000000002E-2</v>
      </c>
      <c r="U21" s="12">
        <f t="shared" si="2"/>
        <v>7.9399999999999998E-2</v>
      </c>
    </row>
    <row r="22" spans="1:34">
      <c r="A22" s="166">
        <v>2004</v>
      </c>
      <c r="C22" s="27">
        <v>0.1081</v>
      </c>
      <c r="E22" s="166">
        <v>21</v>
      </c>
      <c r="G22" s="27">
        <v>0.10630000000000001</v>
      </c>
      <c r="I22" s="166">
        <v>22</v>
      </c>
      <c r="K22" s="27">
        <f t="shared" si="0"/>
        <v>0.10717906976744188</v>
      </c>
      <c r="M22" s="166">
        <f t="shared" si="1"/>
        <v>43</v>
      </c>
      <c r="O22" s="12">
        <v>0.1074</v>
      </c>
      <c r="Q22" s="27">
        <v>4.2200000000000001E-2</v>
      </c>
      <c r="S22" s="27">
        <v>3.6499999999999998E-2</v>
      </c>
      <c r="U22" s="12">
        <f t="shared" si="2"/>
        <v>7.8699999999999992E-2</v>
      </c>
    </row>
    <row r="23" spans="1:34">
      <c r="A23" s="166">
        <v>2005</v>
      </c>
      <c r="C23" s="27">
        <v>0.1051</v>
      </c>
      <c r="E23" s="166">
        <v>24</v>
      </c>
      <c r="G23" s="27">
        <v>0.1041</v>
      </c>
      <c r="I23" s="166">
        <v>26</v>
      </c>
      <c r="K23" s="27">
        <f t="shared" si="0"/>
        <v>0.10458000000000001</v>
      </c>
      <c r="M23" s="166">
        <f t="shared" si="1"/>
        <v>50</v>
      </c>
      <c r="O23" s="12">
        <v>4.8300000000000003E-2</v>
      </c>
      <c r="Q23" s="27">
        <v>4.3900000000000002E-2</v>
      </c>
      <c r="S23" s="27">
        <v>4.0800000000000003E-2</v>
      </c>
      <c r="U23" s="12">
        <f t="shared" si="2"/>
        <v>8.4699999999999998E-2</v>
      </c>
    </row>
    <row r="24" spans="1:34">
      <c r="A24" s="166">
        <v>2006</v>
      </c>
      <c r="C24" s="27">
        <v>0.1032</v>
      </c>
      <c r="E24" s="166">
        <v>26</v>
      </c>
      <c r="G24" s="27">
        <v>0.10400000000000001</v>
      </c>
      <c r="I24" s="166">
        <v>15</v>
      </c>
      <c r="K24" s="27">
        <f t="shared" si="0"/>
        <v>0.10349268292682925</v>
      </c>
      <c r="M24" s="166">
        <f t="shared" si="1"/>
        <v>41</v>
      </c>
      <c r="O24" s="12">
        <v>0.15609999999999999</v>
      </c>
      <c r="Q24" s="27">
        <v>4.7E-2</v>
      </c>
      <c r="S24" s="27">
        <v>4.1599999999999998E-2</v>
      </c>
      <c r="U24" s="12">
        <f t="shared" si="2"/>
        <v>8.8599999999999998E-2</v>
      </c>
    </row>
    <row r="25" spans="1:34">
      <c r="A25" s="166">
        <v>2007</v>
      </c>
      <c r="C25" s="27">
        <v>0.10300000000000001</v>
      </c>
      <c r="E25" s="166">
        <v>38</v>
      </c>
      <c r="G25" s="27">
        <v>0.10220000000000001</v>
      </c>
      <c r="I25" s="166">
        <v>35</v>
      </c>
      <c r="K25" s="27">
        <f t="shared" si="0"/>
        <v>0.10261643835616439</v>
      </c>
      <c r="M25" s="166">
        <f t="shared" si="1"/>
        <v>73</v>
      </c>
      <c r="O25" s="12">
        <v>5.4800000000000001E-2</v>
      </c>
      <c r="Q25" s="27">
        <v>4.02E-2</v>
      </c>
      <c r="S25" s="27">
        <v>4.3700000000000003E-2</v>
      </c>
      <c r="U25" s="12">
        <f t="shared" si="2"/>
        <v>8.3900000000000002E-2</v>
      </c>
    </row>
    <row r="26" spans="1:34">
      <c r="A26" s="166">
        <v>2008</v>
      </c>
      <c r="C26" s="27">
        <v>0.1041</v>
      </c>
      <c r="E26" s="166">
        <v>37</v>
      </c>
      <c r="G26" s="27">
        <v>0.10390000000000001</v>
      </c>
      <c r="I26" s="166">
        <v>32</v>
      </c>
      <c r="K26" s="27">
        <f t="shared" si="0"/>
        <v>0.10400724637681161</v>
      </c>
      <c r="M26" s="166">
        <f t="shared" si="1"/>
        <v>69</v>
      </c>
      <c r="O26" s="12">
        <v>-0.36549999999999999</v>
      </c>
      <c r="Q26" s="27">
        <v>2.2100000000000002E-2</v>
      </c>
      <c r="S26" s="27">
        <v>6.4299999999999996E-2</v>
      </c>
      <c r="U26" s="12">
        <f t="shared" si="2"/>
        <v>8.6400000000000005E-2</v>
      </c>
    </row>
    <row r="27" spans="1:34">
      <c r="A27" s="166">
        <v>2009</v>
      </c>
      <c r="C27" s="27">
        <v>0.1052</v>
      </c>
      <c r="E27" s="166">
        <v>40</v>
      </c>
      <c r="G27" s="27">
        <v>0.10220000000000001</v>
      </c>
      <c r="I27" s="166">
        <v>30</v>
      </c>
      <c r="K27" s="27">
        <f t="shared" si="0"/>
        <v>0.10391428571428572</v>
      </c>
      <c r="M27" s="166">
        <f t="shared" si="1"/>
        <v>70</v>
      </c>
      <c r="O27" s="12">
        <v>0.25940000000000002</v>
      </c>
      <c r="Q27" s="27">
        <v>3.8399999999999997E-2</v>
      </c>
      <c r="S27" s="27">
        <v>4.36E-2</v>
      </c>
      <c r="U27" s="12">
        <f t="shared" si="2"/>
        <v>8.199999999999999E-2</v>
      </c>
    </row>
    <row r="28" spans="1:34">
      <c r="A28" s="166">
        <v>2010</v>
      </c>
      <c r="C28" s="27">
        <v>0.10369999999999999</v>
      </c>
      <c r="E28" s="166">
        <v>61</v>
      </c>
      <c r="G28" s="27">
        <v>0.10150000000000001</v>
      </c>
      <c r="I28" s="166">
        <v>39</v>
      </c>
      <c r="K28" s="27">
        <f t="shared" si="0"/>
        <v>0.10284199999999999</v>
      </c>
      <c r="M28" s="166">
        <f t="shared" si="1"/>
        <v>100</v>
      </c>
      <c r="O28" s="12">
        <v>0.1482</v>
      </c>
      <c r="Q28" s="27">
        <v>3.2899999999999999E-2</v>
      </c>
      <c r="S28" s="27">
        <v>5.1999999999999998E-2</v>
      </c>
      <c r="U28" s="12">
        <f t="shared" si="2"/>
        <v>8.4900000000000003E-2</v>
      </c>
    </row>
    <row r="29" spans="1:34">
      <c r="A29" s="166">
        <v>2011</v>
      </c>
      <c r="C29" s="27">
        <v>0.10289999999999999</v>
      </c>
      <c r="E29" s="166">
        <v>42</v>
      </c>
      <c r="G29" s="27">
        <v>9.9199999999999997E-2</v>
      </c>
      <c r="I29" s="166">
        <v>16</v>
      </c>
      <c r="K29" s="27">
        <f t="shared" si="0"/>
        <v>0.10187931034482758</v>
      </c>
      <c r="M29" s="166">
        <f t="shared" si="1"/>
        <v>58</v>
      </c>
      <c r="O29" s="12">
        <v>2.1000000000000001E-2</v>
      </c>
      <c r="Q29" s="27">
        <v>1.8800000000000001E-2</v>
      </c>
      <c r="S29" s="27">
        <v>6.0100000000000001E-2</v>
      </c>
      <c r="U29" s="12">
        <f t="shared" si="2"/>
        <v>7.8899999999999998E-2</v>
      </c>
      <c r="AH29" s="166" t="s">
        <v>229</v>
      </c>
    </row>
    <row r="30" spans="1:34">
      <c r="A30" s="166">
        <v>2012</v>
      </c>
      <c r="C30" s="27">
        <v>0.1017</v>
      </c>
      <c r="E30" s="166">
        <v>58</v>
      </c>
      <c r="G30" s="27">
        <v>9.9399999999999988E-2</v>
      </c>
      <c r="I30" s="166">
        <v>35</v>
      </c>
      <c r="K30" s="27">
        <f t="shared" si="0"/>
        <v>0.10083440860215054</v>
      </c>
      <c r="M30" s="166">
        <f t="shared" si="1"/>
        <v>93</v>
      </c>
      <c r="O30" s="12">
        <v>0.15890000000000001</v>
      </c>
      <c r="Q30" s="27">
        <v>1.7600000000000001E-2</v>
      </c>
      <c r="S30" s="27">
        <v>5.7799999999999997E-2</v>
      </c>
      <c r="U30" s="12">
        <f t="shared" si="2"/>
        <v>7.5399999999999995E-2</v>
      </c>
      <c r="AH30" s="14">
        <f>'12 COE Summary'!C9</f>
        <v>5.9207509226660418E-2</v>
      </c>
    </row>
    <row r="31" spans="1:34">
      <c r="A31" s="166">
        <v>2013</v>
      </c>
      <c r="C31" s="27">
        <v>0.1003</v>
      </c>
      <c r="E31" s="166">
        <v>49</v>
      </c>
      <c r="G31" s="27">
        <v>9.6799999999999997E-2</v>
      </c>
      <c r="I31" s="166">
        <v>21</v>
      </c>
      <c r="K31" s="27">
        <f t="shared" si="0"/>
        <v>9.9249999999999991E-2</v>
      </c>
      <c r="M31" s="166">
        <f t="shared" si="1"/>
        <v>70</v>
      </c>
      <c r="O31" s="12">
        <v>0.32150000000000001</v>
      </c>
      <c r="Q31" s="27">
        <v>3.04E-2</v>
      </c>
      <c r="S31" s="27">
        <v>4.9599999999999998E-2</v>
      </c>
      <c r="U31" s="12">
        <f t="shared" si="2"/>
        <v>0.08</v>
      </c>
    </row>
    <row r="32" spans="1:34">
      <c r="A32" s="166">
        <v>2014</v>
      </c>
      <c r="C32" s="27">
        <v>9.9100000000000008E-2</v>
      </c>
      <c r="E32" s="166">
        <v>38</v>
      </c>
      <c r="G32" s="27">
        <v>9.7799999999999998E-2</v>
      </c>
      <c r="I32" s="166">
        <v>26</v>
      </c>
      <c r="K32" s="27">
        <f t="shared" si="0"/>
        <v>9.8571875000000003E-2</v>
      </c>
      <c r="M32" s="166">
        <f t="shared" si="1"/>
        <v>64</v>
      </c>
      <c r="O32" s="12">
        <v>0.13519999999999999</v>
      </c>
      <c r="Q32" s="27">
        <v>2.1700000000000001E-2</v>
      </c>
      <c r="S32" s="27">
        <v>5.7799999999999997E-2</v>
      </c>
      <c r="U32" s="12">
        <f t="shared" si="2"/>
        <v>7.9500000000000001E-2</v>
      </c>
      <c r="X32" s="10"/>
      <c r="AH32" s="166" t="s">
        <v>230</v>
      </c>
    </row>
    <row r="33" spans="1:34">
      <c r="A33" s="166">
        <v>2015</v>
      </c>
      <c r="C33" s="27">
        <v>9.849999999999999E-2</v>
      </c>
      <c r="E33" s="166">
        <v>30</v>
      </c>
      <c r="G33" s="27">
        <v>9.6000000000000002E-2</v>
      </c>
      <c r="I33" s="166">
        <v>16</v>
      </c>
      <c r="K33" s="27">
        <f t="shared" si="0"/>
        <v>9.7630434782608688E-2</v>
      </c>
      <c r="M33" s="166">
        <f t="shared" si="1"/>
        <v>46</v>
      </c>
      <c r="O33" s="12">
        <v>1.38E-2</v>
      </c>
      <c r="Q33" s="27">
        <v>2.2700000000000001E-2</v>
      </c>
      <c r="S33" s="27">
        <v>6.1199999999999997E-2</v>
      </c>
      <c r="U33" s="12">
        <f t="shared" si="2"/>
        <v>8.3900000000000002E-2</v>
      </c>
      <c r="AH33" s="27">
        <v>0.1</v>
      </c>
    </row>
    <row r="34" spans="1:34">
      <c r="A34" s="166">
        <v>2016</v>
      </c>
      <c r="C34" s="27">
        <v>9.7699999999999995E-2</v>
      </c>
      <c r="E34" s="166">
        <v>42</v>
      </c>
      <c r="G34" s="27">
        <v>9.5399999999999985E-2</v>
      </c>
      <c r="I34" s="166">
        <v>26</v>
      </c>
      <c r="K34" s="27">
        <f t="shared" si="0"/>
        <v>9.6820588235294103E-2</v>
      </c>
      <c r="M34" s="166">
        <f t="shared" si="1"/>
        <v>68</v>
      </c>
      <c r="O34" s="12">
        <v>0.1177</v>
      </c>
      <c r="Q34" s="27">
        <v>2.4500000000000001E-2</v>
      </c>
      <c r="S34" s="27">
        <v>5.6899999999999999E-2</v>
      </c>
      <c r="U34" s="12">
        <f t="shared" si="2"/>
        <v>8.14E-2</v>
      </c>
      <c r="AC34" s="10"/>
    </row>
    <row r="35" spans="1:34">
      <c r="A35" s="18">
        <v>2017</v>
      </c>
      <c r="C35" s="27">
        <v>9.74E-2</v>
      </c>
      <c r="E35" s="166">
        <v>53</v>
      </c>
      <c r="G35" s="27">
        <v>9.7200000000000009E-2</v>
      </c>
      <c r="I35" s="166">
        <v>24</v>
      </c>
      <c r="K35" s="27">
        <f t="shared" si="0"/>
        <v>9.7337662337662334E-2</v>
      </c>
      <c r="M35" s="166">
        <f t="shared" si="1"/>
        <v>77</v>
      </c>
      <c r="O35" s="12">
        <v>0.21609999999999999</v>
      </c>
      <c r="Q35" s="27">
        <v>2.41E-2</v>
      </c>
      <c r="S35" s="27">
        <v>5.0799999999999998E-2</v>
      </c>
      <c r="U35" s="12">
        <f t="shared" si="2"/>
        <v>7.4899999999999994E-2</v>
      </c>
      <c r="AH35" s="166" t="s">
        <v>231</v>
      </c>
    </row>
    <row r="36" spans="1:34">
      <c r="A36" s="18">
        <v>2018</v>
      </c>
      <c r="C36" s="27">
        <v>9.64E-2</v>
      </c>
      <c r="E36" s="166">
        <v>37</v>
      </c>
      <c r="G36" s="27">
        <v>9.6199999999999994E-2</v>
      </c>
      <c r="I36" s="166">
        <v>26</v>
      </c>
      <c r="K36" s="27">
        <f t="shared" si="0"/>
        <v>9.6317460317460329E-2</v>
      </c>
      <c r="M36" s="166">
        <f t="shared" si="1"/>
        <v>63</v>
      </c>
      <c r="O36" s="12">
        <v>-4.2299999999999997E-2</v>
      </c>
      <c r="Q36" s="27">
        <v>2.6800000000000001E-2</v>
      </c>
      <c r="S36" s="27">
        <v>5.96E-2</v>
      </c>
      <c r="U36" s="12">
        <f t="shared" si="2"/>
        <v>8.6400000000000005E-2</v>
      </c>
    </row>
    <row r="37" spans="1:34">
      <c r="A37" s="18">
        <v>2019</v>
      </c>
      <c r="C37" s="27">
        <v>9.64E-2</v>
      </c>
      <c r="E37" s="166">
        <v>67</v>
      </c>
      <c r="G37" s="27"/>
      <c r="K37" s="27">
        <f t="shared" si="0"/>
        <v>9.64E-2</v>
      </c>
      <c r="M37" s="166">
        <f t="shared" si="1"/>
        <v>67</v>
      </c>
      <c r="O37" s="12">
        <v>0.31219999999999998</v>
      </c>
      <c r="Q37" s="27">
        <v>1.9199999999999998E-2</v>
      </c>
      <c r="S37" s="27">
        <v>5.1999999999999998E-2</v>
      </c>
      <c r="U37" s="12">
        <f t="shared" si="2"/>
        <v>7.1199999999999999E-2</v>
      </c>
      <c r="AH37" s="27">
        <v>0.09</v>
      </c>
    </row>
    <row r="38" spans="1:34">
      <c r="A38" s="141">
        <v>2019</v>
      </c>
      <c r="C38" s="27"/>
      <c r="G38" s="27"/>
      <c r="K38" s="27"/>
      <c r="O38" s="12"/>
      <c r="Q38" s="27"/>
      <c r="S38" s="27"/>
      <c r="U38" s="12"/>
    </row>
    <row r="39" spans="1:3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1" spans="1:34">
      <c r="A41" s="11"/>
      <c r="C41" s="12"/>
      <c r="G41" s="12"/>
    </row>
    <row r="42" spans="1:34" ht="15" customHeight="1">
      <c r="A42" s="242" t="s">
        <v>232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</row>
    <row r="43" spans="1:34">
      <c r="A43" s="242" t="s">
        <v>134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</row>
    <row r="44" spans="1:34" ht="15" customHeight="1">
      <c r="A44" s="242" t="s">
        <v>130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</row>
    <row r="45" spans="1:34">
      <c r="A45" s="243" t="s">
        <v>131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</row>
    <row r="46" spans="1:34">
      <c r="A46" s="167" t="s">
        <v>138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</row>
    <row r="47" spans="1:34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</row>
    <row r="48" spans="1:34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</row>
    <row r="49" spans="1:21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</row>
  </sheetData>
  <mergeCells count="10">
    <mergeCell ref="A42:U42"/>
    <mergeCell ref="A43:U43"/>
    <mergeCell ref="A44:U44"/>
    <mergeCell ref="A45:U45"/>
    <mergeCell ref="C3:E3"/>
    <mergeCell ref="G3:I3"/>
    <mergeCell ref="K3:M3"/>
    <mergeCell ref="C5:E5"/>
    <mergeCell ref="G5:I5"/>
    <mergeCell ref="K5:M5"/>
  </mergeCells>
  <printOptions horizontalCentered="1"/>
  <pageMargins left="0.7" right="0.7" top="0.75" bottom="0.75" header="0.3" footer="0.3"/>
  <pageSetup scale="82" orientation="portrait" horizontalDpi="1200" verticalDpi="1200" r:id="rId1"/>
  <headerFooter scaleWithDoc="0">
    <oddHeader>&amp;C&amp;"-,Bold"&amp;14Market Cost of Equity vs. Awarded Returns
&amp;RExhibit DJG-14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D132-25BE-4E74-88C1-1D9A4553C7B7}">
  <sheetPr>
    <tabColor theme="8"/>
    <pageSetUpPr fitToPage="1"/>
  </sheetPr>
  <dimension ref="A1:R80"/>
  <sheetViews>
    <sheetView zoomScale="90" zoomScaleNormal="90" workbookViewId="0"/>
  </sheetViews>
  <sheetFormatPr defaultRowHeight="15"/>
  <cols>
    <col min="1" max="1" width="36.140625" style="173" customWidth="1"/>
    <col min="2" max="2" width="2.7109375" style="173" customWidth="1"/>
    <col min="3" max="3" width="10.7109375" style="173" bestFit="1" customWidth="1"/>
    <col min="4" max="4" width="2.7109375" style="173" customWidth="1"/>
    <col min="5" max="5" width="13.28515625" style="192" customWidth="1"/>
    <col min="6" max="8" width="9.140625" style="173"/>
    <col min="9" max="9" width="32.7109375" style="173" bestFit="1" customWidth="1"/>
    <col min="10" max="10" width="2.7109375" style="173" customWidth="1"/>
    <col min="11" max="11" width="10.28515625" style="173" bestFit="1" customWidth="1"/>
    <col min="12" max="12" width="2.7109375" style="173" customWidth="1"/>
    <col min="13" max="13" width="12.7109375" style="173" customWidth="1"/>
    <col min="14" max="15" width="9.140625" style="173"/>
    <col min="16" max="16" width="25.7109375" style="173" bestFit="1" customWidth="1"/>
    <col min="17" max="17" width="2.7109375" style="173" customWidth="1"/>
    <col min="18" max="18" width="11.42578125" style="173" bestFit="1" customWidth="1"/>
    <col min="19" max="16384" width="9.140625" style="173"/>
  </cols>
  <sheetData>
    <row r="1" spans="1:18">
      <c r="A1" s="171"/>
      <c r="B1" s="171"/>
      <c r="C1" s="171"/>
      <c r="D1" s="171"/>
      <c r="E1" s="172"/>
      <c r="I1" s="173" t="s">
        <v>150</v>
      </c>
      <c r="P1" s="227" t="s">
        <v>150</v>
      </c>
    </row>
    <row r="3" spans="1:18" ht="14.45" customHeight="1">
      <c r="A3" s="194" t="s">
        <v>66</v>
      </c>
      <c r="B3" s="207"/>
      <c r="C3" s="194" t="s">
        <v>151</v>
      </c>
      <c r="D3" s="207"/>
      <c r="E3" s="208" t="s">
        <v>152</v>
      </c>
      <c r="I3" s="194" t="s">
        <v>66</v>
      </c>
      <c r="J3" s="207"/>
      <c r="K3" s="194" t="s">
        <v>151</v>
      </c>
      <c r="L3" s="207"/>
      <c r="M3" s="208" t="s">
        <v>152</v>
      </c>
      <c r="P3" s="187" t="s">
        <v>12</v>
      </c>
      <c r="Q3" s="159"/>
      <c r="R3" s="188" t="s">
        <v>152</v>
      </c>
    </row>
    <row r="4" spans="1:18" ht="14.45" customHeight="1">
      <c r="A4" s="173" t="s">
        <v>153</v>
      </c>
      <c r="C4" s="174">
        <v>17</v>
      </c>
      <c r="D4" s="175"/>
      <c r="E4" s="176">
        <v>0.9615670372711187</v>
      </c>
      <c r="I4" s="173" t="s">
        <v>153</v>
      </c>
      <c r="K4" s="174">
        <v>17</v>
      </c>
      <c r="L4" s="175"/>
      <c r="M4" s="176">
        <v>0.9615670372711187</v>
      </c>
      <c r="P4" s="159"/>
      <c r="Q4" s="159"/>
      <c r="R4" s="11"/>
    </row>
    <row r="5" spans="1:18" ht="14.45" customHeight="1">
      <c r="A5" s="173" t="s">
        <v>154</v>
      </c>
      <c r="C5" s="174">
        <v>232</v>
      </c>
      <c r="D5" s="175"/>
      <c r="E5" s="176">
        <v>0.95140536571594647</v>
      </c>
      <c r="I5" s="173" t="s">
        <v>155</v>
      </c>
      <c r="K5" s="174">
        <v>232</v>
      </c>
      <c r="L5" s="175"/>
      <c r="M5" s="176">
        <v>0.95140536571594647</v>
      </c>
      <c r="P5" s="189" t="s">
        <v>170</v>
      </c>
      <c r="Q5" s="189"/>
      <c r="R5" s="190">
        <v>0.64153019365467645</v>
      </c>
    </row>
    <row r="6" spans="1:18" ht="14.45" customHeight="1">
      <c r="A6" s="173" t="s">
        <v>156</v>
      </c>
      <c r="C6" s="174">
        <v>17</v>
      </c>
      <c r="D6" s="175"/>
      <c r="E6" s="176">
        <v>0.89646196247023147</v>
      </c>
      <c r="I6" s="173" t="s">
        <v>156</v>
      </c>
      <c r="K6" s="174">
        <v>17</v>
      </c>
      <c r="L6" s="175"/>
      <c r="M6" s="176">
        <v>0.89646196247023147</v>
      </c>
      <c r="P6" s="189"/>
      <c r="Q6" s="189"/>
      <c r="R6" s="190"/>
    </row>
    <row r="7" spans="1:18" ht="14.45" customHeight="1">
      <c r="A7" s="173" t="s">
        <v>157</v>
      </c>
      <c r="C7" s="174">
        <v>36</v>
      </c>
      <c r="D7" s="175"/>
      <c r="E7" s="176">
        <v>0.87862880242219665</v>
      </c>
      <c r="I7" s="173" t="s">
        <v>157</v>
      </c>
      <c r="K7" s="174">
        <v>36</v>
      </c>
      <c r="L7" s="175"/>
      <c r="M7" s="176">
        <v>0.87862880242219665</v>
      </c>
      <c r="P7" s="189" t="s">
        <v>176</v>
      </c>
      <c r="Q7" s="189"/>
      <c r="R7" s="190">
        <v>0.6080228984606838</v>
      </c>
    </row>
    <row r="8" spans="1:18" ht="14.45" customHeight="1">
      <c r="A8" s="173" t="s">
        <v>158</v>
      </c>
      <c r="C8" s="174">
        <v>47</v>
      </c>
      <c r="D8" s="175"/>
      <c r="E8" s="176">
        <v>0.79937335135315524</v>
      </c>
      <c r="I8" s="173" t="s">
        <v>158</v>
      </c>
      <c r="K8" s="174">
        <v>47</v>
      </c>
      <c r="L8" s="175"/>
      <c r="M8" s="176">
        <v>0.79937335135315524</v>
      </c>
      <c r="P8" s="189"/>
      <c r="Q8" s="189"/>
      <c r="R8" s="190"/>
    </row>
    <row r="9" spans="1:18" ht="14.45" customHeight="1">
      <c r="A9" s="173" t="s">
        <v>159</v>
      </c>
      <c r="C9" s="174">
        <v>26</v>
      </c>
      <c r="D9" s="175"/>
      <c r="E9" s="176">
        <v>0.78921092973445772</v>
      </c>
      <c r="I9" s="162" t="s">
        <v>159</v>
      </c>
      <c r="J9" s="162"/>
      <c r="K9" s="177">
        <v>26</v>
      </c>
      <c r="L9" s="164"/>
      <c r="M9" s="176">
        <v>0.78921092973445772</v>
      </c>
      <c r="P9" s="189" t="s">
        <v>178</v>
      </c>
      <c r="Q9" s="189"/>
      <c r="R9" s="190">
        <v>0.60462367890229063</v>
      </c>
    </row>
    <row r="10" spans="1:18" ht="14.45" customHeight="1">
      <c r="A10" s="173" t="s">
        <v>160</v>
      </c>
      <c r="C10" s="174">
        <v>39</v>
      </c>
      <c r="D10" s="175"/>
      <c r="E10" s="176">
        <v>0.77115472011631025</v>
      </c>
      <c r="I10" s="162" t="s">
        <v>160</v>
      </c>
      <c r="J10" s="162"/>
      <c r="K10" s="177">
        <v>39</v>
      </c>
      <c r="L10" s="164"/>
      <c r="M10" s="176">
        <v>0.77115472011631025</v>
      </c>
      <c r="P10" s="189"/>
      <c r="Q10" s="189"/>
      <c r="R10" s="190"/>
    </row>
    <row r="11" spans="1:18" ht="14.45" customHeight="1">
      <c r="A11" s="173" t="s">
        <v>161</v>
      </c>
      <c r="C11" s="174">
        <v>13</v>
      </c>
      <c r="D11" s="175"/>
      <c r="E11" s="176">
        <v>0.74721458493457837</v>
      </c>
      <c r="I11" s="162" t="s">
        <v>161</v>
      </c>
      <c r="J11" s="162"/>
      <c r="K11" s="177">
        <v>13</v>
      </c>
      <c r="L11" s="164"/>
      <c r="M11" s="176">
        <v>0.74721458493457837</v>
      </c>
      <c r="P11" s="189" t="s">
        <v>181</v>
      </c>
      <c r="Q11" s="189"/>
      <c r="R11" s="190">
        <v>0.59751929414582006</v>
      </c>
    </row>
    <row r="12" spans="1:18" ht="14.45" customHeight="1">
      <c r="A12" s="173" t="s">
        <v>162</v>
      </c>
      <c r="C12" s="174">
        <v>17</v>
      </c>
      <c r="D12" s="175"/>
      <c r="E12" s="176">
        <v>0.69889546000956704</v>
      </c>
      <c r="I12" s="162" t="s">
        <v>162</v>
      </c>
      <c r="J12" s="162"/>
      <c r="K12" s="177">
        <v>17</v>
      </c>
      <c r="L12" s="164"/>
      <c r="M12" s="176">
        <v>0.69889546000956704</v>
      </c>
      <c r="P12" s="189"/>
      <c r="Q12" s="189"/>
      <c r="R12" s="190"/>
    </row>
    <row r="13" spans="1:18" ht="14.45" customHeight="1">
      <c r="A13" s="173" t="s">
        <v>163</v>
      </c>
      <c r="C13" s="174">
        <v>7</v>
      </c>
      <c r="D13" s="175"/>
      <c r="E13" s="176">
        <v>0.6897964851785432</v>
      </c>
      <c r="I13" s="162" t="s">
        <v>163</v>
      </c>
      <c r="J13" s="162"/>
      <c r="K13" s="177">
        <v>7</v>
      </c>
      <c r="L13" s="164"/>
      <c r="M13" s="176">
        <v>0.6897964851785432</v>
      </c>
      <c r="P13" s="189" t="s">
        <v>183</v>
      </c>
      <c r="Q13" s="189"/>
      <c r="R13" s="190">
        <v>0.58557513833034047</v>
      </c>
    </row>
    <row r="14" spans="1:18" ht="14.45" customHeight="1">
      <c r="A14" s="173" t="s">
        <v>164</v>
      </c>
      <c r="C14" s="174">
        <v>18</v>
      </c>
      <c r="D14" s="175"/>
      <c r="E14" s="176">
        <v>0.6741515943373364</v>
      </c>
      <c r="I14" s="162" t="s">
        <v>164</v>
      </c>
      <c r="J14" s="162"/>
      <c r="K14" s="177">
        <v>18</v>
      </c>
      <c r="L14" s="164"/>
      <c r="M14" s="176">
        <v>0.6741515943373364</v>
      </c>
      <c r="P14" s="189"/>
      <c r="Q14" s="189"/>
      <c r="R14" s="190"/>
    </row>
    <row r="15" spans="1:18" ht="14.45" customHeight="1">
      <c r="A15" s="173" t="s">
        <v>165</v>
      </c>
      <c r="C15" s="174">
        <v>65</v>
      </c>
      <c r="D15" s="175"/>
      <c r="E15" s="176">
        <v>0.67207948772087167</v>
      </c>
      <c r="I15" s="162" t="s">
        <v>165</v>
      </c>
      <c r="J15" s="162"/>
      <c r="K15" s="177">
        <v>65</v>
      </c>
      <c r="L15" s="164"/>
      <c r="M15" s="176">
        <v>0.67207948772087167</v>
      </c>
      <c r="P15" s="205" t="s">
        <v>211</v>
      </c>
      <c r="Q15" s="189"/>
      <c r="R15" s="206">
        <v>0.5</v>
      </c>
    </row>
    <row r="16" spans="1:18" ht="14.45" customHeight="1">
      <c r="A16" s="173" t="s">
        <v>166</v>
      </c>
      <c r="C16" s="174">
        <v>24</v>
      </c>
      <c r="D16" s="175"/>
      <c r="E16" s="176">
        <v>0.65961905031249402</v>
      </c>
      <c r="I16" s="162" t="s">
        <v>166</v>
      </c>
      <c r="J16" s="162"/>
      <c r="K16" s="177">
        <v>24</v>
      </c>
      <c r="L16" s="164"/>
      <c r="M16" s="176">
        <v>0.65961905031249402</v>
      </c>
      <c r="P16" s="189"/>
      <c r="Q16" s="189"/>
      <c r="R16" s="190"/>
    </row>
    <row r="17" spans="1:18" ht="14.45" customHeight="1">
      <c r="A17" s="173" t="s">
        <v>167</v>
      </c>
      <c r="C17" s="174">
        <v>13</v>
      </c>
      <c r="D17" s="175"/>
      <c r="E17" s="176">
        <v>0.65718740513908158</v>
      </c>
      <c r="I17" s="162" t="s">
        <v>167</v>
      </c>
      <c r="J17" s="162"/>
      <c r="K17" s="177">
        <v>13</v>
      </c>
      <c r="L17" s="164"/>
      <c r="M17" s="176">
        <v>0.65718740513908158</v>
      </c>
      <c r="P17" s="205" t="s">
        <v>212</v>
      </c>
      <c r="Q17" s="189"/>
      <c r="R17" s="206">
        <v>0.5</v>
      </c>
    </row>
    <row r="18" spans="1:18" ht="14.45" customHeight="1">
      <c r="A18" s="173" t="s">
        <v>67</v>
      </c>
      <c r="C18" s="174">
        <v>27</v>
      </c>
      <c r="D18" s="175"/>
      <c r="E18" s="176">
        <v>0.65197469579908507</v>
      </c>
      <c r="I18" s="162" t="s">
        <v>67</v>
      </c>
      <c r="J18" s="162"/>
      <c r="K18" s="177">
        <v>27</v>
      </c>
      <c r="L18" s="164"/>
      <c r="M18" s="176">
        <v>0.65197469579908507</v>
      </c>
      <c r="P18" s="189"/>
      <c r="Q18" s="189"/>
      <c r="R18" s="190"/>
    </row>
    <row r="19" spans="1:18" ht="14.45" customHeight="1">
      <c r="A19" s="173" t="s">
        <v>168</v>
      </c>
      <c r="C19" s="174">
        <v>234</v>
      </c>
      <c r="D19" s="175"/>
      <c r="E19" s="176">
        <v>0.64463640982988579</v>
      </c>
      <c r="I19" s="162" t="s">
        <v>168</v>
      </c>
      <c r="J19" s="162"/>
      <c r="K19" s="177">
        <v>234</v>
      </c>
      <c r="L19" s="164"/>
      <c r="M19" s="176">
        <v>0.64463640982988579</v>
      </c>
      <c r="P19" s="246" t="s">
        <v>213</v>
      </c>
      <c r="Q19" s="189"/>
      <c r="R19" s="247">
        <v>0.45</v>
      </c>
    </row>
    <row r="20" spans="1:18" ht="14.45" customHeight="1">
      <c r="A20" s="173" t="s">
        <v>169</v>
      </c>
      <c r="C20" s="174">
        <v>89</v>
      </c>
      <c r="D20" s="175"/>
      <c r="E20" s="176">
        <v>0.64289113129328801</v>
      </c>
      <c r="I20" s="162" t="s">
        <v>169</v>
      </c>
      <c r="J20" s="162"/>
      <c r="K20" s="177">
        <v>89</v>
      </c>
      <c r="L20" s="164"/>
      <c r="M20" s="176">
        <v>0.64289113129328801</v>
      </c>
      <c r="P20" s="246"/>
      <c r="R20" s="247"/>
    </row>
    <row r="21" spans="1:18" ht="14.45" customHeight="1">
      <c r="A21" s="173" t="s">
        <v>170</v>
      </c>
      <c r="C21" s="174">
        <v>22</v>
      </c>
      <c r="D21" s="175"/>
      <c r="E21" s="176">
        <v>0.64153019365467645</v>
      </c>
      <c r="I21" s="178" t="s">
        <v>170</v>
      </c>
      <c r="J21" s="162"/>
      <c r="K21" s="177">
        <v>22</v>
      </c>
      <c r="L21" s="164"/>
      <c r="M21" s="179">
        <v>0.64153019365467645</v>
      </c>
    </row>
    <row r="22" spans="1:18" ht="14.45" customHeight="1">
      <c r="A22" s="173" t="s">
        <v>171</v>
      </c>
      <c r="C22" s="174">
        <v>63</v>
      </c>
      <c r="D22" s="175"/>
      <c r="E22" s="176">
        <v>0.63360610614450819</v>
      </c>
      <c r="I22" s="162" t="s">
        <v>171</v>
      </c>
      <c r="J22" s="162"/>
      <c r="K22" s="177">
        <v>63</v>
      </c>
      <c r="L22" s="164"/>
      <c r="M22" s="176">
        <v>0.63360610614450819</v>
      </c>
    </row>
    <row r="23" spans="1:18" ht="14.45" customHeight="1">
      <c r="A23" s="173" t="s">
        <v>172</v>
      </c>
      <c r="C23" s="174">
        <v>30</v>
      </c>
      <c r="D23" s="175"/>
      <c r="E23" s="176">
        <v>0.632920369911673</v>
      </c>
      <c r="I23" s="162" t="s">
        <v>172</v>
      </c>
      <c r="J23" s="162"/>
      <c r="K23" s="177">
        <v>30</v>
      </c>
      <c r="L23" s="164"/>
      <c r="M23" s="176">
        <v>0.632920369911673</v>
      </c>
    </row>
    <row r="24" spans="1:18">
      <c r="A24" s="173" t="s">
        <v>173</v>
      </c>
      <c r="C24" s="174">
        <v>18</v>
      </c>
      <c r="D24" s="175"/>
      <c r="E24" s="176">
        <v>0.63282140152565491</v>
      </c>
      <c r="I24" s="162" t="s">
        <v>173</v>
      </c>
      <c r="K24" s="174">
        <v>18</v>
      </c>
      <c r="L24" s="175"/>
      <c r="M24" s="180">
        <v>0.63282140152565491</v>
      </c>
    </row>
    <row r="25" spans="1:18">
      <c r="A25" s="173" t="s">
        <v>174</v>
      </c>
      <c r="C25" s="174">
        <v>80</v>
      </c>
      <c r="D25" s="175"/>
      <c r="E25" s="176">
        <v>0.61902180825512465</v>
      </c>
      <c r="I25" s="173" t="s">
        <v>174</v>
      </c>
      <c r="K25" s="174">
        <v>80</v>
      </c>
      <c r="L25" s="175"/>
      <c r="M25" s="176">
        <v>0.61902180825512465</v>
      </c>
    </row>
    <row r="26" spans="1:18">
      <c r="A26" s="173" t="s">
        <v>175</v>
      </c>
      <c r="C26" s="174">
        <v>48</v>
      </c>
      <c r="D26" s="175"/>
      <c r="E26" s="176">
        <v>0.61318765070726977</v>
      </c>
      <c r="I26" s="173" t="s">
        <v>175</v>
      </c>
      <c r="K26" s="174">
        <v>48</v>
      </c>
      <c r="L26" s="175"/>
      <c r="M26" s="176">
        <v>0.61318765070726977</v>
      </c>
    </row>
    <row r="27" spans="1:18">
      <c r="A27" s="173" t="s">
        <v>176</v>
      </c>
      <c r="C27" s="174">
        <v>18</v>
      </c>
      <c r="D27" s="175"/>
      <c r="E27" s="176">
        <v>0.6080228984606838</v>
      </c>
      <c r="I27" s="178" t="s">
        <v>176</v>
      </c>
      <c r="K27" s="174">
        <v>18</v>
      </c>
      <c r="L27" s="175"/>
      <c r="M27" s="179">
        <v>0.6080228984606838</v>
      </c>
    </row>
    <row r="28" spans="1:18">
      <c r="A28" s="173" t="s">
        <v>177</v>
      </c>
      <c r="C28" s="174">
        <v>31</v>
      </c>
      <c r="D28" s="175"/>
      <c r="E28" s="176">
        <v>0.60625203820462903</v>
      </c>
      <c r="I28" s="173" t="s">
        <v>177</v>
      </c>
      <c r="K28" s="174">
        <v>31</v>
      </c>
      <c r="L28" s="175"/>
      <c r="M28" s="176">
        <v>0.60625203820462903</v>
      </c>
    </row>
    <row r="29" spans="1:18">
      <c r="A29" s="173" t="s">
        <v>178</v>
      </c>
      <c r="C29" s="174">
        <v>14</v>
      </c>
      <c r="D29" s="175"/>
      <c r="E29" s="176">
        <v>0.60462367890229063</v>
      </c>
      <c r="I29" s="178" t="s">
        <v>178</v>
      </c>
      <c r="K29" s="174">
        <v>14</v>
      </c>
      <c r="L29" s="175"/>
      <c r="M29" s="179">
        <v>0.60462367890229063</v>
      </c>
    </row>
    <row r="30" spans="1:18">
      <c r="A30" s="173" t="s">
        <v>179</v>
      </c>
      <c r="C30" s="174">
        <v>106</v>
      </c>
      <c r="D30" s="175"/>
      <c r="E30" s="176">
        <v>0.60397522382774027</v>
      </c>
      <c r="I30" s="162" t="s">
        <v>179</v>
      </c>
      <c r="K30" s="174">
        <v>106</v>
      </c>
      <c r="L30" s="175"/>
      <c r="M30" s="181">
        <v>0.60397522382774027</v>
      </c>
    </row>
    <row r="31" spans="1:18">
      <c r="A31" s="173" t="s">
        <v>180</v>
      </c>
      <c r="C31" s="174">
        <v>34</v>
      </c>
      <c r="D31" s="175"/>
      <c r="E31" s="176">
        <v>0.60074916068438511</v>
      </c>
      <c r="I31" s="162" t="s">
        <v>180</v>
      </c>
      <c r="K31" s="174">
        <v>34</v>
      </c>
      <c r="L31" s="175"/>
      <c r="M31" s="181">
        <v>0.60074916068438511</v>
      </c>
    </row>
    <row r="32" spans="1:18">
      <c r="A32" s="173" t="s">
        <v>181</v>
      </c>
      <c r="C32" s="174">
        <v>67</v>
      </c>
      <c r="D32" s="175"/>
      <c r="E32" s="176">
        <v>0.59751929414582006</v>
      </c>
      <c r="I32" s="178" t="s">
        <v>181</v>
      </c>
      <c r="K32" s="174">
        <v>67</v>
      </c>
      <c r="L32" s="175"/>
      <c r="M32" s="179">
        <v>0.59751929414582006</v>
      </c>
    </row>
    <row r="33" spans="1:13">
      <c r="A33" s="173" t="s">
        <v>182</v>
      </c>
      <c r="C33" s="174">
        <v>33</v>
      </c>
      <c r="D33" s="175"/>
      <c r="E33" s="176">
        <v>0.58892324340422897</v>
      </c>
      <c r="I33" s="173" t="s">
        <v>182</v>
      </c>
      <c r="K33" s="174">
        <v>33</v>
      </c>
      <c r="L33" s="175"/>
      <c r="M33" s="176">
        <v>0.58892324340422897</v>
      </c>
    </row>
    <row r="34" spans="1:13">
      <c r="A34" s="173" t="s">
        <v>183</v>
      </c>
      <c r="C34" s="174">
        <v>52</v>
      </c>
      <c r="D34" s="175"/>
      <c r="E34" s="176">
        <v>0.58557513833034047</v>
      </c>
      <c r="I34" s="178" t="s">
        <v>183</v>
      </c>
      <c r="K34" s="174">
        <v>52</v>
      </c>
      <c r="L34" s="175"/>
      <c r="M34" s="179">
        <v>0.58557513833034047</v>
      </c>
    </row>
    <row r="35" spans="1:13">
      <c r="A35" s="173" t="s">
        <v>184</v>
      </c>
      <c r="C35" s="174">
        <v>22</v>
      </c>
      <c r="D35" s="175"/>
      <c r="E35" s="176">
        <v>0.58368067525358569</v>
      </c>
      <c r="I35" s="173" t="s">
        <v>184</v>
      </c>
      <c r="K35" s="174">
        <v>22</v>
      </c>
      <c r="L35" s="175"/>
      <c r="M35" s="181">
        <v>0.58368067525358569</v>
      </c>
    </row>
    <row r="36" spans="1:13">
      <c r="A36" s="173" t="s">
        <v>185</v>
      </c>
      <c r="C36" s="174">
        <v>6</v>
      </c>
      <c r="D36" s="175"/>
      <c r="E36" s="176">
        <v>0.58268833795964969</v>
      </c>
      <c r="I36" s="173" t="s">
        <v>185</v>
      </c>
      <c r="K36" s="174">
        <v>6</v>
      </c>
      <c r="L36" s="175"/>
      <c r="M36" s="181">
        <v>0.58268833795964969</v>
      </c>
    </row>
    <row r="37" spans="1:13">
      <c r="A37" s="173" t="s">
        <v>186</v>
      </c>
      <c r="C37" s="174">
        <v>70</v>
      </c>
      <c r="D37" s="175"/>
      <c r="E37" s="176">
        <v>0.58193161061574883</v>
      </c>
      <c r="F37" s="161"/>
      <c r="I37" s="173" t="s">
        <v>186</v>
      </c>
      <c r="K37" s="174">
        <v>70</v>
      </c>
      <c r="L37" s="175"/>
      <c r="M37" s="181">
        <v>0.58193161061574883</v>
      </c>
    </row>
    <row r="38" spans="1:13">
      <c r="A38" s="173" t="s">
        <v>187</v>
      </c>
      <c r="C38" s="174">
        <v>77</v>
      </c>
      <c r="D38" s="175"/>
      <c r="E38" s="176">
        <v>0.58041536714091091</v>
      </c>
      <c r="I38" s="173" t="s">
        <v>187</v>
      </c>
      <c r="K38" s="174">
        <v>77</v>
      </c>
      <c r="L38" s="175"/>
      <c r="M38" s="181">
        <v>0.58041536714091091</v>
      </c>
    </row>
    <row r="39" spans="1:13">
      <c r="A39" s="173" t="s">
        <v>188</v>
      </c>
      <c r="C39" s="174">
        <v>24</v>
      </c>
      <c r="D39" s="175"/>
      <c r="E39" s="176">
        <v>0.57990440682412026</v>
      </c>
      <c r="I39" s="173" t="s">
        <v>188</v>
      </c>
      <c r="K39" s="174">
        <v>24</v>
      </c>
      <c r="L39" s="175"/>
      <c r="M39" s="181">
        <v>0.57990440682412026</v>
      </c>
    </row>
    <row r="40" spans="1:13">
      <c r="A40" s="173" t="s">
        <v>189</v>
      </c>
      <c r="C40" s="174">
        <v>165</v>
      </c>
      <c r="D40" s="175"/>
      <c r="E40" s="176">
        <v>0.57288851803608343</v>
      </c>
      <c r="I40" s="173" t="s">
        <v>189</v>
      </c>
      <c r="K40" s="174">
        <v>165</v>
      </c>
      <c r="L40" s="175"/>
      <c r="M40" s="181">
        <v>0.57288851803608343</v>
      </c>
    </row>
    <row r="41" spans="1:13">
      <c r="A41" s="173" t="s">
        <v>190</v>
      </c>
      <c r="C41" s="174">
        <v>44</v>
      </c>
      <c r="D41" s="175"/>
      <c r="E41" s="176">
        <v>0.56850282041468458</v>
      </c>
      <c r="I41" s="173" t="s">
        <v>190</v>
      </c>
      <c r="K41" s="174">
        <v>44</v>
      </c>
      <c r="L41" s="175"/>
      <c r="M41" s="181">
        <v>0.56850282041468458</v>
      </c>
    </row>
    <row r="42" spans="1:13">
      <c r="A42" s="173" t="s">
        <v>191</v>
      </c>
      <c r="C42" s="174">
        <v>57</v>
      </c>
      <c r="D42" s="175"/>
      <c r="E42" s="176">
        <v>0.56457703554787553</v>
      </c>
      <c r="I42" s="173" t="s">
        <v>191</v>
      </c>
      <c r="K42" s="174">
        <v>57</v>
      </c>
      <c r="L42" s="175"/>
      <c r="M42" s="181">
        <v>0.56457703554787553</v>
      </c>
    </row>
    <row r="43" spans="1:13">
      <c r="A43" s="173" t="s">
        <v>192</v>
      </c>
      <c r="C43" s="174">
        <v>127</v>
      </c>
      <c r="D43" s="175"/>
      <c r="E43" s="176">
        <v>0.56359361262857521</v>
      </c>
      <c r="I43" s="173" t="s">
        <v>192</v>
      </c>
      <c r="K43" s="174">
        <v>127</v>
      </c>
      <c r="L43" s="175"/>
      <c r="M43" s="182">
        <v>0.56359361262857521</v>
      </c>
    </row>
    <row r="44" spans="1:13">
      <c r="A44" s="173" t="s">
        <v>193</v>
      </c>
      <c r="C44" s="174">
        <v>82</v>
      </c>
      <c r="D44" s="175"/>
      <c r="E44" s="176">
        <v>0.55789651109553773</v>
      </c>
      <c r="I44" s="173" t="s">
        <v>193</v>
      </c>
      <c r="K44" s="174">
        <v>82</v>
      </c>
      <c r="L44" s="175"/>
      <c r="M44" s="176">
        <v>0.55789651109553773</v>
      </c>
    </row>
    <row r="45" spans="1:13">
      <c r="A45" s="173" t="s">
        <v>194</v>
      </c>
      <c r="C45" s="174">
        <v>4</v>
      </c>
      <c r="D45" s="175"/>
      <c r="E45" s="176">
        <v>0.55502823215529218</v>
      </c>
      <c r="I45" s="171" t="s">
        <v>194</v>
      </c>
      <c r="K45" s="183">
        <v>4</v>
      </c>
      <c r="L45" s="175"/>
      <c r="M45" s="184">
        <v>0.55502823215529218</v>
      </c>
    </row>
    <row r="46" spans="1:13">
      <c r="A46" s="173" t="s">
        <v>195</v>
      </c>
      <c r="C46" s="174">
        <v>8</v>
      </c>
      <c r="D46" s="175"/>
      <c r="E46" s="176">
        <v>0.54566479658672606</v>
      </c>
      <c r="K46" s="175"/>
      <c r="L46" s="175"/>
      <c r="M46" s="176"/>
    </row>
    <row r="47" spans="1:13">
      <c r="A47" s="173" t="s">
        <v>196</v>
      </c>
      <c r="C47" s="174">
        <v>18</v>
      </c>
      <c r="D47" s="175"/>
      <c r="E47" s="176">
        <v>0.54196447560409156</v>
      </c>
      <c r="I47" s="159" t="s">
        <v>197</v>
      </c>
      <c r="K47" s="185">
        <f>SUM(K4:K45)</f>
        <v>2215</v>
      </c>
      <c r="L47" s="175"/>
      <c r="M47" s="186">
        <f>AVERAGE(M4:M45)</f>
        <v>0.65824009065402944</v>
      </c>
    </row>
    <row r="48" spans="1:13">
      <c r="A48" s="173" t="s">
        <v>198</v>
      </c>
      <c r="C48" s="174">
        <v>43</v>
      </c>
      <c r="D48" s="175"/>
      <c r="E48" s="176">
        <v>0.54188055426757353</v>
      </c>
    </row>
    <row r="49" spans="1:11">
      <c r="A49" s="173" t="s">
        <v>199</v>
      </c>
      <c r="C49" s="174">
        <v>42</v>
      </c>
      <c r="D49" s="175"/>
      <c r="E49" s="176">
        <v>0.54024529399311771</v>
      </c>
    </row>
    <row r="50" spans="1:11">
      <c r="A50" s="173" t="s">
        <v>200</v>
      </c>
      <c r="C50" s="174">
        <v>51</v>
      </c>
      <c r="D50" s="175"/>
      <c r="E50" s="176">
        <v>0.52260547264934087</v>
      </c>
    </row>
    <row r="51" spans="1:11">
      <c r="A51" s="173" t="s">
        <v>201</v>
      </c>
      <c r="C51" s="174">
        <v>20</v>
      </c>
      <c r="D51" s="175"/>
      <c r="E51" s="176">
        <v>0.50854771833819901</v>
      </c>
      <c r="I51" s="173" t="s">
        <v>150</v>
      </c>
    </row>
    <row r="52" spans="1:11">
      <c r="A52" s="173" t="s">
        <v>202</v>
      </c>
      <c r="C52" s="174">
        <v>128</v>
      </c>
      <c r="D52" s="175"/>
      <c r="E52" s="176">
        <v>0.49946128392679956</v>
      </c>
    </row>
    <row r="53" spans="1:11" ht="15.75">
      <c r="A53" s="173" t="s">
        <v>203</v>
      </c>
      <c r="C53" s="174">
        <v>503</v>
      </c>
      <c r="D53" s="175"/>
      <c r="E53" s="176">
        <v>0.49143184432489878</v>
      </c>
      <c r="I53" s="187" t="s">
        <v>12</v>
      </c>
      <c r="J53" s="159"/>
      <c r="K53" s="188" t="s">
        <v>152</v>
      </c>
    </row>
    <row r="54" spans="1:11">
      <c r="A54" s="173" t="s">
        <v>204</v>
      </c>
      <c r="C54" s="174">
        <v>113</v>
      </c>
      <c r="D54" s="175"/>
      <c r="E54" s="176">
        <v>0.48586724509848933</v>
      </c>
      <c r="I54" s="159"/>
      <c r="J54" s="159"/>
      <c r="K54" s="11"/>
    </row>
    <row r="55" spans="1:11">
      <c r="A55" s="173" t="s">
        <v>205</v>
      </c>
      <c r="C55" s="174">
        <v>88</v>
      </c>
      <c r="D55" s="175"/>
      <c r="E55" s="176">
        <v>0.48041627841406331</v>
      </c>
      <c r="I55" s="189" t="s">
        <v>170</v>
      </c>
      <c r="J55" s="189"/>
      <c r="K55" s="190">
        <v>0.64153019365467645</v>
      </c>
    </row>
    <row r="56" spans="1:11">
      <c r="A56" s="173" t="s">
        <v>206</v>
      </c>
      <c r="C56" s="174">
        <v>120</v>
      </c>
      <c r="D56" s="175"/>
      <c r="E56" s="176">
        <v>0.47973994805617187</v>
      </c>
      <c r="I56" s="189" t="s">
        <v>176</v>
      </c>
      <c r="J56" s="189"/>
      <c r="K56" s="190">
        <v>0.6080228984606838</v>
      </c>
    </row>
    <row r="57" spans="1:11">
      <c r="A57" s="173" t="s">
        <v>207</v>
      </c>
      <c r="C57" s="174">
        <v>35</v>
      </c>
      <c r="D57" s="175"/>
      <c r="E57" s="176">
        <v>0.4764522234320146</v>
      </c>
      <c r="I57" s="189" t="s">
        <v>178</v>
      </c>
      <c r="J57" s="189"/>
      <c r="K57" s="190">
        <v>0.60462367890229063</v>
      </c>
    </row>
    <row r="58" spans="1:11">
      <c r="A58" s="173" t="s">
        <v>208</v>
      </c>
      <c r="C58" s="174">
        <v>21</v>
      </c>
      <c r="D58" s="175"/>
      <c r="E58" s="176">
        <v>0.47635113556569048</v>
      </c>
      <c r="I58" s="189" t="s">
        <v>181</v>
      </c>
      <c r="J58" s="189"/>
      <c r="K58" s="190">
        <v>0.59751929414582006</v>
      </c>
    </row>
    <row r="59" spans="1:11">
      <c r="A59" s="173" t="s">
        <v>209</v>
      </c>
      <c r="C59" s="183">
        <v>267</v>
      </c>
      <c r="D59" s="175"/>
      <c r="E59" s="184">
        <v>0.47533826590927142</v>
      </c>
      <c r="I59" s="189" t="s">
        <v>183</v>
      </c>
      <c r="J59" s="189"/>
      <c r="K59" s="190">
        <v>0.58557513833034047</v>
      </c>
    </row>
    <row r="60" spans="1:11">
      <c r="C60" s="175"/>
      <c r="D60" s="175"/>
      <c r="E60" s="176"/>
      <c r="I60" s="189" t="s">
        <v>210</v>
      </c>
      <c r="J60" s="189"/>
      <c r="K60" s="190">
        <v>0.55000000000000004</v>
      </c>
    </row>
    <row r="61" spans="1:11">
      <c r="A61" s="159" t="s">
        <v>197</v>
      </c>
      <c r="C61" s="185">
        <f>SUM(C4:C59)</f>
        <v>3672</v>
      </c>
      <c r="D61" s="175"/>
      <c r="E61" s="186">
        <f>AVERAGE(E4:E59)</f>
        <v>0.61985804185063731</v>
      </c>
      <c r="I61" s="189" t="s">
        <v>211</v>
      </c>
      <c r="J61" s="189"/>
      <c r="K61" s="190">
        <v>0.54</v>
      </c>
    </row>
    <row r="62" spans="1:11">
      <c r="A62" s="171"/>
      <c r="B62" s="171"/>
      <c r="C62" s="171"/>
      <c r="D62" s="171"/>
      <c r="E62" s="172"/>
      <c r="I62" s="189" t="s">
        <v>212</v>
      </c>
      <c r="J62" s="189"/>
      <c r="K62" s="190">
        <v>0.5</v>
      </c>
    </row>
    <row r="63" spans="1:11">
      <c r="I63" s="189" t="s">
        <v>213</v>
      </c>
      <c r="J63" s="189"/>
      <c r="K63" s="191">
        <v>0.46</v>
      </c>
    </row>
    <row r="65" spans="1:5">
      <c r="A65" s="234" t="s">
        <v>214</v>
      </c>
      <c r="B65" s="234"/>
      <c r="C65" s="234"/>
      <c r="D65" s="234"/>
      <c r="E65" s="234"/>
    </row>
    <row r="70" spans="1:5" ht="9.75" customHeight="1"/>
    <row r="71" spans="1:5" ht="24.95" customHeight="1"/>
    <row r="72" spans="1:5" ht="24.95" customHeight="1"/>
    <row r="73" spans="1:5" ht="24.95" customHeight="1"/>
    <row r="74" spans="1:5" ht="24.95" customHeight="1"/>
    <row r="75" spans="1:5" ht="24.95" customHeight="1"/>
    <row r="76" spans="1:5" ht="24.95" customHeight="1"/>
    <row r="77" spans="1:5" ht="24.95" customHeight="1"/>
    <row r="78" spans="1:5" ht="24.95" customHeight="1"/>
    <row r="79" spans="1:5" ht="24.95" customHeight="1"/>
    <row r="80" spans="1:5" ht="24.95" customHeight="1"/>
  </sheetData>
  <mergeCells count="3">
    <mergeCell ref="A65:E65"/>
    <mergeCell ref="P19:P20"/>
    <mergeCell ref="R19:R20"/>
  </mergeCells>
  <printOptions horizontalCentered="1"/>
  <pageMargins left="0.7" right="0.7" top="0.75" bottom="0.75" header="0.3" footer="0.3"/>
  <pageSetup scale="73" orientation="portrait" r:id="rId1"/>
  <headerFooter scaleWithDoc="0">
    <oddHeader>&amp;C&amp;"-,Bold"&amp;14Competitive Industry Debt Ratios&amp;RExhibit DJG-15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0004-1F57-4F9C-B431-6256B18FCB35}">
  <sheetPr>
    <tabColor theme="8"/>
    <pageSetUpPr fitToPage="1"/>
  </sheetPr>
  <dimension ref="A1:E17"/>
  <sheetViews>
    <sheetView zoomScaleNormal="100" workbookViewId="0"/>
  </sheetViews>
  <sheetFormatPr defaultRowHeight="15"/>
  <cols>
    <col min="1" max="1" width="41.5703125" style="162" bestFit="1" customWidth="1"/>
    <col min="2" max="2" width="2.7109375" style="162" customWidth="1"/>
    <col min="3" max="3" width="7.7109375" style="162" bestFit="1" customWidth="1"/>
    <col min="4" max="4" width="2.7109375" style="162" customWidth="1"/>
    <col min="5" max="5" width="13.7109375" style="162" customWidth="1"/>
    <col min="6" max="16384" width="9.140625" style="162"/>
  </cols>
  <sheetData>
    <row r="1" spans="1:5">
      <c r="A1" s="15"/>
      <c r="B1" s="15"/>
      <c r="C1" s="15"/>
      <c r="D1" s="15"/>
      <c r="E1" s="15"/>
    </row>
    <row r="3" spans="1:5" ht="19.899999999999999" customHeight="1">
      <c r="A3" s="156" t="s">
        <v>0</v>
      </c>
      <c r="B3" s="164"/>
      <c r="C3" s="156" t="s">
        <v>1</v>
      </c>
      <c r="D3" s="164"/>
      <c r="E3" s="144" t="s">
        <v>152</v>
      </c>
    </row>
    <row r="4" spans="1:5" ht="19.899999999999999" customHeight="1">
      <c r="A4" s="164"/>
      <c r="B4" s="164"/>
      <c r="C4" s="164"/>
      <c r="D4" s="164"/>
      <c r="E4" s="215"/>
    </row>
    <row r="5" spans="1:5" ht="19.899999999999999" customHeight="1">
      <c r="A5" s="162" t="str">
        <f>'2 Proxy Sum'!A4</f>
        <v>American States Water Co</v>
      </c>
      <c r="C5" s="39" t="str">
        <f>'2 Proxy Sum'!C4</f>
        <v>AWR</v>
      </c>
      <c r="D5" s="164"/>
      <c r="E5" s="170">
        <v>0.46</v>
      </c>
    </row>
    <row r="6" spans="1:5" ht="19.899999999999999" customHeight="1">
      <c r="A6" s="162" t="str">
        <f>'2 Proxy Sum'!A5</f>
        <v>American Water Works Co Inc</v>
      </c>
      <c r="C6" s="39" t="str">
        <f>'2 Proxy Sum'!C5</f>
        <v>AWK</v>
      </c>
      <c r="D6" s="164"/>
      <c r="E6" s="170">
        <v>0.61</v>
      </c>
    </row>
    <row r="7" spans="1:5" ht="19.899999999999999" customHeight="1">
      <c r="A7" s="162" t="str">
        <f>'2 Proxy Sum'!A6</f>
        <v>California Water Service Gp</v>
      </c>
      <c r="C7" s="39" t="str">
        <f>'2 Proxy Sum'!C6</f>
        <v>CWT</v>
      </c>
      <c r="D7" s="164"/>
      <c r="E7" s="170">
        <v>0.49</v>
      </c>
    </row>
    <row r="8" spans="1:5" s="221" customFormat="1" ht="19.899999999999999" customHeight="1">
      <c r="A8" s="221" t="str">
        <f>'2 Proxy Sum'!A7</f>
        <v>Essential Utilities, Inc.</v>
      </c>
      <c r="C8" s="39" t="str">
        <f>'2 Proxy Sum'!C7</f>
        <v>WTRG</v>
      </c>
      <c r="D8" s="223"/>
      <c r="E8" s="170">
        <v>0.53500000000000003</v>
      </c>
    </row>
    <row r="9" spans="1:5" ht="19.899999999999999" customHeight="1">
      <c r="A9" s="162" t="str">
        <f>'2 Proxy Sum'!A8</f>
        <v>Middlesex Water Co</v>
      </c>
      <c r="C9" s="39" t="str">
        <f>'2 Proxy Sum'!C8</f>
        <v>MSEX</v>
      </c>
      <c r="D9" s="164"/>
      <c r="E9" s="170">
        <v>0.42499999999999999</v>
      </c>
    </row>
    <row r="10" spans="1:5" ht="19.899999999999999" customHeight="1">
      <c r="A10" s="162" t="str">
        <f>'2 Proxy Sum'!A9</f>
        <v>SJW Group</v>
      </c>
      <c r="C10" s="39" t="str">
        <f>'2 Proxy Sum'!C9</f>
        <v>SJW</v>
      </c>
      <c r="D10" s="164"/>
      <c r="E10" s="170">
        <v>0.57999999999999996</v>
      </c>
    </row>
    <row r="11" spans="1:5" ht="19.899999999999999" customHeight="1">
      <c r="A11" s="15" t="str">
        <f>'2 Proxy Sum'!A10</f>
        <v>York Water Co</v>
      </c>
      <c r="C11" s="39" t="str">
        <f>'2 Proxy Sum'!C10</f>
        <v>YORW</v>
      </c>
      <c r="D11" s="164"/>
      <c r="E11" s="219">
        <v>0.38500000000000001</v>
      </c>
    </row>
    <row r="12" spans="1:5" ht="19.899999999999999" customHeight="1">
      <c r="C12" s="164"/>
      <c r="D12" s="164"/>
      <c r="E12" s="7"/>
    </row>
    <row r="13" spans="1:5">
      <c r="A13" s="164" t="s">
        <v>65</v>
      </c>
      <c r="B13" s="11"/>
      <c r="C13" s="164"/>
      <c r="D13" s="164"/>
      <c r="E13" s="220">
        <f>AVERAGE(E5:E11)</f>
        <v>0.49785714285714289</v>
      </c>
    </row>
    <row r="14" spans="1:5">
      <c r="A14" s="165"/>
      <c r="B14" s="15"/>
      <c r="C14" s="165"/>
      <c r="D14" s="165"/>
      <c r="E14" s="46"/>
    </row>
    <row r="15" spans="1:5">
      <c r="C15" s="164"/>
      <c r="D15" s="164"/>
      <c r="E15" s="7"/>
    </row>
    <row r="16" spans="1:5" s="161" customFormat="1" ht="14.45" customHeight="1">
      <c r="A16" s="162"/>
      <c r="B16" s="162"/>
      <c r="C16" s="162"/>
      <c r="D16" s="162"/>
      <c r="E16" s="162"/>
    </row>
    <row r="17" spans="1:5">
      <c r="A17" s="234" t="s">
        <v>252</v>
      </c>
      <c r="B17" s="234"/>
      <c r="C17" s="234"/>
      <c r="D17" s="234"/>
      <c r="E17" s="234"/>
    </row>
  </sheetData>
  <mergeCells count="1">
    <mergeCell ref="A17:E17"/>
  </mergeCells>
  <printOptions horizontalCentered="1"/>
  <pageMargins left="0.7" right="0.7" top="0.75" bottom="0.75" header="0.3" footer="0.3"/>
  <pageSetup orientation="portrait" r:id="rId1"/>
  <headerFooter scaleWithDoc="0">
    <oddHeader>&amp;C&amp;"-,Bold"&amp;14Proxy Company Debt Ratios&amp;RExhibit DJG-16</oddHeader>
  </headerFooter>
  <ignoredErrors>
    <ignoredError sqref="E1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6BDA8-84B9-4D6A-AE4A-463B686A7C00}">
  <sheetPr>
    <tabColor theme="3"/>
  </sheetPr>
  <dimension ref="A1:C13"/>
  <sheetViews>
    <sheetView zoomScale="80" zoomScaleNormal="80" workbookViewId="0"/>
  </sheetViews>
  <sheetFormatPr defaultColWidth="8.85546875" defaultRowHeight="15"/>
  <cols>
    <col min="1" max="1" width="38" bestFit="1" customWidth="1"/>
    <col min="2" max="2" width="5.85546875" bestFit="1" customWidth="1"/>
  </cols>
  <sheetData>
    <row r="1" spans="1:3">
      <c r="A1" s="158"/>
      <c r="B1" s="158"/>
      <c r="C1" s="158"/>
    </row>
    <row r="4" spans="1:3">
      <c r="A4" s="128" t="s">
        <v>66</v>
      </c>
      <c r="B4" s="129" t="s">
        <v>106</v>
      </c>
    </row>
    <row r="5" spans="1:3" ht="15.75">
      <c r="A5" s="130" t="s">
        <v>137</v>
      </c>
      <c r="B5" s="131">
        <v>0.27</v>
      </c>
    </row>
    <row r="6" spans="1:3" s="154" customFormat="1" ht="15.75">
      <c r="A6" s="130" t="s">
        <v>67</v>
      </c>
      <c r="B6" s="131">
        <v>1.02</v>
      </c>
    </row>
    <row r="7" spans="1:3" ht="15.75">
      <c r="A7" s="130" t="s">
        <v>107</v>
      </c>
      <c r="B7" s="131">
        <v>1.1200000000000001</v>
      </c>
    </row>
    <row r="8" spans="1:3" ht="15.75">
      <c r="A8" s="130" t="s">
        <v>136</v>
      </c>
      <c r="B8" s="131">
        <v>1.46</v>
      </c>
    </row>
    <row r="9" spans="1:3" ht="15.75">
      <c r="A9" s="130" t="s">
        <v>135</v>
      </c>
      <c r="B9" s="131">
        <v>1.62</v>
      </c>
    </row>
    <row r="10" spans="1:3" ht="15.75">
      <c r="A10" s="130"/>
    </row>
    <row r="11" spans="1:3" ht="15.75">
      <c r="A11" s="130"/>
    </row>
    <row r="13" spans="1:3" ht="15.75">
      <c r="A13" s="132" t="s">
        <v>108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5B6C-D16C-4C67-916C-02757FA9D5D8}">
  <sheetPr>
    <tabColor theme="3"/>
  </sheetPr>
  <dimension ref="A2:E512"/>
  <sheetViews>
    <sheetView workbookViewId="0"/>
  </sheetViews>
  <sheetFormatPr defaultRowHeight="15"/>
  <cols>
    <col min="1" max="2" width="9.7109375" customWidth="1"/>
  </cols>
  <sheetData>
    <row r="2" spans="1:5">
      <c r="A2" s="158"/>
      <c r="B2" s="158"/>
      <c r="C2" s="158"/>
      <c r="D2" s="158"/>
    </row>
    <row r="4" spans="1:5">
      <c r="A4" t="s">
        <v>31</v>
      </c>
      <c r="C4" s="12">
        <f>'7 Risk Free Rate'!E35</f>
        <v>1.512E-2</v>
      </c>
    </row>
    <row r="5" spans="1:5">
      <c r="A5" t="s">
        <v>109</v>
      </c>
      <c r="C5" s="12">
        <f>'10 ERP Result'!C18</f>
        <v>0.06</v>
      </c>
    </row>
    <row r="6" spans="1:5">
      <c r="A6" t="s">
        <v>52</v>
      </c>
      <c r="C6" s="89">
        <f>'8 Beta'!E13</f>
        <v>0.76428571428571423</v>
      </c>
    </row>
    <row r="7" spans="1:5">
      <c r="A7" t="s">
        <v>120</v>
      </c>
      <c r="C7" s="89">
        <f>'11 CAPM Result'!L16</f>
        <v>6.0977142857142862E-2</v>
      </c>
    </row>
    <row r="9" spans="1:5">
      <c r="A9" s="1" t="s">
        <v>110</v>
      </c>
      <c r="B9" s="1" t="s">
        <v>111</v>
      </c>
      <c r="C9" s="1" t="s">
        <v>112</v>
      </c>
    </row>
    <row r="10" spans="1:5">
      <c r="A10" s="10">
        <v>0</v>
      </c>
      <c r="B10" s="133">
        <f>A10*$C$5+$C$4</f>
        <v>1.512E-2</v>
      </c>
      <c r="C10" s="133">
        <f>$B$12</f>
        <v>6.0977142857142855E-2</v>
      </c>
      <c r="D10" s="133">
        <f>$A$12</f>
        <v>0.76428571428571423</v>
      </c>
      <c r="E10" s="133">
        <v>0</v>
      </c>
    </row>
    <row r="11" spans="1:5">
      <c r="A11" s="10">
        <v>0.5</v>
      </c>
      <c r="B11" s="133">
        <f t="shared" ref="B11:B13" si="0">A11*$C$5+$C$4</f>
        <v>4.512E-2</v>
      </c>
      <c r="C11" s="133">
        <f t="shared" ref="C11:C12" si="1">$B$12</f>
        <v>6.0977142857142855E-2</v>
      </c>
      <c r="D11" s="133">
        <f>$A$12</f>
        <v>0.76428571428571423</v>
      </c>
      <c r="E11" s="133">
        <f>$C$10</f>
        <v>6.0977142857142855E-2</v>
      </c>
    </row>
    <row r="12" spans="1:5">
      <c r="A12" s="134">
        <f>C6</f>
        <v>0.76428571428571423</v>
      </c>
      <c r="B12" s="135">
        <f t="shared" si="0"/>
        <v>6.0977142857142855E-2</v>
      </c>
      <c r="C12" s="133">
        <f t="shared" si="1"/>
        <v>6.0977142857142855E-2</v>
      </c>
    </row>
    <row r="13" spans="1:5">
      <c r="A13" s="10">
        <v>1</v>
      </c>
      <c r="B13" s="133">
        <f t="shared" si="0"/>
        <v>7.5119999999999992E-2</v>
      </c>
      <c r="C13" s="133"/>
    </row>
    <row r="14" spans="1:5">
      <c r="A14" s="10"/>
      <c r="B14" s="133"/>
      <c r="C14" s="133"/>
    </row>
    <row r="15" spans="1:5">
      <c r="A15" s="133"/>
      <c r="B15" s="133"/>
    </row>
    <row r="16" spans="1:5">
      <c r="A16" s="133"/>
      <c r="B16" s="133"/>
    </row>
    <row r="20" spans="1:2">
      <c r="A20" s="133"/>
      <c r="B20" s="133"/>
    </row>
    <row r="21" spans="1:2">
      <c r="A21" s="133"/>
      <c r="B21" s="133"/>
    </row>
    <row r="22" spans="1:2">
      <c r="A22" s="133"/>
      <c r="B22" s="133"/>
    </row>
    <row r="23" spans="1:2">
      <c r="A23" s="133"/>
      <c r="B23" s="133"/>
    </row>
    <row r="24" spans="1:2">
      <c r="A24" s="133"/>
      <c r="B24" s="133"/>
    </row>
    <row r="25" spans="1:2">
      <c r="A25" s="133"/>
      <c r="B25" s="133"/>
    </row>
    <row r="26" spans="1:2">
      <c r="A26" s="133"/>
      <c r="B26" s="133"/>
    </row>
    <row r="27" spans="1:2">
      <c r="A27" s="133"/>
      <c r="B27" s="133"/>
    </row>
    <row r="28" spans="1:2">
      <c r="A28" s="133"/>
      <c r="B28" s="133"/>
    </row>
    <row r="29" spans="1:2">
      <c r="A29" s="133"/>
      <c r="B29" s="133"/>
    </row>
    <row r="30" spans="1:2">
      <c r="A30" s="133"/>
      <c r="B30" s="133"/>
    </row>
    <row r="31" spans="1:2">
      <c r="A31" s="133"/>
      <c r="B31" s="133"/>
    </row>
    <row r="32" spans="1:2">
      <c r="A32" s="133"/>
      <c r="B32" s="133"/>
    </row>
    <row r="33" spans="1:2">
      <c r="A33" s="133"/>
      <c r="B33" s="133"/>
    </row>
    <row r="34" spans="1:2">
      <c r="A34" s="133"/>
      <c r="B34" s="133"/>
    </row>
    <row r="35" spans="1:2">
      <c r="A35" s="133"/>
      <c r="B35" s="133"/>
    </row>
    <row r="36" spans="1:2">
      <c r="A36" s="133"/>
      <c r="B36" s="133"/>
    </row>
    <row r="37" spans="1:2">
      <c r="A37" s="133"/>
      <c r="B37" s="133"/>
    </row>
    <row r="38" spans="1:2">
      <c r="A38" s="133"/>
      <c r="B38" s="133"/>
    </row>
    <row r="39" spans="1:2">
      <c r="A39" s="133"/>
      <c r="B39" s="133"/>
    </row>
    <row r="40" spans="1:2">
      <c r="A40" s="133"/>
      <c r="B40" s="133"/>
    </row>
    <row r="41" spans="1:2">
      <c r="A41" s="133"/>
      <c r="B41" s="133"/>
    </row>
    <row r="42" spans="1:2">
      <c r="A42" s="133"/>
      <c r="B42" s="133"/>
    </row>
    <row r="43" spans="1:2">
      <c r="A43" s="133"/>
      <c r="B43" s="133"/>
    </row>
    <row r="44" spans="1:2">
      <c r="A44" s="133"/>
      <c r="B44" s="133"/>
    </row>
    <row r="45" spans="1:2">
      <c r="A45" s="133"/>
      <c r="B45" s="133"/>
    </row>
    <row r="46" spans="1:2">
      <c r="A46" s="133"/>
      <c r="B46" s="133"/>
    </row>
    <row r="47" spans="1:2">
      <c r="A47" s="133"/>
      <c r="B47" s="133"/>
    </row>
    <row r="48" spans="1:2">
      <c r="A48" s="133"/>
      <c r="B48" s="133"/>
    </row>
    <row r="49" spans="1:2">
      <c r="A49" s="133"/>
      <c r="B49" s="133"/>
    </row>
    <row r="50" spans="1:2">
      <c r="A50" s="133"/>
      <c r="B50" s="133"/>
    </row>
    <row r="51" spans="1:2">
      <c r="A51" s="133"/>
      <c r="B51" s="133"/>
    </row>
    <row r="52" spans="1:2">
      <c r="A52" s="133"/>
      <c r="B52" s="133"/>
    </row>
    <row r="53" spans="1:2">
      <c r="A53" s="133"/>
      <c r="B53" s="133"/>
    </row>
    <row r="54" spans="1:2">
      <c r="A54" s="133"/>
      <c r="B54" s="133"/>
    </row>
    <row r="55" spans="1:2">
      <c r="A55" s="133"/>
      <c r="B55" s="133"/>
    </row>
    <row r="56" spans="1:2">
      <c r="A56" s="133"/>
      <c r="B56" s="133"/>
    </row>
    <row r="57" spans="1:2">
      <c r="A57" s="133"/>
      <c r="B57" s="133"/>
    </row>
    <row r="58" spans="1:2">
      <c r="A58" s="133"/>
      <c r="B58" s="133"/>
    </row>
    <row r="59" spans="1:2">
      <c r="A59" s="133"/>
      <c r="B59" s="133"/>
    </row>
    <row r="60" spans="1:2">
      <c r="A60" s="133"/>
      <c r="B60" s="133"/>
    </row>
    <row r="61" spans="1:2">
      <c r="A61" s="133"/>
      <c r="B61" s="133"/>
    </row>
    <row r="62" spans="1:2">
      <c r="A62" s="133"/>
      <c r="B62" s="133"/>
    </row>
    <row r="63" spans="1:2">
      <c r="A63" s="133"/>
      <c r="B63" s="133"/>
    </row>
    <row r="64" spans="1:2">
      <c r="A64" s="133"/>
      <c r="B64" s="133"/>
    </row>
    <row r="65" spans="1:2">
      <c r="A65" s="133"/>
      <c r="B65" s="133"/>
    </row>
    <row r="66" spans="1:2">
      <c r="A66" s="133"/>
      <c r="B66" s="133"/>
    </row>
    <row r="67" spans="1:2">
      <c r="A67" s="133"/>
      <c r="B67" s="133"/>
    </row>
    <row r="68" spans="1:2">
      <c r="A68" s="133"/>
      <c r="B68" s="133"/>
    </row>
    <row r="69" spans="1:2">
      <c r="A69" s="133"/>
      <c r="B69" s="133"/>
    </row>
    <row r="70" spans="1:2">
      <c r="A70" s="133"/>
      <c r="B70" s="133"/>
    </row>
    <row r="71" spans="1:2">
      <c r="A71" s="133"/>
      <c r="B71" s="133"/>
    </row>
    <row r="72" spans="1:2">
      <c r="A72" s="133"/>
      <c r="B72" s="133"/>
    </row>
    <row r="73" spans="1:2">
      <c r="A73" s="133"/>
      <c r="B73" s="133"/>
    </row>
    <row r="74" spans="1:2">
      <c r="A74" s="133"/>
      <c r="B74" s="133"/>
    </row>
    <row r="75" spans="1:2">
      <c r="A75" s="133"/>
      <c r="B75" s="133"/>
    </row>
    <row r="76" spans="1:2">
      <c r="A76" s="133"/>
      <c r="B76" s="133"/>
    </row>
    <row r="77" spans="1:2">
      <c r="A77" s="133"/>
      <c r="B77" s="133"/>
    </row>
    <row r="78" spans="1:2">
      <c r="A78" s="133"/>
      <c r="B78" s="133"/>
    </row>
    <row r="79" spans="1:2">
      <c r="A79" s="133"/>
      <c r="B79" s="133"/>
    </row>
    <row r="80" spans="1:2">
      <c r="A80" s="133"/>
      <c r="B80" s="133"/>
    </row>
    <row r="81" spans="1:2">
      <c r="A81" s="133"/>
      <c r="B81" s="133"/>
    </row>
    <row r="82" spans="1:2">
      <c r="A82" s="133"/>
      <c r="B82" s="133"/>
    </row>
    <row r="83" spans="1:2">
      <c r="A83" s="133"/>
      <c r="B83" s="133"/>
    </row>
    <row r="84" spans="1:2">
      <c r="A84" s="133"/>
      <c r="B84" s="133"/>
    </row>
    <row r="85" spans="1:2">
      <c r="A85" s="133"/>
      <c r="B85" s="133"/>
    </row>
    <row r="86" spans="1:2">
      <c r="A86" s="133"/>
      <c r="B86" s="133"/>
    </row>
    <row r="87" spans="1:2">
      <c r="A87" s="133"/>
      <c r="B87" s="133"/>
    </row>
    <row r="88" spans="1:2">
      <c r="A88" s="133"/>
      <c r="B88" s="133"/>
    </row>
    <row r="89" spans="1:2">
      <c r="A89" s="133"/>
      <c r="B89" s="133"/>
    </row>
    <row r="90" spans="1:2">
      <c r="A90" s="133"/>
      <c r="B90" s="133"/>
    </row>
    <row r="91" spans="1:2">
      <c r="A91" s="133"/>
      <c r="B91" s="133"/>
    </row>
    <row r="92" spans="1:2">
      <c r="A92" s="133"/>
      <c r="B92" s="133"/>
    </row>
    <row r="93" spans="1:2">
      <c r="A93" s="133"/>
      <c r="B93" s="133"/>
    </row>
    <row r="94" spans="1:2">
      <c r="A94" s="133"/>
      <c r="B94" s="133"/>
    </row>
    <row r="95" spans="1:2">
      <c r="A95" s="133"/>
      <c r="B95" s="133"/>
    </row>
    <row r="96" spans="1:2">
      <c r="A96" s="133"/>
      <c r="B96" s="133"/>
    </row>
    <row r="97" spans="1:2">
      <c r="A97" s="133"/>
      <c r="B97" s="133"/>
    </row>
    <row r="98" spans="1:2">
      <c r="A98" s="133"/>
      <c r="B98" s="133"/>
    </row>
    <row r="99" spans="1:2">
      <c r="A99" s="133"/>
      <c r="B99" s="133"/>
    </row>
    <row r="100" spans="1:2">
      <c r="A100" s="133"/>
      <c r="B100" s="133"/>
    </row>
    <row r="101" spans="1:2">
      <c r="A101" s="133"/>
      <c r="B101" s="133"/>
    </row>
    <row r="102" spans="1:2">
      <c r="A102" s="133"/>
      <c r="B102" s="133"/>
    </row>
    <row r="103" spans="1:2">
      <c r="A103" s="133"/>
      <c r="B103" s="133"/>
    </row>
    <row r="104" spans="1:2">
      <c r="A104" s="133"/>
      <c r="B104" s="133"/>
    </row>
    <row r="105" spans="1:2">
      <c r="A105" s="133"/>
      <c r="B105" s="133"/>
    </row>
    <row r="106" spans="1:2">
      <c r="A106" s="133"/>
      <c r="B106" s="133"/>
    </row>
    <row r="107" spans="1:2">
      <c r="A107" s="133"/>
      <c r="B107" s="133"/>
    </row>
    <row r="108" spans="1:2">
      <c r="A108" s="133"/>
      <c r="B108" s="133"/>
    </row>
    <row r="109" spans="1:2">
      <c r="A109" s="133"/>
      <c r="B109" s="133"/>
    </row>
    <row r="110" spans="1:2">
      <c r="A110" s="133"/>
      <c r="B110" s="133"/>
    </row>
    <row r="111" spans="1:2">
      <c r="A111" s="133"/>
      <c r="B111" s="133"/>
    </row>
    <row r="112" spans="1:2">
      <c r="A112" s="133"/>
      <c r="B112" s="133"/>
    </row>
    <row r="113" spans="1:2">
      <c r="A113" s="133"/>
      <c r="B113" s="133"/>
    </row>
    <row r="114" spans="1:2">
      <c r="A114" s="133"/>
      <c r="B114" s="133"/>
    </row>
    <row r="115" spans="1:2">
      <c r="A115" s="133"/>
      <c r="B115" s="133"/>
    </row>
    <row r="116" spans="1:2">
      <c r="A116" s="133"/>
      <c r="B116" s="133"/>
    </row>
    <row r="117" spans="1:2">
      <c r="A117" s="133"/>
      <c r="B117" s="133"/>
    </row>
    <row r="118" spans="1:2">
      <c r="A118" s="133"/>
      <c r="B118" s="133"/>
    </row>
    <row r="119" spans="1:2">
      <c r="A119" s="133"/>
      <c r="B119" s="133"/>
    </row>
    <row r="120" spans="1:2">
      <c r="A120" s="133"/>
      <c r="B120" s="133"/>
    </row>
    <row r="121" spans="1:2">
      <c r="A121" s="133"/>
      <c r="B121" s="133"/>
    </row>
    <row r="122" spans="1:2">
      <c r="A122" s="133"/>
      <c r="B122" s="133"/>
    </row>
    <row r="123" spans="1:2">
      <c r="A123" s="133"/>
      <c r="B123" s="133"/>
    </row>
    <row r="124" spans="1:2">
      <c r="A124" s="133"/>
      <c r="B124" s="133"/>
    </row>
    <row r="125" spans="1:2">
      <c r="A125" s="133"/>
      <c r="B125" s="133"/>
    </row>
    <row r="126" spans="1:2">
      <c r="A126" s="133"/>
      <c r="B126" s="133"/>
    </row>
    <row r="127" spans="1:2">
      <c r="A127" s="133"/>
      <c r="B127" s="133"/>
    </row>
    <row r="128" spans="1:2">
      <c r="A128" s="133"/>
      <c r="B128" s="133"/>
    </row>
    <row r="129" spans="1:2">
      <c r="A129" s="133"/>
      <c r="B129" s="133"/>
    </row>
    <row r="130" spans="1:2">
      <c r="A130" s="133"/>
      <c r="B130" s="133"/>
    </row>
    <row r="131" spans="1:2">
      <c r="A131" s="133"/>
      <c r="B131" s="133"/>
    </row>
    <row r="132" spans="1:2">
      <c r="A132" s="133"/>
      <c r="B132" s="133"/>
    </row>
    <row r="133" spans="1:2">
      <c r="A133" s="133"/>
      <c r="B133" s="133"/>
    </row>
    <row r="134" spans="1:2">
      <c r="A134" s="133"/>
      <c r="B134" s="133"/>
    </row>
    <row r="135" spans="1:2">
      <c r="A135" s="133"/>
      <c r="B135" s="133"/>
    </row>
    <row r="136" spans="1:2">
      <c r="A136" s="133"/>
      <c r="B136" s="133"/>
    </row>
    <row r="137" spans="1:2">
      <c r="A137" s="133"/>
      <c r="B137" s="133"/>
    </row>
    <row r="138" spans="1:2">
      <c r="A138" s="133"/>
      <c r="B138" s="133"/>
    </row>
    <row r="139" spans="1:2">
      <c r="A139" s="133"/>
      <c r="B139" s="133"/>
    </row>
    <row r="140" spans="1:2">
      <c r="A140" s="133"/>
      <c r="B140" s="133"/>
    </row>
    <row r="141" spans="1:2">
      <c r="A141" s="133"/>
      <c r="B141" s="133"/>
    </row>
    <row r="142" spans="1:2">
      <c r="A142" s="133"/>
      <c r="B142" s="133"/>
    </row>
    <row r="143" spans="1:2">
      <c r="A143" s="133"/>
      <c r="B143" s="133"/>
    </row>
    <row r="144" spans="1:2">
      <c r="A144" s="133"/>
      <c r="B144" s="133"/>
    </row>
    <row r="145" spans="1:2">
      <c r="A145" s="133"/>
      <c r="B145" s="133"/>
    </row>
    <row r="146" spans="1:2">
      <c r="A146" s="133"/>
      <c r="B146" s="133"/>
    </row>
    <row r="147" spans="1:2">
      <c r="A147" s="133"/>
      <c r="B147" s="133"/>
    </row>
    <row r="148" spans="1:2">
      <c r="A148" s="133"/>
      <c r="B148" s="133"/>
    </row>
    <row r="149" spans="1:2">
      <c r="A149" s="133"/>
      <c r="B149" s="133"/>
    </row>
    <row r="150" spans="1:2">
      <c r="A150" s="133"/>
      <c r="B150" s="133"/>
    </row>
    <row r="151" spans="1:2">
      <c r="A151" s="133"/>
      <c r="B151" s="133"/>
    </row>
    <row r="152" spans="1:2">
      <c r="A152" s="133"/>
      <c r="B152" s="133"/>
    </row>
    <row r="153" spans="1:2">
      <c r="A153" s="133"/>
      <c r="B153" s="133"/>
    </row>
    <row r="154" spans="1:2">
      <c r="A154" s="133"/>
      <c r="B154" s="133"/>
    </row>
    <row r="155" spans="1:2">
      <c r="A155" s="133"/>
      <c r="B155" s="133"/>
    </row>
    <row r="156" spans="1:2">
      <c r="A156" s="133"/>
      <c r="B156" s="133"/>
    </row>
    <row r="157" spans="1:2">
      <c r="A157" s="133"/>
      <c r="B157" s="133"/>
    </row>
    <row r="158" spans="1:2">
      <c r="A158" s="133"/>
      <c r="B158" s="133"/>
    </row>
    <row r="159" spans="1:2">
      <c r="A159" s="133"/>
      <c r="B159" s="133"/>
    </row>
    <row r="160" spans="1:2">
      <c r="A160" s="133"/>
      <c r="B160" s="133"/>
    </row>
    <row r="161" spans="1:2">
      <c r="A161" s="133"/>
      <c r="B161" s="133"/>
    </row>
    <row r="162" spans="1:2">
      <c r="A162" s="133"/>
      <c r="B162" s="133"/>
    </row>
    <row r="163" spans="1:2">
      <c r="A163" s="133"/>
      <c r="B163" s="133"/>
    </row>
    <row r="164" spans="1:2">
      <c r="A164" s="133"/>
      <c r="B164" s="133"/>
    </row>
    <row r="165" spans="1:2">
      <c r="A165" s="133"/>
      <c r="B165" s="133"/>
    </row>
    <row r="166" spans="1:2">
      <c r="A166" s="133"/>
      <c r="B166" s="133"/>
    </row>
    <row r="167" spans="1:2">
      <c r="A167" s="133"/>
      <c r="B167" s="133"/>
    </row>
    <row r="168" spans="1:2">
      <c r="A168" s="133"/>
      <c r="B168" s="133"/>
    </row>
    <row r="169" spans="1:2">
      <c r="A169" s="133"/>
      <c r="B169" s="133"/>
    </row>
    <row r="170" spans="1:2">
      <c r="A170" s="133"/>
      <c r="B170" s="133"/>
    </row>
    <row r="171" spans="1:2">
      <c r="A171" s="133"/>
      <c r="B171" s="133"/>
    </row>
    <row r="172" spans="1:2">
      <c r="A172" s="133"/>
      <c r="B172" s="133"/>
    </row>
    <row r="173" spans="1:2">
      <c r="A173" s="133"/>
      <c r="B173" s="133"/>
    </row>
    <row r="174" spans="1:2">
      <c r="A174" s="133"/>
      <c r="B174" s="133"/>
    </row>
    <row r="175" spans="1:2">
      <c r="A175" s="133"/>
      <c r="B175" s="133"/>
    </row>
    <row r="176" spans="1:2">
      <c r="A176" s="133"/>
      <c r="B176" s="133"/>
    </row>
    <row r="177" spans="1:2">
      <c r="A177" s="133"/>
      <c r="B177" s="133"/>
    </row>
    <row r="178" spans="1:2">
      <c r="A178" s="133"/>
      <c r="B178" s="133"/>
    </row>
    <row r="179" spans="1:2">
      <c r="A179" s="133"/>
      <c r="B179" s="133"/>
    </row>
    <row r="180" spans="1:2">
      <c r="A180" s="133"/>
      <c r="B180" s="133"/>
    </row>
    <row r="181" spans="1:2">
      <c r="A181" s="133"/>
      <c r="B181" s="133"/>
    </row>
    <row r="182" spans="1:2">
      <c r="A182" s="133"/>
      <c r="B182" s="133"/>
    </row>
    <row r="183" spans="1:2">
      <c r="A183" s="133"/>
      <c r="B183" s="133"/>
    </row>
    <row r="184" spans="1:2">
      <c r="A184" s="133"/>
      <c r="B184" s="133"/>
    </row>
    <row r="185" spans="1:2">
      <c r="A185" s="133"/>
      <c r="B185" s="133"/>
    </row>
    <row r="186" spans="1:2">
      <c r="A186" s="133"/>
      <c r="B186" s="133"/>
    </row>
    <row r="187" spans="1:2">
      <c r="A187" s="133"/>
      <c r="B187" s="133"/>
    </row>
    <row r="188" spans="1:2">
      <c r="A188" s="133"/>
      <c r="B188" s="133"/>
    </row>
    <row r="189" spans="1:2">
      <c r="A189" s="133"/>
      <c r="B189" s="133"/>
    </row>
    <row r="190" spans="1:2">
      <c r="A190" s="133"/>
      <c r="B190" s="133"/>
    </row>
    <row r="191" spans="1:2">
      <c r="A191" s="133"/>
      <c r="B191" s="133"/>
    </row>
    <row r="192" spans="1:2">
      <c r="A192" s="133"/>
      <c r="B192" s="133"/>
    </row>
    <row r="193" spans="1:2">
      <c r="A193" s="133"/>
      <c r="B193" s="133"/>
    </row>
    <row r="194" spans="1:2">
      <c r="A194" s="133"/>
      <c r="B194" s="133"/>
    </row>
    <row r="195" spans="1:2">
      <c r="A195" s="133"/>
      <c r="B195" s="133"/>
    </row>
    <row r="196" spans="1:2">
      <c r="A196" s="133"/>
      <c r="B196" s="133"/>
    </row>
    <row r="197" spans="1:2">
      <c r="A197" s="133"/>
      <c r="B197" s="133"/>
    </row>
    <row r="198" spans="1:2">
      <c r="A198" s="133"/>
      <c r="B198" s="133"/>
    </row>
    <row r="199" spans="1:2">
      <c r="A199" s="133"/>
      <c r="B199" s="133"/>
    </row>
    <row r="200" spans="1:2">
      <c r="A200" s="133"/>
      <c r="B200" s="133"/>
    </row>
    <row r="201" spans="1:2">
      <c r="A201" s="133"/>
      <c r="B201" s="133"/>
    </row>
    <row r="202" spans="1:2">
      <c r="A202" s="133"/>
      <c r="B202" s="133"/>
    </row>
    <row r="203" spans="1:2">
      <c r="A203" s="133"/>
      <c r="B203" s="133"/>
    </row>
    <row r="204" spans="1:2">
      <c r="A204" s="133"/>
      <c r="B204" s="133"/>
    </row>
    <row r="205" spans="1:2">
      <c r="A205" s="133"/>
      <c r="B205" s="133"/>
    </row>
    <row r="206" spans="1:2">
      <c r="A206" s="133"/>
      <c r="B206" s="133"/>
    </row>
    <row r="207" spans="1:2">
      <c r="A207" s="133"/>
      <c r="B207" s="133"/>
    </row>
    <row r="208" spans="1:2">
      <c r="A208" s="133"/>
      <c r="B208" s="133"/>
    </row>
    <row r="209" spans="1:2">
      <c r="A209" s="133"/>
      <c r="B209" s="133"/>
    </row>
    <row r="210" spans="1:2">
      <c r="A210" s="133"/>
      <c r="B210" s="133"/>
    </row>
    <row r="211" spans="1:2">
      <c r="A211" s="133"/>
      <c r="B211" s="133"/>
    </row>
    <row r="212" spans="1:2">
      <c r="A212" s="133"/>
      <c r="B212" s="133"/>
    </row>
    <row r="213" spans="1:2">
      <c r="A213" s="133"/>
      <c r="B213" s="133"/>
    </row>
    <row r="214" spans="1:2">
      <c r="A214" s="133"/>
      <c r="B214" s="133"/>
    </row>
    <row r="215" spans="1:2">
      <c r="A215" s="133"/>
      <c r="B215" s="133"/>
    </row>
    <row r="216" spans="1:2">
      <c r="A216" s="133"/>
      <c r="B216" s="133"/>
    </row>
    <row r="217" spans="1:2">
      <c r="A217" s="133"/>
      <c r="B217" s="133"/>
    </row>
    <row r="218" spans="1:2">
      <c r="A218" s="133"/>
      <c r="B218" s="133"/>
    </row>
    <row r="219" spans="1:2">
      <c r="A219" s="133"/>
      <c r="B219" s="133"/>
    </row>
    <row r="220" spans="1:2">
      <c r="A220" s="133"/>
      <c r="B220" s="133"/>
    </row>
    <row r="221" spans="1:2">
      <c r="A221" s="133"/>
      <c r="B221" s="133"/>
    </row>
    <row r="222" spans="1:2">
      <c r="A222" s="133"/>
      <c r="B222" s="133"/>
    </row>
    <row r="223" spans="1:2">
      <c r="A223" s="133"/>
      <c r="B223" s="133"/>
    </row>
    <row r="224" spans="1:2">
      <c r="A224" s="133"/>
      <c r="B224" s="133"/>
    </row>
    <row r="225" spans="1:2">
      <c r="A225" s="133"/>
      <c r="B225" s="133"/>
    </row>
    <row r="226" spans="1:2">
      <c r="A226" s="133"/>
      <c r="B226" s="133"/>
    </row>
    <row r="227" spans="1:2">
      <c r="A227" s="133"/>
      <c r="B227" s="133"/>
    </row>
    <row r="228" spans="1:2">
      <c r="A228" s="133"/>
      <c r="B228" s="133"/>
    </row>
    <row r="229" spans="1:2">
      <c r="A229" s="133"/>
      <c r="B229" s="133"/>
    </row>
    <row r="230" spans="1:2">
      <c r="A230" s="133"/>
      <c r="B230" s="133"/>
    </row>
    <row r="231" spans="1:2">
      <c r="A231" s="133"/>
      <c r="B231" s="133"/>
    </row>
    <row r="232" spans="1:2">
      <c r="A232" s="133"/>
      <c r="B232" s="133"/>
    </row>
    <row r="233" spans="1:2">
      <c r="A233" s="133"/>
      <c r="B233" s="133"/>
    </row>
    <row r="234" spans="1:2">
      <c r="A234" s="133"/>
      <c r="B234" s="133"/>
    </row>
    <row r="235" spans="1:2">
      <c r="A235" s="133"/>
      <c r="B235" s="133"/>
    </row>
    <row r="236" spans="1:2">
      <c r="A236" s="133"/>
      <c r="B236" s="133"/>
    </row>
    <row r="237" spans="1:2">
      <c r="A237" s="133"/>
      <c r="B237" s="133"/>
    </row>
    <row r="238" spans="1:2">
      <c r="A238" s="133"/>
      <c r="B238" s="133"/>
    </row>
    <row r="239" spans="1:2">
      <c r="A239" s="133"/>
      <c r="B239" s="133"/>
    </row>
    <row r="240" spans="1:2">
      <c r="A240" s="133"/>
      <c r="B240" s="133"/>
    </row>
    <row r="241" spans="1:2">
      <c r="A241" s="133"/>
      <c r="B241" s="133"/>
    </row>
    <row r="242" spans="1:2">
      <c r="A242" s="133"/>
      <c r="B242" s="133"/>
    </row>
    <row r="243" spans="1:2">
      <c r="A243" s="133"/>
      <c r="B243" s="133"/>
    </row>
    <row r="244" spans="1:2">
      <c r="A244" s="133"/>
      <c r="B244" s="133"/>
    </row>
    <row r="245" spans="1:2">
      <c r="A245" s="133"/>
      <c r="B245" s="133"/>
    </row>
    <row r="246" spans="1:2">
      <c r="A246" s="133"/>
      <c r="B246" s="133"/>
    </row>
    <row r="247" spans="1:2">
      <c r="A247" s="133"/>
      <c r="B247" s="133"/>
    </row>
    <row r="248" spans="1:2">
      <c r="A248" s="133"/>
      <c r="B248" s="133"/>
    </row>
    <row r="249" spans="1:2">
      <c r="A249" s="133"/>
      <c r="B249" s="133"/>
    </row>
    <row r="250" spans="1:2">
      <c r="A250" s="133"/>
      <c r="B250" s="133"/>
    </row>
    <row r="251" spans="1:2">
      <c r="A251" s="133"/>
      <c r="B251" s="133"/>
    </row>
    <row r="252" spans="1:2">
      <c r="A252" s="133"/>
      <c r="B252" s="133"/>
    </row>
    <row r="253" spans="1:2">
      <c r="A253" s="133"/>
      <c r="B253" s="133"/>
    </row>
    <row r="254" spans="1:2">
      <c r="A254" s="133"/>
      <c r="B254" s="133"/>
    </row>
    <row r="255" spans="1:2">
      <c r="A255" s="133"/>
      <c r="B255" s="133"/>
    </row>
    <row r="256" spans="1:2">
      <c r="A256" s="133"/>
      <c r="B256" s="133"/>
    </row>
    <row r="257" spans="1:2">
      <c r="A257" s="133"/>
      <c r="B257" s="133"/>
    </row>
    <row r="258" spans="1:2">
      <c r="A258" s="133"/>
      <c r="B258" s="133"/>
    </row>
    <row r="259" spans="1:2">
      <c r="A259" s="133"/>
    </row>
    <row r="260" spans="1:2">
      <c r="A260" s="133"/>
    </row>
    <row r="261" spans="1:2">
      <c r="A261" s="133"/>
    </row>
    <row r="262" spans="1:2">
      <c r="A262" s="133"/>
    </row>
    <row r="263" spans="1:2">
      <c r="A263" s="133"/>
    </row>
    <row r="264" spans="1:2">
      <c r="A264" s="133"/>
    </row>
    <row r="265" spans="1:2">
      <c r="A265" s="133"/>
    </row>
    <row r="266" spans="1:2">
      <c r="A266" s="133"/>
    </row>
    <row r="267" spans="1:2">
      <c r="A267" s="133"/>
    </row>
    <row r="268" spans="1:2">
      <c r="A268" s="133"/>
    </row>
    <row r="269" spans="1:2">
      <c r="A269" s="133"/>
    </row>
    <row r="270" spans="1:2">
      <c r="A270" s="133"/>
    </row>
    <row r="271" spans="1:2">
      <c r="A271" s="133"/>
    </row>
    <row r="272" spans="1:2">
      <c r="A272" s="133"/>
    </row>
    <row r="273" spans="1:1">
      <c r="A273" s="133"/>
    </row>
    <row r="274" spans="1:1">
      <c r="A274" s="133"/>
    </row>
    <row r="275" spans="1:1">
      <c r="A275" s="133"/>
    </row>
    <row r="276" spans="1:1">
      <c r="A276" s="133"/>
    </row>
    <row r="277" spans="1:1">
      <c r="A277" s="133"/>
    </row>
    <row r="278" spans="1:1">
      <c r="A278" s="133"/>
    </row>
    <row r="279" spans="1:1">
      <c r="A279" s="133"/>
    </row>
    <row r="280" spans="1:1">
      <c r="A280" s="133"/>
    </row>
    <row r="281" spans="1:1">
      <c r="A281" s="133"/>
    </row>
    <row r="282" spans="1:1">
      <c r="A282" s="133"/>
    </row>
    <row r="283" spans="1:1">
      <c r="A283" s="133"/>
    </row>
    <row r="284" spans="1:1">
      <c r="A284" s="133"/>
    </row>
    <row r="285" spans="1:1">
      <c r="A285" s="133"/>
    </row>
    <row r="286" spans="1:1">
      <c r="A286" s="133"/>
    </row>
    <row r="287" spans="1:1">
      <c r="A287" s="133"/>
    </row>
    <row r="288" spans="1:1">
      <c r="A288" s="133"/>
    </row>
    <row r="289" spans="1:1">
      <c r="A289" s="133"/>
    </row>
    <row r="290" spans="1:1">
      <c r="A290" s="133"/>
    </row>
    <row r="291" spans="1:1">
      <c r="A291" s="133"/>
    </row>
    <row r="292" spans="1:1">
      <c r="A292" s="133"/>
    </row>
    <row r="293" spans="1:1">
      <c r="A293" s="133"/>
    </row>
    <row r="294" spans="1:1">
      <c r="A294" s="133"/>
    </row>
    <row r="295" spans="1:1">
      <c r="A295" s="133"/>
    </row>
    <row r="296" spans="1:1">
      <c r="A296" s="133"/>
    </row>
    <row r="297" spans="1:1">
      <c r="A297" s="133"/>
    </row>
    <row r="298" spans="1:1">
      <c r="A298" s="133"/>
    </row>
    <row r="299" spans="1:1">
      <c r="A299" s="133"/>
    </row>
    <row r="300" spans="1:1">
      <c r="A300" s="133"/>
    </row>
    <row r="301" spans="1:1">
      <c r="A301" s="133"/>
    </row>
    <row r="302" spans="1:1">
      <c r="A302" s="133"/>
    </row>
    <row r="303" spans="1:1">
      <c r="A303" s="133"/>
    </row>
    <row r="304" spans="1:1">
      <c r="A304" s="133"/>
    </row>
    <row r="305" spans="1:1">
      <c r="A305" s="133"/>
    </row>
    <row r="306" spans="1:1">
      <c r="A306" s="133"/>
    </row>
    <row r="307" spans="1:1">
      <c r="A307" s="133"/>
    </row>
    <row r="308" spans="1:1">
      <c r="A308" s="133"/>
    </row>
    <row r="309" spans="1:1">
      <c r="A309" s="133"/>
    </row>
    <row r="310" spans="1:1">
      <c r="A310" s="133"/>
    </row>
    <row r="311" spans="1:1">
      <c r="A311" s="133"/>
    </row>
    <row r="312" spans="1:1">
      <c r="A312" s="133"/>
    </row>
    <row r="313" spans="1:1">
      <c r="A313" s="133"/>
    </row>
    <row r="314" spans="1:1">
      <c r="A314" s="133"/>
    </row>
    <row r="315" spans="1:1">
      <c r="A315" s="133"/>
    </row>
    <row r="316" spans="1:1">
      <c r="A316" s="133"/>
    </row>
    <row r="317" spans="1:1">
      <c r="A317" s="133"/>
    </row>
    <row r="318" spans="1:1">
      <c r="A318" s="133"/>
    </row>
    <row r="319" spans="1:1">
      <c r="A319" s="133"/>
    </row>
    <row r="320" spans="1:1">
      <c r="A320" s="133"/>
    </row>
    <row r="321" spans="1:1">
      <c r="A321" s="133"/>
    </row>
    <row r="322" spans="1:1">
      <c r="A322" s="133"/>
    </row>
    <row r="323" spans="1:1">
      <c r="A323" s="133"/>
    </row>
    <row r="324" spans="1:1">
      <c r="A324" s="133"/>
    </row>
    <row r="325" spans="1:1">
      <c r="A325" s="133"/>
    </row>
    <row r="326" spans="1:1">
      <c r="A326" s="133"/>
    </row>
    <row r="327" spans="1:1">
      <c r="A327" s="133"/>
    </row>
    <row r="328" spans="1:1">
      <c r="A328" s="133"/>
    </row>
    <row r="329" spans="1:1">
      <c r="A329" s="133"/>
    </row>
    <row r="330" spans="1:1">
      <c r="A330" s="133"/>
    </row>
    <row r="331" spans="1:1">
      <c r="A331" s="133"/>
    </row>
    <row r="332" spans="1:1">
      <c r="A332" s="133"/>
    </row>
    <row r="333" spans="1:1">
      <c r="A333" s="133"/>
    </row>
    <row r="334" spans="1:1">
      <c r="A334" s="133"/>
    </row>
    <row r="335" spans="1:1">
      <c r="A335" s="133"/>
    </row>
    <row r="336" spans="1:1">
      <c r="A336" s="133"/>
    </row>
    <row r="337" spans="1:1">
      <c r="A337" s="133"/>
    </row>
    <row r="338" spans="1:1">
      <c r="A338" s="133"/>
    </row>
    <row r="339" spans="1:1">
      <c r="A339" s="133"/>
    </row>
    <row r="340" spans="1:1">
      <c r="A340" s="133"/>
    </row>
    <row r="341" spans="1:1">
      <c r="A341" s="133"/>
    </row>
    <row r="342" spans="1:1">
      <c r="A342" s="133"/>
    </row>
    <row r="343" spans="1:1">
      <c r="A343" s="133"/>
    </row>
    <row r="344" spans="1:1">
      <c r="A344" s="133"/>
    </row>
    <row r="345" spans="1:1">
      <c r="A345" s="133"/>
    </row>
    <row r="346" spans="1:1">
      <c r="A346" s="133"/>
    </row>
    <row r="347" spans="1:1">
      <c r="A347" s="133"/>
    </row>
    <row r="348" spans="1:1">
      <c r="A348" s="133"/>
    </row>
    <row r="349" spans="1:1">
      <c r="A349" s="133"/>
    </row>
    <row r="350" spans="1:1">
      <c r="A350" s="133"/>
    </row>
    <row r="351" spans="1:1">
      <c r="A351" s="133"/>
    </row>
    <row r="352" spans="1:1">
      <c r="A352" s="133"/>
    </row>
    <row r="353" spans="1:1">
      <c r="A353" s="133"/>
    </row>
    <row r="354" spans="1:1">
      <c r="A354" s="133"/>
    </row>
    <row r="355" spans="1:1">
      <c r="A355" s="133"/>
    </row>
    <row r="356" spans="1:1">
      <c r="A356" s="133"/>
    </row>
    <row r="357" spans="1:1">
      <c r="A357" s="133"/>
    </row>
    <row r="358" spans="1:1">
      <c r="A358" s="133"/>
    </row>
    <row r="359" spans="1:1">
      <c r="A359" s="133"/>
    </row>
    <row r="360" spans="1:1">
      <c r="A360" s="133"/>
    </row>
    <row r="361" spans="1:1">
      <c r="A361" s="133"/>
    </row>
    <row r="362" spans="1:1">
      <c r="A362" s="133"/>
    </row>
    <row r="363" spans="1:1">
      <c r="A363" s="133"/>
    </row>
    <row r="364" spans="1:1">
      <c r="A364" s="133"/>
    </row>
    <row r="365" spans="1:1">
      <c r="A365" s="133"/>
    </row>
    <row r="366" spans="1:1">
      <c r="A366" s="133"/>
    </row>
    <row r="367" spans="1:1">
      <c r="A367" s="133"/>
    </row>
    <row r="368" spans="1:1">
      <c r="A368" s="133"/>
    </row>
    <row r="369" spans="1:1">
      <c r="A369" s="133"/>
    </row>
    <row r="370" spans="1:1">
      <c r="A370" s="133"/>
    </row>
    <row r="371" spans="1:1">
      <c r="A371" s="133"/>
    </row>
    <row r="372" spans="1:1">
      <c r="A372" s="133"/>
    </row>
    <row r="373" spans="1:1">
      <c r="A373" s="133"/>
    </row>
    <row r="374" spans="1:1">
      <c r="A374" s="133"/>
    </row>
    <row r="375" spans="1:1">
      <c r="A375" s="133"/>
    </row>
    <row r="376" spans="1:1">
      <c r="A376" s="133"/>
    </row>
    <row r="377" spans="1:1">
      <c r="A377" s="133"/>
    </row>
    <row r="378" spans="1:1">
      <c r="A378" s="133"/>
    </row>
    <row r="379" spans="1:1">
      <c r="A379" s="133"/>
    </row>
    <row r="380" spans="1:1">
      <c r="A380" s="133"/>
    </row>
    <row r="381" spans="1:1">
      <c r="A381" s="133"/>
    </row>
    <row r="382" spans="1:1">
      <c r="A382" s="133"/>
    </row>
    <row r="383" spans="1:1">
      <c r="A383" s="133"/>
    </row>
    <row r="384" spans="1:1">
      <c r="A384" s="133"/>
    </row>
    <row r="385" spans="1:1">
      <c r="A385" s="133"/>
    </row>
    <row r="386" spans="1:1">
      <c r="A386" s="133"/>
    </row>
    <row r="387" spans="1:1">
      <c r="A387" s="133"/>
    </row>
    <row r="388" spans="1:1">
      <c r="A388" s="133"/>
    </row>
    <row r="389" spans="1:1">
      <c r="A389" s="133"/>
    </row>
    <row r="390" spans="1:1">
      <c r="A390" s="133"/>
    </row>
    <row r="391" spans="1:1">
      <c r="A391" s="133"/>
    </row>
    <row r="392" spans="1:1">
      <c r="A392" s="133"/>
    </row>
    <row r="393" spans="1:1">
      <c r="A393" s="133"/>
    </row>
    <row r="394" spans="1:1">
      <c r="A394" s="133"/>
    </row>
    <row r="395" spans="1:1">
      <c r="A395" s="133"/>
    </row>
    <row r="396" spans="1:1">
      <c r="A396" s="133"/>
    </row>
    <row r="397" spans="1:1">
      <c r="A397" s="133"/>
    </row>
    <row r="398" spans="1:1">
      <c r="A398" s="133"/>
    </row>
    <row r="399" spans="1:1">
      <c r="A399" s="133"/>
    </row>
    <row r="400" spans="1:1">
      <c r="A400" s="133"/>
    </row>
    <row r="401" spans="1:1">
      <c r="A401" s="133"/>
    </row>
    <row r="402" spans="1:1">
      <c r="A402" s="133"/>
    </row>
    <row r="403" spans="1:1">
      <c r="A403" s="133"/>
    </row>
    <row r="404" spans="1:1">
      <c r="A404" s="133"/>
    </row>
    <row r="405" spans="1:1">
      <c r="A405" s="133"/>
    </row>
    <row r="406" spans="1:1">
      <c r="A406" s="133"/>
    </row>
    <row r="407" spans="1:1">
      <c r="A407" s="133"/>
    </row>
    <row r="408" spans="1:1">
      <c r="A408" s="133"/>
    </row>
    <row r="409" spans="1:1">
      <c r="A409" s="133"/>
    </row>
    <row r="410" spans="1:1">
      <c r="A410" s="133"/>
    </row>
    <row r="411" spans="1:1">
      <c r="A411" s="133"/>
    </row>
    <row r="412" spans="1:1">
      <c r="A412" s="133"/>
    </row>
    <row r="413" spans="1:1">
      <c r="A413" s="133"/>
    </row>
    <row r="414" spans="1:1">
      <c r="A414" s="133"/>
    </row>
    <row r="415" spans="1:1">
      <c r="A415" s="133"/>
    </row>
    <row r="416" spans="1:1">
      <c r="A416" s="133"/>
    </row>
    <row r="417" spans="1:1">
      <c r="A417" s="133"/>
    </row>
    <row r="418" spans="1:1">
      <c r="A418" s="133"/>
    </row>
    <row r="419" spans="1:1">
      <c r="A419" s="133"/>
    </row>
    <row r="420" spans="1:1">
      <c r="A420" s="133"/>
    </row>
    <row r="421" spans="1:1">
      <c r="A421" s="133"/>
    </row>
    <row r="422" spans="1:1">
      <c r="A422" s="133"/>
    </row>
    <row r="423" spans="1:1">
      <c r="A423" s="133"/>
    </row>
    <row r="424" spans="1:1">
      <c r="A424" s="133"/>
    </row>
    <row r="425" spans="1:1">
      <c r="A425" s="133"/>
    </row>
    <row r="426" spans="1:1">
      <c r="A426" s="133"/>
    </row>
    <row r="427" spans="1:1">
      <c r="A427" s="133"/>
    </row>
    <row r="428" spans="1:1">
      <c r="A428" s="133"/>
    </row>
    <row r="429" spans="1:1">
      <c r="A429" s="133"/>
    </row>
    <row r="430" spans="1:1">
      <c r="A430" s="133"/>
    </row>
    <row r="431" spans="1:1">
      <c r="A431" s="133"/>
    </row>
    <row r="432" spans="1:1">
      <c r="A432" s="133"/>
    </row>
    <row r="433" spans="1:1">
      <c r="A433" s="133"/>
    </row>
    <row r="434" spans="1:1">
      <c r="A434" s="133"/>
    </row>
    <row r="435" spans="1:1">
      <c r="A435" s="133"/>
    </row>
    <row r="436" spans="1:1">
      <c r="A436" s="133"/>
    </row>
    <row r="437" spans="1:1">
      <c r="A437" s="133"/>
    </row>
    <row r="438" spans="1:1">
      <c r="A438" s="133"/>
    </row>
    <row r="439" spans="1:1">
      <c r="A439" s="133"/>
    </row>
    <row r="440" spans="1:1">
      <c r="A440" s="133"/>
    </row>
    <row r="441" spans="1:1">
      <c r="A441" s="133"/>
    </row>
    <row r="442" spans="1:1">
      <c r="A442" s="133"/>
    </row>
    <row r="443" spans="1:1">
      <c r="A443" s="133"/>
    </row>
    <row r="444" spans="1:1">
      <c r="A444" s="133"/>
    </row>
    <row r="445" spans="1:1">
      <c r="A445" s="133"/>
    </row>
    <row r="446" spans="1:1">
      <c r="A446" s="133"/>
    </row>
    <row r="447" spans="1:1">
      <c r="A447" s="133"/>
    </row>
    <row r="448" spans="1:1">
      <c r="A448" s="133"/>
    </row>
    <row r="449" spans="1:1">
      <c r="A449" s="133"/>
    </row>
    <row r="450" spans="1:1">
      <c r="A450" s="133"/>
    </row>
    <row r="451" spans="1:1">
      <c r="A451" s="133"/>
    </row>
    <row r="452" spans="1:1">
      <c r="A452" s="133"/>
    </row>
    <row r="453" spans="1:1">
      <c r="A453" s="133"/>
    </row>
    <row r="454" spans="1:1">
      <c r="A454" s="133"/>
    </row>
    <row r="455" spans="1:1">
      <c r="A455" s="133"/>
    </row>
    <row r="456" spans="1:1">
      <c r="A456" s="133"/>
    </row>
    <row r="457" spans="1:1">
      <c r="A457" s="133"/>
    </row>
    <row r="458" spans="1:1">
      <c r="A458" s="133"/>
    </row>
    <row r="459" spans="1:1">
      <c r="A459" s="133"/>
    </row>
    <row r="460" spans="1:1">
      <c r="A460" s="133"/>
    </row>
    <row r="461" spans="1:1">
      <c r="A461" s="133"/>
    </row>
    <row r="462" spans="1:1">
      <c r="A462" s="133"/>
    </row>
    <row r="463" spans="1:1">
      <c r="A463" s="133"/>
    </row>
    <row r="464" spans="1:1">
      <c r="A464" s="133"/>
    </row>
    <row r="465" spans="1:1">
      <c r="A465" s="133"/>
    </row>
    <row r="466" spans="1:1">
      <c r="A466" s="133"/>
    </row>
    <row r="467" spans="1:1">
      <c r="A467" s="133"/>
    </row>
    <row r="468" spans="1:1">
      <c r="A468" s="133"/>
    </row>
    <row r="469" spans="1:1">
      <c r="A469" s="133"/>
    </row>
    <row r="470" spans="1:1">
      <c r="A470" s="133"/>
    </row>
    <row r="471" spans="1:1">
      <c r="A471" s="133"/>
    </row>
    <row r="472" spans="1:1">
      <c r="A472" s="133"/>
    </row>
    <row r="473" spans="1:1">
      <c r="A473" s="133"/>
    </row>
    <row r="474" spans="1:1">
      <c r="A474" s="133"/>
    </row>
    <row r="475" spans="1:1">
      <c r="A475" s="133"/>
    </row>
    <row r="476" spans="1:1">
      <c r="A476" s="133"/>
    </row>
    <row r="477" spans="1:1">
      <c r="A477" s="133"/>
    </row>
    <row r="478" spans="1:1">
      <c r="A478" s="133"/>
    </row>
    <row r="479" spans="1:1">
      <c r="A479" s="133"/>
    </row>
    <row r="480" spans="1:1">
      <c r="A480" s="133"/>
    </row>
    <row r="481" spans="1:1">
      <c r="A481" s="133"/>
    </row>
    <row r="482" spans="1:1">
      <c r="A482" s="133"/>
    </row>
    <row r="483" spans="1:1">
      <c r="A483" s="133"/>
    </row>
    <row r="484" spans="1:1">
      <c r="A484" s="133"/>
    </row>
    <row r="485" spans="1:1">
      <c r="A485" s="133"/>
    </row>
    <row r="486" spans="1:1">
      <c r="A486" s="133"/>
    </row>
    <row r="487" spans="1:1">
      <c r="A487" s="133"/>
    </row>
    <row r="488" spans="1:1">
      <c r="A488" s="133"/>
    </row>
    <row r="489" spans="1:1">
      <c r="A489" s="133"/>
    </row>
    <row r="490" spans="1:1">
      <c r="A490" s="133"/>
    </row>
    <row r="491" spans="1:1">
      <c r="A491" s="133"/>
    </row>
    <row r="492" spans="1:1">
      <c r="A492" s="133"/>
    </row>
    <row r="493" spans="1:1">
      <c r="A493" s="133"/>
    </row>
    <row r="494" spans="1:1">
      <c r="A494" s="133"/>
    </row>
    <row r="495" spans="1:1">
      <c r="A495" s="133"/>
    </row>
    <row r="496" spans="1:1">
      <c r="A496" s="133"/>
    </row>
    <row r="497" spans="1:1">
      <c r="A497" s="133"/>
    </row>
    <row r="498" spans="1:1">
      <c r="A498" s="133"/>
    </row>
    <row r="499" spans="1:1">
      <c r="A499" s="133"/>
    </row>
    <row r="500" spans="1:1">
      <c r="A500" s="133"/>
    </row>
    <row r="501" spans="1:1">
      <c r="A501" s="133"/>
    </row>
    <row r="502" spans="1:1">
      <c r="A502" s="133"/>
    </row>
    <row r="503" spans="1:1">
      <c r="A503" s="133"/>
    </row>
    <row r="504" spans="1:1">
      <c r="A504" s="133"/>
    </row>
    <row r="505" spans="1:1">
      <c r="A505" s="133"/>
    </row>
    <row r="506" spans="1:1">
      <c r="A506" s="133"/>
    </row>
    <row r="507" spans="1:1">
      <c r="A507" s="133"/>
    </row>
    <row r="508" spans="1:1">
      <c r="A508" s="133"/>
    </row>
    <row r="509" spans="1:1">
      <c r="A509" s="133"/>
    </row>
    <row r="510" spans="1:1">
      <c r="A510" s="133"/>
    </row>
    <row r="511" spans="1:1">
      <c r="A511" s="133"/>
    </row>
    <row r="512" spans="1:1">
      <c r="A512" s="133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D0A8-764D-4C68-9074-02C3F484D56D}">
  <sheetPr>
    <tabColor theme="3"/>
  </sheetPr>
  <dimension ref="A1:M119"/>
  <sheetViews>
    <sheetView workbookViewId="0"/>
  </sheetViews>
  <sheetFormatPr defaultColWidth="9.140625" defaultRowHeight="12.75"/>
  <cols>
    <col min="1" max="1" width="9.140625" style="137"/>
    <col min="2" max="2" width="1.7109375" style="137" customWidth="1"/>
    <col min="3" max="4" width="9.140625" style="137"/>
    <col min="5" max="5" width="1.7109375" style="137" customWidth="1"/>
    <col min="6" max="7" width="9.140625" style="137"/>
    <col min="8" max="8" width="1.7109375" style="137" customWidth="1"/>
    <col min="9" max="10" width="9.140625" style="137"/>
    <col min="11" max="11" width="1.7109375" style="137" customWidth="1"/>
    <col min="12" max="16384" width="9.140625" style="137"/>
  </cols>
  <sheetData>
    <row r="1" spans="1:13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3" spans="1:13">
      <c r="A3" s="137" t="s">
        <v>113</v>
      </c>
      <c r="C3" s="138" t="s">
        <v>110</v>
      </c>
      <c r="D3" s="138" t="s">
        <v>111</v>
      </c>
      <c r="E3" s="139"/>
      <c r="F3" s="138" t="s">
        <v>110</v>
      </c>
      <c r="G3" s="138" t="s">
        <v>111</v>
      </c>
      <c r="H3" s="139"/>
      <c r="I3" s="138" t="s">
        <v>110</v>
      </c>
      <c r="J3" s="138" t="s">
        <v>111</v>
      </c>
      <c r="K3" s="139"/>
      <c r="L3" s="138" t="s">
        <v>110</v>
      </c>
      <c r="M3" s="138" t="s">
        <v>111</v>
      </c>
    </row>
    <row r="4" spans="1:13">
      <c r="A4" s="137">
        <v>-0.04</v>
      </c>
      <c r="C4" s="137">
        <v>0</v>
      </c>
      <c r="D4" s="140">
        <f t="shared" ref="D4:D67" si="0">$A$4*C4^3+$A$6*C4^2</f>
        <v>0</v>
      </c>
      <c r="F4" s="137">
        <v>20</v>
      </c>
      <c r="G4" s="137">
        <v>0</v>
      </c>
      <c r="I4" s="137">
        <v>60</v>
      </c>
      <c r="J4" s="137">
        <v>0</v>
      </c>
      <c r="L4" s="137">
        <v>100</v>
      </c>
      <c r="M4" s="137">
        <v>0</v>
      </c>
    </row>
    <row r="5" spans="1:13">
      <c r="A5" s="137" t="s">
        <v>114</v>
      </c>
      <c r="C5" s="137">
        <v>1</v>
      </c>
      <c r="D5" s="140">
        <f t="shared" si="0"/>
        <v>5.46</v>
      </c>
      <c r="F5" s="137">
        <v>20</v>
      </c>
      <c r="G5" s="137">
        <f>D24</f>
        <v>1880</v>
      </c>
      <c r="I5" s="137">
        <v>60</v>
      </c>
      <c r="J5" s="137">
        <f>D64</f>
        <v>11160</v>
      </c>
      <c r="L5" s="137">
        <v>100</v>
      </c>
      <c r="M5" s="140">
        <f>D104</f>
        <v>15000</v>
      </c>
    </row>
    <row r="6" spans="1:13">
      <c r="A6" s="137">
        <v>5.5</v>
      </c>
      <c r="C6" s="137">
        <v>2</v>
      </c>
      <c r="D6" s="140">
        <f t="shared" si="0"/>
        <v>21.68</v>
      </c>
    </row>
    <row r="7" spans="1:13">
      <c r="C7" s="137">
        <v>3</v>
      </c>
      <c r="D7" s="140">
        <f t="shared" si="0"/>
        <v>48.42</v>
      </c>
    </row>
    <row r="8" spans="1:13">
      <c r="C8" s="137">
        <v>4</v>
      </c>
      <c r="D8" s="140">
        <f t="shared" si="0"/>
        <v>85.44</v>
      </c>
    </row>
    <row r="9" spans="1:13">
      <c r="C9" s="137">
        <v>5</v>
      </c>
      <c r="D9" s="140">
        <f t="shared" si="0"/>
        <v>132.5</v>
      </c>
    </row>
    <row r="10" spans="1:13">
      <c r="C10" s="137">
        <v>6</v>
      </c>
      <c r="D10" s="140">
        <f t="shared" si="0"/>
        <v>189.36</v>
      </c>
    </row>
    <row r="11" spans="1:13">
      <c r="C11" s="137">
        <v>7</v>
      </c>
      <c r="D11" s="140">
        <f t="shared" si="0"/>
        <v>255.78</v>
      </c>
    </row>
    <row r="12" spans="1:13">
      <c r="C12" s="137">
        <v>8</v>
      </c>
      <c r="D12" s="140">
        <f t="shared" si="0"/>
        <v>331.52</v>
      </c>
    </row>
    <row r="13" spans="1:13">
      <c r="C13" s="137">
        <v>9</v>
      </c>
      <c r="D13" s="140">
        <f t="shared" si="0"/>
        <v>416.34</v>
      </c>
    </row>
    <row r="14" spans="1:13">
      <c r="C14" s="137">
        <v>10</v>
      </c>
      <c r="D14" s="140">
        <f t="shared" si="0"/>
        <v>510</v>
      </c>
    </row>
    <row r="15" spans="1:13">
      <c r="C15" s="137">
        <v>11</v>
      </c>
      <c r="D15" s="140">
        <f t="shared" si="0"/>
        <v>612.26</v>
      </c>
    </row>
    <row r="16" spans="1:13">
      <c r="C16" s="137">
        <v>12</v>
      </c>
      <c r="D16" s="140">
        <f t="shared" si="0"/>
        <v>722.88</v>
      </c>
    </row>
    <row r="17" spans="3:4">
      <c r="C17" s="137">
        <v>13</v>
      </c>
      <c r="D17" s="140">
        <f t="shared" si="0"/>
        <v>841.62</v>
      </c>
    </row>
    <row r="18" spans="3:4">
      <c r="C18" s="137">
        <v>14</v>
      </c>
      <c r="D18" s="140">
        <f t="shared" si="0"/>
        <v>968.24</v>
      </c>
    </row>
    <row r="19" spans="3:4">
      <c r="C19" s="137">
        <v>15</v>
      </c>
      <c r="D19" s="140">
        <f t="shared" si="0"/>
        <v>1102.5</v>
      </c>
    </row>
    <row r="20" spans="3:4">
      <c r="C20" s="137">
        <v>16</v>
      </c>
      <c r="D20" s="140">
        <f t="shared" si="0"/>
        <v>1244.1600000000001</v>
      </c>
    </row>
    <row r="21" spans="3:4">
      <c r="C21" s="137">
        <v>17</v>
      </c>
      <c r="D21" s="140">
        <f t="shared" si="0"/>
        <v>1392.98</v>
      </c>
    </row>
    <row r="22" spans="3:4">
      <c r="C22" s="137">
        <v>18</v>
      </c>
      <c r="D22" s="140">
        <f t="shared" si="0"/>
        <v>1548.72</v>
      </c>
    </row>
    <row r="23" spans="3:4">
      <c r="C23" s="137">
        <v>19</v>
      </c>
      <c r="D23" s="140">
        <f t="shared" si="0"/>
        <v>1711.1399999999999</v>
      </c>
    </row>
    <row r="24" spans="3:4">
      <c r="C24" s="137">
        <v>20</v>
      </c>
      <c r="D24" s="140">
        <f t="shared" si="0"/>
        <v>1880</v>
      </c>
    </row>
    <row r="25" spans="3:4">
      <c r="C25" s="137">
        <v>21</v>
      </c>
      <c r="D25" s="140">
        <f t="shared" si="0"/>
        <v>2055.06</v>
      </c>
    </row>
    <row r="26" spans="3:4">
      <c r="C26" s="137">
        <v>22</v>
      </c>
      <c r="D26" s="140">
        <f t="shared" si="0"/>
        <v>2236.08</v>
      </c>
    </row>
    <row r="27" spans="3:4">
      <c r="C27" s="137">
        <v>23</v>
      </c>
      <c r="D27" s="140">
        <f t="shared" si="0"/>
        <v>2422.8200000000002</v>
      </c>
    </row>
    <row r="28" spans="3:4">
      <c r="C28" s="137">
        <v>24</v>
      </c>
      <c r="D28" s="140">
        <f t="shared" si="0"/>
        <v>2615.04</v>
      </c>
    </row>
    <row r="29" spans="3:4">
      <c r="C29" s="137">
        <v>25</v>
      </c>
      <c r="D29" s="140">
        <f t="shared" si="0"/>
        <v>2812.5</v>
      </c>
    </row>
    <row r="30" spans="3:4">
      <c r="C30" s="137">
        <v>26</v>
      </c>
      <c r="D30" s="140">
        <f t="shared" si="0"/>
        <v>3014.96</v>
      </c>
    </row>
    <row r="31" spans="3:4">
      <c r="C31" s="137">
        <v>27</v>
      </c>
      <c r="D31" s="140">
        <f t="shared" si="0"/>
        <v>3222.18</v>
      </c>
    </row>
    <row r="32" spans="3:4">
      <c r="C32" s="137">
        <v>28</v>
      </c>
      <c r="D32" s="140">
        <f t="shared" si="0"/>
        <v>3433.92</v>
      </c>
    </row>
    <row r="33" spans="3:4">
      <c r="C33" s="137">
        <v>29</v>
      </c>
      <c r="D33" s="140">
        <f t="shared" si="0"/>
        <v>3649.94</v>
      </c>
    </row>
    <row r="34" spans="3:4">
      <c r="C34" s="137">
        <v>30</v>
      </c>
      <c r="D34" s="140">
        <f t="shared" si="0"/>
        <v>3870</v>
      </c>
    </row>
    <row r="35" spans="3:4">
      <c r="C35" s="137">
        <v>31</v>
      </c>
      <c r="D35" s="140">
        <f t="shared" si="0"/>
        <v>4093.8599999999997</v>
      </c>
    </row>
    <row r="36" spans="3:4">
      <c r="C36" s="137">
        <v>32</v>
      </c>
      <c r="D36" s="140">
        <f t="shared" si="0"/>
        <v>4321.28</v>
      </c>
    </row>
    <row r="37" spans="3:4">
      <c r="C37" s="137">
        <v>33</v>
      </c>
      <c r="D37" s="140">
        <f t="shared" si="0"/>
        <v>4552.0200000000004</v>
      </c>
    </row>
    <row r="38" spans="3:4">
      <c r="C38" s="137">
        <v>34</v>
      </c>
      <c r="D38" s="140">
        <f t="shared" si="0"/>
        <v>4785.84</v>
      </c>
    </row>
    <row r="39" spans="3:4">
      <c r="C39" s="137">
        <v>35</v>
      </c>
      <c r="D39" s="140">
        <f t="shared" si="0"/>
        <v>5022.5</v>
      </c>
    </row>
    <row r="40" spans="3:4">
      <c r="C40" s="137">
        <v>36</v>
      </c>
      <c r="D40" s="140">
        <f t="shared" si="0"/>
        <v>5261.76</v>
      </c>
    </row>
    <row r="41" spans="3:4">
      <c r="C41" s="137">
        <v>37</v>
      </c>
      <c r="D41" s="140">
        <f t="shared" si="0"/>
        <v>5503.38</v>
      </c>
    </row>
    <row r="42" spans="3:4">
      <c r="C42" s="137">
        <v>38</v>
      </c>
      <c r="D42" s="140">
        <f t="shared" si="0"/>
        <v>5747.12</v>
      </c>
    </row>
    <row r="43" spans="3:4">
      <c r="C43" s="137">
        <v>39</v>
      </c>
      <c r="D43" s="140">
        <f t="shared" si="0"/>
        <v>5992.74</v>
      </c>
    </row>
    <row r="44" spans="3:4">
      <c r="C44" s="137">
        <v>40</v>
      </c>
      <c r="D44" s="140">
        <f t="shared" si="0"/>
        <v>6240</v>
      </c>
    </row>
    <row r="45" spans="3:4">
      <c r="C45" s="137">
        <v>41</v>
      </c>
      <c r="D45" s="140">
        <f t="shared" si="0"/>
        <v>6488.66</v>
      </c>
    </row>
    <row r="46" spans="3:4">
      <c r="C46" s="137">
        <v>42</v>
      </c>
      <c r="D46" s="140">
        <f t="shared" si="0"/>
        <v>6738.48</v>
      </c>
    </row>
    <row r="47" spans="3:4">
      <c r="C47" s="137">
        <v>43</v>
      </c>
      <c r="D47" s="140">
        <f t="shared" si="0"/>
        <v>6989.2199999999993</v>
      </c>
    </row>
    <row r="48" spans="3:4">
      <c r="C48" s="137">
        <v>44</v>
      </c>
      <c r="D48" s="140">
        <f t="shared" si="0"/>
        <v>7240.6399999999994</v>
      </c>
    </row>
    <row r="49" spans="3:4">
      <c r="C49" s="137">
        <v>45</v>
      </c>
      <c r="D49" s="140">
        <f t="shared" si="0"/>
        <v>7492.5</v>
      </c>
    </row>
    <row r="50" spans="3:4">
      <c r="C50" s="137">
        <v>46</v>
      </c>
      <c r="D50" s="140">
        <f t="shared" si="0"/>
        <v>7744.5599999999995</v>
      </c>
    </row>
    <row r="51" spans="3:4">
      <c r="C51" s="137">
        <v>47</v>
      </c>
      <c r="D51" s="140">
        <f t="shared" si="0"/>
        <v>7996.58</v>
      </c>
    </row>
    <row r="52" spans="3:4">
      <c r="C52" s="137">
        <v>48</v>
      </c>
      <c r="D52" s="140">
        <f t="shared" si="0"/>
        <v>8248.32</v>
      </c>
    </row>
    <row r="53" spans="3:4">
      <c r="C53" s="137">
        <v>49</v>
      </c>
      <c r="D53" s="140">
        <f t="shared" si="0"/>
        <v>8499.5400000000009</v>
      </c>
    </row>
    <row r="54" spans="3:4">
      <c r="C54" s="137">
        <v>50</v>
      </c>
      <c r="D54" s="140">
        <f t="shared" si="0"/>
        <v>8750</v>
      </c>
    </row>
    <row r="55" spans="3:4">
      <c r="C55" s="137">
        <v>51</v>
      </c>
      <c r="D55" s="140">
        <f t="shared" si="0"/>
        <v>8999.4599999999991</v>
      </c>
    </row>
    <row r="56" spans="3:4">
      <c r="C56" s="137">
        <v>52</v>
      </c>
      <c r="D56" s="140">
        <f t="shared" si="0"/>
        <v>9247.68</v>
      </c>
    </row>
    <row r="57" spans="3:4">
      <c r="C57" s="137">
        <v>53</v>
      </c>
      <c r="D57" s="140">
        <f t="shared" si="0"/>
        <v>9494.42</v>
      </c>
    </row>
    <row r="58" spans="3:4">
      <c r="C58" s="137">
        <v>54</v>
      </c>
      <c r="D58" s="140">
        <f t="shared" si="0"/>
        <v>9739.4399999999987</v>
      </c>
    </row>
    <row r="59" spans="3:4">
      <c r="C59" s="137">
        <v>55</v>
      </c>
      <c r="D59" s="140">
        <f t="shared" si="0"/>
        <v>9982.5</v>
      </c>
    </row>
    <row r="60" spans="3:4">
      <c r="C60" s="137">
        <v>56</v>
      </c>
      <c r="D60" s="140">
        <f t="shared" si="0"/>
        <v>10223.36</v>
      </c>
    </row>
    <row r="61" spans="3:4">
      <c r="C61" s="137">
        <v>57</v>
      </c>
      <c r="D61" s="140">
        <f t="shared" si="0"/>
        <v>10461.779999999999</v>
      </c>
    </row>
    <row r="62" spans="3:4">
      <c r="C62" s="137">
        <v>58</v>
      </c>
      <c r="D62" s="140">
        <f t="shared" si="0"/>
        <v>10697.52</v>
      </c>
    </row>
    <row r="63" spans="3:4">
      <c r="C63" s="137">
        <v>59</v>
      </c>
      <c r="D63" s="140">
        <f t="shared" si="0"/>
        <v>10930.34</v>
      </c>
    </row>
    <row r="64" spans="3:4">
      <c r="C64" s="137">
        <v>60</v>
      </c>
      <c r="D64" s="140">
        <f t="shared" si="0"/>
        <v>11160</v>
      </c>
    </row>
    <row r="65" spans="3:4">
      <c r="C65" s="137">
        <v>61</v>
      </c>
      <c r="D65" s="140">
        <f t="shared" si="0"/>
        <v>11386.26</v>
      </c>
    </row>
    <row r="66" spans="3:4">
      <c r="C66" s="137">
        <v>62</v>
      </c>
      <c r="D66" s="140">
        <f t="shared" si="0"/>
        <v>11608.88</v>
      </c>
    </row>
    <row r="67" spans="3:4">
      <c r="C67" s="137">
        <v>63</v>
      </c>
      <c r="D67" s="140">
        <f t="shared" si="0"/>
        <v>11827.619999999999</v>
      </c>
    </row>
    <row r="68" spans="3:4">
      <c r="C68" s="137">
        <v>64</v>
      </c>
      <c r="D68" s="140">
        <f t="shared" ref="D68:D99" si="1">$A$4*C68^3+$A$6*C68^2</f>
        <v>12042.24</v>
      </c>
    </row>
    <row r="69" spans="3:4">
      <c r="C69" s="137">
        <v>65</v>
      </c>
      <c r="D69" s="140">
        <f t="shared" si="1"/>
        <v>12252.5</v>
      </c>
    </row>
    <row r="70" spans="3:4">
      <c r="C70" s="137">
        <v>66</v>
      </c>
      <c r="D70" s="140">
        <f t="shared" si="1"/>
        <v>12458.16</v>
      </c>
    </row>
    <row r="71" spans="3:4">
      <c r="C71" s="137">
        <v>67</v>
      </c>
      <c r="D71" s="140">
        <f t="shared" si="1"/>
        <v>12658.98</v>
      </c>
    </row>
    <row r="72" spans="3:4">
      <c r="C72" s="137">
        <v>68</v>
      </c>
      <c r="D72" s="140">
        <f t="shared" si="1"/>
        <v>12854.72</v>
      </c>
    </row>
    <row r="73" spans="3:4">
      <c r="C73" s="137">
        <v>69</v>
      </c>
      <c r="D73" s="140">
        <f t="shared" si="1"/>
        <v>13045.14</v>
      </c>
    </row>
    <row r="74" spans="3:4">
      <c r="C74" s="137">
        <v>70</v>
      </c>
      <c r="D74" s="140">
        <f t="shared" si="1"/>
        <v>13230</v>
      </c>
    </row>
    <row r="75" spans="3:4">
      <c r="C75" s="137">
        <v>71</v>
      </c>
      <c r="D75" s="140">
        <f t="shared" si="1"/>
        <v>13409.06</v>
      </c>
    </row>
    <row r="76" spans="3:4">
      <c r="C76" s="137">
        <v>72</v>
      </c>
      <c r="D76" s="140">
        <f t="shared" si="1"/>
        <v>13582.08</v>
      </c>
    </row>
    <row r="77" spans="3:4">
      <c r="C77" s="137">
        <v>73</v>
      </c>
      <c r="D77" s="140">
        <f t="shared" si="1"/>
        <v>13748.82</v>
      </c>
    </row>
    <row r="78" spans="3:4">
      <c r="C78" s="137">
        <v>74</v>
      </c>
      <c r="D78" s="140">
        <f t="shared" si="1"/>
        <v>13909.039999999999</v>
      </c>
    </row>
    <row r="79" spans="3:4">
      <c r="C79" s="137">
        <v>75</v>
      </c>
      <c r="D79" s="140">
        <f t="shared" si="1"/>
        <v>14062.5</v>
      </c>
    </row>
    <row r="80" spans="3:4">
      <c r="C80" s="137">
        <v>76</v>
      </c>
      <c r="D80" s="140">
        <f t="shared" si="1"/>
        <v>14208.96</v>
      </c>
    </row>
    <row r="81" spans="3:4">
      <c r="C81" s="137">
        <v>77</v>
      </c>
      <c r="D81" s="140">
        <f t="shared" si="1"/>
        <v>14348.18</v>
      </c>
    </row>
    <row r="82" spans="3:4">
      <c r="C82" s="137">
        <v>78</v>
      </c>
      <c r="D82" s="140">
        <f t="shared" si="1"/>
        <v>14479.919999999998</v>
      </c>
    </row>
    <row r="83" spans="3:4">
      <c r="C83" s="137">
        <v>79</v>
      </c>
      <c r="D83" s="140">
        <f t="shared" si="1"/>
        <v>14603.939999999999</v>
      </c>
    </row>
    <row r="84" spans="3:4">
      <c r="C84" s="137">
        <v>80</v>
      </c>
      <c r="D84" s="140">
        <f t="shared" si="1"/>
        <v>14720</v>
      </c>
    </row>
    <row r="85" spans="3:4">
      <c r="C85" s="137">
        <v>81</v>
      </c>
      <c r="D85" s="140">
        <f t="shared" si="1"/>
        <v>14827.86</v>
      </c>
    </row>
    <row r="86" spans="3:4">
      <c r="C86" s="137">
        <v>82</v>
      </c>
      <c r="D86" s="140">
        <f t="shared" si="1"/>
        <v>14927.279999999999</v>
      </c>
    </row>
    <row r="87" spans="3:4">
      <c r="C87" s="137">
        <v>83</v>
      </c>
      <c r="D87" s="140">
        <f t="shared" si="1"/>
        <v>15018.02</v>
      </c>
    </row>
    <row r="88" spans="3:4">
      <c r="C88" s="137">
        <v>84</v>
      </c>
      <c r="D88" s="140">
        <f t="shared" si="1"/>
        <v>15099.84</v>
      </c>
    </row>
    <row r="89" spans="3:4">
      <c r="C89" s="137">
        <v>85</v>
      </c>
      <c r="D89" s="140">
        <f t="shared" si="1"/>
        <v>15172.5</v>
      </c>
    </row>
    <row r="90" spans="3:4">
      <c r="C90" s="137">
        <v>86</v>
      </c>
      <c r="D90" s="140">
        <f t="shared" si="1"/>
        <v>15235.759999999998</v>
      </c>
    </row>
    <row r="91" spans="3:4">
      <c r="C91" s="137">
        <v>87</v>
      </c>
      <c r="D91" s="140">
        <f t="shared" si="1"/>
        <v>15289.380000000001</v>
      </c>
    </row>
    <row r="92" spans="3:4">
      <c r="C92" s="137">
        <v>88</v>
      </c>
      <c r="D92" s="140">
        <f t="shared" si="1"/>
        <v>15333.119999999999</v>
      </c>
    </row>
    <row r="93" spans="3:4">
      <c r="C93" s="137">
        <v>89</v>
      </c>
      <c r="D93" s="140">
        <f t="shared" si="1"/>
        <v>15366.739999999998</v>
      </c>
    </row>
    <row r="94" spans="3:4">
      <c r="C94" s="137">
        <v>90</v>
      </c>
      <c r="D94" s="140">
        <f t="shared" si="1"/>
        <v>15390</v>
      </c>
    </row>
    <row r="95" spans="3:4">
      <c r="C95" s="137">
        <v>91</v>
      </c>
      <c r="D95" s="140">
        <f t="shared" si="1"/>
        <v>15402.66</v>
      </c>
    </row>
    <row r="96" spans="3:4">
      <c r="C96" s="137">
        <v>92</v>
      </c>
      <c r="D96" s="140">
        <f t="shared" si="1"/>
        <v>15404.48</v>
      </c>
    </row>
    <row r="97" spans="3:4">
      <c r="C97" s="137">
        <v>93</v>
      </c>
      <c r="D97" s="140">
        <f t="shared" si="1"/>
        <v>15395.219999999998</v>
      </c>
    </row>
    <row r="98" spans="3:4">
      <c r="C98" s="137">
        <v>94</v>
      </c>
      <c r="D98" s="140">
        <f t="shared" si="1"/>
        <v>15374.64</v>
      </c>
    </row>
    <row r="99" spans="3:4">
      <c r="C99" s="137">
        <v>95</v>
      </c>
      <c r="D99" s="140">
        <f t="shared" si="1"/>
        <v>15342.5</v>
      </c>
    </row>
    <row r="100" spans="3:4">
      <c r="C100" s="137">
        <v>96</v>
      </c>
      <c r="D100" s="140">
        <f>$A$4*C100^3+$A$6*C100^2</f>
        <v>15298.559999999998</v>
      </c>
    </row>
    <row r="101" spans="3:4">
      <c r="C101" s="137">
        <v>97</v>
      </c>
      <c r="D101" s="140">
        <f>$A$4*C101^3+$A$6*C101^2</f>
        <v>15242.580000000002</v>
      </c>
    </row>
    <row r="102" spans="3:4">
      <c r="C102" s="137">
        <v>98</v>
      </c>
      <c r="D102" s="140">
        <f>$A$4*C102^3+$A$6*C102^2</f>
        <v>15174.32</v>
      </c>
    </row>
    <row r="103" spans="3:4">
      <c r="C103" s="137">
        <v>99</v>
      </c>
      <c r="D103" s="140">
        <f>$A$4*C103^3+$A$6*C103^2</f>
        <v>15093.54</v>
      </c>
    </row>
    <row r="104" spans="3:4">
      <c r="C104" s="137">
        <v>100</v>
      </c>
      <c r="D104" s="140">
        <f>$A$4*C104^3+$A$6*C104^2</f>
        <v>15000</v>
      </c>
    </row>
    <row r="105" spans="3:4">
      <c r="C105" s="137">
        <v>101</v>
      </c>
      <c r="D105" s="140">
        <f t="shared" ref="D105:D119" si="2">$A$4*C105^3+$A$6*C105^2</f>
        <v>14893.46</v>
      </c>
    </row>
    <row r="106" spans="3:4">
      <c r="C106" s="137">
        <v>102</v>
      </c>
      <c r="D106" s="140">
        <f t="shared" si="2"/>
        <v>14773.68</v>
      </c>
    </row>
    <row r="107" spans="3:4">
      <c r="C107" s="137">
        <v>103</v>
      </c>
      <c r="D107" s="140">
        <f t="shared" si="2"/>
        <v>14640.419999999998</v>
      </c>
    </row>
    <row r="108" spans="3:4">
      <c r="C108" s="137">
        <v>104</v>
      </c>
      <c r="D108" s="140">
        <f t="shared" si="2"/>
        <v>14493.440000000002</v>
      </c>
    </row>
    <row r="109" spans="3:4">
      <c r="C109" s="137">
        <v>105</v>
      </c>
      <c r="D109" s="140">
        <f t="shared" si="2"/>
        <v>14332.5</v>
      </c>
    </row>
    <row r="110" spans="3:4">
      <c r="C110" s="137">
        <v>106</v>
      </c>
      <c r="D110" s="140">
        <f t="shared" si="2"/>
        <v>14157.36</v>
      </c>
    </row>
    <row r="111" spans="3:4">
      <c r="C111" s="137">
        <v>107</v>
      </c>
      <c r="D111" s="140">
        <f t="shared" si="2"/>
        <v>13967.779999999999</v>
      </c>
    </row>
    <row r="112" spans="3:4">
      <c r="C112" s="137">
        <v>108</v>
      </c>
      <c r="D112" s="140">
        <f>$A$4*C112^3+$A$6*C112^2</f>
        <v>13763.519999999997</v>
      </c>
    </row>
    <row r="113" spans="3:4">
      <c r="C113" s="137">
        <v>109</v>
      </c>
      <c r="D113" s="140">
        <f t="shared" si="2"/>
        <v>13544.339999999997</v>
      </c>
    </row>
    <row r="114" spans="3:4">
      <c r="C114" s="137">
        <v>110</v>
      </c>
      <c r="D114" s="140">
        <f t="shared" si="2"/>
        <v>13310</v>
      </c>
    </row>
    <row r="115" spans="3:4">
      <c r="C115" s="137">
        <v>111</v>
      </c>
      <c r="D115" s="140">
        <f t="shared" si="2"/>
        <v>13060.260000000002</v>
      </c>
    </row>
    <row r="116" spans="3:4">
      <c r="C116" s="137">
        <v>112</v>
      </c>
      <c r="D116" s="140">
        <f t="shared" si="2"/>
        <v>12794.879999999997</v>
      </c>
    </row>
    <row r="117" spans="3:4">
      <c r="C117" s="137">
        <v>113</v>
      </c>
      <c r="D117" s="140">
        <f t="shared" si="2"/>
        <v>12513.619999999995</v>
      </c>
    </row>
    <row r="118" spans="3:4">
      <c r="C118" s="137">
        <v>114</v>
      </c>
      <c r="D118" s="140">
        <f t="shared" si="2"/>
        <v>12216.239999999998</v>
      </c>
    </row>
    <row r="119" spans="3:4">
      <c r="C119" s="137">
        <v>115</v>
      </c>
      <c r="D119" s="140">
        <f t="shared" si="2"/>
        <v>11902.5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76C5-FE4A-47F0-AC7A-60DE529F23EB}">
  <sheetPr>
    <tabColor theme="3"/>
  </sheetPr>
  <dimension ref="A1:J22"/>
  <sheetViews>
    <sheetView workbookViewId="0"/>
  </sheetViews>
  <sheetFormatPr defaultRowHeight="15"/>
  <cols>
    <col min="1" max="1" width="4.5703125" customWidth="1"/>
    <col min="2" max="2" width="4.7109375" customWidth="1"/>
    <col min="3" max="3" width="3.85546875" customWidth="1"/>
    <col min="4" max="4" width="5.7109375" customWidth="1"/>
    <col min="5" max="5" width="8.140625" customWidth="1"/>
    <col min="6" max="6" width="8.7109375" customWidth="1"/>
    <col min="7" max="7" width="5.85546875" customWidth="1"/>
    <col min="8" max="8" width="6.140625" customWidth="1"/>
    <col min="9" max="9" width="6.28515625" customWidth="1"/>
    <col min="10" max="10" width="6" customWidth="1"/>
  </cols>
  <sheetData>
    <row r="1" spans="1:10">
      <c r="A1" t="s">
        <v>110</v>
      </c>
      <c r="B1" t="s">
        <v>111</v>
      </c>
      <c r="C1" s="244" t="s">
        <v>115</v>
      </c>
      <c r="D1" s="244"/>
      <c r="E1" t="s">
        <v>116</v>
      </c>
      <c r="F1" t="s">
        <v>117</v>
      </c>
      <c r="G1" s="244" t="s">
        <v>118</v>
      </c>
      <c r="H1" s="244"/>
      <c r="I1" s="244" t="s">
        <v>119</v>
      </c>
      <c r="J1" s="244"/>
    </row>
    <row r="2" spans="1:10">
      <c r="A2" s="24">
        <v>1</v>
      </c>
      <c r="B2" s="24">
        <v>100</v>
      </c>
      <c r="C2" s="24">
        <v>0</v>
      </c>
      <c r="D2" s="24">
        <v>100</v>
      </c>
      <c r="E2" s="24">
        <v>0</v>
      </c>
      <c r="F2" s="24">
        <v>-40</v>
      </c>
      <c r="G2" s="24">
        <v>22</v>
      </c>
      <c r="H2" s="24">
        <v>10</v>
      </c>
      <c r="I2" s="24">
        <v>22</v>
      </c>
      <c r="J2" s="24">
        <v>-5</v>
      </c>
    </row>
    <row r="3" spans="1:10">
      <c r="A3" s="24">
        <v>2</v>
      </c>
      <c r="B3" s="24">
        <v>75</v>
      </c>
      <c r="C3" s="24">
        <v>1</v>
      </c>
      <c r="D3" s="24">
        <v>100</v>
      </c>
      <c r="E3" s="24">
        <v>0</v>
      </c>
      <c r="F3" s="24">
        <v>-40</v>
      </c>
      <c r="G3" s="24">
        <v>22</v>
      </c>
      <c r="H3" s="24">
        <v>90</v>
      </c>
      <c r="I3" s="24">
        <v>22</v>
      </c>
      <c r="J3" s="24">
        <v>-35</v>
      </c>
    </row>
    <row r="4" spans="1:10">
      <c r="A4" s="24">
        <v>3</v>
      </c>
      <c r="B4" s="24">
        <v>55</v>
      </c>
      <c r="C4" s="24">
        <v>2</v>
      </c>
      <c r="D4" s="24">
        <v>100</v>
      </c>
      <c r="E4" s="24">
        <v>0</v>
      </c>
      <c r="F4" s="24">
        <v>-40</v>
      </c>
      <c r="G4" s="24"/>
      <c r="H4" s="24"/>
      <c r="I4" s="24"/>
    </row>
    <row r="5" spans="1:10">
      <c r="A5" s="24">
        <v>4</v>
      </c>
      <c r="B5" s="24">
        <v>37</v>
      </c>
      <c r="C5" s="24">
        <v>3</v>
      </c>
      <c r="D5" s="24">
        <v>100</v>
      </c>
      <c r="E5" s="24">
        <v>0</v>
      </c>
      <c r="F5" s="24">
        <v>-40</v>
      </c>
      <c r="G5" s="24"/>
      <c r="H5" s="24"/>
      <c r="I5" s="24"/>
    </row>
    <row r="6" spans="1:10">
      <c r="A6" s="24">
        <v>5</v>
      </c>
      <c r="B6" s="24">
        <v>25</v>
      </c>
      <c r="C6" s="24">
        <v>4</v>
      </c>
      <c r="D6" s="24">
        <v>100</v>
      </c>
      <c r="E6" s="24">
        <v>0</v>
      </c>
      <c r="F6" s="24">
        <v>-40</v>
      </c>
      <c r="G6" s="24"/>
      <c r="H6" s="24"/>
      <c r="I6" s="24"/>
    </row>
    <row r="7" spans="1:10">
      <c r="A7" s="24">
        <v>6</v>
      </c>
      <c r="B7" s="24">
        <v>17</v>
      </c>
      <c r="C7" s="24">
        <v>5</v>
      </c>
      <c r="D7" s="24">
        <v>100</v>
      </c>
      <c r="E7" s="24">
        <v>0</v>
      </c>
      <c r="F7" s="24">
        <v>-40</v>
      </c>
      <c r="G7" s="24"/>
      <c r="H7" s="24"/>
      <c r="I7" s="24"/>
    </row>
    <row r="8" spans="1:10">
      <c r="A8" s="24">
        <v>7</v>
      </c>
      <c r="B8" s="24">
        <v>12</v>
      </c>
      <c r="C8" s="24">
        <v>6</v>
      </c>
      <c r="D8" s="24">
        <v>100</v>
      </c>
      <c r="E8" s="24">
        <v>0</v>
      </c>
      <c r="F8" s="24">
        <v>-40</v>
      </c>
      <c r="G8" s="24"/>
      <c r="H8" s="24"/>
      <c r="I8" s="24"/>
    </row>
    <row r="9" spans="1:10">
      <c r="A9" s="24">
        <v>8</v>
      </c>
      <c r="B9" s="24">
        <v>8.25</v>
      </c>
      <c r="C9" s="24">
        <v>7</v>
      </c>
      <c r="D9" s="24">
        <v>100</v>
      </c>
      <c r="E9" s="24">
        <v>0</v>
      </c>
      <c r="F9" s="24">
        <v>-40</v>
      </c>
      <c r="G9" s="24"/>
      <c r="H9" s="24"/>
      <c r="I9" s="24"/>
    </row>
    <row r="10" spans="1:10">
      <c r="A10" s="24">
        <v>9</v>
      </c>
      <c r="B10" s="24">
        <v>5.5</v>
      </c>
      <c r="C10" s="24">
        <v>8</v>
      </c>
      <c r="D10" s="24">
        <v>100</v>
      </c>
      <c r="E10" s="24">
        <v>0</v>
      </c>
      <c r="F10" s="24">
        <v>-40</v>
      </c>
      <c r="G10" s="24"/>
      <c r="H10" s="24"/>
      <c r="I10" s="24"/>
    </row>
    <row r="11" spans="1:10">
      <c r="A11" s="24">
        <v>10</v>
      </c>
      <c r="B11" s="24">
        <v>4</v>
      </c>
      <c r="C11" s="24">
        <v>9</v>
      </c>
      <c r="D11" s="24">
        <v>100</v>
      </c>
      <c r="E11" s="24">
        <v>0</v>
      </c>
      <c r="F11" s="24">
        <v>-40</v>
      </c>
      <c r="G11" s="24"/>
      <c r="H11" s="24"/>
      <c r="I11" s="24"/>
    </row>
    <row r="12" spans="1:10">
      <c r="A12" s="24">
        <v>11</v>
      </c>
      <c r="B12" s="24">
        <v>3.2</v>
      </c>
      <c r="C12" s="24">
        <v>10</v>
      </c>
      <c r="D12" s="24">
        <v>100</v>
      </c>
      <c r="E12" s="24">
        <v>0</v>
      </c>
      <c r="F12" s="24">
        <v>-40</v>
      </c>
      <c r="G12" s="24"/>
      <c r="H12" s="24"/>
      <c r="I12" s="24"/>
    </row>
    <row r="13" spans="1:10">
      <c r="A13" s="24">
        <v>12</v>
      </c>
      <c r="B13" s="24">
        <v>2.7</v>
      </c>
      <c r="C13" s="24">
        <v>11</v>
      </c>
      <c r="D13" s="24">
        <v>100</v>
      </c>
      <c r="E13" s="24">
        <v>0</v>
      </c>
      <c r="F13" s="24">
        <v>-40</v>
      </c>
      <c r="G13" s="24"/>
      <c r="H13" s="24"/>
      <c r="I13" s="24"/>
    </row>
    <row r="14" spans="1:10">
      <c r="A14" s="24">
        <v>13</v>
      </c>
      <c r="B14" s="24">
        <v>2.2999999999999998</v>
      </c>
      <c r="C14" s="24">
        <v>12</v>
      </c>
      <c r="D14" s="24">
        <v>100</v>
      </c>
      <c r="E14" s="24">
        <v>0</v>
      </c>
      <c r="F14" s="24">
        <v>-40</v>
      </c>
      <c r="G14" s="24"/>
      <c r="H14" s="24"/>
      <c r="I14" s="24"/>
    </row>
    <row r="15" spans="1:10">
      <c r="A15" s="24">
        <v>14</v>
      </c>
      <c r="B15" s="24">
        <v>1.9</v>
      </c>
      <c r="C15" s="24">
        <v>13</v>
      </c>
      <c r="D15" s="24">
        <v>100</v>
      </c>
      <c r="E15" s="24">
        <v>0</v>
      </c>
      <c r="F15" s="24">
        <v>-40</v>
      </c>
      <c r="G15" s="24"/>
      <c r="H15" s="24"/>
      <c r="I15" s="24"/>
    </row>
    <row r="16" spans="1:10">
      <c r="A16" s="24">
        <v>15</v>
      </c>
      <c r="B16" s="24">
        <v>1.7</v>
      </c>
      <c r="C16" s="24">
        <v>14</v>
      </c>
      <c r="D16" s="24">
        <v>100</v>
      </c>
      <c r="E16" s="24">
        <v>0</v>
      </c>
      <c r="F16" s="24">
        <v>-40</v>
      </c>
      <c r="G16" s="24"/>
      <c r="H16" s="24"/>
      <c r="I16" s="24"/>
    </row>
    <row r="17" spans="1:9">
      <c r="A17" s="24">
        <v>16</v>
      </c>
      <c r="B17" s="24">
        <v>1.5</v>
      </c>
      <c r="C17" s="24">
        <v>15</v>
      </c>
      <c r="D17" s="24">
        <v>100</v>
      </c>
      <c r="E17" s="24">
        <v>0</v>
      </c>
      <c r="F17" s="24">
        <v>-40</v>
      </c>
      <c r="G17" s="24"/>
      <c r="H17" s="24"/>
      <c r="I17" s="24"/>
    </row>
    <row r="18" spans="1:9">
      <c r="A18" s="24">
        <v>17</v>
      </c>
      <c r="B18" s="24">
        <v>1.3</v>
      </c>
      <c r="C18" s="24">
        <v>16</v>
      </c>
      <c r="D18" s="24">
        <v>100</v>
      </c>
      <c r="E18" s="24">
        <v>0</v>
      </c>
      <c r="F18" s="24">
        <v>-40</v>
      </c>
      <c r="G18" s="24"/>
      <c r="H18" s="24"/>
      <c r="I18" s="24"/>
    </row>
    <row r="19" spans="1:9">
      <c r="A19" s="24">
        <v>18</v>
      </c>
      <c r="B19" s="24">
        <v>1.2</v>
      </c>
      <c r="C19" s="24">
        <v>17</v>
      </c>
      <c r="D19" s="24">
        <v>100</v>
      </c>
      <c r="E19" s="24">
        <v>0</v>
      </c>
      <c r="F19" s="24">
        <v>-40</v>
      </c>
      <c r="G19" s="24"/>
      <c r="H19" s="24"/>
      <c r="I19" s="24"/>
    </row>
    <row r="20" spans="1:9">
      <c r="A20" s="24">
        <v>19</v>
      </c>
      <c r="B20" s="24">
        <v>1.1000000000000001</v>
      </c>
      <c r="C20" s="24">
        <v>18</v>
      </c>
      <c r="D20" s="24">
        <v>100</v>
      </c>
      <c r="E20" s="24">
        <v>0</v>
      </c>
      <c r="F20" s="24">
        <v>-40</v>
      </c>
      <c r="G20" s="24"/>
      <c r="H20" s="24"/>
      <c r="I20" s="24"/>
    </row>
    <row r="21" spans="1:9">
      <c r="A21" s="24">
        <v>20</v>
      </c>
      <c r="B21" s="24">
        <v>1</v>
      </c>
      <c r="C21" s="24">
        <v>19</v>
      </c>
      <c r="D21" s="24">
        <v>100</v>
      </c>
      <c r="E21" s="24">
        <v>0</v>
      </c>
      <c r="F21" s="24">
        <v>-40</v>
      </c>
      <c r="G21" s="24"/>
      <c r="H21" s="24"/>
      <c r="I21" s="24"/>
    </row>
    <row r="22" spans="1:9">
      <c r="A22" s="24"/>
      <c r="B22" s="24"/>
      <c r="C22" s="24">
        <v>20</v>
      </c>
      <c r="D22" s="24">
        <v>100</v>
      </c>
      <c r="E22" s="24">
        <v>0</v>
      </c>
      <c r="F22" s="24">
        <v>-40</v>
      </c>
      <c r="G22" s="24"/>
      <c r="H22" s="24"/>
      <c r="I22" s="24"/>
    </row>
  </sheetData>
  <mergeCells count="3">
    <mergeCell ref="C1:D1"/>
    <mergeCell ref="G1:H1"/>
    <mergeCell ref="I1:J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2 Proxy Sum</vt:lpstr>
      <vt:lpstr>3 Stock Price</vt:lpstr>
      <vt:lpstr>4 Div Yields</vt:lpstr>
      <vt:lpstr>5 Growth Determinants</vt:lpstr>
      <vt:lpstr>6 DCF Result</vt:lpstr>
      <vt:lpstr>7 Risk Free Rate</vt:lpstr>
      <vt:lpstr>8 Beta</vt:lpstr>
      <vt:lpstr>9 Implied ERP</vt:lpstr>
      <vt:lpstr>10 ERP Result</vt:lpstr>
      <vt:lpstr>11 CAPM Result</vt:lpstr>
      <vt:lpstr>12 COE Summary</vt:lpstr>
      <vt:lpstr>13 Market COE</vt:lpstr>
      <vt:lpstr>14 Historic Trends</vt:lpstr>
      <vt:lpstr>15 Competitive Debt Ratios</vt:lpstr>
      <vt:lpstr>16 Proxy Debt Ratios</vt:lpstr>
      <vt:lpstr>Fig Industry Betas</vt:lpstr>
      <vt:lpstr>Fig CAPM Graph</vt:lpstr>
      <vt:lpstr>Fig Bus Cycle</vt:lpstr>
      <vt:lpstr>Fig Diversify</vt:lpstr>
      <vt:lpstr>'10 ERP Result'!Print_Area</vt:lpstr>
      <vt:lpstr>'14 Historic Trends'!Print_Area</vt:lpstr>
      <vt:lpstr>'15 Competitive Debt Ratios'!Print_Area</vt:lpstr>
      <vt:lpstr>'Fig Bus Cycle'!Print_Area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2017-11-01T15:11:40Z</dcterms:created>
  <dcterms:modified xsi:type="dcterms:W3CDTF">2020-11-12T17:17:29Z</dcterms:modified>
</cp:coreProperties>
</file>