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Default Extension="vml" ContentType="application/vnd.openxmlformats-officedocument.vmlDrawing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drawings/drawing6.xml" ContentType="application/vnd.openxmlformats-officedocument.drawing+xml"/>
  <Override PartName="/xl/worksheets/sheet12.xml" ContentType="application/vnd.openxmlformats-officedocument.spreadsheetml.worksheet+xml"/>
  <Override PartName="/xl/drawings/drawing7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drawings/drawing8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harts/style4.xml" ContentType="application/vnd.openxmlformats-officedocument.drawingml.chart+xml"/>
  <Override PartName="/xl/charts/style1.xml" ContentType="application/vnd.openxmlformats-officedocument.drawingml.chart+xml"/>
  <Override PartName="/xl/charts/colors1.xml" ContentType="application/vnd.openxmlformats-officedocument.drawingml.chart+xml"/>
  <Override PartName="/xl/charts/style2.xml" ContentType="application/vnd.openxmlformats-officedocument.drawingml.chart+xml"/>
  <Override PartName="/xl/charts/colors2.xml" ContentType="application/vnd.openxmlformats-officedocument.drawingml.chart+xml"/>
  <Override PartName="/xl/charts/style3.xml" ContentType="application/vnd.openxmlformats-officedocument.drawingml.chart+xml"/>
  <Override PartName="/xl/charts/colors3.xml" ContentType="application/vnd.openxmlformats-officedocument.drawingml.chart+xml"/>
  <Override PartName="/xl/charts/colors4.xml" ContentType="application/vnd.openxmlformats-officedocument.drawingml.chart+xml"/>
  <Override PartName="/xl/charts/style5.xml" ContentType="application/vnd.openxmlformats-officedocument.drawingml.chart+xml"/>
  <Override PartName="/xl/charts/colors5.xml" ContentType="application/vnd.openxmlformats-officedocument.drawingml.chart+xml"/>
  <Override PartName="/xl/charts/style6.xml" ContentType="application/vnd.openxmlformats-officedocument.drawingml.chart+xml"/>
  <Override PartName="/xl/charts/colors6.xml" ContentType="application/vnd.openxmlformats-officedocument.drawingml.chart+xml"/>
  <Override PartName="/xl/charts/style7.xml" ContentType="application/vnd.openxmlformats-officedocument.drawingml.chart+xml"/>
  <Override PartName="/xl/charts/colors7.xml" ContentType="application/vnd.openxmlformats-officedocument.drawingml.chart+xml"/>
  <Override PartName="/xl/charts/style8.xml" ContentType="application/vnd.openxmlformats-officedocument.drawingml.chart+xml"/>
  <Override PartName="/xl/charts/colors8.xml" ContentType="application/vnd.openxmlformats-officedocument.drawingml.chart+xml"/>
  <Override PartName="/xl/charts/style9.xml" ContentType="application/vnd.openxmlformats-officedocument.drawingml.chart+xml"/>
  <Override PartName="/xl/charts/colors9.xml" ContentType="application/vnd.openxmlformats-officedocument.drawingml.chart+xml"/>
  <Override PartName="/xl/charts/style10.xml" ContentType="application/vnd.openxmlformats-officedocument.drawingml.chart+xml"/>
  <Override PartName="/xl/charts/colors10.xml" ContentType="application/vnd.openxmlformats-officedocument.drawingml.chart+xml"/>
  <Override PartName="/xl/charts/style11.xml" ContentType="application/vnd.openxmlformats-officedocument.drawingml.chart+xml"/>
  <Override PartName="/xl/charts/colors11.xml" ContentType="application/vnd.openxmlformats-officedocument.drawingml.chart+xml"/>
  <Override PartName="/xl/charts/style12.xml" ContentType="application/vnd.openxmlformats-officedocument.drawingml.chart+xml"/>
  <Override PartName="/xl/charts/colors12.xml" ContentType="application/vnd.openxmlformats-officedocument.drawingml.chart+xml"/>
  <Override PartName="/xl/charts/style13.xml" ContentType="application/vnd.openxmlformats-officedocument.drawingml.chart+xml"/>
  <Override PartName="/xl/charts/colors13.xml" ContentType="application/vnd.openxmlformats-officedocument.drawingml.chart+xml"/>
  <Override PartName="/xl/charts/style14.xml" ContentType="application/vnd.openxmlformats-officedocument.drawingml.chart+xml"/>
  <Override PartName="/xl/charts/colors14.xml" ContentType="application/vnd.openxmlformats-officedocument.drawingml.chart+xml"/>
  <Override PartName="/xl/charts/style15.xml" ContentType="application/vnd.openxmlformats-officedocument.drawingml.chart+xml"/>
  <Override PartName="/xl/charts/colors15.xml" ContentType="application/vnd.openxmlformats-officedocument.drawingml.chart+xml"/>
  <Override PartName="/xl/charts/style16.xml" ContentType="application/vnd.openxmlformats-officedocument.drawingml.chart+xml"/>
  <Override PartName="/xl/charts/colors16.xml" ContentType="application/vnd.openxmlformats-officedocument.drawingml.chart+xml"/>
  <Override PartName="/xl/charts/style17.xml" ContentType="application/vnd.openxmlformats-officedocument.drawingml.chart+xml"/>
  <Override PartName="/xl/charts/colors17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bookViews>
    <workbookView xWindow="31530" yWindow="765" windowWidth="21615" windowHeight="13830" firstSheet="10" activeTab="15"/>
  </bookViews>
  <sheets>
    <sheet name="2020 UAR overview" sheetId="19" r:id="rId1"/>
    <sheet name="CO Gross 4m add'l resources" sheetId="18" r:id="rId2"/>
    <sheet name="Scenario Analysis" sheetId="16" r:id="rId3"/>
    <sheet name="CO Gross 6m" sheetId="1" r:id="rId4"/>
    <sheet name="CO Gross 5m" sheetId="15" r:id="rId5"/>
    <sheet name="CO Gross 4m" sheetId="14" r:id="rId6"/>
    <sheet name="CO Gross 4m current resources" sheetId="17" r:id="rId7"/>
    <sheet name="CO Gross susp impact" sheetId="2" r:id="rId8"/>
    <sheet name="2020-2024 Accrual Reserve FCST" sheetId="10" r:id="rId9"/>
    <sheet name="CO Gross impact expected" sheetId="6" r:id="rId10"/>
    <sheet name="CO Gross impact best" sheetId="8" r:id="rId11"/>
    <sheet name="4yr Chargeoff History" sheetId="3" r:id="rId12"/>
    <sheet name="CNP &amp; CUT IN by office" sheetId="5" r:id="rId13"/>
    <sheet name="Summary months" sheetId="13" r:id="rId14"/>
    <sheet name="Reserve Balance FCST" sheetId="11" r:id="rId15"/>
    <sheet name="Reserve Roll Forward" sheetId="12" r:id="rId16"/>
  </sheets>
  <externalReferences>
    <externalReference r:id="rId23"/>
    <externalReference r:id="rId24"/>
  </externalReferences>
  <definedNames>
    <definedName name="Gulf" localSheetId="5">#REF!</definedName>
    <definedName name="Gulf" localSheetId="1">#REF!</definedName>
    <definedName name="Gulf" localSheetId="6">#REF!</definedName>
    <definedName name="Gulf" localSheetId="4">#REF!</definedName>
    <definedName name="Gulf" localSheetId="10">#REF!</definedName>
    <definedName name="Gulf" localSheetId="9">#REF!</definedName>
    <definedName name="Gulf">#REF!</definedName>
    <definedName name="Gulf_High_Low" localSheetId="5">#REF!</definedName>
    <definedName name="Gulf_High_Low" localSheetId="1">#REF!</definedName>
    <definedName name="Gulf_High_Low" localSheetId="6">#REF!</definedName>
    <definedName name="Gulf_High_Low" localSheetId="4">#REF!</definedName>
    <definedName name="Gulf_High_Low" localSheetId="10">#REF!</definedName>
    <definedName name="Gulf_High_Low" localSheetId="9">#REF!</definedName>
    <definedName name="Gulf_High_Low">#REF!</definedName>
    <definedName name="PAGE1">#N/A</definedName>
    <definedName name="Print" localSheetId="8">#REF!</definedName>
    <definedName name="Print" localSheetId="5">#REF!</definedName>
    <definedName name="Print" localSheetId="1">#REF!</definedName>
    <definedName name="Print" localSheetId="6">#REF!</definedName>
    <definedName name="Print" localSheetId="4">#REF!</definedName>
    <definedName name="Print" localSheetId="10">#REF!</definedName>
    <definedName name="Print" localSheetId="9">#REF!</definedName>
    <definedName name="Print" localSheetId="7">#REF!</definedName>
    <definedName name="Print">#REF!</definedName>
    <definedName name="_xlnm.Print_Area" localSheetId="0">'2020 UAR overview'!$A$6:$C$27</definedName>
    <definedName name="_xlnm.Print_Area" localSheetId="8">'2020-2024 Accrual Reserve FCST'!$A$2:$W$61</definedName>
    <definedName name="_xlnm.Print_Area" localSheetId="12">'CNP &amp; CUT IN by office'!$B$8:$O$101,'CNP &amp; CUT IN by office'!$B$116:$O$223</definedName>
    <definedName name="_xlnm.Print_Area" localSheetId="15">'Reserve Roll Forward'!$A$81:$G$116</definedName>
    <definedName name="Print_Area_MI" localSheetId="8">#REF!</definedName>
    <definedName name="Print_Area_MI" localSheetId="5">#REF!</definedName>
    <definedName name="Print_Area_MI" localSheetId="1">#REF!</definedName>
    <definedName name="Print_Area_MI" localSheetId="6">#REF!</definedName>
    <definedName name="Print_Area_MI" localSheetId="4">#REF!</definedName>
    <definedName name="Print_Area_MI" localSheetId="10">#REF!</definedName>
    <definedName name="Print_Area_MI" localSheetId="9">#REF!</definedName>
    <definedName name="Print_Area_MI" localSheetId="7">#REF!</definedName>
    <definedName name="Print_Area_MI">#REF!</definedName>
    <definedName name="_xlnm.Print_Titles" localSheetId="15">'Reserve Roll Forward'!$6:$8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<sst xmlns="http://schemas.openxmlformats.org/spreadsheetml/2006/main" count="2596" uniqueCount="261">
  <si>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</si>
  <si>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</si>
  <si>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</si>
  <si>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</si>
  <si>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</si>
  <si>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</si>
  <si>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</si>
  <si>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</si>
  <si>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</si>
  <si>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</si>
  <si>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</si>
  <si>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</si>
  <si>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2020 Net Chargeoff Forecast excluding suspension impact</t>
  </si>
  <si>
    <t>write-off month:</t>
  </si>
  <si>
    <t>CSS</t>
  </si>
  <si>
    <t>Regular Final Bill C/Os</t>
  </si>
  <si>
    <t>Yes</t>
  </si>
  <si>
    <t>Yes thru 2/21</t>
  </si>
  <si>
    <t>n/a</t>
  </si>
  <si>
    <t>CNP Fill Bill C/Os</t>
  </si>
  <si>
    <t xml:space="preserve">Yes   </t>
  </si>
  <si>
    <t>CAMS</t>
  </si>
  <si>
    <t>No</t>
  </si>
  <si>
    <t>CNP Fbill from CSS (cuts through 1/13/2020)</t>
  </si>
  <si>
    <t>CNP from SAP which FBill C/Os</t>
  </si>
  <si>
    <t>why 6.5M and why 40% recoveries  / why not use % of 90+</t>
  </si>
  <si>
    <t>Charge Offs</t>
  </si>
  <si>
    <t>FPL's (Gross)</t>
  </si>
  <si>
    <t>Gulf (Gross) 2019 Actuals</t>
  </si>
  <si>
    <t>spread based on 2019 net actuals</t>
  </si>
  <si>
    <t>Cuts from:</t>
  </si>
  <si>
    <t>Jan (ONLY 1/2 MONTH)</t>
  </si>
  <si>
    <t>catch-up month (Actual Disconnect)</t>
  </si>
  <si>
    <t>mid-jul</t>
  </si>
  <si>
    <t>mid-Aug</t>
  </si>
  <si>
    <t>mid_sep</t>
  </si>
  <si>
    <t>mid-Oct</t>
  </si>
  <si>
    <t>mid-Nov</t>
  </si>
  <si>
    <t>mid-Dec</t>
  </si>
  <si>
    <t xml:space="preserve">Cuts Delayed by Months </t>
  </si>
  <si>
    <t>Incremental Write-offs</t>
  </si>
  <si>
    <t>Write-off Month</t>
  </si>
  <si>
    <t>write-offs delayed:</t>
  </si>
  <si>
    <t>Reserve Gradual Balance (with adds) - cummulative</t>
  </si>
  <si>
    <t>Reserve Removal (Cummulative)</t>
  </si>
  <si>
    <t>Incremental TOTAL MONTHLY RESERVE requirement</t>
  </si>
  <si>
    <t>Modified Recoveries (assume 30% fewer recoveries due to delayed cuts)</t>
  </si>
  <si>
    <t>Adjusted Incremental TOTAL MONTHLY RESERVE requirement (for recoveries)</t>
  </si>
  <si>
    <t>Expected Recovery %</t>
  </si>
  <si>
    <t>Final Bill Timeline Approx 90 days:</t>
  </si>
  <si>
    <t>Acount Finals Day 1; Approx 88 calendar days later Account Charges Off (63 Workdays)</t>
  </si>
  <si>
    <t>CNP C/O Timeline Approx 95 days:</t>
  </si>
  <si>
    <t>Disc Notice Sent Day 1; After 5 days Account finals; Approx 88 calendar days later Account Charges Off (63 Workdays)</t>
  </si>
  <si>
    <t>If collections begin June 1, the earliest we would begin to see chargeoffs related to customers who were cut for non-payment would be September; these would start slowly</t>
  </si>
  <si>
    <t>and pick up with each passing month.</t>
  </si>
  <si>
    <t>What will be the situation when we turn collections back on; how soon would we start cutting?</t>
  </si>
  <si>
    <t>Spread 2019 Gross Charge-offs based on average of 2016 and 2017.  These years had no impacts like TIO and Michael.</t>
  </si>
  <si>
    <t>Incremental Monthly Reserve</t>
  </si>
  <si>
    <t>Total Monthly Reserve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</si>
  <si>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Only suspended 1/13/20.  Customer's won't know about suspension until Feb or Mar at earliest.</t>
    </r>
  </si>
  <si>
    <r>
      <rPr>
        <b/>
        <sz val="11"/>
        <color theme="1"/>
        <rFont val="Calibri"/>
        <family val="2"/>
        <scheme val="minor"/>
      </rPr>
      <t>CECL:</t>
    </r>
    <r>
      <rPr>
        <sz val="11"/>
        <color theme="1"/>
        <rFont val="Calibri"/>
        <family val="2"/>
        <scheme val="minor"/>
      </rPr>
      <t xml:space="preserve"> estimating CO to Jan</t>
    </r>
  </si>
  <si>
    <t>GULF CHARGE OFFS BY YEAR</t>
  </si>
  <si>
    <t>Per REV-2050 backup</t>
  </si>
  <si>
    <t>GROSS</t>
  </si>
  <si>
    <t>RECEIVABLE</t>
  </si>
  <si>
    <t>NET</t>
  </si>
  <si>
    <t>% OF CHARGE -OFFS RECOVERED</t>
  </si>
  <si>
    <t>Accounts Receivable</t>
  </si>
  <si>
    <t>Gross CO / Accouts Receivable</t>
  </si>
  <si>
    <t>Recovery / Accounts Receivable</t>
  </si>
  <si>
    <t>Net CO / Accounts Receivable</t>
  </si>
  <si>
    <t>Gross CO</t>
  </si>
  <si>
    <t>TIO</t>
  </si>
  <si>
    <t>Michael</t>
  </si>
  <si>
    <t>AVG</t>
  </si>
  <si>
    <t>Recoveries</t>
  </si>
  <si>
    <t>Net CO</t>
  </si>
  <si>
    <t>Gross Charge-offs Historical Monthly spread</t>
  </si>
  <si>
    <t>2018: TIO impact</t>
  </si>
  <si>
    <t>2019: Michael impact</t>
  </si>
  <si>
    <t>Avg</t>
  </si>
  <si>
    <t>Cut for Non-Payment</t>
  </si>
  <si>
    <t>Total</t>
  </si>
  <si>
    <t>Crestview</t>
  </si>
  <si>
    <t>Defuniak</t>
  </si>
  <si>
    <t>FWB</t>
  </si>
  <si>
    <t>Niceville</t>
  </si>
  <si>
    <t>Bonifay</t>
  </si>
  <si>
    <t>Chipley</t>
  </si>
  <si>
    <t>Panama</t>
  </si>
  <si>
    <t>Century</t>
  </si>
  <si>
    <t>Milton</t>
  </si>
  <si>
    <t>Pensacola</t>
  </si>
  <si>
    <t>TOTAL</t>
  </si>
  <si>
    <t>Cut In Statistics</t>
  </si>
  <si>
    <t>Source FCSST860</t>
  </si>
  <si>
    <t>CNP in Field</t>
  </si>
  <si>
    <t>Yes (thru 1/13)</t>
  </si>
  <si>
    <r>
      <t xml:space="preserve">Incremental TOTAL MONTHLY RESERVE requirement - </t>
    </r>
    <r>
      <rPr>
        <b/>
        <sz val="11"/>
        <color theme="1"/>
        <rFont val="Calibri"/>
        <family val="2"/>
        <scheme val="minor"/>
      </rPr>
      <t>Expected Case</t>
    </r>
  </si>
  <si>
    <r>
      <t xml:space="preserve">Incremental TOTAL MONTHLY RESERVE requirement - </t>
    </r>
    <r>
      <rPr>
        <b/>
        <sz val="11"/>
        <color theme="1"/>
        <rFont val="Calibri"/>
        <family val="2"/>
        <scheme val="minor"/>
      </rPr>
      <t>Best Case</t>
    </r>
  </si>
  <si>
    <t>4y Avg</t>
  </si>
  <si>
    <t>Expected Case</t>
  </si>
  <si>
    <t>Best Case</t>
  </si>
  <si>
    <t>Charge-off &amp; Uncollectible Reserve Accrual - 4 Year Avg using C11 BDF</t>
  </si>
  <si>
    <t>Actual: Charge-offs</t>
  </si>
  <si>
    <t>% of Total Charge-offs</t>
  </si>
  <si>
    <t>5 yr Avg</t>
  </si>
  <si>
    <t>4 yr Avg</t>
  </si>
  <si>
    <t>3 yr Avg</t>
  </si>
  <si>
    <t>Forecast: Total Revenue</t>
  </si>
  <si>
    <t>Actual: Total Revenue</t>
  </si>
  <si>
    <t>Notes:</t>
  </si>
  <si>
    <r>
      <t xml:space="preserve">TOTAL MONTHLY RESERVE requirement - </t>
    </r>
    <r>
      <rPr>
        <b/>
        <sz val="11"/>
        <color theme="1"/>
        <rFont val="Calibri"/>
        <family val="2"/>
        <scheme val="minor"/>
      </rPr>
      <t>Expected Case</t>
    </r>
  </si>
  <si>
    <r>
      <t xml:space="preserve">TOTAL MONTHLY RESERVE requirement - </t>
    </r>
    <r>
      <rPr>
        <b/>
        <sz val="11"/>
        <color theme="1"/>
        <rFont val="Calibri"/>
        <family val="2"/>
        <scheme val="minor"/>
      </rPr>
      <t>Best Case</t>
    </r>
  </si>
  <si>
    <t xml:space="preserve">Incremental TOTAL MONTHLY RESERVE </t>
  </si>
  <si>
    <t>2020-2024 Budget</t>
  </si>
  <si>
    <t>Forecast: Uncollectible Reserve Accrual</t>
  </si>
  <si>
    <t>Actual: Uncollectible Reserve Accrual</t>
  </si>
  <si>
    <t>% to Revenue</t>
  </si>
  <si>
    <t>4YR</t>
  </si>
  <si>
    <t>Forecast: Charge-offs</t>
  </si>
  <si>
    <t>Source: See "Gulf-Income Statement" tab. 2020 - 2024 Forecast Income Statement from Trang</t>
  </si>
  <si>
    <t>Total Revenue forecast provided by Anita Stewart (1/21/20)</t>
  </si>
  <si>
    <t xml:space="preserve">2020 Forecasted Uncollectible Reserve </t>
  </si>
  <si>
    <t>Month</t>
  </si>
  <si>
    <t>Beg Bal</t>
  </si>
  <si>
    <t>Res Adj</t>
  </si>
  <si>
    <t>Chargeoffs</t>
  </si>
  <si>
    <t>End Bal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</si>
  <si>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</si>
  <si>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</si>
  <si>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</si>
  <si>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</si>
  <si>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</si>
  <si>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</si>
  <si>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</si>
  <si>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</si>
  <si>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</si>
  <si>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</si>
  <si>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</si>
  <si>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Reserve Accrual Roll Forward Analysis</t>
  </si>
  <si>
    <t>144-00001</t>
  </si>
  <si>
    <t>Year</t>
  </si>
  <si>
    <t>Reserve Beginning Balance</t>
  </si>
  <si>
    <t xml:space="preserve">Current Month Reserve Adjustment </t>
  </si>
  <si>
    <t>Net Change in Reserve</t>
  </si>
  <si>
    <t>Ending Balance</t>
  </si>
  <si>
    <t>Gulf (Gross) 2016-2018 Avg</t>
  </si>
  <si>
    <r>
      <t xml:space="preserve">TOTAL MONTHLY RESERVE requirement - </t>
    </r>
    <r>
      <rPr>
        <b/>
        <sz val="11"/>
        <color theme="1"/>
        <rFont val="Calibri"/>
        <family val="2"/>
        <scheme val="minor"/>
      </rPr>
      <t>Best Case</t>
    </r>
    <r>
      <rPr>
        <sz val="11"/>
        <color theme="1"/>
        <rFont val="Calibri"/>
        <family val="2"/>
        <scheme val="minor"/>
      </rPr>
      <t xml:space="preserve"> (2016-2018 avg - exc Michael)</t>
    </r>
  </si>
  <si>
    <r>
      <t xml:space="preserve">TOTAL MONTHLY RESERVE requirement - </t>
    </r>
    <r>
      <rPr>
        <b/>
        <sz val="11"/>
        <color theme="1"/>
        <rFont val="Calibri"/>
        <family val="2"/>
        <scheme val="minor"/>
      </rPr>
      <t xml:space="preserve">Expected Case </t>
    </r>
    <r>
      <rPr>
        <sz val="11"/>
        <color theme="1"/>
        <rFont val="Calibri"/>
        <family val="2"/>
        <scheme val="minor"/>
      </rPr>
      <t>(4 yr avg)</t>
    </r>
  </si>
  <si>
    <r>
      <rPr>
        <b/>
        <i/>
        <sz val="11"/>
        <color theme="1"/>
        <rFont val="Calibri"/>
        <family val="2"/>
        <scheme val="minor"/>
      </rPr>
      <t>Incremental</t>
    </r>
    <r>
      <rPr>
        <sz val="11"/>
        <color theme="1"/>
        <rFont val="Calibri"/>
        <family val="2"/>
        <scheme val="minor"/>
      </rPr>
      <t xml:space="preserve"> TOTAL MONTHLY RESERVE (Expected - Best)</t>
    </r>
  </si>
  <si>
    <t>Suspension impacts will begin in March.  Jan - Feb should be original projection.</t>
  </si>
  <si>
    <t>Reserve Removal (Cummulative) - based on 6 month delay</t>
  </si>
  <si>
    <t>Peak Reserve</t>
  </si>
  <si>
    <r>
      <t xml:space="preserve">2020 Projected Reserve Balance (see </t>
    </r>
    <r>
      <rPr>
        <b/>
        <sz val="11"/>
        <color theme="1"/>
        <rFont val="Calibri"/>
        <family val="2"/>
        <scheme val="minor"/>
      </rPr>
      <t>Reserve Balance FCST</t>
    </r>
    <r>
      <rPr>
        <sz val="11"/>
        <color theme="1"/>
        <rFont val="Calibri"/>
        <family val="2"/>
        <scheme val="minor"/>
      </rPr>
      <t xml:space="preserve"> tab)</t>
    </r>
  </si>
  <si>
    <t>2019 Actual Chargeoffs</t>
  </si>
  <si>
    <t>2018 Actual Chargeoffs</t>
  </si>
  <si>
    <t>2 year Avg Chargeoffs</t>
  </si>
  <si>
    <r>
      <t xml:space="preserve">TOTAL MONTHLY RESERVE requirement - </t>
    </r>
    <r>
      <rPr>
        <b/>
        <sz val="11"/>
        <color theme="1"/>
        <rFont val="Calibri"/>
        <family val="2"/>
        <scheme val="minor"/>
      </rPr>
      <t>Average</t>
    </r>
  </si>
  <si>
    <r>
      <rPr>
        <b/>
        <i/>
        <sz val="11"/>
        <color rgb="FF0070C0"/>
        <rFont val="Calibri"/>
        <family val="2"/>
        <scheme val="minor"/>
      </rPr>
      <t>Incremental</t>
    </r>
    <r>
      <rPr>
        <sz val="11"/>
        <color rgb="FF0070C0"/>
        <rFont val="Calibri"/>
        <family val="2"/>
        <scheme val="minor"/>
      </rPr>
      <t xml:space="preserve"> TOTAL MONTHLY RESERVE (Suspension Average - 2yr Actual Avg)</t>
    </r>
  </si>
  <si>
    <t>mid-May</t>
  </si>
  <si>
    <t>mid-Jun</t>
  </si>
  <si>
    <t>mid-Jul</t>
  </si>
  <si>
    <t>Line 16</t>
  </si>
  <si>
    <t>2019 Gross CO unchanged</t>
  </si>
  <si>
    <r>
      <t xml:space="preserve">If collections begin </t>
    </r>
    <r>
      <rPr>
        <b/>
        <sz val="11"/>
        <color theme="1"/>
        <rFont val="Calibri"/>
        <family val="2"/>
        <scheme val="minor"/>
      </rPr>
      <t>April</t>
    </r>
    <r>
      <rPr>
        <sz val="11"/>
        <color theme="1"/>
        <rFont val="Calibri"/>
        <family val="2"/>
        <scheme val="minor"/>
      </rPr>
      <t xml:space="preserve"> 1, the earliest we would begin to see chargeoffs related to customers who were cut for non-payment would be </t>
    </r>
    <r>
      <rPr>
        <b/>
        <sz val="11"/>
        <color theme="1"/>
        <rFont val="Calibri"/>
        <family val="2"/>
        <scheme val="minor"/>
      </rPr>
      <t>July</t>
    </r>
    <r>
      <rPr>
        <sz val="11"/>
        <color theme="1"/>
        <rFont val="Calibri"/>
        <family val="2"/>
        <scheme val="minor"/>
      </rPr>
      <t>; these would start slowly</t>
    </r>
  </si>
  <si>
    <t>Line 22</t>
  </si>
  <si>
    <t>Line 23</t>
  </si>
  <si>
    <t>Disconnect moved up 2 months to May</t>
  </si>
  <si>
    <t>Cuts delay now 4 months not 6</t>
  </si>
  <si>
    <t>Line 29</t>
  </si>
  <si>
    <t>Reserve removal moved up to Jul</t>
  </si>
  <si>
    <t>Line 30</t>
  </si>
  <si>
    <t>Incremental reserve requirement maxes at $2.98M</t>
  </si>
  <si>
    <t>Assuming Suspension Lifted in April 2020</t>
  </si>
  <si>
    <t>Assuming Suspension Lifted in June 2020</t>
  </si>
  <si>
    <t>Line 24</t>
  </si>
  <si>
    <t>Reduces incremental write-offs by 60%</t>
  </si>
  <si>
    <t>Assuming Suspension Lifted in May 2020</t>
  </si>
  <si>
    <t>mid-Sep</t>
  </si>
  <si>
    <t>Mid-Nov</t>
  </si>
  <si>
    <t>Assumption that normal finals will process on normal timeline and are excluded from incremental calculation.</t>
  </si>
  <si>
    <t>Assumption that CNP is impacted by suspension and cuts/charge-offs will be delayed.  They are the basis of the incremental calculation.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</si>
  <si>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CNP (Line 20) is included in the $3.7M 2020 budget.  Incremental write-offs associated with CNP (Line 24) is only included in incremental calculation.</t>
    </r>
  </si>
  <si>
    <t>(1/2 MONTH)</t>
  </si>
  <si>
    <t>30/70 split between normal finals and CNP derived from discussion with FPL Strategy and analytics.</t>
  </si>
  <si>
    <t>6 month</t>
  </si>
  <si>
    <t>5 month</t>
  </si>
  <si>
    <t>4 month</t>
  </si>
  <si>
    <t>Suspension Scenario Analysis 2020</t>
  </si>
  <si>
    <t>CNP Normal (Gross)</t>
  </si>
  <si>
    <t>Incremental CO's (due to delay)</t>
  </si>
  <si>
    <t>Total delayed CO's</t>
  </si>
  <si>
    <t>Change ($)</t>
  </si>
  <si>
    <t>Change (%)</t>
  </si>
  <si>
    <t>Maximum Reserve Requirement</t>
  </si>
  <si>
    <t>Comments</t>
  </si>
  <si>
    <t>@30% lower rate due to balance magnitude</t>
  </si>
  <si>
    <t xml:space="preserve">Recoveries </t>
  </si>
  <si>
    <t xml:space="preserve">Modified Recoveries </t>
  </si>
  <si>
    <t>Expected Recovery % (reduced by 30% due high balances)</t>
  </si>
  <si>
    <t xml:space="preserve">Adjusted Incremental TOTAL MONTHLY RESERVE </t>
  </si>
  <si>
    <t>Max Reserve Requirement after Recoveries</t>
  </si>
  <si>
    <t>Analyze Resource impacts on the incremental charge-offs</t>
  </si>
  <si>
    <t># of customers eligible to cut</t>
  </si>
  <si>
    <t>Jennifer Todd</t>
  </si>
  <si>
    <t># of contractors/FSRs to cut service</t>
  </si>
  <si>
    <t>Brian Hanrahand</t>
  </si>
  <si>
    <t># of accounts to cut</t>
  </si>
  <si>
    <t>Assumptions</t>
  </si>
  <si>
    <t>Resume cutting by May 1st.  Possible mid-April (wish case)</t>
  </si>
  <si>
    <t>The catch up period is currently 6-7 months.  Adding resources to cut more accounts will reduce that period.</t>
  </si>
  <si>
    <t>CNP charge-offs represent approx. 2 months consumption.  Divide line 20 by 2 and multiplied by months delayed to get incremental write-offs.</t>
  </si>
  <si>
    <t>The catch up period is cut in half by doubling resources available for cutting service.</t>
  </si>
  <si>
    <t>2020 Actuals</t>
  </si>
  <si>
    <t>Add'l Resources</t>
  </si>
  <si>
    <t>4 Month Current Resources</t>
  </si>
  <si>
    <t>4 Month Additional Resources</t>
  </si>
  <si>
    <t>Item</t>
  </si>
  <si>
    <t>Comment</t>
  </si>
  <si>
    <t>Updated estimate based on higher revenue vs prior year</t>
  </si>
  <si>
    <t>Accelerate savings not expected to be achieved</t>
  </si>
  <si>
    <t>Due to CAMS delay and expected timing for collections (some may be able to be achieved but assume $0 for now)</t>
  </si>
  <si>
    <t>Updated budget estimate, pre impact of CAMS</t>
  </si>
  <si>
    <t>6 month stoppage of collections</t>
  </si>
  <si>
    <t>Original assumption:  No collections until June, then disconnects at historic rate</t>
  </si>
  <si>
    <t>Worst Case view</t>
  </si>
  <si>
    <t>Improvement via starting collections 2 months earlier</t>
  </si>
  <si>
    <t>Assumes Dunning capability by end March to begin collections in April</t>
  </si>
  <si>
    <t>Improvement via accelerating disconnects to 2x historic</t>
  </si>
  <si>
    <t>Based on initial estimate, delayed disconnects all completed by July (to be validated); cost for higher disconnects to be determined</t>
  </si>
  <si>
    <t>Reduced net exposure due to incremental recoveries on incremental chargeoffs</t>
  </si>
  <si>
    <t>Original budgeted 2020 UAR expense</t>
  </si>
  <si>
    <t>Current expectation of 2020 UAR expense</t>
  </si>
  <si>
    <t>Vs Original budget</t>
  </si>
  <si>
    <t>2020 Gulf Power UAR overview ($000)</t>
  </si>
  <si>
    <t>2020 P&amp;L Expense</t>
  </si>
  <si>
    <t xml:space="preserve">2020 revenue increase not considered in budget calc, adjusted for 2019 Hurricane Michael </t>
  </si>
  <si>
    <t xml:space="preserve">Assume 31% recovery of incremental chargeoffs </t>
  </si>
  <si>
    <t>Impact of CAMS (booked through CECL entries monthly)</t>
  </si>
  <si>
    <t>Incremental recoveries</t>
  </si>
  <si>
    <t>Note1:  Operational costs will be required to achieve earlier collections and disconnects; cost is being estimated</t>
  </si>
  <si>
    <t>Note2:  Potential to achieve targets Accelerate savings in 2020 under review</t>
  </si>
  <si>
    <t>20200151-EI</t>
  </si>
  <si>
    <t>GULF 000134</t>
  </si>
  <si>
    <t>GULF 000135</t>
  </si>
  <si>
    <t>GULF 000136</t>
  </si>
  <si>
    <t>GULF 000137</t>
  </si>
  <si>
    <t>GULF 000138</t>
  </si>
  <si>
    <t>GULF 000139</t>
  </si>
  <si>
    <t>GULF 000140</t>
  </si>
  <si>
    <t>GULF 000141</t>
  </si>
  <si>
    <t>GULF 000142</t>
  </si>
  <si>
    <t>GULF 000143</t>
  </si>
  <si>
    <t>GULF 000144</t>
  </si>
  <si>
    <t>GULF 000146</t>
  </si>
  <si>
    <t>GULF 000147</t>
  </si>
  <si>
    <t>GULF 000149</t>
  </si>
  <si>
    <t>GULF 000145</t>
  </si>
  <si>
    <t>GULF 000148</t>
  </si>
  <si>
    <t>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</si>
</sst>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409]mmm\-yy;@"/>
    <numFmt numFmtId="166" formatCode="&quot;$&quot;#,##0.00"/>
    <numFmt numFmtId="167" formatCode="0.0000"/>
    <numFmt numFmtId="168" formatCode="&quot;$&quot;#,##0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"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u val="single"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 val="single"/>
      <sz val="11"/>
      <color theme="1"/>
      <name val="Times New Roman"/>
      <family val="1"/>
    </font>
    <font>
      <sz val="10"/>
      <name val="Lucida Sans"/>
      <family val="2"/>
    </font>
    <font>
      <b/>
      <sz val="16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u val="single"/>
      <sz val="10"/>
      <name val="Arial"/>
      <family val="2"/>
    </font>
    <font>
      <b/>
      <u val="single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0"/>
      <color indexed="17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11"/>
      <color rgb="FFFF0000"/>
      <name val="Calibri"/>
      <family val="2"/>
      <scheme val="minor"/>
    </font>
    <font>
      <i/>
      <sz val="10"/>
      <color theme="3" tint="0.39998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 MT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u val="single"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u val="single"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Segoe UI"/>
      <family val="2"/>
    </font>
    <font>
      <sz val="8"/>
      <color rgb="FF6E6E73"/>
      <name val="Segoe UI"/>
      <family val="2"/>
    </font>
    <font>
      <sz val="10"/>
      <color theme="1"/>
      <name val="Calibri"/>
      <family val="2"/>
      <scheme val="minor"/>
    </font>
    <font>
      <b/>
      <u val="single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 val="single"/>
      <sz val="16"/>
      <color theme="1"/>
      <name val="Calibri"/>
      <family val="2"/>
      <scheme val="minor"/>
    </font>
    <font>
      <sz val="14"/>
      <color theme="1" tint="0.35"/>
      <name val="Calibri"/>
      <family val="2"/>
    </font>
    <font>
      <sz val="9"/>
      <color theme="1" tint="0.35"/>
      <name val="Calibri"/>
      <family val="2"/>
    </font>
  </fonts>
  <fills count="15">
    <fill>
      <patternFill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2" tint="-0.0999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</borders>
  <cellStyleXfs count="2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0" borderId="0">
      <alignment/>
      <protection/>
    </xf>
    <xf numFmtId="0" fontId="34" fillId="0" borderId="0">
      <alignment/>
      <protection/>
    </xf>
  </cellStyleXfs>
  <cellXfs count="29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8" fontId="1" fillId="0" borderId="0" xfId="23" applyNumberFormat="1" applyFont="1" applyFill="1" applyBorder="1">
      <alignment/>
      <protection/>
    </xf>
    <xf numFmtId="38" fontId="1" fillId="0" borderId="2" xfId="23" applyNumberFormat="1" applyFont="1" applyFill="1" applyBorder="1">
      <alignment/>
      <protection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4" borderId="0" xfId="22"/>
    <xf numFmtId="0" fontId="2" fillId="2" borderId="0" xfId="20"/>
    <xf numFmtId="0" fontId="1" fillId="0" borderId="0" xfId="23">
      <alignment/>
      <protection/>
    </xf>
    <xf numFmtId="0" fontId="3" fillId="3" borderId="0" xfId="21"/>
    <xf numFmtId="0" fontId="6" fillId="0" borderId="0" xfId="0" applyFont="1"/>
    <xf numFmtId="164" fontId="5" fillId="0" borderId="0" xfId="0" applyNumberFormat="1" applyFont="1"/>
    <xf numFmtId="6" fontId="0" fillId="0" borderId="0" xfId="0" applyNumberFormat="1"/>
    <xf numFmtId="6" fontId="3" fillId="3" borderId="0" xfId="21" applyNumberFormat="1"/>
    <xf numFmtId="9" fontId="3" fillId="0" borderId="0" xfId="21" applyNumberFormat="1" applyFill="1"/>
    <xf numFmtId="164" fontId="7" fillId="0" borderId="9" xfId="0" applyNumberFormat="1" applyFont="1" applyFill="1" applyBorder="1"/>
    <xf numFmtId="6" fontId="4" fillId="4" borderId="0" xfId="22" applyNumberFormat="1"/>
    <xf numFmtId="6" fontId="2" fillId="2" borderId="0" xfId="20" applyNumberFormat="1"/>
    <xf numFmtId="0" fontId="0" fillId="0" borderId="0" xfId="0" applyBorder="1" applyAlignment="1" quotePrefix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10" xfId="0" applyBorder="1"/>
    <xf numFmtId="8" fontId="0" fillId="0" borderId="11" xfId="0" applyNumberFormat="1" applyBorder="1"/>
    <xf numFmtId="0" fontId="0" fillId="0" borderId="11" xfId="0" applyBorder="1"/>
    <xf numFmtId="6" fontId="0" fillId="0" borderId="11" xfId="0" applyNumberFormat="1" applyBorder="1"/>
    <xf numFmtId="0" fontId="0" fillId="0" borderId="0" xfId="0" applyBorder="1"/>
    <xf numFmtId="8" fontId="0" fillId="0" borderId="0" xfId="0" applyNumberFormat="1" applyBorder="1"/>
    <xf numFmtId="0" fontId="0" fillId="0" borderId="0" xfId="0" applyFill="1" applyBorder="1"/>
    <xf numFmtId="6" fontId="0" fillId="0" borderId="0" xfId="0" applyNumberFormat="1" applyBorder="1"/>
    <xf numFmtId="164" fontId="8" fillId="0" borderId="0" xfId="0" applyNumberFormat="1" applyFont="1"/>
    <xf numFmtId="0" fontId="0" fillId="0" borderId="0" xfId="0" applyFill="1"/>
    <xf numFmtId="6" fontId="3" fillId="0" borderId="0" xfId="21" applyNumberFormat="1" applyFill="1"/>
    <xf numFmtId="6" fontId="0" fillId="0" borderId="0" xfId="0" applyNumberFormat="1" applyFill="1"/>
    <xf numFmtId="0" fontId="11" fillId="0" borderId="0" xfId="0" applyFont="1" applyFill="1" applyAlignment="1">
      <alignment horizontal="center"/>
    </xf>
    <xf numFmtId="0" fontId="8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43" fontId="8" fillId="0" borderId="0" xfId="18" applyFont="1"/>
    <xf numFmtId="164" fontId="8" fillId="0" borderId="0" xfId="15" applyNumberFormat="1" applyFont="1"/>
    <xf numFmtId="44" fontId="8" fillId="0" borderId="0" xfId="0" applyNumberFormat="1" applyFont="1"/>
    <xf numFmtId="38" fontId="15" fillId="0" borderId="0" xfId="0" applyNumberFormat="1" applyFont="1" applyFill="1" applyBorder="1" applyAlignment="1" applyProtection="1">
      <alignment/>
      <protection/>
    </xf>
    <xf numFmtId="10" fontId="15" fillId="0" borderId="0" xfId="0" applyNumberFormat="1" applyFont="1" applyFill="1" applyBorder="1" applyAlignment="1" applyProtection="1">
      <alignment/>
      <protection/>
    </xf>
    <xf numFmtId="0" fontId="14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0" fontId="12" fillId="0" borderId="9" xfId="0" applyNumberFormat="1" applyFont="1" applyBorder="1"/>
    <xf numFmtId="43" fontId="8" fillId="0" borderId="1" xfId="18" applyFont="1" applyBorder="1"/>
    <xf numFmtId="44" fontId="8" fillId="0" borderId="9" xfId="16" applyFont="1" applyBorder="1"/>
    <xf numFmtId="44" fontId="8" fillId="0" borderId="0" xfId="16" applyFont="1"/>
    <xf numFmtId="0" fontId="8" fillId="0" borderId="0" xfId="0" applyFont="1" applyFill="1"/>
    <xf numFmtId="43" fontId="8" fillId="0" borderId="9" xfId="18" applyFont="1" applyBorder="1"/>
    <xf numFmtId="164" fontId="8" fillId="5" borderId="0" xfId="0" applyNumberFormat="1" applyFont="1" applyFill="1" applyAlignment="1">
      <alignment horizontal="center"/>
    </xf>
    <xf numFmtId="0" fontId="8" fillId="5" borderId="0" xfId="0" applyFont="1" applyFill="1"/>
    <xf numFmtId="10" fontId="8" fillId="0" borderId="0" xfId="16" applyNumberFormat="1" applyFont="1"/>
    <xf numFmtId="164" fontId="12" fillId="0" borderId="9" xfId="0" applyNumberFormat="1" applyFont="1" applyBorder="1"/>
    <xf numFmtId="0" fontId="16" fillId="0" borderId="0" xfId="23" applyFont="1" applyFill="1" applyBorder="1">
      <alignment/>
      <protection/>
    </xf>
    <xf numFmtId="0" fontId="17" fillId="0" borderId="0" xfId="23" applyFont="1">
      <alignment/>
      <protection/>
    </xf>
    <xf numFmtId="17" fontId="1" fillId="0" borderId="0" xfId="23" applyNumberFormat="1">
      <alignment/>
      <protection/>
    </xf>
    <xf numFmtId="0" fontId="18" fillId="0" borderId="0" xfId="23" applyFont="1" applyFill="1" applyBorder="1">
      <alignment/>
      <protection/>
    </xf>
    <xf numFmtId="0" fontId="1" fillId="0" borderId="0" xfId="23" applyBorder="1">
      <alignment/>
      <protection/>
    </xf>
    <xf numFmtId="165" fontId="17" fillId="0" borderId="0" xfId="23" applyNumberFormat="1" applyFont="1" applyBorder="1">
      <alignment/>
      <protection/>
    </xf>
    <xf numFmtId="165" fontId="17" fillId="0" borderId="0" xfId="23" applyNumberFormat="1" applyFont="1" applyBorder="1" applyAlignment="1">
      <alignment horizontal="right"/>
      <protection/>
    </xf>
    <xf numFmtId="0" fontId="1" fillId="6" borderId="0" xfId="23" applyFill="1" applyBorder="1">
      <alignment/>
      <protection/>
    </xf>
    <xf numFmtId="3" fontId="1" fillId="6" borderId="0" xfId="23" applyNumberFormat="1" applyFill="1" applyBorder="1">
      <alignment/>
      <protection/>
    </xf>
    <xf numFmtId="3" fontId="17" fillId="6" borderId="0" xfId="23" applyNumberFormat="1" applyFont="1" applyFill="1" applyBorder="1">
      <alignment/>
      <protection/>
    </xf>
    <xf numFmtId="3" fontId="1" fillId="0" borderId="0" xfId="23" applyNumberFormat="1" applyBorder="1">
      <alignment/>
      <protection/>
    </xf>
    <xf numFmtId="3" fontId="17" fillId="0" borderId="0" xfId="23" applyNumberFormat="1" applyFont="1" applyBorder="1">
      <alignment/>
      <protection/>
    </xf>
    <xf numFmtId="0" fontId="19" fillId="0" borderId="0" xfId="23" applyFont="1" applyBorder="1">
      <alignment/>
      <protection/>
    </xf>
    <xf numFmtId="3" fontId="19" fillId="0" borderId="0" xfId="23" applyNumberFormat="1" applyFont="1" applyBorder="1">
      <alignment/>
      <protection/>
    </xf>
    <xf numFmtId="3" fontId="19" fillId="7" borderId="0" xfId="23" applyNumberFormat="1" applyFont="1" applyFill="1" applyBorder="1">
      <alignment/>
      <protection/>
    </xf>
    <xf numFmtId="3" fontId="20" fillId="0" borderId="0" xfId="23" applyNumberFormat="1" applyFont="1" applyBorder="1">
      <alignment/>
      <protection/>
    </xf>
    <xf numFmtId="0" fontId="17" fillId="0" borderId="0" xfId="23" applyFont="1" applyBorder="1" applyAlignment="1">
      <alignment horizontal="center"/>
      <protection/>
    </xf>
    <xf numFmtId="3" fontId="17" fillId="0" borderId="0" xfId="23" applyNumberFormat="1" applyFont="1" applyFill="1" applyBorder="1">
      <alignment/>
      <protection/>
    </xf>
    <xf numFmtId="0" fontId="1" fillId="0" borderId="0" xfId="23" applyFont="1" applyBorder="1">
      <alignment/>
      <protection/>
    </xf>
    <xf numFmtId="3" fontId="1" fillId="0" borderId="1" xfId="23" applyNumberFormat="1" applyFont="1" applyBorder="1">
      <alignment/>
      <protection/>
    </xf>
    <xf numFmtId="3" fontId="1" fillId="7" borderId="1" xfId="23" applyNumberFormat="1" applyFont="1" applyFill="1" applyBorder="1">
      <alignment/>
      <protection/>
    </xf>
    <xf numFmtId="3" fontId="17" fillId="0" borderId="1" xfId="23" applyNumberFormat="1" applyFont="1" applyBorder="1">
      <alignment/>
      <protection/>
    </xf>
    <xf numFmtId="3" fontId="1" fillId="6" borderId="0" xfId="23" applyNumberFormat="1" applyFont="1" applyFill="1" applyBorder="1">
      <alignment/>
      <protection/>
    </xf>
    <xf numFmtId="3" fontId="1" fillId="0" borderId="0" xfId="23" applyNumberFormat="1" applyFont="1" applyBorder="1">
      <alignment/>
      <protection/>
    </xf>
    <xf numFmtId="3" fontId="17" fillId="0" borderId="1" xfId="23" applyNumberFormat="1" applyFont="1" applyFill="1" applyBorder="1">
      <alignment/>
      <protection/>
    </xf>
    <xf numFmtId="3" fontId="1" fillId="0" borderId="0" xfId="23" applyNumberFormat="1">
      <alignment/>
      <protection/>
    </xf>
    <xf numFmtId="3" fontId="17" fillId="0" borderId="0" xfId="23" applyNumberFormat="1" applyFont="1">
      <alignment/>
      <protection/>
    </xf>
    <xf numFmtId="0" fontId="21" fillId="0" borderId="0" xfId="23" applyFont="1" applyFill="1" applyBorder="1">
      <alignment/>
      <protection/>
    </xf>
    <xf numFmtId="3" fontId="21" fillId="0" borderId="0" xfId="23" applyNumberFormat="1" applyFont="1">
      <alignment/>
      <protection/>
    </xf>
    <xf numFmtId="3" fontId="22" fillId="0" borderId="0" xfId="23" applyNumberFormat="1" applyFont="1">
      <alignment/>
      <protection/>
    </xf>
    <xf numFmtId="0" fontId="21" fillId="0" borderId="0" xfId="23" applyFont="1">
      <alignment/>
      <protection/>
    </xf>
    <xf numFmtId="0" fontId="19" fillId="0" borderId="0" xfId="23" applyFont="1">
      <alignment/>
      <protection/>
    </xf>
    <xf numFmtId="0" fontId="23" fillId="0" borderId="0" xfId="23" applyFont="1" applyBorder="1">
      <alignment/>
      <protection/>
    </xf>
    <xf numFmtId="0" fontId="12" fillId="0" borderId="0" xfId="0" applyFont="1"/>
    <xf numFmtId="44" fontId="3" fillId="3" borderId="0" xfId="21" applyNumberFormat="1"/>
    <xf numFmtId="0" fontId="24" fillId="8" borderId="0" xfId="23" applyFont="1" applyFill="1">
      <alignment/>
      <protection/>
    </xf>
    <xf numFmtId="0" fontId="1" fillId="8" borderId="0" xfId="23" applyFill="1">
      <alignment/>
      <protection/>
    </xf>
    <xf numFmtId="0" fontId="1" fillId="8" borderId="0" xfId="23" applyFont="1" applyFill="1">
      <alignment/>
      <protection/>
    </xf>
    <xf numFmtId="0" fontId="25" fillId="8" borderId="0" xfId="23" applyFont="1" applyFill="1">
      <alignment/>
      <protection/>
    </xf>
    <xf numFmtId="0" fontId="26" fillId="9" borderId="0" xfId="23" applyFont="1" applyFill="1">
      <alignment/>
      <protection/>
    </xf>
    <xf numFmtId="0" fontId="1" fillId="9" borderId="0" xfId="23" applyFill="1">
      <alignment/>
      <protection/>
    </xf>
    <xf numFmtId="0" fontId="1" fillId="10" borderId="0" xfId="23" applyFill="1">
      <alignment/>
      <protection/>
    </xf>
    <xf numFmtId="0" fontId="26" fillId="8" borderId="0" xfId="23" applyFont="1" applyFill="1">
      <alignment/>
      <protection/>
    </xf>
    <xf numFmtId="0" fontId="26" fillId="8" borderId="0" xfId="23" applyFont="1" applyFill="1" applyAlignment="1">
      <alignment horizontal="right"/>
      <protection/>
    </xf>
    <xf numFmtId="0" fontId="26" fillId="8" borderId="0" xfId="23" applyFont="1" applyFill="1" applyAlignment="1">
      <alignment horizontal="left"/>
      <protection/>
    </xf>
    <xf numFmtId="0" fontId="19" fillId="9" borderId="0" xfId="23" applyFont="1" applyFill="1">
      <alignment/>
      <protection/>
    </xf>
    <xf numFmtId="0" fontId="19" fillId="9" borderId="0" xfId="23" applyFont="1" applyFill="1" applyAlignment="1">
      <alignment horizontal="center"/>
      <protection/>
    </xf>
    <xf numFmtId="0" fontId="19" fillId="8" borderId="0" xfId="23" applyFont="1" applyFill="1" applyAlignment="1">
      <alignment horizontal="center"/>
      <protection/>
    </xf>
    <xf numFmtId="0" fontId="19" fillId="10" borderId="0" xfId="23" applyFont="1" applyFill="1" applyAlignment="1">
      <alignment horizontal="center"/>
      <protection/>
    </xf>
    <xf numFmtId="0" fontId="19" fillId="8" borderId="0" xfId="23" applyFont="1" applyFill="1">
      <alignment/>
      <protection/>
    </xf>
    <xf numFmtId="0" fontId="20" fillId="8" borderId="0" xfId="23" applyFont="1" applyFill="1" applyAlignment="1">
      <alignment horizontal="right"/>
      <protection/>
    </xf>
    <xf numFmtId="38" fontId="1" fillId="9" borderId="0" xfId="23" applyNumberFormat="1" applyFont="1" applyFill="1">
      <alignment/>
      <protection/>
    </xf>
    <xf numFmtId="38" fontId="1" fillId="8" borderId="0" xfId="23" applyNumberFormat="1" applyFont="1" applyFill="1">
      <alignment/>
      <protection/>
    </xf>
    <xf numFmtId="38" fontId="1" fillId="10" borderId="0" xfId="23" applyNumberFormat="1" applyFont="1" applyFill="1">
      <alignment/>
      <protection/>
    </xf>
    <xf numFmtId="10" fontId="1" fillId="8" borderId="0" xfId="15" applyNumberFormat="1" applyFont="1" applyFill="1"/>
    <xf numFmtId="10" fontId="17" fillId="8" borderId="0" xfId="23" applyNumberFormat="1" applyFont="1" applyFill="1">
      <alignment/>
      <protection/>
    </xf>
    <xf numFmtId="38" fontId="1" fillId="9" borderId="1" xfId="23" applyNumberFormat="1" applyFont="1" applyFill="1" applyBorder="1">
      <alignment/>
      <protection/>
    </xf>
    <xf numFmtId="38" fontId="1" fillId="8" borderId="1" xfId="23" applyNumberFormat="1" applyFont="1" applyFill="1" applyBorder="1">
      <alignment/>
      <protection/>
    </xf>
    <xf numFmtId="0" fontId="17" fillId="9" borderId="0" xfId="23" applyFont="1" applyFill="1">
      <alignment/>
      <protection/>
    </xf>
    <xf numFmtId="38" fontId="17" fillId="9" borderId="0" xfId="23" applyNumberFormat="1" applyFont="1" applyFill="1">
      <alignment/>
      <protection/>
    </xf>
    <xf numFmtId="3" fontId="17" fillId="8" borderId="0" xfId="23" applyNumberFormat="1" applyFont="1" applyFill="1">
      <alignment/>
      <protection/>
    </xf>
    <xf numFmtId="3" fontId="17" fillId="10" borderId="0" xfId="23" applyNumberFormat="1" applyFont="1" applyFill="1">
      <alignment/>
      <protection/>
    </xf>
    <xf numFmtId="0" fontId="17" fillId="8" borderId="0" xfId="23" applyFont="1" applyFill="1">
      <alignment/>
      <protection/>
    </xf>
    <xf numFmtId="38" fontId="17" fillId="8" borderId="0" xfId="23" applyNumberFormat="1" applyFont="1" applyFill="1">
      <alignment/>
      <protection/>
    </xf>
    <xf numFmtId="10" fontId="17" fillId="8" borderId="0" xfId="15" applyNumberFormat="1" applyFont="1" applyFill="1"/>
    <xf numFmtId="37" fontId="1" fillId="8" borderId="0" xfId="23" applyNumberFormat="1" applyFill="1">
      <alignment/>
      <protection/>
    </xf>
    <xf numFmtId="37" fontId="27" fillId="8" borderId="0" xfId="23" applyNumberFormat="1" applyFont="1" applyFill="1">
      <alignment/>
      <protection/>
    </xf>
    <xf numFmtId="10" fontId="1" fillId="8" borderId="0" xfId="23" applyNumberFormat="1" applyFill="1">
      <alignment/>
      <protection/>
    </xf>
    <xf numFmtId="10" fontId="1" fillId="8" borderId="0" xfId="23" applyNumberFormat="1" applyFont="1" applyFill="1">
      <alignment/>
      <protection/>
    </xf>
    <xf numFmtId="0" fontId="19" fillId="8" borderId="0" xfId="23" applyFont="1" applyFill="1" applyAlignment="1">
      <alignment horizontal="right"/>
      <protection/>
    </xf>
    <xf numFmtId="3" fontId="1" fillId="8" borderId="0" xfId="23" applyNumberFormat="1" applyFill="1">
      <alignment/>
      <protection/>
    </xf>
    <xf numFmtId="10" fontId="0" fillId="8" borderId="0" xfId="0" applyNumberFormat="1" applyFill="1"/>
    <xf numFmtId="10" fontId="27" fillId="8" borderId="0" xfId="0" applyNumberFormat="1" applyFont="1" applyFill="1"/>
    <xf numFmtId="38" fontId="17" fillId="10" borderId="0" xfId="23" applyNumberFormat="1" applyFont="1" applyFill="1">
      <alignment/>
      <protection/>
    </xf>
    <xf numFmtId="38" fontId="17" fillId="0" borderId="0" xfId="23" applyNumberFormat="1" applyFont="1" applyFill="1">
      <alignment/>
      <protection/>
    </xf>
    <xf numFmtId="43" fontId="1" fillId="8" borderId="0" xfId="23" applyNumberFormat="1" applyFill="1">
      <alignment/>
      <protection/>
    </xf>
    <xf numFmtId="166" fontId="8" fillId="0" borderId="0" xfId="0" applyNumberFormat="1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8" borderId="0" xfId="23" applyFill="1" applyAlignment="1">
      <alignment horizontal="right"/>
      <protection/>
    </xf>
    <xf numFmtId="167" fontId="1" fillId="8" borderId="0" xfId="23" applyNumberFormat="1" applyFill="1">
      <alignment/>
      <protection/>
    </xf>
    <xf numFmtId="38" fontId="19" fillId="8" borderId="0" xfId="23" applyNumberFormat="1" applyFont="1" applyFill="1">
      <alignment/>
      <protection/>
    </xf>
    <xf numFmtId="38" fontId="31" fillId="8" borderId="0" xfId="23" applyNumberFormat="1" applyFont="1" applyFill="1">
      <alignment/>
      <protection/>
    </xf>
    <xf numFmtId="38" fontId="17" fillId="8" borderId="1" xfId="23" applyNumberFormat="1" applyFont="1" applyFill="1" applyBorder="1">
      <alignment/>
      <protection/>
    </xf>
    <xf numFmtId="10" fontId="32" fillId="8" borderId="0" xfId="23" applyNumberFormat="1" applyFont="1" applyFill="1">
      <alignment/>
      <protection/>
    </xf>
    <xf numFmtId="168" fontId="0" fillId="0" borderId="0" xfId="0" applyNumberFormat="1"/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39" fontId="35" fillId="11" borderId="0" xfId="24" applyNumberFormat="1" applyFont="1" applyFill="1" applyProtection="1">
      <alignment/>
      <protection/>
    </xf>
    <xf numFmtId="39" fontId="1" fillId="11" borderId="0" xfId="23" applyNumberFormat="1" applyFont="1" applyFill="1">
      <alignment/>
      <protection/>
    </xf>
    <xf numFmtId="39" fontId="0" fillId="11" borderId="0" xfId="0" applyNumberFormat="1" applyFill="1"/>
    <xf numFmtId="37" fontId="0" fillId="11" borderId="0" xfId="0" applyNumberFormat="1" applyFill="1"/>
    <xf numFmtId="0" fontId="0" fillId="0" borderId="0" xfId="0" applyAlignment="1">
      <alignment horizontal="center" vertical="center"/>
    </xf>
    <xf numFmtId="39" fontId="35" fillId="0" borderId="0" xfId="24" applyNumberFormat="1" applyFont="1" applyProtection="1">
      <alignment/>
      <protection/>
    </xf>
    <xf numFmtId="39" fontId="1" fillId="0" borderId="0" xfId="23" applyNumberFormat="1" applyFont="1" applyFill="1">
      <alignment/>
      <protection/>
    </xf>
    <xf numFmtId="39" fontId="0" fillId="0" borderId="0" xfId="0" applyNumberFormat="1"/>
    <xf numFmtId="37" fontId="0" fillId="0" borderId="0" xfId="0" applyNumberFormat="1"/>
    <xf numFmtId="39" fontId="30" fillId="11" borderId="0" xfId="0" applyNumberFormat="1" applyFont="1" applyFill="1"/>
    <xf numFmtId="39" fontId="35" fillId="11" borderId="0" xfId="0" applyNumberFormat="1" applyFont="1" applyFill="1"/>
    <xf numFmtId="39" fontId="30" fillId="11" borderId="0" xfId="0" applyNumberFormat="1" applyFont="1" applyFill="1" applyBorder="1"/>
    <xf numFmtId="39" fontId="35" fillId="11" borderId="0" xfId="0" applyNumberFormat="1" applyFont="1" applyFill="1" applyBorder="1"/>
    <xf numFmtId="39" fontId="35" fillId="0" borderId="0" xfId="0" applyNumberFormat="1" applyFont="1" applyBorder="1"/>
    <xf numFmtId="39" fontId="35" fillId="0" borderId="0" xfId="0" applyNumberFormat="1" applyFont="1"/>
    <xf numFmtId="39" fontId="0" fillId="0" borderId="0" xfId="0" applyNumberFormat="1" applyFill="1"/>
    <xf numFmtId="0" fontId="0" fillId="0" borderId="0" xfId="0" applyFill="1" applyAlignment="1">
      <alignment horizontal="center" vertical="center"/>
    </xf>
    <xf numFmtId="39" fontId="35" fillId="0" borderId="0" xfId="24" applyNumberFormat="1" applyFont="1" applyFill="1" applyProtection="1">
      <alignment/>
      <protection/>
    </xf>
    <xf numFmtId="39" fontId="35" fillId="0" borderId="0" xfId="0" applyNumberFormat="1" applyFont="1" applyFill="1"/>
    <xf numFmtId="43" fontId="0" fillId="11" borderId="0" xfId="18" applyFont="1" applyFill="1"/>
    <xf numFmtId="43" fontId="0" fillId="0" borderId="0" xfId="18" applyFont="1"/>
    <xf numFmtId="39" fontId="35" fillId="5" borderId="0" xfId="0" applyNumberFormat="1" applyFont="1" applyFill="1"/>
    <xf numFmtId="14" fontId="0" fillId="0" borderId="0" xfId="0" applyNumberFormat="1"/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6" fontId="0" fillId="5" borderId="0" xfId="0" applyNumberFormat="1" applyFill="1" applyBorder="1"/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0" xfId="0" applyFill="1"/>
    <xf numFmtId="168" fontId="0" fillId="0" borderId="0" xfId="0" applyNumberFormat="1" applyBorder="1"/>
    <xf numFmtId="168" fontId="0" fillId="5" borderId="0" xfId="0" applyNumberFormat="1" applyFill="1"/>
    <xf numFmtId="6" fontId="0" fillId="12" borderId="0" xfId="0" applyNumberFormat="1" applyFill="1" applyBorder="1"/>
    <xf numFmtId="6" fontId="0" fillId="0" borderId="0" xfId="0" applyNumberFormat="1" applyFill="1" applyBorder="1"/>
    <xf numFmtId="38" fontId="0" fillId="0" borderId="0" xfId="0" applyNumberFormat="1"/>
    <xf numFmtId="0" fontId="0" fillId="0" borderId="13" xfId="0" applyBorder="1" applyAlignment="1">
      <alignment horizontal="center"/>
    </xf>
    <xf numFmtId="168" fontId="0" fillId="12" borderId="0" xfId="0" applyNumberFormat="1" applyFill="1"/>
    <xf numFmtId="38" fontId="1" fillId="0" borderId="0" xfId="23" applyNumberFormat="1" applyFont="1" applyFill="1">
      <alignment/>
      <protection/>
    </xf>
    <xf numFmtId="38" fontId="1" fillId="0" borderId="14" xfId="23" applyNumberFormat="1" applyFont="1" applyFill="1" applyBorder="1">
      <alignment/>
      <protection/>
    </xf>
    <xf numFmtId="0" fontId="0" fillId="0" borderId="15" xfId="0" applyBorder="1"/>
    <xf numFmtId="38" fontId="1" fillId="0" borderId="16" xfId="23" applyNumberFormat="1" applyFont="1" applyFill="1" applyBorder="1">
      <alignment/>
      <protection/>
    </xf>
    <xf numFmtId="168" fontId="0" fillId="0" borderId="0" xfId="0" applyNumberFormat="1" applyFill="1"/>
    <xf numFmtId="0" fontId="39" fillId="0" borderId="0" xfId="0" applyFont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5" borderId="0" xfId="0" applyFill="1" applyBorder="1"/>
    <xf numFmtId="0" fontId="33" fillId="0" borderId="0" xfId="0" applyFont="1"/>
    <xf numFmtId="0" fontId="41" fillId="0" borderId="0" xfId="0" applyFont="1"/>
    <xf numFmtId="0" fontId="0" fillId="12" borderId="0" xfId="0" applyFill="1" applyBorder="1"/>
    <xf numFmtId="8" fontId="0" fillId="5" borderId="0" xfId="0" applyNumberFormat="1" applyFill="1" applyBorder="1"/>
    <xf numFmtId="6" fontId="5" fillId="5" borderId="0" xfId="0" applyNumberFormat="1" applyFont="1" applyFill="1" applyBorder="1"/>
    <xf numFmtId="0" fontId="0" fillId="12" borderId="0" xfId="0" applyFill="1"/>
    <xf numFmtId="6" fontId="0" fillId="12" borderId="0" xfId="0" applyNumberFormat="1" applyFill="1"/>
    <xf numFmtId="6" fontId="5" fillId="12" borderId="0" xfId="0" applyNumberFormat="1" applyFont="1" applyFill="1"/>
    <xf numFmtId="38" fontId="1" fillId="0" borderId="15" xfId="23" applyNumberFormat="1" applyFont="1" applyFill="1" applyBorder="1">
      <alignment/>
      <protection/>
    </xf>
    <xf numFmtId="0" fontId="2" fillId="2" borderId="15" xfId="20" applyBorder="1"/>
    <xf numFmtId="6" fontId="0" fillId="0" borderId="15" xfId="0" applyNumberFormat="1" applyBorder="1"/>
    <xf numFmtId="0" fontId="0" fillId="0" borderId="15" xfId="0" applyBorder="1" applyAlignment="1">
      <alignment horizontal="center"/>
    </xf>
    <xf numFmtId="6" fontId="0" fillId="0" borderId="10" xfId="0" applyNumberFormat="1" applyBorder="1"/>
    <xf numFmtId="6" fontId="0" fillId="5" borderId="15" xfId="0" applyNumberFormat="1" applyFill="1" applyBorder="1"/>
    <xf numFmtId="6" fontId="0" fillId="12" borderId="15" xfId="0" applyNumberFormat="1" applyFill="1" applyBorder="1"/>
    <xf numFmtId="164" fontId="8" fillId="0" borderId="15" xfId="0" applyNumberFormat="1" applyFont="1" applyBorder="1"/>
    <xf numFmtId="6" fontId="0" fillId="5" borderId="0" xfId="0" applyNumberFormat="1" applyFont="1" applyFill="1" applyBorder="1"/>
    <xf numFmtId="0" fontId="0" fillId="0" borderId="0" xfId="0" applyAlignment="1">
      <alignment horizontal="right"/>
    </xf>
    <xf numFmtId="0" fontId="0" fillId="13" borderId="0" xfId="0" applyFill="1"/>
    <xf numFmtId="6" fontId="0" fillId="13" borderId="0" xfId="0" applyNumberFormat="1" applyFill="1"/>
    <xf numFmtId="9" fontId="0" fillId="0" borderId="0" xfId="0" applyNumberFormat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0" fillId="0" borderId="0" xfId="0" quotePrefix="1"/>
    <xf numFmtId="10" fontId="0" fillId="0" borderId="0" xfId="0" applyNumberFormat="1"/>
    <xf numFmtId="6" fontId="0" fillId="12" borderId="0" xfId="0" applyNumberFormat="1" applyFont="1" applyFill="1"/>
    <xf numFmtId="0" fontId="5" fillId="0" borderId="0" xfId="0" applyFont="1"/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0" fillId="0" borderId="0" xfId="0"/>
    <xf numFmtId="38" fontId="1" fillId="0" borderId="0" xfId="23" applyNumberFormat="1" applyFont="1" applyFill="1" applyBorder="1">
      <alignment/>
      <protection/>
    </xf>
    <xf numFmtId="6" fontId="0" fillId="0" borderId="0" xfId="0" applyNumberFormat="1"/>
    <xf numFmtId="168" fontId="0" fillId="0" borderId="0" xfId="0" applyNumberFormat="1"/>
    <xf numFmtId="9" fontId="0" fillId="0" borderId="0" xfId="0" applyNumberForma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6" fillId="0" borderId="0" xfId="0" applyFont="1"/>
    <xf numFmtId="0" fontId="47" fillId="0" borderId="0" xfId="0" applyFont="1" applyAlignment="1">
      <alignment horizontal="left"/>
    </xf>
    <xf numFmtId="0" fontId="47" fillId="0" borderId="0" xfId="0" applyFont="1"/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 vertical="top" wrapText="1"/>
    </xf>
    <xf numFmtId="0" fontId="48" fillId="0" borderId="0" xfId="0" applyFont="1"/>
    <xf numFmtId="0" fontId="47" fillId="0" borderId="0" xfId="0" applyFont="1" applyAlignment="1">
      <alignment vertical="top"/>
    </xf>
    <xf numFmtId="0" fontId="50" fillId="0" borderId="0" xfId="0" applyFont="1" applyAlignment="1">
      <alignment horizontal="left" vertical="top" wrapText="1"/>
    </xf>
    <xf numFmtId="0" fontId="47" fillId="0" borderId="0" xfId="0" applyFont="1" applyAlignment="1">
      <alignment vertical="top" wrapText="1"/>
    </xf>
    <xf numFmtId="0" fontId="48" fillId="0" borderId="0" xfId="0" applyFont="1" applyAlignment="1">
      <alignment vertical="top" wrapText="1"/>
    </xf>
    <xf numFmtId="0" fontId="47" fillId="0" borderId="0" xfId="0" applyFont="1" applyAlignment="1">
      <alignment horizontal="left" vertical="top" wrapText="1"/>
    </xf>
    <xf numFmtId="0" fontId="47" fillId="0" borderId="0" xfId="0" applyFont="1" applyAlignment="1">
      <alignment wrapText="1"/>
    </xf>
    <xf numFmtId="0" fontId="47" fillId="0" borderId="0" xfId="0" applyFont="1" applyAlignment="1">
      <alignment horizontal="left" wrapText="1"/>
    </xf>
    <xf numFmtId="6" fontId="47" fillId="0" borderId="0" xfId="0" applyNumberFormat="1" applyFont="1" applyAlignment="1">
      <alignment horizontal="center"/>
    </xf>
    <xf numFmtId="6" fontId="46" fillId="0" borderId="0" xfId="0" applyNumberFormat="1" applyFont="1" applyAlignment="1">
      <alignment horizontal="center"/>
    </xf>
    <xf numFmtId="6" fontId="48" fillId="0" borderId="0" xfId="0" applyNumberFormat="1" applyFont="1" applyAlignment="1">
      <alignment horizontal="center" vertical="top"/>
    </xf>
    <xf numFmtId="6" fontId="47" fillId="0" borderId="0" xfId="0" applyNumberFormat="1" applyFont="1" applyAlignment="1">
      <alignment horizontal="center" vertical="top"/>
    </xf>
    <xf numFmtId="0" fontId="51" fillId="0" borderId="0" xfId="0" applyFont="1" applyAlignment="1">
      <alignment horizontal="center"/>
    </xf>
    <xf numFmtId="0" fontId="47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14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33" fillId="0" borderId="0" xfId="0" applyFont="1" applyAlignment="1">
      <alignment horizontal="center" vertical="top"/>
    </xf>
    <xf numFmtId="0" fontId="33" fillId="0" borderId="1" xfId="0" applyFont="1" applyBorder="1" applyAlignment="1">
      <alignment horizontal="center" vertical="top"/>
    </xf>
    <xf numFmtId="0" fontId="0" fillId="0" borderId="0" xfId="0" applyAlignment="1">
      <alignment/>
    </xf>
    <xf numFmtId="0" fontId="1" fillId="0" borderId="0" xfId="23" applyAlignment="1">
      <alignment/>
      <protection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7" fillId="0" borderId="0" xfId="23" applyFont="1" applyAlignment="1">
      <alignment/>
      <protection/>
    </xf>
  </cellXfs>
  <cellStyles count="1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Good" xfId="20"/>
    <cellStyle name="Bad" xfId="21"/>
    <cellStyle name="Neutral" xfId="22"/>
    <cellStyle name="Normal 3" xfId="23"/>
    <cellStyle name="Normal 2" xfId="2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22" Type="http://schemas.openxmlformats.org/officeDocument/2006/relationships/customXml" Target="../customXml/item3.xml" /><Relationship Id="rId23" Type="http://schemas.openxmlformats.org/officeDocument/2006/relationships/externalLink" Target="externalLinks/externalLink1.xml" /><Relationship Id="rId5" Type="http://schemas.openxmlformats.org/officeDocument/2006/relationships/worksheet" Target="worksheets/sheet5.xml" /><Relationship Id="rId7" Type="http://schemas.openxmlformats.org/officeDocument/2006/relationships/worksheet" Target="worksheets/sheet7.xml" /><Relationship Id="rId9" Type="http://schemas.openxmlformats.org/officeDocument/2006/relationships/worksheet" Target="worksheets/sheet9.xml" /><Relationship Id="rId2" Type="http://schemas.openxmlformats.org/officeDocument/2006/relationships/worksheet" Target="worksheets/sheet2.xml" /><Relationship Id="rId18" Type="http://schemas.openxmlformats.org/officeDocument/2006/relationships/sharedStrings" Target="sharedStrings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styles" Target="styles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" Type="http://schemas.openxmlformats.org/officeDocument/2006/relationships/worksheet" Target="worksheets/sheet1.xml" /><Relationship Id="rId4" Type="http://schemas.openxmlformats.org/officeDocument/2006/relationships/worksheet" Target="worksheets/sheet4.xml" /><Relationship Id="rId6" Type="http://schemas.openxmlformats.org/officeDocument/2006/relationships/worksheet" Target="worksheets/sheet6.xml" /><Relationship Id="rId8" Type="http://schemas.openxmlformats.org/officeDocument/2006/relationships/worksheet" Target="worksheets/sheet8.xml" /><Relationship Id="rId19" Type="http://schemas.openxmlformats.org/officeDocument/2006/relationships/theme" Target="theme/theme1.xml" /><Relationship Id="rId13" Type="http://schemas.openxmlformats.org/officeDocument/2006/relationships/worksheet" Target="worksheets/sheet13.xml" /><Relationship Id="rId21" Type="http://schemas.openxmlformats.org/officeDocument/2006/relationships/customXml" Target="../customXml/item2.xml" /><Relationship Id="rId24" Type="http://schemas.openxmlformats.org/officeDocument/2006/relationships/externalLink" Target="externalLinks/externalLink2.xml" /><Relationship Id="rId20" Type="http://schemas.openxmlformats.org/officeDocument/2006/relationships/customXml" Target="../customXml/item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Gross 6m'!$C$64</c:f>
              <c:strCache>
                <c:ptCount val="1"/>
                <c:pt idx="0">
                  <c:v>Total Monthly Reserve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 Gross 6m'!$D$63:$AA$63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'CO Gross 6m'!$D$64:$AA$64</c:f>
              <c:numCache>
                <c:formatCode>General</c:formatCode>
                <c:ptCount val="24"/>
                <c:pt idx="2">
                  <c:v>963039.928919196</c:v>
                </c:pt>
                <c:pt idx="3">
                  <c:v>2224178.89183404</c:v>
                </c:pt>
                <c:pt idx="4">
                  <c:v>3199398.84165067</c:v>
                </c:pt>
                <c:pt idx="5">
                  <c:v>4043179.36667696</c:v>
                </c:pt>
                <c:pt idx="6">
                  <c:v>4802182.15637303</c:v>
                </c:pt>
                <c:pt idx="7">
                  <c:v>5629580.71665913</c:v>
                </c:pt>
                <c:pt idx="8">
                  <c:v>6723048.83147474</c:v>
                </c:pt>
                <c:pt idx="9">
                  <c:v>6917648.49339737</c:v>
                </c:pt>
                <c:pt idx="10">
                  <c:v>6761210.69416839</c:v>
                </c:pt>
                <c:pt idx="11">
                  <c:v>6777033.29257165</c:v>
                </c:pt>
                <c:pt idx="12">
                  <c:v>6541447.89536593</c:v>
                </c:pt>
                <c:pt idx="13">
                  <c:v>6188936.43611098</c:v>
                </c:pt>
                <c:pt idx="14">
                  <c:v>5361537.87582487</c:v>
                </c:pt>
                <c:pt idx="15">
                  <c:v>4268069.76100927</c:v>
                </c:pt>
                <c:pt idx="16">
                  <c:v>3110430.17016744</c:v>
                </c:pt>
                <c:pt idx="17">
                  <c:v>2005729.00648158</c:v>
                </c:pt>
                <c:pt idx="18">
                  <c:v>1014686.45826169</c:v>
                </c:pt>
                <c:pt idx="19">
                  <c:v>406491.330441112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12-4854-B9E2-79DDC3D25D4C}"/>
            </c:ext>
          </c:extLst>
        </c:ser>
        <c:marker val="1"/>
        <c:axId val="43763521"/>
        <c:axId val="34910077"/>
      </c:lineChart>
      <c:catAx>
        <c:axId val="4376352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34910077"/>
        <c:crosses val="autoZero"/>
        <c:auto val="1"/>
        <c:lblOffset val="100"/>
        <c:noMultiLvlLbl val="0"/>
      </c:catAx>
      <c:valAx>
        <c:axId val="34910077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4376352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Gross impact expected'!$C$63</c:f>
              <c:strCache>
                <c:ptCount val="1"/>
                <c:pt idx="0">
                  <c:v>Total Monthly Reserve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'CO Gross impact expected'!$D$61:$AA$62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'CO Gross impact expected'!$D$63:$AA$63</c:f>
              <c:numCache>
                <c:formatCode>General</c:formatCode>
                <c:ptCount val="24"/>
                <c:pt idx="2">
                  <c:v>963039.928919196</c:v>
                </c:pt>
                <c:pt idx="3">
                  <c:v>2224178.89183404</c:v>
                </c:pt>
                <c:pt idx="4">
                  <c:v>3199398.84165067</c:v>
                </c:pt>
                <c:pt idx="5">
                  <c:v>4043179.36667696</c:v>
                </c:pt>
                <c:pt idx="6">
                  <c:v>4802182.15637303</c:v>
                </c:pt>
                <c:pt idx="7">
                  <c:v>5629580.71665913</c:v>
                </c:pt>
                <c:pt idx="8">
                  <c:v>6723048.83147474</c:v>
                </c:pt>
                <c:pt idx="9">
                  <c:v>6917648.49339737</c:v>
                </c:pt>
                <c:pt idx="10">
                  <c:v>6761210.69416839</c:v>
                </c:pt>
                <c:pt idx="11">
                  <c:v>6777033.29257165</c:v>
                </c:pt>
                <c:pt idx="12">
                  <c:v>6541447.89536593</c:v>
                </c:pt>
                <c:pt idx="13">
                  <c:v>6188936.43611098</c:v>
                </c:pt>
                <c:pt idx="14">
                  <c:v>5361537.87582487</c:v>
                </c:pt>
                <c:pt idx="15">
                  <c:v>4268069.76100927</c:v>
                </c:pt>
                <c:pt idx="16">
                  <c:v>3110430.17016744</c:v>
                </c:pt>
                <c:pt idx="17">
                  <c:v>2005729.00648158</c:v>
                </c:pt>
                <c:pt idx="18">
                  <c:v>1014686.45826169</c:v>
                </c:pt>
                <c:pt idx="19">
                  <c:v>406491.330441112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8-460E-AAF9-07BAAB0B540B}"/>
            </c:ext>
          </c:extLst>
        </c:ser>
        <c:marker val="1"/>
        <c:axId val="14502061"/>
        <c:axId val="8805986"/>
      </c:lineChart>
      <c:catAx>
        <c:axId val="1450206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8805986"/>
        <c:crosses val="autoZero"/>
        <c:auto val="1"/>
        <c:lblOffset val="100"/>
        <c:noMultiLvlLbl val="0"/>
      </c:catAx>
      <c:valAx>
        <c:axId val="8805986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1450206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Gross impact best'!$C$65</c:f>
              <c:strCache>
                <c:ptCount val="1"/>
                <c:pt idx="0">
                  <c:v>Total Monthly Reserve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 Gross impact best'!$D$64:$AA$64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'CO Gross impact best'!$D$65:$AA$65</c:f>
              <c:numCache>
                <c:formatCode>General</c:formatCode>
                <c:ptCount val="24"/>
                <c:pt idx="2">
                  <c:v>963039.928919196</c:v>
                </c:pt>
                <c:pt idx="3">
                  <c:v>2224178.89183404</c:v>
                </c:pt>
                <c:pt idx="4">
                  <c:v>3199398.84165067</c:v>
                </c:pt>
                <c:pt idx="5">
                  <c:v>4043179.36667696</c:v>
                </c:pt>
                <c:pt idx="6">
                  <c:v>4802182.15637303</c:v>
                </c:pt>
                <c:pt idx="7">
                  <c:v>5629580.71665913</c:v>
                </c:pt>
                <c:pt idx="8">
                  <c:v>6723048.83147474</c:v>
                </c:pt>
                <c:pt idx="9">
                  <c:v>6917648.49339737</c:v>
                </c:pt>
                <c:pt idx="10">
                  <c:v>6761210.69416839</c:v>
                </c:pt>
                <c:pt idx="11">
                  <c:v>6777033.29257165</c:v>
                </c:pt>
                <c:pt idx="12">
                  <c:v>6541447.89536593</c:v>
                </c:pt>
                <c:pt idx="13">
                  <c:v>6188936.43611098</c:v>
                </c:pt>
                <c:pt idx="14">
                  <c:v>5361537.87582487</c:v>
                </c:pt>
                <c:pt idx="15">
                  <c:v>4268069.76100927</c:v>
                </c:pt>
                <c:pt idx="16">
                  <c:v>3110430.17016744</c:v>
                </c:pt>
                <c:pt idx="17">
                  <c:v>2005729.00648158</c:v>
                </c:pt>
                <c:pt idx="18">
                  <c:v>1014686.45826169</c:v>
                </c:pt>
                <c:pt idx="19">
                  <c:v>406491.330441112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48-4871-A0FE-03EDE19E96E3}"/>
            </c:ext>
          </c:extLst>
        </c:ser>
        <c:marker val="1"/>
        <c:axId val="22162087"/>
        <c:axId val="60260236"/>
      </c:lineChart>
      <c:catAx>
        <c:axId val="22162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60260236"/>
        <c:crosses val="autoZero"/>
        <c:auto val="1"/>
        <c:lblOffset val="100"/>
        <c:noMultiLvlLbl val="0"/>
      </c:catAx>
      <c:valAx>
        <c:axId val="60260236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22162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Gross impact best'!$C$65</c:f>
              <c:strCache>
                <c:ptCount val="1"/>
                <c:pt idx="0">
                  <c:v>Total Monthly Reserve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'CO Gross impact best'!$D$63:$AA$64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'CO Gross impact best'!$D$65:$AA$65</c:f>
              <c:numCache>
                <c:formatCode>General</c:formatCode>
                <c:ptCount val="24"/>
                <c:pt idx="2">
                  <c:v>963039.928919196</c:v>
                </c:pt>
                <c:pt idx="3">
                  <c:v>2224178.89183404</c:v>
                </c:pt>
                <c:pt idx="4">
                  <c:v>3199398.84165067</c:v>
                </c:pt>
                <c:pt idx="5">
                  <c:v>4043179.36667696</c:v>
                </c:pt>
                <c:pt idx="6">
                  <c:v>4802182.15637303</c:v>
                </c:pt>
                <c:pt idx="7">
                  <c:v>5629580.71665913</c:v>
                </c:pt>
                <c:pt idx="8">
                  <c:v>6723048.83147474</c:v>
                </c:pt>
                <c:pt idx="9">
                  <c:v>6917648.49339737</c:v>
                </c:pt>
                <c:pt idx="10">
                  <c:v>6761210.69416839</c:v>
                </c:pt>
                <c:pt idx="11">
                  <c:v>6777033.29257165</c:v>
                </c:pt>
                <c:pt idx="12">
                  <c:v>6541447.89536593</c:v>
                </c:pt>
                <c:pt idx="13">
                  <c:v>6188936.43611098</c:v>
                </c:pt>
                <c:pt idx="14">
                  <c:v>5361537.87582487</c:v>
                </c:pt>
                <c:pt idx="15">
                  <c:v>4268069.76100927</c:v>
                </c:pt>
                <c:pt idx="16">
                  <c:v>3110430.17016744</c:v>
                </c:pt>
                <c:pt idx="17">
                  <c:v>2005729.00648158</c:v>
                </c:pt>
                <c:pt idx="18">
                  <c:v>1014686.45826169</c:v>
                </c:pt>
                <c:pt idx="19">
                  <c:v>406491.330441112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5-4B5B-A1DB-12D61226EEAC}"/>
            </c:ext>
          </c:extLst>
        </c:ser>
        <c:marker val="1"/>
        <c:axId val="42430754"/>
        <c:axId val="58037625"/>
      </c:lineChart>
      <c:catAx>
        <c:axId val="4243075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58037625"/>
        <c:crosses val="autoZero"/>
        <c:auto val="1"/>
        <c:lblOffset val="100"/>
        <c:noMultiLvlLbl val="0"/>
      </c:catAx>
      <c:valAx>
        <c:axId val="58037625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4243075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lt"/>
                <a:cs typeface="+mn-lt"/>
              </a:rPr>
              <a:t>Charge-Offs by Month (2016-2019)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'4yr Chargeoff History'!$S$76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History'!$T$75:$AE$75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History'!$T$76:$AE$76</c:f>
              <c:numCache>
                <c:formatCode>0.0%</c:formatCode>
                <c:ptCount val="12"/>
                <c:pt idx="0">
                  <c:v>0.117248012880376</c:v>
                </c:pt>
                <c:pt idx="1">
                  <c:v>0.0832206910940256</c:v>
                </c:pt>
                <c:pt idx="2">
                  <c:v>0.0673787235916407</c:v>
                </c:pt>
                <c:pt idx="3">
                  <c:v>0.0763795963079983</c:v>
                </c:pt>
                <c:pt idx="4">
                  <c:v>0.0781624602232017</c:v>
                </c:pt>
                <c:pt idx="5">
                  <c:v>0.0649274988458022</c:v>
                </c:pt>
                <c:pt idx="6">
                  <c:v>0.0611372281783563</c:v>
                </c:pt>
                <c:pt idx="7">
                  <c:v>0.0599220797990713</c:v>
                </c:pt>
                <c:pt idx="8">
                  <c:v>0.0577194139611915</c:v>
                </c:pt>
                <c:pt idx="9">
                  <c:v>0.0985269773473633</c:v>
                </c:pt>
                <c:pt idx="10">
                  <c:v>0.117643249010808</c:v>
                </c:pt>
                <c:pt idx="11">
                  <c:v>0.117734068760166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E-40ED-91BD-FFF393A46D94}"/>
            </c:ext>
          </c:extLst>
        </c:ser>
        <c:ser>
          <c:idx val="1"/>
          <c:order val="1"/>
          <c:tx>
            <c:strRef>
              <c:f>'4yr Chargeoff History'!$S$77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History'!$T$75:$AE$75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History'!$T$77:$AE$77</c:f>
              <c:numCache>
                <c:formatCode>0.0%</c:formatCode>
                <c:ptCount val="12"/>
                <c:pt idx="0">
                  <c:v>0.128180752553631</c:v>
                </c:pt>
                <c:pt idx="1">
                  <c:v>0.0924999943976794</c:v>
                </c:pt>
                <c:pt idx="2">
                  <c:v>0.0735542078920582</c:v>
                </c:pt>
                <c:pt idx="3">
                  <c:v>0.0905662032139154</c:v>
                </c:pt>
                <c:pt idx="4">
                  <c:v>0.0675856347066685</c:v>
                </c:pt>
                <c:pt idx="5">
                  <c:v>0.0558276739467402</c:v>
                </c:pt>
                <c:pt idx="6">
                  <c:v>0.0513795654116962</c:v>
                </c:pt>
                <c:pt idx="7">
                  <c:v>0.0497240554580795</c:v>
                </c:pt>
                <c:pt idx="8">
                  <c:v>0.0726732860168175</c:v>
                </c:pt>
                <c:pt idx="9">
                  <c:v>0.0910289311854048</c:v>
                </c:pt>
                <c:pt idx="10">
                  <c:v>0.105334775803923</c:v>
                </c:pt>
                <c:pt idx="11">
                  <c:v>0.121644919413386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E-40ED-91BD-FFF393A46D94}"/>
            </c:ext>
          </c:extLst>
        </c:ser>
        <c:ser>
          <c:idx val="2"/>
          <c:order val="2"/>
          <c:tx>
            <c:strRef>
              <c:f>'4yr Chargeoff History'!$S$78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History'!$T$75:$AE$75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History'!$T$78:$AE$78</c:f>
              <c:numCache>
                <c:formatCode>0.0%</c:formatCode>
                <c:ptCount val="12"/>
                <c:pt idx="0">
                  <c:v>0.0836475698240885</c:v>
                </c:pt>
                <c:pt idx="1">
                  <c:v>0.077407803815677</c:v>
                </c:pt>
                <c:pt idx="2">
                  <c:v>0.0462971461766366</c:v>
                </c:pt>
                <c:pt idx="3">
                  <c:v>0.101397456790763</c:v>
                </c:pt>
                <c:pt idx="4">
                  <c:v>0.137219493841425</c:v>
                </c:pt>
                <c:pt idx="5">
                  <c:v>0.0872844289341045</c:v>
                </c:pt>
                <c:pt idx="6">
                  <c:v>0.059780002240585</c:v>
                </c:pt>
                <c:pt idx="7">
                  <c:v>0.0578084600626834</c:v>
                </c:pt>
                <c:pt idx="8">
                  <c:v>0.0714696161037047</c:v>
                </c:pt>
                <c:pt idx="9">
                  <c:v>0.0846801206019227</c:v>
                </c:pt>
                <c:pt idx="10">
                  <c:v>0.0910130802480641</c:v>
                </c:pt>
                <c:pt idx="11">
                  <c:v>0.101994821360346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E-40ED-91BD-FFF393A46D94}"/>
            </c:ext>
          </c:extLst>
        </c:ser>
        <c:ser>
          <c:idx val="3"/>
          <c:order val="3"/>
          <c:tx>
            <c:strRef>
              <c:f>'4yr Chargeoff History'!$S$79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History'!$T$75:$AE$75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History'!$T$79:$AE$79</c:f>
              <c:numCache>
                <c:formatCode>0.0%</c:formatCode>
                <c:ptCount val="12"/>
                <c:pt idx="0">
                  <c:v>0.0553976268360664</c:v>
                </c:pt>
                <c:pt idx="1">
                  <c:v>0.118103517798045</c:v>
                </c:pt>
                <c:pt idx="2">
                  <c:v>0.0933563295498835</c:v>
                </c:pt>
                <c:pt idx="3">
                  <c:v>0.0882581592478567</c:v>
                </c:pt>
                <c:pt idx="4">
                  <c:v>0.0971223458683102</c:v>
                </c:pt>
                <c:pt idx="5">
                  <c:v>0.0805651688500442</c:v>
                </c:pt>
                <c:pt idx="6">
                  <c:v>0.0663532586853101</c:v>
                </c:pt>
                <c:pt idx="7">
                  <c:v>0.0494339532495533</c:v>
                </c:pt>
                <c:pt idx="8">
                  <c:v>0.0722516733451052</c:v>
                </c:pt>
                <c:pt idx="9">
                  <c:v>0.0620082091309745</c:v>
                </c:pt>
                <c:pt idx="10">
                  <c:v>0.10440829882222</c:v>
                </c:pt>
                <c:pt idx="11">
                  <c:v>0.112741458616631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0E-40ED-91BD-FFF393A46D94}"/>
            </c:ext>
          </c:extLst>
        </c:ser>
        <c:marker val="1"/>
        <c:axId val="36193440"/>
        <c:axId val="53532839"/>
      </c:lineChart>
      <c:catAx>
        <c:axId val="361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53532839"/>
        <c:crosses val="autoZero"/>
        <c:auto val="1"/>
        <c:lblOffset val="100"/>
        <c:noMultiLvlLbl val="0"/>
      </c:catAx>
      <c:valAx>
        <c:axId val="53532839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3619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legend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2016 - 2017 Charge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-Offs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'4yr Chargeoff History'!$S$76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History'!$T$75:$AE$75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History'!$T$76:$AE$76</c:f>
              <c:numCache>
                <c:formatCode>0.0%</c:formatCode>
                <c:ptCount val="12"/>
                <c:pt idx="0">
                  <c:v>0.117248012880376</c:v>
                </c:pt>
                <c:pt idx="1">
                  <c:v>0.0832206910940256</c:v>
                </c:pt>
                <c:pt idx="2">
                  <c:v>0.0673787235916407</c:v>
                </c:pt>
                <c:pt idx="3">
                  <c:v>0.0763795963079983</c:v>
                </c:pt>
                <c:pt idx="4">
                  <c:v>0.0781624602232017</c:v>
                </c:pt>
                <c:pt idx="5">
                  <c:v>0.0649274988458022</c:v>
                </c:pt>
                <c:pt idx="6">
                  <c:v>0.0611372281783563</c:v>
                </c:pt>
                <c:pt idx="7">
                  <c:v>0.0599220797990713</c:v>
                </c:pt>
                <c:pt idx="8">
                  <c:v>0.0577194139611915</c:v>
                </c:pt>
                <c:pt idx="9">
                  <c:v>0.0985269773473633</c:v>
                </c:pt>
                <c:pt idx="10">
                  <c:v>0.117643249010808</c:v>
                </c:pt>
                <c:pt idx="11">
                  <c:v>0.117734068760166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C-431F-A20A-A8101EC4855C}"/>
            </c:ext>
          </c:extLst>
        </c:ser>
        <c:ser>
          <c:idx val="1"/>
          <c:order val="1"/>
          <c:tx>
            <c:strRef>
              <c:f>'4yr Chargeoff History'!$S$77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History'!$T$75:$AE$75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History'!$T$77:$AE$77</c:f>
              <c:numCache>
                <c:formatCode>0.0%</c:formatCode>
                <c:ptCount val="12"/>
                <c:pt idx="0">
                  <c:v>0.128180752553631</c:v>
                </c:pt>
                <c:pt idx="1">
                  <c:v>0.0924999943976794</c:v>
                </c:pt>
                <c:pt idx="2">
                  <c:v>0.0735542078920582</c:v>
                </c:pt>
                <c:pt idx="3">
                  <c:v>0.0905662032139154</c:v>
                </c:pt>
                <c:pt idx="4">
                  <c:v>0.0675856347066685</c:v>
                </c:pt>
                <c:pt idx="5">
                  <c:v>0.0558276739467402</c:v>
                </c:pt>
                <c:pt idx="6">
                  <c:v>0.0513795654116962</c:v>
                </c:pt>
                <c:pt idx="7">
                  <c:v>0.0497240554580795</c:v>
                </c:pt>
                <c:pt idx="8">
                  <c:v>0.0726732860168175</c:v>
                </c:pt>
                <c:pt idx="9">
                  <c:v>0.0910289311854048</c:v>
                </c:pt>
                <c:pt idx="10">
                  <c:v>0.105334775803923</c:v>
                </c:pt>
                <c:pt idx="11">
                  <c:v>0.121644919413386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C-431F-A20A-A8101EC4855C}"/>
            </c:ext>
          </c:extLst>
        </c:ser>
        <c:marker val="1"/>
        <c:axId val="21753247"/>
        <c:axId val="46768536"/>
      </c:lineChart>
      <c:catAx>
        <c:axId val="21753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46768536"/>
        <c:crosses val="autoZero"/>
        <c:auto val="1"/>
        <c:lblOffset val="100"/>
        <c:noMultiLvlLbl val="0"/>
      </c:catAx>
      <c:valAx>
        <c:axId val="46768536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21753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legend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txPr>
    <a:bodyPr vert="horz" rot="0"/>
    <a:lstStyle/>
    <a:p>
      <a:pPr>
        <a:defRPr lang="en-US" u="none" baseline="0"/>
      </a:pPr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lt"/>
                <a:cs typeface="+mn-lt"/>
              </a:rPr>
              <a:t>Gross CO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'4yr Chargeoff History'!$S$33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History'!$T$32:$AE$32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History'!$T$33:$AE$33</c:f>
              <c:numCache>
                <c:formatCode>0.00%</c:formatCode>
                <c:ptCount val="12"/>
                <c:pt idx="0">
                  <c:v>0.00736681761270848</c:v>
                </c:pt>
                <c:pt idx="1">
                  <c:v>0.00592963752785068</c:v>
                </c:pt>
                <c:pt idx="2">
                  <c:v>0.00556322918707773</c:v>
                </c:pt>
                <c:pt idx="3">
                  <c:v>0.00645204489455797</c:v>
                </c:pt>
                <c:pt idx="4">
                  <c:v>0.00637598589352895</c:v>
                </c:pt>
                <c:pt idx="5">
                  <c:v>0.00428395672342885</c:v>
                </c:pt>
                <c:pt idx="6">
                  <c:v>0.00325497969863756</c:v>
                </c:pt>
                <c:pt idx="7">
                  <c:v>0.00330628303289394</c:v>
                </c:pt>
                <c:pt idx="8">
                  <c:v>0.00320185476931428</c:v>
                </c:pt>
                <c:pt idx="9">
                  <c:v>0.00632871012144449</c:v>
                </c:pt>
                <c:pt idx="10">
                  <c:v>0.00854027272640042</c:v>
                </c:pt>
                <c:pt idx="11">
                  <c:v>0.00867085660266629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65-4A8C-B326-98F95F0A1F5B}"/>
            </c:ext>
          </c:extLst>
        </c:ser>
        <c:ser>
          <c:idx val="1"/>
          <c:order val="1"/>
          <c:tx>
            <c:strRef>
              <c:f>'4yr Chargeoff History'!$S$34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History'!$T$32:$AE$32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History'!$T$34:$AE$34</c:f>
              <c:numCache>
                <c:formatCode>0.00%</c:formatCode>
                <c:ptCount val="12"/>
                <c:pt idx="0">
                  <c:v>0.00937121247987474</c:v>
                </c:pt>
                <c:pt idx="1">
                  <c:v>0.0070089567635859</c:v>
                </c:pt>
                <c:pt idx="2">
                  <c:v>0.00660096009186975</c:v>
                </c:pt>
                <c:pt idx="3">
                  <c:v>0.00708610151093086</c:v>
                </c:pt>
                <c:pt idx="4">
                  <c:v>0.00515154176488367</c:v>
                </c:pt>
                <c:pt idx="5">
                  <c:v>0.00372844440146055</c:v>
                </c:pt>
                <c:pt idx="6">
                  <c:v>0.00265813381175556</c:v>
                </c:pt>
                <c:pt idx="7">
                  <c:v>0.00263279483183982</c:v>
                </c:pt>
                <c:pt idx="8">
                  <c:v>0.00372917070429651</c:v>
                </c:pt>
                <c:pt idx="9">
                  <c:v>0.00510636036536394</c:v>
                </c:pt>
                <c:pt idx="10">
                  <c:v>0.00744737131683907</c:v>
                </c:pt>
                <c:pt idx="11">
                  <c:v>0.00819835903537191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5-4A8C-B326-98F95F0A1F5B}"/>
            </c:ext>
          </c:extLst>
        </c:ser>
        <c:ser>
          <c:idx val="2"/>
          <c:order val="2"/>
          <c:tx>
            <c:strRef>
              <c:f>'4yr Chargeoff History'!$S$35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History'!$T$32:$AE$32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History'!$T$35:$AE$35</c:f>
              <c:numCache>
                <c:formatCode>0.00%</c:formatCode>
                <c:ptCount val="12"/>
                <c:pt idx="0">
                  <c:v>0.00526329647766855</c:v>
                </c:pt>
                <c:pt idx="1">
                  <c:v>0.00543297657775502</c:v>
                </c:pt>
                <c:pt idx="2">
                  <c:v>0.00384559656619498</c:v>
                </c:pt>
                <c:pt idx="3">
                  <c:v>0.00911763899425543</c:v>
                </c:pt>
                <c:pt idx="4">
                  <c:v>0.0117533019895585</c:v>
                </c:pt>
                <c:pt idx="5">
                  <c:v>0.00599441244204454</c:v>
                </c:pt>
                <c:pt idx="6">
                  <c:v>0.00366530778051386</c:v>
                </c:pt>
                <c:pt idx="7">
                  <c:v>0.0038451354741699</c:v>
                </c:pt>
                <c:pt idx="8">
                  <c:v>0.00423137962380447</c:v>
                </c:pt>
                <c:pt idx="9">
                  <c:v>0.00566771334231335</c:v>
                </c:pt>
                <c:pt idx="10">
                  <c:v>0.00789313863318954</c:v>
                </c:pt>
                <c:pt idx="11">
                  <c:v>0.00802408641531616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65-4A8C-B326-98F95F0A1F5B}"/>
            </c:ext>
          </c:extLst>
        </c:ser>
        <c:ser>
          <c:idx val="3"/>
          <c:order val="3"/>
          <c:tx>
            <c:strRef>
              <c:f>'4yr Chargeoff History'!$S$36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History'!$T$32:$AE$32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History'!$T$36:$AE$36</c:f>
              <c:numCache>
                <c:formatCode>0.00%</c:formatCode>
                <c:ptCount val="12"/>
                <c:pt idx="0">
                  <c:v>0.00533799901961958</c:v>
                </c:pt>
                <c:pt idx="1">
                  <c:v>0.0112752337781767</c:v>
                </c:pt>
                <c:pt idx="2">
                  <c:v>0.00902557170110361</c:v>
                </c:pt>
                <c:pt idx="3">
                  <c:v>0.00962318774284631</c:v>
                </c:pt>
                <c:pt idx="4">
                  <c:v>0.0099977345880694</c:v>
                </c:pt>
                <c:pt idx="5">
                  <c:v>0.00610335456349796</c:v>
                </c:pt>
                <c:pt idx="6">
                  <c:v>0.0045649179933465</c:v>
                </c:pt>
                <c:pt idx="7">
                  <c:v>0.00327743945982615</c:v>
                </c:pt>
                <c:pt idx="8">
                  <c:v>0.00480094685892291</c:v>
                </c:pt>
                <c:pt idx="9">
                  <c:v>0.00428709850105345</c:v>
                </c:pt>
                <c:pt idx="10">
                  <c:v>0.00854840473352499</c:v>
                </c:pt>
                <c:pt idx="11">
                  <c:v>0.00980570757005012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65-4A8C-B326-98F95F0A1F5B}"/>
            </c:ext>
          </c:extLst>
        </c:ser>
        <c:ser>
          <c:idx val="4"/>
          <c:order val="4"/>
          <c:tx>
            <c:strRef>
              <c:f>'4yr Chargeoff History'!$S$37</c:f>
              <c:strCache>
                <c:ptCount val="1"/>
                <c:pt idx="0">
                  <c:v>AVG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History'!$T$32:$AE$32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History'!$T$37:$AE$37</c:f>
              <c:numCache>
                <c:formatCode>0.00%</c:formatCode>
                <c:ptCount val="12"/>
                <c:pt idx="0">
                  <c:v>0.00683483139746784</c:v>
                </c:pt>
                <c:pt idx="1">
                  <c:v>0.00741170116184206</c:v>
                </c:pt>
                <c:pt idx="2">
                  <c:v>0.00625883938656152</c:v>
                </c:pt>
                <c:pt idx="3">
                  <c:v>0.00806974328564764</c:v>
                </c:pt>
                <c:pt idx="4">
                  <c:v>0.00831964105901012</c:v>
                </c:pt>
                <c:pt idx="5">
                  <c:v>0.00502754203260798</c:v>
                </c:pt>
                <c:pt idx="6">
                  <c:v>0.00353583482106337</c:v>
                </c:pt>
                <c:pt idx="7">
                  <c:v>0.00326541319968245</c:v>
                </c:pt>
                <c:pt idx="8">
                  <c:v>0.00399083798908454</c:v>
                </c:pt>
                <c:pt idx="9">
                  <c:v>0.00534747058254381</c:v>
                </c:pt>
                <c:pt idx="10">
                  <c:v>0.00810729685248851</c:v>
                </c:pt>
                <c:pt idx="11">
                  <c:v>0.00867475240585112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65-4A8C-B326-98F95F0A1F5B}"/>
            </c:ext>
          </c:extLst>
        </c:ser>
        <c:marker val="1"/>
        <c:axId val="66966689"/>
        <c:axId val="62417098"/>
      </c:lineChart>
      <c:catAx>
        <c:axId val="6696668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62417098"/>
        <c:crosses val="autoZero"/>
        <c:auto val="1"/>
        <c:lblOffset val="100"/>
        <c:noMultiLvlLbl val="0"/>
      </c:catAx>
      <c:valAx>
        <c:axId val="62417098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6696668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legend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lt"/>
                <a:cs typeface="+mn-lt"/>
              </a:rPr>
              <a:t>Recoveries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'4yr Chargeoff History'!$S$40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History'!$T$39:$AE$39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History'!$T$40:$AE$40</c:f>
              <c:numCache>
                <c:formatCode>0.00%</c:formatCode>
                <c:ptCount val="12"/>
                <c:pt idx="0">
                  <c:v>-0.00205627734242802</c:v>
                </c:pt>
                <c:pt idx="1">
                  <c:v>-0.00416152275337828</c:v>
                </c:pt>
                <c:pt idx="2">
                  <c:v>-0.00335552210574876</c:v>
                </c:pt>
                <c:pt idx="3">
                  <c:v>-0.00320307287490797</c:v>
                </c:pt>
                <c:pt idx="4">
                  <c:v>-0.00288340892820027</c:v>
                </c:pt>
                <c:pt idx="5">
                  <c:v>-0.00234618173633974</c:v>
                </c:pt>
                <c:pt idx="6">
                  <c:v>-0.00166568820564105</c:v>
                </c:pt>
                <c:pt idx="7">
                  <c:v>-0.00175567173451826</c:v>
                </c:pt>
                <c:pt idx="8">
                  <c:v>-0.00157918792338086</c:v>
                </c:pt>
                <c:pt idx="9">
                  <c:v>-0.00175532950703553</c:v>
                </c:pt>
                <c:pt idx="10">
                  <c:v>-0.00262574879459062</c:v>
                </c:pt>
                <c:pt idx="11">
                  <c:v>-0.00206329732915646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8-4B6A-A1C1-69471ABA33F6}"/>
            </c:ext>
          </c:extLst>
        </c:ser>
        <c:ser>
          <c:idx val="1"/>
          <c:order val="1"/>
          <c:tx>
            <c:strRef>
              <c:f>'4yr Chargeoff History'!$S$41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History'!$T$39:$AE$39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History'!$T$41:$AE$41</c:f>
              <c:numCache>
                <c:formatCode>0.00%</c:formatCode>
                <c:ptCount val="12"/>
                <c:pt idx="0">
                  <c:v>-0.00273791641911162</c:v>
                </c:pt>
                <c:pt idx="1">
                  <c:v>-0.00384444909930405</c:v>
                </c:pt>
                <c:pt idx="2">
                  <c:v>-0.00401863574756762</c:v>
                </c:pt>
                <c:pt idx="3">
                  <c:v>-0.00289008377593784</c:v>
                </c:pt>
                <c:pt idx="4">
                  <c:v>-0.00248836891758578</c:v>
                </c:pt>
                <c:pt idx="5">
                  <c:v>-0.00237285925580941</c:v>
                </c:pt>
                <c:pt idx="6">
                  <c:v>-0.00160666731933597</c:v>
                </c:pt>
                <c:pt idx="7">
                  <c:v>-0.00164794548722821</c:v>
                </c:pt>
                <c:pt idx="8">
                  <c:v>-0.00138252431351399</c:v>
                </c:pt>
                <c:pt idx="9">
                  <c:v>-0.00146081243858082</c:v>
                </c:pt>
                <c:pt idx="10">
                  <c:v>-0.00219657088466201</c:v>
                </c:pt>
                <c:pt idx="11">
                  <c:v>-0.0019435423242788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8-4B6A-A1C1-69471ABA33F6}"/>
            </c:ext>
          </c:extLst>
        </c:ser>
        <c:ser>
          <c:idx val="2"/>
          <c:order val="2"/>
          <c:tx>
            <c:strRef>
              <c:f>'4yr Chargeoff History'!$S$42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History'!$T$39:$AE$39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History'!$T$42:$AE$42</c:f>
              <c:numCache>
                <c:formatCode>0.00%</c:formatCode>
                <c:ptCount val="12"/>
                <c:pt idx="0">
                  <c:v>-0.00149055796958228</c:v>
                </c:pt>
                <c:pt idx="1">
                  <c:v>-0.00208257194242733</c:v>
                </c:pt>
                <c:pt idx="2">
                  <c:v>-0.00331231255751559</c:v>
                </c:pt>
                <c:pt idx="3">
                  <c:v>-0.00307054186306525</c:v>
                </c:pt>
                <c:pt idx="4">
                  <c:v>-0.00266240355962278</c:v>
                </c:pt>
                <c:pt idx="5">
                  <c:v>-0.00226955080370613</c:v>
                </c:pt>
                <c:pt idx="6">
                  <c:v>-0.00182324499126998</c:v>
                </c:pt>
                <c:pt idx="7">
                  <c:v>-0.00186925005453348</c:v>
                </c:pt>
                <c:pt idx="8">
                  <c:v>-0.00150816694104382</c:v>
                </c:pt>
                <c:pt idx="9">
                  <c:v>-0.001278964141969</c:v>
                </c:pt>
                <c:pt idx="10">
                  <c:v>-0.00237859975552866</c:v>
                </c:pt>
                <c:pt idx="11">
                  <c:v>-0.00235914537026957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B8-4B6A-A1C1-69471ABA33F6}"/>
            </c:ext>
          </c:extLst>
        </c:ser>
        <c:ser>
          <c:idx val="3"/>
          <c:order val="3"/>
          <c:tx>
            <c:strRef>
              <c:f>'4yr Chargeoff History'!$S$43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History'!$T$39:$AE$39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History'!$T$43:$AE$43</c:f>
              <c:numCache>
                <c:formatCode>0.00%</c:formatCode>
                <c:ptCount val="12"/>
                <c:pt idx="0">
                  <c:v>-0.00245217425207468</c:v>
                </c:pt>
                <c:pt idx="1">
                  <c:v>-0.00297026318877445</c:v>
                </c:pt>
                <c:pt idx="2">
                  <c:v>-0.00410651296349398</c:v>
                </c:pt>
                <c:pt idx="3">
                  <c:v>-0.00392509710951577</c:v>
                </c:pt>
                <c:pt idx="4">
                  <c:v>-0.00309599957789008</c:v>
                </c:pt>
                <c:pt idx="5">
                  <c:v>-0.00244661774389381</c:v>
                </c:pt>
                <c:pt idx="6">
                  <c:v>-0.00212805390392492</c:v>
                </c:pt>
                <c:pt idx="7">
                  <c:v>-0.00223179817463233</c:v>
                </c:pt>
                <c:pt idx="8">
                  <c:v>-0.00213739397293246</c:v>
                </c:pt>
                <c:pt idx="9">
                  <c:v>-0.00256434366093929</c:v>
                </c:pt>
                <c:pt idx="10">
                  <c:v>-0.00364065294187948</c:v>
                </c:pt>
                <c:pt idx="11">
                  <c:v>-0.0033790394440112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B8-4B6A-A1C1-69471ABA33F6}"/>
            </c:ext>
          </c:extLst>
        </c:ser>
        <c:ser>
          <c:idx val="4"/>
          <c:order val="4"/>
          <c:tx>
            <c:strRef>
              <c:f>'4yr Chargeoff History'!$S$44</c:f>
              <c:strCache>
                <c:ptCount val="1"/>
                <c:pt idx="0">
                  <c:v>AVG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History'!$T$39:$AE$39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History'!$T$44:$AE$44</c:f>
              <c:numCache>
                <c:formatCode>0.00%</c:formatCode>
                <c:ptCount val="12"/>
                <c:pt idx="0">
                  <c:v>-0.00218423149579915</c:v>
                </c:pt>
                <c:pt idx="1">
                  <c:v>-0.00326470174597103</c:v>
                </c:pt>
                <c:pt idx="2">
                  <c:v>-0.00369824584358149</c:v>
                </c:pt>
                <c:pt idx="3">
                  <c:v>-0.00327219890585671</c:v>
                </c:pt>
                <c:pt idx="4">
                  <c:v>-0.00278254524582473</c:v>
                </c:pt>
                <c:pt idx="5">
                  <c:v>-0.00235880238493727</c:v>
                </c:pt>
                <c:pt idx="6">
                  <c:v>-0.00180591360504298</c:v>
                </c:pt>
                <c:pt idx="7">
                  <c:v>-0.00187616636272807</c:v>
                </c:pt>
                <c:pt idx="8">
                  <c:v>-0.00165181828771778</c:v>
                </c:pt>
                <c:pt idx="9">
                  <c:v>-0.00176486243713116</c:v>
                </c:pt>
                <c:pt idx="10">
                  <c:v>-0.00271039309416519</c:v>
                </c:pt>
                <c:pt idx="11">
                  <c:v>-0.00243625611692901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B8-4B6A-A1C1-69471ABA33F6}"/>
            </c:ext>
          </c:extLst>
        </c:ser>
        <c:marker val="1"/>
        <c:axId val="46498340"/>
        <c:axId val="58050239"/>
      </c:lineChart>
      <c:catAx>
        <c:axId val="464983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58050239"/>
        <c:crosses val="autoZero"/>
        <c:auto val="1"/>
        <c:lblOffset val="100"/>
        <c:noMultiLvlLbl val="0"/>
      </c:catAx>
      <c:valAx>
        <c:axId val="58050239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464983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legend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lt"/>
                <a:cs typeface="+mn-lt"/>
              </a:rPr>
              <a:t>Net CO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'4yr Chargeoff History'!$S$47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History'!$T$46:$AE$46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History'!$T$47:$AE$47</c:f>
              <c:numCache>
                <c:formatCode>0.00%</c:formatCode>
                <c:ptCount val="12"/>
                <c:pt idx="0">
                  <c:v>0.00531054027028046</c:v>
                </c:pt>
                <c:pt idx="1">
                  <c:v>0.00176811477447239</c:v>
                </c:pt>
                <c:pt idx="2">
                  <c:v>0.00220770708132897</c:v>
                </c:pt>
                <c:pt idx="3">
                  <c:v>0.00324897201965</c:v>
                </c:pt>
                <c:pt idx="4">
                  <c:v>0.00349257696532868</c:v>
                </c:pt>
                <c:pt idx="5">
                  <c:v>0.00193777498708912</c:v>
                </c:pt>
                <c:pt idx="6">
                  <c:v>0.00158929149299652</c:v>
                </c:pt>
                <c:pt idx="7">
                  <c:v>0.00155061129837568</c:v>
                </c:pt>
                <c:pt idx="8">
                  <c:v>0.00162266684593342</c:v>
                </c:pt>
                <c:pt idx="9">
                  <c:v>0.00457338061440896</c:v>
                </c:pt>
                <c:pt idx="10">
                  <c:v>0.00591452393180979</c:v>
                </c:pt>
                <c:pt idx="11">
                  <c:v>0.00660755927350983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2-4845-8973-C4FBFED27695}"/>
            </c:ext>
          </c:extLst>
        </c:ser>
        <c:ser>
          <c:idx val="1"/>
          <c:order val="1"/>
          <c:tx>
            <c:strRef>
              <c:f>'4yr Chargeoff History'!$S$48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History'!$T$46:$AE$46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History'!$T$48:$AE$48</c:f>
              <c:numCache>
                <c:formatCode>0.00%</c:formatCode>
                <c:ptCount val="12"/>
                <c:pt idx="0">
                  <c:v>0.00663329606076312</c:v>
                </c:pt>
                <c:pt idx="1">
                  <c:v>0.00316450766428185</c:v>
                </c:pt>
                <c:pt idx="2">
                  <c:v>0.00258232434430213</c:v>
                </c:pt>
                <c:pt idx="3">
                  <c:v>0.00419601773499302</c:v>
                </c:pt>
                <c:pt idx="4">
                  <c:v>0.00266317284729789</c:v>
                </c:pt>
                <c:pt idx="5">
                  <c:v>0.00135558514565115</c:v>
                </c:pt>
                <c:pt idx="6">
                  <c:v>0.00105146649241959</c:v>
                </c:pt>
                <c:pt idx="7">
                  <c:v>0.000984849344611609</c:v>
                </c:pt>
                <c:pt idx="8">
                  <c:v>0.00234664639078253</c:v>
                </c:pt>
                <c:pt idx="9">
                  <c:v>0.00364554792678312</c:v>
                </c:pt>
                <c:pt idx="10">
                  <c:v>0.00525080043217706</c:v>
                </c:pt>
                <c:pt idx="11">
                  <c:v>0.00625481671109311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E2-4845-8973-C4FBFED27695}"/>
            </c:ext>
          </c:extLst>
        </c:ser>
        <c:ser>
          <c:idx val="2"/>
          <c:order val="2"/>
          <c:tx>
            <c:strRef>
              <c:f>'4yr Chargeoff History'!$S$49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History'!$T$46:$AE$46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History'!$T$49:$AE$49</c:f>
              <c:numCache>
                <c:formatCode>0.00%</c:formatCode>
                <c:ptCount val="12"/>
                <c:pt idx="0">
                  <c:v>0.00377273850808627</c:v>
                </c:pt>
                <c:pt idx="1">
                  <c:v>0.00335040463532768</c:v>
                </c:pt>
                <c:pt idx="2">
                  <c:v>0.000533284008679392</c:v>
                </c:pt>
                <c:pt idx="3">
                  <c:v>0.00604709713119018</c:v>
                </c:pt>
                <c:pt idx="4">
                  <c:v>0.00909089842993569</c:v>
                </c:pt>
                <c:pt idx="5">
                  <c:v>0.00372486163833841</c:v>
                </c:pt>
                <c:pt idx="6">
                  <c:v>0.00184206278924388</c:v>
                </c:pt>
                <c:pt idx="7">
                  <c:v>0.00197588541963643</c:v>
                </c:pt>
                <c:pt idx="8">
                  <c:v>0.00272321268276066</c:v>
                </c:pt>
                <c:pt idx="9">
                  <c:v>0.00438874920034435</c:v>
                </c:pt>
                <c:pt idx="10">
                  <c:v>0.00551453887766088</c:v>
                </c:pt>
                <c:pt idx="11">
                  <c:v>0.00566494104504659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E2-4845-8973-C4FBFED27695}"/>
            </c:ext>
          </c:extLst>
        </c:ser>
        <c:ser>
          <c:idx val="3"/>
          <c:order val="3"/>
          <c:tx>
            <c:strRef>
              <c:f>'4yr Chargeoff History'!$S$50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History'!$T$46:$AE$46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History'!$T$50:$AE$50</c:f>
              <c:numCache>
                <c:formatCode>0.00%</c:formatCode>
                <c:ptCount val="12"/>
                <c:pt idx="0">
                  <c:v>0.0028858247675449</c:v>
                </c:pt>
                <c:pt idx="1">
                  <c:v>0.00830497058940221</c:v>
                </c:pt>
                <c:pt idx="2">
                  <c:v>0.00491905873760963</c:v>
                </c:pt>
                <c:pt idx="3">
                  <c:v>0.00569809063333054</c:v>
                </c:pt>
                <c:pt idx="4">
                  <c:v>0.00690173501017932</c:v>
                </c:pt>
                <c:pt idx="5">
                  <c:v>0.00365673681960415</c:v>
                </c:pt>
                <c:pt idx="6">
                  <c:v>0.00243686408942158</c:v>
                </c:pt>
                <c:pt idx="7">
                  <c:v>0.00104564128519382</c:v>
                </c:pt>
                <c:pt idx="8">
                  <c:v>0.00266355288599045</c:v>
                </c:pt>
                <c:pt idx="9">
                  <c:v>0.00172275484011416</c:v>
                </c:pt>
                <c:pt idx="10">
                  <c:v>0.00490775179164551</c:v>
                </c:pt>
                <c:pt idx="11">
                  <c:v>0.00642666812603892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E2-4845-8973-C4FBFED27695}"/>
            </c:ext>
          </c:extLst>
        </c:ser>
        <c:ser>
          <c:idx val="4"/>
          <c:order val="4"/>
          <c:tx>
            <c:strRef>
              <c:f>'4yr Chargeoff History'!$S$51</c:f>
              <c:strCache>
                <c:ptCount val="1"/>
                <c:pt idx="0">
                  <c:v>AVG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'4yr Chargeoff History'!$T$46:$AE$46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'4yr Chargeoff History'!$T$51:$AE$51</c:f>
              <c:numCache>
                <c:formatCode>0.00%</c:formatCode>
                <c:ptCount val="12"/>
                <c:pt idx="0">
                  <c:v>0.00465059990166869</c:v>
                </c:pt>
                <c:pt idx="1">
                  <c:v>0.00414699941587104</c:v>
                </c:pt>
                <c:pt idx="2">
                  <c:v>0.00256059354298003</c:v>
                </c:pt>
                <c:pt idx="3">
                  <c:v>0.00479754437979093</c:v>
                </c:pt>
                <c:pt idx="4">
                  <c:v>0.00553709581318539</c:v>
                </c:pt>
                <c:pt idx="5">
                  <c:v>0.00266873964767071</c:v>
                </c:pt>
                <c:pt idx="6">
                  <c:v>0.00172992121602039</c:v>
                </c:pt>
                <c:pt idx="7">
                  <c:v>0.00138924683695438</c:v>
                </c:pt>
                <c:pt idx="8">
                  <c:v>0.00233901970136676</c:v>
                </c:pt>
                <c:pt idx="9">
                  <c:v>0.00358260814541265</c:v>
                </c:pt>
                <c:pt idx="10">
                  <c:v>0.00539690375832331</c:v>
                </c:pt>
                <c:pt idx="11">
                  <c:v>0.00623849628892211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E2-4845-8973-C4FBFED27695}"/>
            </c:ext>
          </c:extLst>
        </c:ser>
        <c:marker val="1"/>
        <c:axId val="36609706"/>
        <c:axId val="160757"/>
      </c:lineChart>
      <c:catAx>
        <c:axId val="3660970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160757"/>
        <c:crosses val="autoZero"/>
        <c:auto val="1"/>
        <c:lblOffset val="100"/>
        <c:noMultiLvlLbl val="0"/>
      </c:catAx>
      <c:valAx>
        <c:axId val="160757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3660970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legend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Gross 6m'!$C$64</c:f>
              <c:strCache>
                <c:ptCount val="1"/>
                <c:pt idx="0">
                  <c:v>Total Monthly Reserve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'CO Gross 6m'!$D$62:$AA$63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'CO Gross 6m'!$D$64:$AA$64</c:f>
              <c:numCache>
                <c:formatCode>General</c:formatCode>
                <c:ptCount val="24"/>
                <c:pt idx="2">
                  <c:v>963039.928919196</c:v>
                </c:pt>
                <c:pt idx="3">
                  <c:v>2224178.89183404</c:v>
                </c:pt>
                <c:pt idx="4">
                  <c:v>3199398.84165067</c:v>
                </c:pt>
                <c:pt idx="5">
                  <c:v>4043179.36667696</c:v>
                </c:pt>
                <c:pt idx="6">
                  <c:v>4802182.15637303</c:v>
                </c:pt>
                <c:pt idx="7">
                  <c:v>5629580.71665913</c:v>
                </c:pt>
                <c:pt idx="8">
                  <c:v>6723048.83147474</c:v>
                </c:pt>
                <c:pt idx="9">
                  <c:v>6917648.49339737</c:v>
                </c:pt>
                <c:pt idx="10">
                  <c:v>6761210.69416839</c:v>
                </c:pt>
                <c:pt idx="11">
                  <c:v>6777033.29257165</c:v>
                </c:pt>
                <c:pt idx="12">
                  <c:v>6541447.89536593</c:v>
                </c:pt>
                <c:pt idx="13">
                  <c:v>6188936.43611098</c:v>
                </c:pt>
                <c:pt idx="14">
                  <c:v>5361537.87582487</c:v>
                </c:pt>
                <c:pt idx="15">
                  <c:v>4268069.76100927</c:v>
                </c:pt>
                <c:pt idx="16">
                  <c:v>3110430.17016744</c:v>
                </c:pt>
                <c:pt idx="17">
                  <c:v>2005729.00648158</c:v>
                </c:pt>
                <c:pt idx="18">
                  <c:v>1014686.45826169</c:v>
                </c:pt>
                <c:pt idx="19">
                  <c:v>406491.330441112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F7-4A8A-BA01-C8662C4809A4}"/>
            </c:ext>
          </c:extLst>
        </c:ser>
        <c:marker val="1"/>
        <c:axId val="11181865"/>
        <c:axId val="33457237"/>
      </c:lineChart>
      <c:catAx>
        <c:axId val="1118186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33457237"/>
        <c:crosses val="autoZero"/>
        <c:auto val="1"/>
        <c:lblOffset val="100"/>
        <c:noMultiLvlLbl val="0"/>
      </c:catAx>
      <c:valAx>
        <c:axId val="33457237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1118186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Gross 5m'!$C$65</c:f>
              <c:strCache>
                <c:ptCount val="1"/>
                <c:pt idx="0">
                  <c:v>Total Monthly Reserve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 Gross 5m'!$D$64:$AA$64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'CO Gross 5m'!$D$65:$AA$65</c:f>
              <c:numCache>
                <c:formatCode>General</c:formatCode>
                <c:ptCount val="24"/>
                <c:pt idx="2">
                  <c:v>963039.928919196</c:v>
                </c:pt>
                <c:pt idx="3">
                  <c:v>2224178.89183404</c:v>
                </c:pt>
                <c:pt idx="4">
                  <c:v>3199398.84165067</c:v>
                </c:pt>
                <c:pt idx="5">
                  <c:v>4043179.36667696</c:v>
                </c:pt>
                <c:pt idx="6">
                  <c:v>4802182.15637303</c:v>
                </c:pt>
                <c:pt idx="7">
                  <c:v>5629580.71665913</c:v>
                </c:pt>
                <c:pt idx="8">
                  <c:v>6723048.83147474</c:v>
                </c:pt>
                <c:pt idx="9">
                  <c:v>6917648.49339737</c:v>
                </c:pt>
                <c:pt idx="10">
                  <c:v>6761210.69416839</c:v>
                </c:pt>
                <c:pt idx="11">
                  <c:v>6777033.29257165</c:v>
                </c:pt>
                <c:pt idx="12">
                  <c:v>6541447.89536593</c:v>
                </c:pt>
                <c:pt idx="13">
                  <c:v>6188936.43611098</c:v>
                </c:pt>
                <c:pt idx="14">
                  <c:v>5361537.87582487</c:v>
                </c:pt>
                <c:pt idx="15">
                  <c:v>4268069.76100927</c:v>
                </c:pt>
                <c:pt idx="16">
                  <c:v>3110430.17016744</c:v>
                </c:pt>
                <c:pt idx="17">
                  <c:v>2005729.00648158</c:v>
                </c:pt>
                <c:pt idx="18">
                  <c:v>1014686.45826169</c:v>
                </c:pt>
                <c:pt idx="19">
                  <c:v>406491.330441112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B4-4467-859B-EE67FD9ACCD2}"/>
            </c:ext>
          </c:extLst>
        </c:ser>
        <c:marker val="1"/>
        <c:axId val="30347026"/>
        <c:axId val="61927792"/>
      </c:lineChart>
      <c:catAx>
        <c:axId val="3034702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61927792"/>
        <c:crosses val="autoZero"/>
        <c:auto val="1"/>
        <c:lblOffset val="100"/>
        <c:noMultiLvlLbl val="0"/>
      </c:catAx>
      <c:valAx>
        <c:axId val="61927792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3034702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Gross 5m'!$C$65</c:f>
              <c:strCache>
                <c:ptCount val="1"/>
                <c:pt idx="0">
                  <c:v>Total Monthly Reserve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'CO Gross 5m'!$D$63:$AA$64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'CO Gross 5m'!$D$65:$AA$65</c:f>
              <c:numCache>
                <c:formatCode>General</c:formatCode>
                <c:ptCount val="24"/>
                <c:pt idx="2">
                  <c:v>963039.928919196</c:v>
                </c:pt>
                <c:pt idx="3">
                  <c:v>2224178.89183404</c:v>
                </c:pt>
                <c:pt idx="4">
                  <c:v>3199398.84165067</c:v>
                </c:pt>
                <c:pt idx="5">
                  <c:v>4043179.36667696</c:v>
                </c:pt>
                <c:pt idx="6">
                  <c:v>4802182.15637303</c:v>
                </c:pt>
                <c:pt idx="7">
                  <c:v>5629580.71665913</c:v>
                </c:pt>
                <c:pt idx="8">
                  <c:v>6723048.83147474</c:v>
                </c:pt>
                <c:pt idx="9">
                  <c:v>6917648.49339737</c:v>
                </c:pt>
                <c:pt idx="10">
                  <c:v>6761210.69416839</c:v>
                </c:pt>
                <c:pt idx="11">
                  <c:v>6777033.29257165</c:v>
                </c:pt>
                <c:pt idx="12">
                  <c:v>6541447.89536593</c:v>
                </c:pt>
                <c:pt idx="13">
                  <c:v>6188936.43611098</c:v>
                </c:pt>
                <c:pt idx="14">
                  <c:v>5361537.87582487</c:v>
                </c:pt>
                <c:pt idx="15">
                  <c:v>4268069.76100927</c:v>
                </c:pt>
                <c:pt idx="16">
                  <c:v>3110430.17016744</c:v>
                </c:pt>
                <c:pt idx="17">
                  <c:v>2005729.00648158</c:v>
                </c:pt>
                <c:pt idx="18">
                  <c:v>1014686.45826169</c:v>
                </c:pt>
                <c:pt idx="19">
                  <c:v>406491.330441112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52-4066-A2B6-121783F80E67}"/>
            </c:ext>
          </c:extLst>
        </c:ser>
        <c:marker val="1"/>
        <c:axId val="30351230"/>
        <c:axId val="62066508"/>
      </c:lineChart>
      <c:catAx>
        <c:axId val="3035123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62066508"/>
        <c:crosses val="autoZero"/>
        <c:auto val="1"/>
        <c:lblOffset val="100"/>
        <c:noMultiLvlLbl val="0"/>
      </c:catAx>
      <c:valAx>
        <c:axId val="62066508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3035123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Gross 4m'!$C$74</c:f>
              <c:strCache>
                <c:ptCount val="1"/>
                <c:pt idx="0">
                  <c:v>Total Monthly Reserve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 Gross 4m'!$D$73:$AA$73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'CO Gross 4m'!$D$74:$AA$74</c:f>
              <c:numCache>
                <c:formatCode>General</c:formatCode>
                <c:ptCount val="24"/>
                <c:pt idx="2">
                  <c:v>963039.928919196</c:v>
                </c:pt>
                <c:pt idx="3">
                  <c:v>2224178.89183404</c:v>
                </c:pt>
                <c:pt idx="4">
                  <c:v>3199398.84165067</c:v>
                </c:pt>
                <c:pt idx="5">
                  <c:v>4043179.36667696</c:v>
                </c:pt>
                <c:pt idx="6">
                  <c:v>4802182.15637303</c:v>
                </c:pt>
                <c:pt idx="7">
                  <c:v>5629580.71665913</c:v>
                </c:pt>
                <c:pt idx="8">
                  <c:v>6723048.83147474</c:v>
                </c:pt>
                <c:pt idx="9">
                  <c:v>6917648.49339737</c:v>
                </c:pt>
                <c:pt idx="10">
                  <c:v>6761210.69416839</c:v>
                </c:pt>
                <c:pt idx="11">
                  <c:v>6777033.29257165</c:v>
                </c:pt>
                <c:pt idx="12">
                  <c:v>6541447.89536593</c:v>
                </c:pt>
                <c:pt idx="13">
                  <c:v>6188936.43611098</c:v>
                </c:pt>
                <c:pt idx="14">
                  <c:v>5361537.87582487</c:v>
                </c:pt>
                <c:pt idx="15">
                  <c:v>4268069.76100927</c:v>
                </c:pt>
                <c:pt idx="16">
                  <c:v>3110430.17016744</c:v>
                </c:pt>
                <c:pt idx="17">
                  <c:v>2005729.00648158</c:v>
                </c:pt>
                <c:pt idx="18">
                  <c:v>1014686.45826169</c:v>
                </c:pt>
                <c:pt idx="19">
                  <c:v>406491.330441112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C-46A2-85E2-8C14B7A20F2B}"/>
            </c:ext>
          </c:extLst>
        </c:ser>
        <c:marker val="1"/>
        <c:axId val="34928875"/>
        <c:axId val="11802219"/>
      </c:lineChart>
      <c:catAx>
        <c:axId val="349288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11802219"/>
        <c:crosses val="autoZero"/>
        <c:auto val="1"/>
        <c:lblOffset val="100"/>
        <c:noMultiLvlLbl val="0"/>
      </c:catAx>
      <c:valAx>
        <c:axId val="11802219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349288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Gross 4m'!$C$74</c:f>
              <c:strCache>
                <c:ptCount val="1"/>
                <c:pt idx="0">
                  <c:v>Total Monthly Reserve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'CO Gross 4m'!$D$72:$AA$73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'CO Gross 4m'!$D$74:$AA$74</c:f>
              <c:numCache>
                <c:formatCode>General</c:formatCode>
                <c:ptCount val="24"/>
                <c:pt idx="2">
                  <c:v>963039.928919196</c:v>
                </c:pt>
                <c:pt idx="3">
                  <c:v>2224178.89183404</c:v>
                </c:pt>
                <c:pt idx="4">
                  <c:v>3199398.84165067</c:v>
                </c:pt>
                <c:pt idx="5">
                  <c:v>4043179.36667696</c:v>
                </c:pt>
                <c:pt idx="6">
                  <c:v>4802182.15637303</c:v>
                </c:pt>
                <c:pt idx="7">
                  <c:v>5629580.71665913</c:v>
                </c:pt>
                <c:pt idx="8">
                  <c:v>6723048.83147474</c:v>
                </c:pt>
                <c:pt idx="9">
                  <c:v>6917648.49339737</c:v>
                </c:pt>
                <c:pt idx="10">
                  <c:v>6761210.69416839</c:v>
                </c:pt>
                <c:pt idx="11">
                  <c:v>6777033.29257165</c:v>
                </c:pt>
                <c:pt idx="12">
                  <c:v>6541447.89536593</c:v>
                </c:pt>
                <c:pt idx="13">
                  <c:v>6188936.43611098</c:v>
                </c:pt>
                <c:pt idx="14">
                  <c:v>5361537.87582487</c:v>
                </c:pt>
                <c:pt idx="15">
                  <c:v>4268069.76100927</c:v>
                </c:pt>
                <c:pt idx="16">
                  <c:v>3110430.17016744</c:v>
                </c:pt>
                <c:pt idx="17">
                  <c:v>2005729.00648158</c:v>
                </c:pt>
                <c:pt idx="18">
                  <c:v>1014686.45826169</c:v>
                </c:pt>
                <c:pt idx="19">
                  <c:v>406491.330441112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1E-4115-AD11-BE697487FE6A}"/>
            </c:ext>
          </c:extLst>
        </c:ser>
        <c:marker val="1"/>
        <c:axId val="53928923"/>
        <c:axId val="34824012"/>
      </c:lineChart>
      <c:catAx>
        <c:axId val="539289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34824012"/>
        <c:crosses val="autoZero"/>
        <c:auto val="1"/>
        <c:lblOffset val="100"/>
        <c:noMultiLvlLbl val="0"/>
      </c:catAx>
      <c:valAx>
        <c:axId val="34824012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539289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Gross susp impact'!$C$66</c:f>
              <c:strCache>
                <c:ptCount val="1"/>
                <c:pt idx="0">
                  <c:v>Total Monthly Reserve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 Gross susp impact'!$D$65:$AA$65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'CO Gross susp impact'!$D$66:$AA$66</c:f>
              <c:numCache>
                <c:formatCode>General</c:formatCode>
                <c:ptCount val="24"/>
                <c:pt idx="2">
                  <c:v>963039.928919196</c:v>
                </c:pt>
                <c:pt idx="3">
                  <c:v>2224178.89183404</c:v>
                </c:pt>
                <c:pt idx="4">
                  <c:v>3199398.84165067</c:v>
                </c:pt>
                <c:pt idx="5">
                  <c:v>4043179.36667696</c:v>
                </c:pt>
                <c:pt idx="6">
                  <c:v>4802182.15637303</c:v>
                </c:pt>
                <c:pt idx="7">
                  <c:v>5629580.71665913</c:v>
                </c:pt>
                <c:pt idx="8">
                  <c:v>6723048.83147474</c:v>
                </c:pt>
                <c:pt idx="9">
                  <c:v>6917648.49339737</c:v>
                </c:pt>
                <c:pt idx="10">
                  <c:v>6761210.69416839</c:v>
                </c:pt>
                <c:pt idx="11">
                  <c:v>6777033.29257165</c:v>
                </c:pt>
                <c:pt idx="12">
                  <c:v>6541447.89536593</c:v>
                </c:pt>
                <c:pt idx="13">
                  <c:v>6188936.43611098</c:v>
                </c:pt>
                <c:pt idx="14">
                  <c:v>5361537.87582487</c:v>
                </c:pt>
                <c:pt idx="15">
                  <c:v>4268069.76100927</c:v>
                </c:pt>
                <c:pt idx="16">
                  <c:v>3110430.17016744</c:v>
                </c:pt>
                <c:pt idx="17">
                  <c:v>2005729.00648158</c:v>
                </c:pt>
                <c:pt idx="18">
                  <c:v>1014686.45826169</c:v>
                </c:pt>
                <c:pt idx="19">
                  <c:v>406491.330441112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1D-4146-B7F8-B064D3D14809}"/>
            </c:ext>
          </c:extLst>
        </c:ser>
        <c:marker val="1"/>
        <c:axId val="8341709"/>
        <c:axId val="6840942"/>
      </c:lineChart>
      <c:catAx>
        <c:axId val="834170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6840942"/>
        <c:crosses val="autoZero"/>
        <c:auto val="1"/>
        <c:lblOffset val="100"/>
        <c:noMultiLvlLbl val="0"/>
      </c:catAx>
      <c:valAx>
        <c:axId val="6840942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834170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Gross susp impact'!$C$66</c:f>
              <c:strCache>
                <c:ptCount val="1"/>
                <c:pt idx="0">
                  <c:v>Total Monthly Reserve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'CO Gross susp impact'!$D$64:$AA$65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'CO Gross susp impact'!$D$66:$AA$66</c:f>
              <c:numCache>
                <c:formatCode>General</c:formatCode>
                <c:ptCount val="24"/>
                <c:pt idx="2">
                  <c:v>963039.928919196</c:v>
                </c:pt>
                <c:pt idx="3">
                  <c:v>2224178.89183404</c:v>
                </c:pt>
                <c:pt idx="4">
                  <c:v>3199398.84165067</c:v>
                </c:pt>
                <c:pt idx="5">
                  <c:v>4043179.36667696</c:v>
                </c:pt>
                <c:pt idx="6">
                  <c:v>4802182.15637303</c:v>
                </c:pt>
                <c:pt idx="7">
                  <c:v>5629580.71665913</c:v>
                </c:pt>
                <c:pt idx="8">
                  <c:v>6723048.83147474</c:v>
                </c:pt>
                <c:pt idx="9">
                  <c:v>6917648.49339737</c:v>
                </c:pt>
                <c:pt idx="10">
                  <c:v>6761210.69416839</c:v>
                </c:pt>
                <c:pt idx="11">
                  <c:v>6777033.29257165</c:v>
                </c:pt>
                <c:pt idx="12">
                  <c:v>6541447.89536593</c:v>
                </c:pt>
                <c:pt idx="13">
                  <c:v>6188936.43611098</c:v>
                </c:pt>
                <c:pt idx="14">
                  <c:v>5361537.87582487</c:v>
                </c:pt>
                <c:pt idx="15">
                  <c:v>4268069.76100927</c:v>
                </c:pt>
                <c:pt idx="16">
                  <c:v>3110430.17016744</c:v>
                </c:pt>
                <c:pt idx="17">
                  <c:v>2005729.00648158</c:v>
                </c:pt>
                <c:pt idx="18">
                  <c:v>1014686.45826169</c:v>
                </c:pt>
                <c:pt idx="19">
                  <c:v>406491.330441112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7D-4DDB-AC5C-64F4B6F4F0F1}"/>
            </c:ext>
          </c:extLst>
        </c:ser>
        <c:marker val="1"/>
        <c:axId val="24424512"/>
        <c:axId val="702547"/>
      </c:lineChart>
      <c:catAx>
        <c:axId val="2442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702547"/>
        <c:crosses val="autoZero"/>
        <c:auto val="1"/>
        <c:lblOffset val="100"/>
        <c:noMultiLvlLbl val="0"/>
      </c:catAx>
      <c:valAx>
        <c:axId val="702547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2442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Gross impact expected'!$C$63</c:f>
              <c:strCache>
                <c:ptCount val="1"/>
                <c:pt idx="0">
                  <c:v>Total Monthly Reserve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 Gross impact expected'!$D$62:$AA$62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'CO Gross impact expected'!$D$63:$AA$63</c:f>
              <c:numCache>
                <c:formatCode>General</c:formatCode>
                <c:ptCount val="24"/>
                <c:pt idx="2">
                  <c:v>963039.928919196</c:v>
                </c:pt>
                <c:pt idx="3">
                  <c:v>2224178.89183404</c:v>
                </c:pt>
                <c:pt idx="4">
                  <c:v>3199398.84165067</c:v>
                </c:pt>
                <c:pt idx="5">
                  <c:v>4043179.36667696</c:v>
                </c:pt>
                <c:pt idx="6">
                  <c:v>4802182.15637303</c:v>
                </c:pt>
                <c:pt idx="7">
                  <c:v>5629580.71665913</c:v>
                </c:pt>
                <c:pt idx="8">
                  <c:v>6723048.83147474</c:v>
                </c:pt>
                <c:pt idx="9">
                  <c:v>6917648.49339737</c:v>
                </c:pt>
                <c:pt idx="10">
                  <c:v>6761210.69416839</c:v>
                </c:pt>
                <c:pt idx="11">
                  <c:v>6777033.29257165</c:v>
                </c:pt>
                <c:pt idx="12">
                  <c:v>6541447.89536593</c:v>
                </c:pt>
                <c:pt idx="13">
                  <c:v>6188936.43611098</c:v>
                </c:pt>
                <c:pt idx="14">
                  <c:v>5361537.87582487</c:v>
                </c:pt>
                <c:pt idx="15">
                  <c:v>4268069.76100927</c:v>
                </c:pt>
                <c:pt idx="16">
                  <c:v>3110430.17016744</c:v>
                </c:pt>
                <c:pt idx="17">
                  <c:v>2005729.00648158</c:v>
                </c:pt>
                <c:pt idx="18">
                  <c:v>1014686.45826169</c:v>
                </c:pt>
                <c:pt idx="19">
                  <c:v>406491.330441112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8-4973-8979-47F153591AC5}"/>
            </c:ext>
          </c:extLst>
        </c:ser>
        <c:marker val="1"/>
        <c:axId val="23184054"/>
        <c:axId val="26876281"/>
      </c:lineChart>
      <c:catAx>
        <c:axId val="2318405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26876281"/>
        <c:crosses val="autoZero"/>
        <c:auto val="1"/>
        <c:lblOffset val="100"/>
        <c:noMultiLvlLbl val="0"/>
      </c:catAx>
      <c:valAx>
        <c:axId val="26876281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</a:p>
        </c:txPr>
        <c:crossAx val="2318405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 /><Relationship Id="rId2" Type="http://schemas.openxmlformats.org/officeDocument/2006/relationships/chart" Target="../charts/chart4.xml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5.xml" /><Relationship Id="rId2" Type="http://schemas.openxmlformats.org/officeDocument/2006/relationships/chart" Target="../charts/chart6.xml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7.xml" /><Relationship Id="rId2" Type="http://schemas.openxmlformats.org/officeDocument/2006/relationships/chart" Target="../charts/chart8.xml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9.xml" /><Relationship Id="rId2" Type="http://schemas.openxmlformats.org/officeDocument/2006/relationships/chart" Target="../charts/chart10.xml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11.xml" /><Relationship Id="rId2" Type="http://schemas.openxmlformats.org/officeDocument/2006/relationships/chart" Target="../charts/chart12.xml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3.xml" /><Relationship Id="rId2" Type="http://schemas.openxmlformats.org/officeDocument/2006/relationships/chart" Target="../charts/chart14.xml" /><Relationship Id="rId3" Type="http://schemas.openxmlformats.org/officeDocument/2006/relationships/chart" Target="../charts/chart15.xml" /><Relationship Id="rId4" Type="http://schemas.openxmlformats.org/officeDocument/2006/relationships/chart" Target="../charts/chart16.xml" /><Relationship Id="rId5" Type="http://schemas.openxmlformats.org/officeDocument/2006/relationships/chart" Target="../charts/chart17.xml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4761</xdr:colOff>
      <xdr:row>64</xdr:row>
      <xdr:rowOff>180974</xdr:rowOff>
    </xdr:from>
    <xdr:to>
      <xdr:col>7</xdr:col>
      <xdr:colOff>776286</xdr:colOff>
      <xdr:row>89</xdr:row>
      <xdr:rowOff>190499</xdr:rowOff>
    </xdr:to>
    <xdr:graphicFrame macro="">
      <xdr:nvGraphicFramePr>
        <xdr:cNvPr id="2" name="Chart 1"/>
        <xdr:cNvGraphicFramePr/>
      </xdr:nvGraphicFramePr>
      <xdr:xfrm>
        <a:off x="615950" y="12471400"/>
        <a:ext cx="8356600" cy="47752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8</xdr:col>
      <xdr:colOff>4761</xdr:colOff>
      <xdr:row>64</xdr:row>
      <xdr:rowOff>180974</xdr:rowOff>
    </xdr:from>
    <xdr:to>
      <xdr:col>17</xdr:col>
      <xdr:colOff>220661</xdr:colOff>
      <xdr:row>91</xdr:row>
      <xdr:rowOff>190499</xdr:rowOff>
    </xdr:to>
    <xdr:graphicFrame macro="">
      <xdr:nvGraphicFramePr>
        <xdr:cNvPr id="3" name="Chart 2"/>
        <xdr:cNvGraphicFramePr/>
      </xdr:nvGraphicFramePr>
      <xdr:xfrm>
        <a:off x="9163050" y="12471400"/>
        <a:ext cx="8985250" cy="515620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4761</xdr:colOff>
      <xdr:row>65</xdr:row>
      <xdr:rowOff>180974</xdr:rowOff>
    </xdr:from>
    <xdr:to>
      <xdr:col>7</xdr:col>
      <xdr:colOff>776286</xdr:colOff>
      <xdr:row>90</xdr:row>
      <xdr:rowOff>190499</xdr:rowOff>
    </xdr:to>
    <xdr:graphicFrame macro="">
      <xdr:nvGraphicFramePr>
        <xdr:cNvPr id="2" name="Chart 1"/>
        <xdr:cNvGraphicFramePr/>
      </xdr:nvGraphicFramePr>
      <xdr:xfrm>
        <a:off x="615950" y="12661900"/>
        <a:ext cx="8312150" cy="47752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8</xdr:col>
      <xdr:colOff>4761</xdr:colOff>
      <xdr:row>65</xdr:row>
      <xdr:rowOff>180974</xdr:rowOff>
    </xdr:from>
    <xdr:to>
      <xdr:col>17</xdr:col>
      <xdr:colOff>220661</xdr:colOff>
      <xdr:row>92</xdr:row>
      <xdr:rowOff>190499</xdr:rowOff>
    </xdr:to>
    <xdr:graphicFrame macro="">
      <xdr:nvGraphicFramePr>
        <xdr:cNvPr id="3" name="Chart 2"/>
        <xdr:cNvGraphicFramePr/>
      </xdr:nvGraphicFramePr>
      <xdr:xfrm>
        <a:off x="9118600" y="12661900"/>
        <a:ext cx="8985250" cy="515620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4761</xdr:colOff>
      <xdr:row>74</xdr:row>
      <xdr:rowOff>180974</xdr:rowOff>
    </xdr:from>
    <xdr:to>
      <xdr:col>7</xdr:col>
      <xdr:colOff>776286</xdr:colOff>
      <xdr:row>99</xdr:row>
      <xdr:rowOff>190499</xdr:rowOff>
    </xdr:to>
    <xdr:graphicFrame macro="">
      <xdr:nvGraphicFramePr>
        <xdr:cNvPr id="2" name="Chart 1"/>
        <xdr:cNvGraphicFramePr/>
      </xdr:nvGraphicFramePr>
      <xdr:xfrm>
        <a:off x="615950" y="14376400"/>
        <a:ext cx="8286750" cy="47752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8</xdr:col>
      <xdr:colOff>4761</xdr:colOff>
      <xdr:row>74</xdr:row>
      <xdr:rowOff>180974</xdr:rowOff>
    </xdr:from>
    <xdr:to>
      <xdr:col>17</xdr:col>
      <xdr:colOff>220661</xdr:colOff>
      <xdr:row>101</xdr:row>
      <xdr:rowOff>190499</xdr:rowOff>
    </xdr:to>
    <xdr:graphicFrame macro="">
      <xdr:nvGraphicFramePr>
        <xdr:cNvPr id="3" name="Chart 2"/>
        <xdr:cNvGraphicFramePr/>
      </xdr:nvGraphicFramePr>
      <xdr:xfrm>
        <a:off x="9093200" y="14376400"/>
        <a:ext cx="8985250" cy="515620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4761</xdr:colOff>
      <xdr:row>66</xdr:row>
      <xdr:rowOff>180974</xdr:rowOff>
    </xdr:from>
    <xdr:to>
      <xdr:col>7</xdr:col>
      <xdr:colOff>776286</xdr:colOff>
      <xdr:row>91</xdr:row>
      <xdr:rowOff>190499</xdr:rowOff>
    </xdr:to>
    <xdr:graphicFrame macro="">
      <xdr:nvGraphicFramePr>
        <xdr:cNvPr id="2" name="Chart 1"/>
        <xdr:cNvGraphicFramePr/>
      </xdr:nvGraphicFramePr>
      <xdr:xfrm>
        <a:off x="438150" y="12807950"/>
        <a:ext cx="9385300" cy="47752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8</xdr:col>
      <xdr:colOff>4761</xdr:colOff>
      <xdr:row>66</xdr:row>
      <xdr:rowOff>180974</xdr:rowOff>
    </xdr:from>
    <xdr:to>
      <xdr:col>17</xdr:col>
      <xdr:colOff>220661</xdr:colOff>
      <xdr:row>93</xdr:row>
      <xdr:rowOff>190499</xdr:rowOff>
    </xdr:to>
    <xdr:graphicFrame macro="">
      <xdr:nvGraphicFramePr>
        <xdr:cNvPr id="3" name="Chart 2"/>
        <xdr:cNvGraphicFramePr/>
      </xdr:nvGraphicFramePr>
      <xdr:xfrm>
        <a:off x="10013950" y="12807950"/>
        <a:ext cx="8985250" cy="515620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4761</xdr:colOff>
      <xdr:row>63</xdr:row>
      <xdr:rowOff>180974</xdr:rowOff>
    </xdr:from>
    <xdr:to>
      <xdr:col>7</xdr:col>
      <xdr:colOff>776286</xdr:colOff>
      <xdr:row>88</xdr:row>
      <xdr:rowOff>190499</xdr:rowOff>
    </xdr:to>
    <xdr:graphicFrame macro="">
      <xdr:nvGraphicFramePr>
        <xdr:cNvPr id="2" name="Chart 1"/>
        <xdr:cNvGraphicFramePr/>
      </xdr:nvGraphicFramePr>
      <xdr:xfrm>
        <a:off x="438150" y="12236450"/>
        <a:ext cx="8559800" cy="47752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8</xdr:col>
      <xdr:colOff>4761</xdr:colOff>
      <xdr:row>63</xdr:row>
      <xdr:rowOff>180974</xdr:rowOff>
    </xdr:from>
    <xdr:to>
      <xdr:col>17</xdr:col>
      <xdr:colOff>220661</xdr:colOff>
      <xdr:row>90</xdr:row>
      <xdr:rowOff>190499</xdr:rowOff>
    </xdr:to>
    <xdr:graphicFrame macro="">
      <xdr:nvGraphicFramePr>
        <xdr:cNvPr id="3" name="Chart 2"/>
        <xdr:cNvGraphicFramePr/>
      </xdr:nvGraphicFramePr>
      <xdr:xfrm>
        <a:off x="9188450" y="12236450"/>
        <a:ext cx="8985250" cy="515620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4761</xdr:colOff>
      <xdr:row>65</xdr:row>
      <xdr:rowOff>180974</xdr:rowOff>
    </xdr:from>
    <xdr:to>
      <xdr:col>7</xdr:col>
      <xdr:colOff>776286</xdr:colOff>
      <xdr:row>90</xdr:row>
      <xdr:rowOff>190499</xdr:rowOff>
    </xdr:to>
    <xdr:graphicFrame macro="">
      <xdr:nvGraphicFramePr>
        <xdr:cNvPr id="2" name="Chart 1"/>
        <xdr:cNvGraphicFramePr/>
      </xdr:nvGraphicFramePr>
      <xdr:xfrm>
        <a:off x="438150" y="12617450"/>
        <a:ext cx="8559800" cy="47752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8</xdr:col>
      <xdr:colOff>4761</xdr:colOff>
      <xdr:row>65</xdr:row>
      <xdr:rowOff>180974</xdr:rowOff>
    </xdr:from>
    <xdr:to>
      <xdr:col>17</xdr:col>
      <xdr:colOff>220661</xdr:colOff>
      <xdr:row>92</xdr:row>
      <xdr:rowOff>190499</xdr:rowOff>
    </xdr:to>
    <xdr:graphicFrame macro="">
      <xdr:nvGraphicFramePr>
        <xdr:cNvPr id="3" name="Chart 2"/>
        <xdr:cNvGraphicFramePr/>
      </xdr:nvGraphicFramePr>
      <xdr:xfrm>
        <a:off x="9188450" y="12617450"/>
        <a:ext cx="8985250" cy="515620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20</xdr:col>
      <xdr:colOff>219075</xdr:colOff>
      <xdr:row>79</xdr:row>
      <xdr:rowOff>180975</xdr:rowOff>
    </xdr:from>
    <xdr:to>
      <xdr:col>27</xdr:col>
      <xdr:colOff>523875</xdr:colOff>
      <xdr:row>94</xdr:row>
      <xdr:rowOff>47625</xdr:rowOff>
    </xdr:to>
    <xdr:graphicFrame macro="">
      <xdr:nvGraphicFramePr>
        <xdr:cNvPr id="2" name="Chart 1"/>
        <xdr:cNvGraphicFramePr/>
      </xdr:nvGraphicFramePr>
      <xdr:xfrm>
        <a:off x="13754100" y="15703550"/>
        <a:ext cx="4794250" cy="27368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20</xdr:col>
      <xdr:colOff>209550</xdr:colOff>
      <xdr:row>95</xdr:row>
      <xdr:rowOff>66675</xdr:rowOff>
    </xdr:from>
    <xdr:to>
      <xdr:col>27</xdr:col>
      <xdr:colOff>514350</xdr:colOff>
      <xdr:row>109</xdr:row>
      <xdr:rowOff>142875</xdr:rowOff>
    </xdr:to>
    <xdr:graphicFrame macro="">
      <xdr:nvGraphicFramePr>
        <xdr:cNvPr id="3" name="Chart 2"/>
        <xdr:cNvGraphicFramePr/>
      </xdr:nvGraphicFramePr>
      <xdr:xfrm>
        <a:off x="13741400" y="18649950"/>
        <a:ext cx="4794250" cy="274320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18</xdr:col>
      <xdr:colOff>9525</xdr:colOff>
      <xdr:row>52</xdr:row>
      <xdr:rowOff>180975</xdr:rowOff>
    </xdr:from>
    <xdr:to>
      <xdr:col>24</xdr:col>
      <xdr:colOff>600075</xdr:colOff>
      <xdr:row>67</xdr:row>
      <xdr:rowOff>38100</xdr:rowOff>
    </xdr:to>
    <xdr:graphicFrame macro="">
      <xdr:nvGraphicFramePr>
        <xdr:cNvPr id="4" name="Chart 3"/>
        <xdr:cNvGraphicFramePr/>
      </xdr:nvGraphicFramePr>
      <xdr:xfrm>
        <a:off x="11925300" y="10521950"/>
        <a:ext cx="4775200" cy="2730500"/>
      </xdr:xfrm>
      <a:graphic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32</xdr:col>
      <xdr:colOff>371475</xdr:colOff>
      <xdr:row>52</xdr:row>
      <xdr:rowOff>180975</xdr:rowOff>
    </xdr:from>
    <xdr:to>
      <xdr:col>40</xdr:col>
      <xdr:colOff>66675</xdr:colOff>
      <xdr:row>67</xdr:row>
      <xdr:rowOff>38100</xdr:rowOff>
    </xdr:to>
    <xdr:graphicFrame macro="">
      <xdr:nvGraphicFramePr>
        <xdr:cNvPr id="5" name="Chart 4"/>
        <xdr:cNvGraphicFramePr/>
      </xdr:nvGraphicFramePr>
      <xdr:xfrm>
        <a:off x="21602700" y="10521950"/>
        <a:ext cx="4826000" cy="2730500"/>
      </xdr:xfrm>
      <a:graphic>
        <a:graphicData uri="http://schemas.openxmlformats.org/drawingml/2006/chart">
          <c:chart xmlns:c="http://schemas.openxmlformats.org/drawingml/2006/chart" r:id="rId4"/>
        </a:graphicData>
      </a:graphic>
    </xdr:graphicFrame>
    <xdr:clientData/>
  </xdr:twoCellAnchor>
  <xdr:twoCellAnchor>
    <xdr:from>
      <xdr:col>25</xdr:col>
      <xdr:colOff>28575</xdr:colOff>
      <xdr:row>52</xdr:row>
      <xdr:rowOff>180975</xdr:rowOff>
    </xdr:from>
    <xdr:to>
      <xdr:col>32</xdr:col>
      <xdr:colOff>333375</xdr:colOff>
      <xdr:row>67</xdr:row>
      <xdr:rowOff>38100</xdr:rowOff>
    </xdr:to>
    <xdr:graphicFrame macro="">
      <xdr:nvGraphicFramePr>
        <xdr:cNvPr id="6" name="Chart 5"/>
        <xdr:cNvGraphicFramePr/>
      </xdr:nvGraphicFramePr>
      <xdr:xfrm>
        <a:off x="16770350" y="10521950"/>
        <a:ext cx="4794250" cy="2730500"/>
      </xdr:xfrm>
      <a:graphic>
        <a:graphicData uri="http://schemas.openxmlformats.org/drawingml/2006/chart">
          <c:chart xmlns:c="http://schemas.openxmlformats.org/drawingml/2006/chart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36</xdr:row>
      <xdr:rowOff>0</xdr:rowOff>
    </xdr:from>
    <xdr:to>
      <xdr:col>11</xdr:col>
      <xdr:colOff>306518</xdr:colOff>
      <xdr:row>49</xdr:row>
      <xdr:rowOff>152767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877050"/>
          <a:ext cx="12839700" cy="2628900"/>
        </a:xfrm>
        <a:prstGeom prst="rect"/>
        <a:ln>
          <a:noFill/>
        </a:ln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V:\Workgroups\FPC%20AFT\Critical\Customer%20Accounting\Close%20Out\GDF\CAMS%20collection%20suspension%20analysis\Collections%20Statistical%20Report%20-%20Jan%202019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V:\Workgroups\FPC%20AFT\Critical\Customer%20Accounting\Close%20Out\GDF\CAMS%20collection%20suspension%20analysis\Reserve%20Forecast\2020-2024%20Uncollectible%20Expense%20and%20Charge%20Off%20Forecast%201.21.20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Pymt Arrangements"/>
      <sheetName val="AR Summary"/>
      <sheetName val="Charge Off"/>
      <sheetName val="Mtr Test Re-reads"/>
      <sheetName val="CNP &amp; CUT IN by office"/>
      <sheetName val="Percentage restored"/>
      <sheetName val="Cust dep counts 2014"/>
      <sheetName val="Cust dep counts 2019"/>
      <sheetName val="Cust dep counts 2018"/>
      <sheetName val="Cust dep counts 2017"/>
      <sheetName val="Cust dep counts 2016"/>
      <sheetName val="Cust dep counts 2015"/>
      <sheetName val="Cust dep counts 2013"/>
      <sheetName val="Cust dep counts 2012"/>
      <sheetName val="Trigger Tracking"/>
      <sheetName val="Sources"/>
      <sheetName val="Cust dep counts 2011"/>
      <sheetName val="Cust dep counts 2010"/>
      <sheetName val="Cust dep counts 2009"/>
      <sheetName val="Cust dep counts 2008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 - Accrual Reserve Budget 4YR"/>
      <sheetName val="Total Retail Revenues"/>
      <sheetName val="Base Rev Fcst donotuse"/>
      <sheetName val="Rev Forecast 2020-2025"/>
      <sheetName val="GULF - 2018 Revenue Forecast"/>
      <sheetName val="Scenario Info"/>
      <sheetName val="Bad Debt Factor (C11 BDF)"/>
      <sheetName val="MFR C-11 (2016 Rate Review)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vmlDrawing" Target="../drawings/vmlDrawing8.vml" /><Relationship Id="rId3" Type="http://schemas.openxmlformats.org/officeDocument/2006/relationships/printerSettings" Target="../printerSettings/printerSettings10.bin" /><Relationship Id="rId4" Type="http://schemas.openxmlformats.org/officeDocument/2006/relationships/customProperty" Target="../customProperty3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vmlDrawing" Target="../drawings/vmlDrawing9.vml" /><Relationship Id="rId3" Type="http://schemas.openxmlformats.org/officeDocument/2006/relationships/printerSettings" Target="../printerSettings/printerSettings11.bin" /><Relationship Id="rId4" Type="http://schemas.openxmlformats.org/officeDocument/2006/relationships/customProperty" Target="../customProperty4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Relationship Id="rId2" Type="http://schemas.openxmlformats.org/officeDocument/2006/relationships/vmlDrawing" Target="../drawings/vmlDrawing10.vml" /><Relationship Id="rId3" Type="http://schemas.openxmlformats.org/officeDocument/2006/relationships/printerSettings" Target="../printerSettings/printerSettings12.bin" /><Relationship Id="rId4" Type="http://schemas.openxmlformats.org/officeDocument/2006/relationships/customProperty" Target="../customProperty5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1.vml" /><Relationship Id="rId2" Type="http://schemas.openxmlformats.org/officeDocument/2006/relationships/printerSettings" Target="../printerSettings/printerSettings13.bin" /><Relationship Id="rId3" Type="http://schemas.openxmlformats.org/officeDocument/2006/relationships/customProperty" Target="../customProperty6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Relationship Id="rId2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2.vml" /><Relationship Id="rId2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3.vml" /><Relationship Id="rId2" Type="http://schemas.openxmlformats.org/officeDocument/2006/relationships/printerSettings" Target="../printerSettings/printerSettings16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4.bin" /><Relationship Id="rId4" Type="http://schemas.openxmlformats.org/officeDocument/2006/relationships/customProperty" Target="../customProperty1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vmlDrawing" Target="../drawings/vmlDrawing3.vml" /><Relationship Id="rId3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vmlDrawing" Target="../drawings/vmlDrawing4.vml" /><Relationship Id="rId3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5.vml" /><Relationship Id="rId2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vmlDrawing" Target="../drawings/vmlDrawing6.vml" /><Relationship Id="rId3" Type="http://schemas.openxmlformats.org/officeDocument/2006/relationships/printerSettings" Target="../printerSettings/printerSettings8.bin" /><Relationship Id="rId4" Type="http://schemas.openxmlformats.org/officeDocument/2006/relationships/customProperty" Target="../customProperty2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7.vml" /><Relationship Id="rId2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8"/>
    <pageSetUpPr fitToPage="1"/>
  </sheetPr>
  <dimension ref="A1:C32"/>
  <sheetViews>
    <sheetView workbookViewId="0" topLeftCell="A1">
      <selection pane="topLeft" activeCell="A1" sqref="A1"/>
    </sheetView>
  </sheetViews>
  <sheetFormatPr defaultColWidth="8.72727272727273" defaultRowHeight="16"/>
  <cols>
    <col min="1" max="1" width="31.1818181818182" style="251" customWidth="1"/>
    <col min="2" max="2" width="19.2727272727273" style="262" customWidth="1"/>
    <col min="3" max="3" width="41" style="250" customWidth="1"/>
    <col min="4" max="16384" width="9.18181818181818" style="251"/>
  </cols>
  <sheetData>
    <row r="1" ht="15.75">
      <c r="A1" s="279" t="s">
        <v>244</v>
      </c>
    </row>
    <row r="2" ht="15.75">
      <c r="A2" s="278" t="s">
        <v>243</v>
      </c>
    </row>
    <row r="6" spans="1:3" ht="21">
      <c r="A6" s="266" t="s">
        <v>235</v>
      </c>
      <c r="B6" s="266"/>
      <c r="C6" s="266"/>
    </row>
    <row r="8" spans="1:3" s="249" customFormat="1" ht="15.75">
      <c r="A8" s="249" t="s">
        <v>218</v>
      </c>
      <c r="B8" s="263" t="s">
        <v>236</v>
      </c>
      <c r="C8" s="252" t="s">
        <v>219</v>
      </c>
    </row>
    <row r="9" spans="1:3" s="254" customFormat="1" ht="31.5">
      <c r="A9" s="258" t="s">
        <v>232</v>
      </c>
      <c r="B9" s="264">
        <v>2500</v>
      </c>
      <c r="C9" s="253"/>
    </row>
    <row r="10" spans="1:3" ht="15.75">
      <c r="A10" s="255"/>
      <c r="B10" s="265"/>
      <c r="C10" s="256"/>
    </row>
    <row r="11" spans="1:3" ht="31.5">
      <c r="A11" s="257" t="s">
        <v>220</v>
      </c>
      <c r="B11" s="265">
        <v>248</v>
      </c>
      <c r="C11" s="256" t="s">
        <v>237</v>
      </c>
    </row>
    <row r="12" spans="1:3" ht="36">
      <c r="A12" s="257" t="s">
        <v>221</v>
      </c>
      <c r="B12" s="265">
        <v>700</v>
      </c>
      <c r="C12" s="256" t="s">
        <v>222</v>
      </c>
    </row>
    <row r="13" spans="1:3" s="254" customFormat="1" ht="31.5">
      <c r="A13" s="258" t="s">
        <v>223</v>
      </c>
      <c r="B13" s="264">
        <f>SUM(B9:B12)</f>
        <v>3448</v>
      </c>
      <c r="C13" s="253"/>
    </row>
    <row r="14" spans="1:3" ht="15.75">
      <c r="A14" s="257"/>
      <c r="B14" s="265"/>
      <c r="C14" s="256"/>
    </row>
    <row r="15" spans="1:3" ht="31.5">
      <c r="A15" s="257" t="s">
        <v>224</v>
      </c>
      <c r="B15" s="265">
        <f>'Scenario Analysis'!C11/1000</f>
        <v>6376.2558924840059</v>
      </c>
      <c r="C15" s="256" t="s">
        <v>225</v>
      </c>
    </row>
    <row r="16" spans="1:3" s="254" customFormat="1" ht="15.75">
      <c r="A16" s="258" t="s">
        <v>226</v>
      </c>
      <c r="B16" s="264">
        <f>B13+B15</f>
        <v>9824.255892484005</v>
      </c>
      <c r="C16" s="253"/>
    </row>
    <row r="17" spans="1:3" ht="15.75">
      <c r="A17" s="257"/>
      <c r="B17" s="265"/>
      <c r="C17" s="256"/>
    </row>
    <row r="18" spans="1:3" ht="31.5">
      <c r="A18" s="257" t="s">
        <v>227</v>
      </c>
      <c r="B18" s="265">
        <f>'Scenario Analysis'!E12/1000</f>
        <v>-3834.0506997894131</v>
      </c>
      <c r="C18" s="256" t="s">
        <v>228</v>
      </c>
    </row>
    <row r="19" spans="1:3" ht="36">
      <c r="A19" s="257" t="s">
        <v>229</v>
      </c>
      <c r="B19" s="265">
        <f>('CO Gross 4m add''l resources'!D29-'CO Gross 4m'!D30)/1000</f>
        <v>-1180.836743644541</v>
      </c>
      <c r="C19" s="256" t="s">
        <v>230</v>
      </c>
    </row>
    <row r="20" spans="1:3" ht="47.25">
      <c r="A20" s="257" t="s">
        <v>231</v>
      </c>
      <c r="B20" s="265">
        <f>-'CO Gross 4m add''l resources'!C46/1000</f>
        <v>-370.03193720571477</v>
      </c>
      <c r="C20" s="256" t="s">
        <v>238</v>
      </c>
    </row>
    <row r="21" spans="1:3" s="254" customFormat="1" ht="31.5">
      <c r="A21" s="258" t="s">
        <v>233</v>
      </c>
      <c r="B21" s="264">
        <f>SUM(B16:B20)</f>
        <v>4439.3365118443362</v>
      </c>
      <c r="C21" s="253"/>
    </row>
    <row r="22" spans="1:3" ht="15.75">
      <c r="A22" s="257"/>
      <c r="B22" s="265"/>
      <c r="C22" s="256"/>
    </row>
    <row r="23" spans="1:3" ht="15.75">
      <c r="A23" s="257" t="s">
        <v>234</v>
      </c>
      <c r="B23" s="265">
        <f>B9-B21</f>
        <v>-1939.3365118443362</v>
      </c>
      <c r="C23" s="256"/>
    </row>
    <row r="24" spans="1:3" ht="15.75">
      <c r="A24" s="257"/>
      <c r="B24" s="265"/>
      <c r="C24" s="256"/>
    </row>
    <row r="25" spans="1:3" ht="31.5">
      <c r="A25" s="257" t="s">
        <v>239</v>
      </c>
      <c r="B25" s="265">
        <f>B13-B21</f>
        <v>-991.3365118443362</v>
      </c>
      <c r="C25" s="256"/>
    </row>
    <row r="26" spans="1:3" ht="15.75">
      <c r="A26" s="257"/>
      <c r="B26" s="265"/>
      <c r="C26" s="259"/>
    </row>
    <row r="27" spans="1:3" ht="46.5" customHeight="1">
      <c r="A27" s="267" t="s">
        <v>241</v>
      </c>
      <c r="B27" s="267"/>
      <c r="C27" s="267"/>
    </row>
    <row r="28" spans="1:3" ht="24.75" customHeight="1">
      <c r="A28" s="255" t="s">
        <v>242</v>
      </c>
      <c r="B28" s="265"/>
      <c r="C28" s="259"/>
    </row>
    <row r="29" spans="1:3" ht="15.75">
      <c r="A29" s="257"/>
      <c r="B29" s="265"/>
      <c r="C29" s="259"/>
    </row>
    <row r="30" spans="1:3" ht="15.75">
      <c r="A30" s="257"/>
      <c r="B30" s="265"/>
      <c r="C30" s="259"/>
    </row>
    <row r="31" spans="1:3" ht="15.75">
      <c r="A31" s="260"/>
      <c r="C31" s="261"/>
    </row>
    <row r="32" ht="15.75">
      <c r="A32" s="260"/>
    </row>
  </sheetData>
  <mergeCells count="2">
    <mergeCell ref="A6:C6"/>
    <mergeCell ref="A27:C27"/>
  </mergeCells>
  <printOptions horizontalCentered="1"/>
  <pageMargins left="0.7" right="0.7" top="0.75" bottom="0.75" header="0.3" footer="0.3"/>
  <pageSetup orientation="landscape" scale="1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63"/>
  <sheetViews>
    <sheetView workbookViewId="0" topLeftCell="A1">
      <selection pane="topLeft" activeCell="A1" sqref="A1"/>
    </sheetView>
  </sheetViews>
  <sheetFormatPr defaultColWidth="8.72727272727273" defaultRowHeight="15"/>
  <cols>
    <col min="1" max="1" width="6.18181818181818" customWidth="1"/>
    <col min="2" max="2" width="31.8181818181818" bestFit="1" customWidth="1"/>
    <col min="3" max="3" width="25.1818181818182" customWidth="1"/>
    <col min="4" max="5" width="13.5454545454545" bestFit="1" customWidth="1"/>
    <col min="6" max="12" width="13.7272727272727" bestFit="1" customWidth="1"/>
    <col min="13" max="14" width="14.2727272727273" bestFit="1" customWidth="1"/>
    <col min="15" max="15" width="13.7272727272727" bestFit="1" customWidth="1"/>
    <col min="16" max="16" width="14.8181818181818" bestFit="1" customWidth="1"/>
    <col min="17" max="19" width="13.5454545454545" bestFit="1" customWidth="1"/>
    <col min="20" max="22" width="11.5454545454545" bestFit="1" customWidth="1"/>
    <col min="23" max="26" width="12.5454545454545" bestFit="1" customWidth="1"/>
    <col min="27" max="27" width="10.2727272727273" customWidth="1"/>
  </cols>
  <sheetData>
    <row r="1" s="242" customFormat="1" ht="15">
      <c r="A1" s="276" t="s">
        <v>253</v>
      </c>
    </row>
    <row r="2" s="242" customFormat="1" ht="15">
      <c r="A2" s="276" t="s">
        <v>243</v>
      </c>
    </row>
    <row r="3" s="242" customFormat="1" ht="15"/>
    <row r="4" s="242" customFormat="1" ht="15"/>
    <row r="5" s="242" customFormat="1" ht="15"/>
    <row r="6" spans="4:18" ht="15"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1" t="s">
        <v>5</v>
      </c>
      <c r="J6" s="1" t="s">
        <v>6</v>
      </c>
      <c r="K6" s="1" t="s">
        <v>7</v>
      </c>
      <c r="L6" s="1" t="s">
        <v>8</v>
      </c>
      <c r="M6" s="1" t="s">
        <v>9</v>
      </c>
      <c r="N6" s="1" t="s">
        <v>10</v>
      </c>
      <c r="O6" s="2" t="s">
        <v>11</v>
      </c>
      <c r="P6" s="1" t="s">
        <v>0</v>
      </c>
      <c r="Q6" s="1" t="s">
        <v>1</v>
      </c>
      <c r="R6" s="1" t="s">
        <v>2</v>
      </c>
    </row>
    <row r="7" spans="1:18" ht="15">
      <c r="A7" t="s">
        <v>12</v>
      </c>
      <c r="D7" s="3">
        <v>404727.53021701647</v>
      </c>
      <c r="E7" s="3">
        <v>305926.56073394307</v>
      </c>
      <c r="F7" s="3">
        <v>174825.27803798296</v>
      </c>
      <c r="G7" s="3">
        <v>319252.21384705772</v>
      </c>
      <c r="H7" s="3">
        <v>374630.40997862176</v>
      </c>
      <c r="I7" s="3">
        <v>228806.32100893205</v>
      </c>
      <c r="J7" s="3">
        <v>175736.90242606847</v>
      </c>
      <c r="K7" s="3">
        <v>139310.57231100238</v>
      </c>
      <c r="L7" s="3">
        <v>220216.09091582111</v>
      </c>
      <c r="M7" s="3">
        <v>367251.92169789685</v>
      </c>
      <c r="N7" s="3">
        <v>425907.76303631364</v>
      </c>
      <c r="O7" s="4">
        <v>500903.92406990228</v>
      </c>
      <c r="P7" s="3">
        <v>395827.75032219832</v>
      </c>
      <c r="Q7" s="3">
        <v>299199.3705844346</v>
      </c>
      <c r="R7" s="3">
        <v>170980.94727611422</v>
      </c>
    </row>
    <row r="8" ht="15">
      <c r="A8" t="s">
        <v>101</v>
      </c>
    </row>
    <row r="9" ht="15.75" thickBot="1"/>
    <row r="10" spans="4:27" ht="15">
      <c r="D10" s="268">
        <v>2020</v>
      </c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70"/>
      <c r="P10" s="5">
        <v>2021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2:27" ht="15.75" thickBot="1">
      <c r="B11" t="s">
        <v>13</v>
      </c>
      <c r="D11" s="8" t="s">
        <v>0</v>
      </c>
      <c r="E11" s="9" t="s">
        <v>1</v>
      </c>
      <c r="F11" s="9" t="s">
        <v>2</v>
      </c>
      <c r="G11" s="9" t="s">
        <v>3</v>
      </c>
      <c r="H11" s="9" t="s">
        <v>4</v>
      </c>
      <c r="I11" s="9" t="s">
        <v>5</v>
      </c>
      <c r="J11" s="9" t="s">
        <v>6</v>
      </c>
      <c r="K11" s="9" t="s">
        <v>7</v>
      </c>
      <c r="L11" s="9" t="s">
        <v>8</v>
      </c>
      <c r="M11" s="9" t="s">
        <v>9</v>
      </c>
      <c r="N11" s="9" t="s">
        <v>10</v>
      </c>
      <c r="O11" s="10" t="s">
        <v>11</v>
      </c>
      <c r="P11" s="8" t="s">
        <v>0</v>
      </c>
      <c r="Q11" s="9" t="s">
        <v>1</v>
      </c>
      <c r="R11" s="9" t="s">
        <v>2</v>
      </c>
      <c r="S11" s="9" t="s">
        <v>3</v>
      </c>
      <c r="T11" s="9" t="s">
        <v>4</v>
      </c>
      <c r="U11" s="9" t="s">
        <v>5</v>
      </c>
      <c r="V11" s="9" t="s">
        <v>6</v>
      </c>
      <c r="W11" s="9" t="s">
        <v>7</v>
      </c>
      <c r="X11" s="9" t="s">
        <v>8</v>
      </c>
      <c r="Y11" s="9" t="s">
        <v>9</v>
      </c>
      <c r="Z11" s="9" t="s">
        <v>10</v>
      </c>
      <c r="AA11" s="10" t="s">
        <v>11</v>
      </c>
    </row>
    <row r="12" spans="1:15" ht="15">
      <c r="A12" t="s">
        <v>14</v>
      </c>
      <c r="B12" t="s">
        <v>15</v>
      </c>
      <c r="D12" t="s">
        <v>16</v>
      </c>
      <c r="E12" t="s">
        <v>17</v>
      </c>
      <c r="F12" t="s">
        <v>18</v>
      </c>
      <c r="G12" t="s">
        <v>18</v>
      </c>
      <c r="H12" t="s">
        <v>18</v>
      </c>
      <c r="I12" t="s">
        <v>18</v>
      </c>
      <c r="J12" t="s">
        <v>18</v>
      </c>
      <c r="K12" t="s">
        <v>18</v>
      </c>
      <c r="L12" t="s">
        <v>18</v>
      </c>
      <c r="M12" t="s">
        <v>18</v>
      </c>
      <c r="N12" t="s">
        <v>18</v>
      </c>
      <c r="O12" t="s">
        <v>18</v>
      </c>
    </row>
    <row r="13" spans="2:15" ht="15">
      <c r="B13" t="s">
        <v>19</v>
      </c>
      <c r="D13" t="s">
        <v>20</v>
      </c>
      <c r="E13" t="s">
        <v>17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  <c r="M13" t="s">
        <v>18</v>
      </c>
      <c r="N13" t="s">
        <v>18</v>
      </c>
      <c r="O13" t="s">
        <v>18</v>
      </c>
    </row>
    <row r="14" spans="2:15" ht="15">
      <c r="B14" t="s">
        <v>96</v>
      </c>
      <c r="D14" t="s">
        <v>97</v>
      </c>
      <c r="E14" t="s">
        <v>22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  <c r="M14" t="s">
        <v>18</v>
      </c>
      <c r="N14" t="s">
        <v>18</v>
      </c>
      <c r="O14" t="s">
        <v>18</v>
      </c>
    </row>
    <row r="16" spans="1:15" ht="15">
      <c r="A16" t="s">
        <v>21</v>
      </c>
      <c r="B16" t="s">
        <v>15</v>
      </c>
      <c r="D16" t="s">
        <v>22</v>
      </c>
      <c r="E16" t="s">
        <v>22</v>
      </c>
      <c r="F16" s="11" t="s">
        <v>16</v>
      </c>
      <c r="G16" s="12" t="s">
        <v>16</v>
      </c>
      <c r="H16" s="12" t="s">
        <v>16</v>
      </c>
      <c r="I16" s="12" t="s">
        <v>16</v>
      </c>
      <c r="J16" s="12" t="s">
        <v>16</v>
      </c>
      <c r="K16" s="12" t="s">
        <v>16</v>
      </c>
      <c r="L16" s="12" t="s">
        <v>16</v>
      </c>
      <c r="M16" s="12" t="s">
        <v>16</v>
      </c>
      <c r="N16" s="12" t="s">
        <v>16</v>
      </c>
      <c r="O16" s="12" t="s">
        <v>16</v>
      </c>
    </row>
    <row r="17" spans="2:15" ht="15">
      <c r="B17" t="s">
        <v>23</v>
      </c>
      <c r="D17" t="s">
        <v>22</v>
      </c>
      <c r="E17" t="s">
        <v>22</v>
      </c>
      <c r="F17" s="11" t="s">
        <v>16</v>
      </c>
      <c r="G17" s="12" t="s">
        <v>16</v>
      </c>
      <c r="H17" s="12" t="s">
        <v>16</v>
      </c>
      <c r="I17" s="12" t="s">
        <v>16</v>
      </c>
      <c r="J17" s="12" t="s">
        <v>16</v>
      </c>
      <c r="K17" s="12" t="s">
        <v>16</v>
      </c>
      <c r="L17" s="12" t="s">
        <v>16</v>
      </c>
      <c r="M17" s="12" t="s">
        <v>16</v>
      </c>
      <c r="N17" s="12" t="s">
        <v>16</v>
      </c>
      <c r="O17" s="12" t="s">
        <v>16</v>
      </c>
    </row>
    <row r="18" spans="2:18" ht="15">
      <c r="B18" t="s">
        <v>24</v>
      </c>
      <c r="D18" s="13" t="s">
        <v>22</v>
      </c>
      <c r="E18" s="13" t="s">
        <v>22</v>
      </c>
      <c r="F18" s="13" t="s">
        <v>22</v>
      </c>
      <c r="G18" s="13" t="s">
        <v>22</v>
      </c>
      <c r="H18" s="13" t="s">
        <v>22</v>
      </c>
      <c r="I18" s="13" t="s">
        <v>22</v>
      </c>
      <c r="J18" s="13" t="s">
        <v>22</v>
      </c>
      <c r="K18" s="13" t="s">
        <v>22</v>
      </c>
      <c r="L18" s="11" t="s">
        <v>16</v>
      </c>
      <c r="M18" s="12" t="s">
        <v>16</v>
      </c>
      <c r="N18" s="12" t="s">
        <v>16</v>
      </c>
      <c r="O18" s="12" t="s">
        <v>16</v>
      </c>
      <c r="P18" s="12" t="s">
        <v>16</v>
      </c>
      <c r="Q18" s="12" t="s">
        <v>16</v>
      </c>
      <c r="R18" s="12" t="s">
        <v>16</v>
      </c>
    </row>
    <row r="19" spans="2:18" ht="15">
      <c r="B19" t="s">
        <v>96</v>
      </c>
      <c r="D19" s="13" t="s">
        <v>22</v>
      </c>
      <c r="E19" s="13" t="s">
        <v>22</v>
      </c>
      <c r="F19" s="13" t="s">
        <v>22</v>
      </c>
      <c r="G19" s="13" t="s">
        <v>22</v>
      </c>
      <c r="H19" s="13" t="s">
        <v>22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2"/>
    </row>
    <row r="20" ht="15">
      <c r="A20" s="14"/>
    </row>
    <row r="21" spans="2:15" ht="15">
      <c r="B21" s="15" t="s">
        <v>26</v>
      </c>
      <c r="D21" s="16">
        <f>D22/$C$22</f>
        <v>0.12885503407365848</v>
      </c>
      <c r="E21" s="16">
        <f t="shared" si="0" ref="E21:O21">E22/$C$22</f>
        <v>0.11645647466334119</v>
      </c>
      <c r="F21" s="16">
        <f t="shared" si="0"/>
        <v>0.097441063671361197</v>
      </c>
      <c r="G21" s="16">
        <f t="shared" si="0"/>
        <v>0.06799092009988475</v>
      </c>
      <c r="H21" s="16">
        <f t="shared" si="0"/>
        <v>0.063534714435379114</v>
      </c>
      <c r="I21" s="16">
        <f t="shared" si="0"/>
        <v>0.048585545906572276</v>
      </c>
      <c r="J21" s="16">
        <f t="shared" si="0"/>
        <v>0.048036846093920726</v>
      </c>
      <c r="K21" s="16">
        <f t="shared" si="0"/>
        <v>0.053478097939496601</v>
      </c>
      <c r="L21" s="16">
        <f t="shared" si="0"/>
        <v>0.066732887219844259</v>
      </c>
      <c r="M21" s="16">
        <f t="shared" si="0"/>
        <v>0.087860720067002934</v>
      </c>
      <c r="N21" s="16">
        <f t="shared" si="0"/>
        <v>0.10403152619958545</v>
      </c>
      <c r="O21" s="16">
        <f t="shared" si="0"/>
        <v>0.11699616962995298</v>
      </c>
    </row>
    <row r="22" spans="2:15" ht="15">
      <c r="B22" t="s">
        <v>27</v>
      </c>
      <c r="C22" s="17">
        <f>SUM(D22:O22)</f>
        <v>14471033.628139529</v>
      </c>
      <c r="D22" s="17">
        <v>1864665.5312349768</v>
      </c>
      <c r="E22" s="17">
        <v>1685245.5610677896</v>
      </c>
      <c r="F22" s="17">
        <v>1410072.9091499529</v>
      </c>
      <c r="G22" s="17">
        <v>983898.89117358008</v>
      </c>
      <c r="H22" s="17">
        <v>919412.98914861318</v>
      </c>
      <c r="I22" s="17">
        <v>703083.06865552429</v>
      </c>
      <c r="J22" s="17">
        <v>695142.81521488982</v>
      </c>
      <c r="K22" s="17">
        <v>773883.3536513946</v>
      </c>
      <c r="L22" s="17">
        <v>965693.85506120895</v>
      </c>
      <c r="M22" s="17">
        <v>1271435.4346821529</v>
      </c>
      <c r="N22" s="17">
        <v>1505443.7140208795</v>
      </c>
      <c r="O22" s="17">
        <v>1693055.5050785663</v>
      </c>
    </row>
    <row r="23" spans="2:15" ht="15">
      <c r="B23" t="s">
        <v>28</v>
      </c>
      <c r="C23" s="18">
        <v>6592661</v>
      </c>
      <c r="D23" s="17">
        <f>D24*$C$23</f>
        <v>809014.32507746201</v>
      </c>
      <c r="E23" s="17">
        <f t="shared" si="1" ref="E23:O23">E24*$C$23</f>
        <v>579233.45506721467</v>
      </c>
      <c r="F23" s="17">
        <f t="shared" si="1"/>
        <v>464561.52050412691</v>
      </c>
      <c r="G23" s="17">
        <f t="shared" si="1"/>
        <v>550308.5308109693</v>
      </c>
      <c r="H23" s="17">
        <f t="shared" si="1"/>
        <v>480433.8906342265</v>
      </c>
      <c r="I23" s="17">
        <f t="shared" si="1"/>
        <v>398048.95910882764</v>
      </c>
      <c r="J23" s="17">
        <f t="shared" si="1"/>
        <v>370892.5384730947</v>
      </c>
      <c r="K23" s="17">
        <f t="shared" si="1"/>
        <v>361429.89985527145</v>
      </c>
      <c r="L23" s="17">
        <f t="shared" si="1"/>
        <v>429817.4339148603</v>
      </c>
      <c r="M23" s="17">
        <f t="shared" si="1"/>
        <v>624838.92275177385</v>
      </c>
      <c r="N23" s="17">
        <f t="shared" si="1"/>
        <v>735009.26402655442</v>
      </c>
      <c r="O23" s="17">
        <f t="shared" si="1"/>
        <v>789072.25977561786</v>
      </c>
    </row>
    <row r="24" spans="2:15" ht="15.75" thickBot="1">
      <c r="B24" t="s">
        <v>29</v>
      </c>
      <c r="C24" s="19"/>
      <c r="D24" s="20">
        <v>0.12271438271700334</v>
      </c>
      <c r="E24" s="20">
        <v>0.087860342745852499</v>
      </c>
      <c r="F24" s="20">
        <v>0.070466465741849449</v>
      </c>
      <c r="G24" s="20">
        <v>0.083472899760956815</v>
      </c>
      <c r="H24" s="20">
        <v>0.072874047464935102</v>
      </c>
      <c r="I24" s="20">
        <v>0.060377586396271193</v>
      </c>
      <c r="J24" s="20">
        <v>0.056258396795026269</v>
      </c>
      <c r="K24" s="20">
        <v>0.054823067628575389</v>
      </c>
      <c r="L24" s="20">
        <v>0.06519634998900449</v>
      </c>
      <c r="M24" s="20">
        <v>0.094777954266384065</v>
      </c>
      <c r="N24" s="20">
        <v>0.11148901240736547</v>
      </c>
      <c r="O24" s="20">
        <v>0.11968949408677587</v>
      </c>
    </row>
    <row r="25" ht="15.75" thickTop="1">
      <c r="C25" s="17"/>
    </row>
    <row r="26" spans="1:18" ht="15">
      <c r="A26" s="14">
        <v>0.30</v>
      </c>
      <c r="B26" t="s">
        <v>15</v>
      </c>
      <c r="C26" s="17">
        <f>SUM(D26:O26)</f>
        <v>1977798.2999999998</v>
      </c>
      <c r="D26" s="17">
        <f>D$23*$A26</f>
        <v>242704.29752323858</v>
      </c>
      <c r="E26" s="17">
        <f t="shared" si="2" ref="E26:O27">E$23*$A26</f>
        <v>173770.0365201644</v>
      </c>
      <c r="F26" s="17">
        <f t="shared" si="2"/>
        <v>139368.45615123806</v>
      </c>
      <c r="G26" s="17">
        <f t="shared" si="2"/>
        <v>165092.55924329077</v>
      </c>
      <c r="H26" s="17">
        <f t="shared" si="2"/>
        <v>144130.16719026794</v>
      </c>
      <c r="I26" s="17">
        <f t="shared" si="2"/>
        <v>119414.68773264828</v>
      </c>
      <c r="J26" s="17">
        <f t="shared" si="2"/>
        <v>111267.76154192841</v>
      </c>
      <c r="K26" s="17">
        <f t="shared" si="2"/>
        <v>108428.96995658144</v>
      </c>
      <c r="L26" s="17">
        <f t="shared" si="2"/>
        <v>128945.23017445809</v>
      </c>
      <c r="M26" s="17">
        <f t="shared" si="2"/>
        <v>187451.67682553214</v>
      </c>
      <c r="N26" s="17">
        <f t="shared" si="2"/>
        <v>220502.77920796632</v>
      </c>
      <c r="O26" s="17">
        <f t="shared" si="2"/>
        <v>236721.67793268536</v>
      </c>
      <c r="P26" s="17">
        <f>D26</f>
        <v>242704.29752323858</v>
      </c>
      <c r="Q26" s="17">
        <f t="shared" si="3" ref="Q26:R27">E26</f>
        <v>173770.0365201644</v>
      </c>
      <c r="R26" s="17">
        <f t="shared" si="3"/>
        <v>139368.45615123806</v>
      </c>
    </row>
    <row r="27" spans="1:18" ht="15">
      <c r="A27" s="14">
        <v>0.70</v>
      </c>
      <c r="B27" t="s">
        <v>19</v>
      </c>
      <c r="C27" s="17">
        <f>SUM(D27:O27)</f>
        <v>4614862.6999999993</v>
      </c>
      <c r="D27" s="17">
        <f t="shared" si="4" ref="D27">D$23*$A27</f>
        <v>566310.02755422331</v>
      </c>
      <c r="E27" s="17">
        <f t="shared" si="2"/>
        <v>405463.41854705027</v>
      </c>
      <c r="F27" s="17">
        <f t="shared" si="2"/>
        <v>325193.06435288879</v>
      </c>
      <c r="G27" s="21">
        <f t="shared" si="2"/>
        <v>385215.9715676785</v>
      </c>
      <c r="H27" s="22">
        <f t="shared" si="2"/>
        <v>336303.7234439585</v>
      </c>
      <c r="I27" s="22">
        <f t="shared" si="2"/>
        <v>278634.2713761793</v>
      </c>
      <c r="J27" s="22">
        <f t="shared" si="2"/>
        <v>259624.77693116627</v>
      </c>
      <c r="K27" s="22">
        <f t="shared" si="2"/>
        <v>253000.92989869</v>
      </c>
      <c r="L27" s="22">
        <f t="shared" si="2"/>
        <v>300872.20374040218</v>
      </c>
      <c r="M27" s="22">
        <f t="shared" si="2"/>
        <v>437387.24592624168</v>
      </c>
      <c r="N27" s="22">
        <f t="shared" si="2"/>
        <v>514506.48481858807</v>
      </c>
      <c r="O27" s="17">
        <f t="shared" si="2"/>
        <v>552350.5818429325</v>
      </c>
      <c r="P27" s="17">
        <f t="shared" si="5" ref="P27">D27</f>
        <v>566310.02755422331</v>
      </c>
      <c r="Q27" s="17">
        <f t="shared" si="3"/>
        <v>405463.41854705027</v>
      </c>
      <c r="R27" s="17">
        <f t="shared" si="3"/>
        <v>325193.06435288879</v>
      </c>
    </row>
    <row r="28" spans="2:18" ht="15.75" thickBot="1">
      <c r="B28" t="s">
        <v>30</v>
      </c>
      <c r="G28" s="8" t="s">
        <v>31</v>
      </c>
      <c r="H28" s="9" t="s">
        <v>1</v>
      </c>
      <c r="I28" s="9" t="s">
        <v>2</v>
      </c>
      <c r="J28" s="9" t="s">
        <v>3</v>
      </c>
      <c r="K28" s="9" t="s">
        <v>4</v>
      </c>
      <c r="L28" s="9" t="s">
        <v>5</v>
      </c>
      <c r="M28" s="9" t="s">
        <v>6</v>
      </c>
      <c r="N28" s="9" t="s">
        <v>7</v>
      </c>
      <c r="O28" s="9" t="s">
        <v>8</v>
      </c>
      <c r="P28" s="9" t="s">
        <v>9</v>
      </c>
      <c r="Q28" s="9" t="s">
        <v>10</v>
      </c>
      <c r="R28" s="10" t="s">
        <v>11</v>
      </c>
    </row>
    <row r="29" spans="2:18" ht="15">
      <c r="B29" t="s">
        <v>32</v>
      </c>
      <c r="G29" s="2" t="s">
        <v>6</v>
      </c>
      <c r="H29" s="2" t="s">
        <v>33</v>
      </c>
      <c r="I29" s="2" t="s">
        <v>7</v>
      </c>
      <c r="J29" s="23" t="s">
        <v>34</v>
      </c>
      <c r="K29" s="2" t="s">
        <v>8</v>
      </c>
      <c r="L29" s="23" t="s">
        <v>35</v>
      </c>
      <c r="M29" s="2" t="s">
        <v>9</v>
      </c>
      <c r="N29" s="23" t="s">
        <v>36</v>
      </c>
      <c r="O29" s="24" t="s">
        <v>10</v>
      </c>
      <c r="P29" s="2" t="s">
        <v>37</v>
      </c>
      <c r="Q29" s="2" t="s">
        <v>11</v>
      </c>
      <c r="R29" s="2" t="s">
        <v>38</v>
      </c>
    </row>
    <row r="30" spans="2:18" ht="15">
      <c r="B30" t="s">
        <v>39</v>
      </c>
      <c r="G30" s="25">
        <v>6</v>
      </c>
      <c r="H30" s="25">
        <f>G30-0.5</f>
        <v>5.50</v>
      </c>
      <c r="I30" s="25">
        <f t="shared" si="6" ref="I30:R30">H30-0.5</f>
        <v>5</v>
      </c>
      <c r="J30" s="25">
        <f t="shared" si="6"/>
        <v>4.50</v>
      </c>
      <c r="K30" s="25">
        <f t="shared" si="6"/>
        <v>4</v>
      </c>
      <c r="L30" s="25">
        <f t="shared" si="6"/>
        <v>3.50</v>
      </c>
      <c r="M30" s="25">
        <f t="shared" si="6"/>
        <v>3</v>
      </c>
      <c r="N30" s="25">
        <f t="shared" si="6"/>
        <v>2.50</v>
      </c>
      <c r="O30" s="25">
        <f t="shared" si="6"/>
        <v>2</v>
      </c>
      <c r="P30" s="25">
        <f t="shared" si="6"/>
        <v>1.50</v>
      </c>
      <c r="Q30" s="25">
        <f t="shared" si="6"/>
        <v>1</v>
      </c>
      <c r="R30" s="25">
        <f t="shared" si="6"/>
        <v>0.50</v>
      </c>
    </row>
    <row r="31" spans="2:18" ht="15">
      <c r="B31" t="s">
        <v>40</v>
      </c>
      <c r="C31" s="26">
        <f>SUM(G31:R31)</f>
        <v>6376255.8924840055</v>
      </c>
      <c r="G31" s="17">
        <f>G27/2/2*G30</f>
        <v>577823.95735151775</v>
      </c>
      <c r="H31" s="17">
        <f t="shared" si="7" ref="H31:R31">H27/2*H30</f>
        <v>924835.23947088583</v>
      </c>
      <c r="I31" s="17">
        <f t="shared" si="7"/>
        <v>696585.67844044825</v>
      </c>
      <c r="J31" s="17">
        <f t="shared" si="7"/>
        <v>584155.74809512415</v>
      </c>
      <c r="K31" s="17">
        <f t="shared" si="7"/>
        <v>506001.85979737999</v>
      </c>
      <c r="L31" s="17">
        <f t="shared" si="7"/>
        <v>526526.35654570383</v>
      </c>
      <c r="M31" s="17">
        <f t="shared" si="7"/>
        <v>656080.86888936255</v>
      </c>
      <c r="N31" s="17">
        <f t="shared" si="7"/>
        <v>643133.10602323513</v>
      </c>
      <c r="O31" s="17">
        <f t="shared" si="7"/>
        <v>552350.5818429325</v>
      </c>
      <c r="P31" s="17">
        <f t="shared" si="7"/>
        <v>424732.52066566749</v>
      </c>
      <c r="Q31" s="17">
        <f t="shared" si="7"/>
        <v>202731.70927352514</v>
      </c>
      <c r="R31" s="17">
        <f t="shared" si="7"/>
        <v>81298.266088222197</v>
      </c>
    </row>
    <row r="32" spans="2:18" ht="15.75" thickBot="1">
      <c r="B32" t="s">
        <v>41</v>
      </c>
      <c r="C32" s="26"/>
      <c r="G32" s="9" t="s">
        <v>9</v>
      </c>
      <c r="H32" s="9" t="s">
        <v>10</v>
      </c>
      <c r="I32" s="9" t="s">
        <v>11</v>
      </c>
      <c r="J32" s="9" t="s">
        <v>0</v>
      </c>
      <c r="K32" s="9" t="s">
        <v>1</v>
      </c>
      <c r="L32" s="9" t="s">
        <v>2</v>
      </c>
      <c r="M32" s="9" t="s">
        <v>3</v>
      </c>
      <c r="N32" s="9" t="s">
        <v>4</v>
      </c>
      <c r="O32" s="9" t="s">
        <v>5</v>
      </c>
      <c r="P32" s="9" t="s">
        <v>6</v>
      </c>
      <c r="Q32" s="9" t="s">
        <v>7</v>
      </c>
      <c r="R32" s="9" t="s">
        <v>8</v>
      </c>
    </row>
    <row r="33" spans="2:18" ht="15.75" thickBot="1">
      <c r="B33" s="27" t="s">
        <v>42</v>
      </c>
      <c r="C33" s="28">
        <f>SUM(G33:R33)</f>
        <v>10991118.592484005</v>
      </c>
      <c r="D33" s="29"/>
      <c r="E33" s="29"/>
      <c r="F33" s="30"/>
      <c r="G33" s="30">
        <f t="shared" si="8" ref="G33:R33">G31+G27</f>
        <v>963039.92891919625</v>
      </c>
      <c r="H33" s="30">
        <f t="shared" si="8"/>
        <v>1261138.9629148443</v>
      </c>
      <c r="I33" s="30">
        <f t="shared" si="8"/>
        <v>975219.94981662754</v>
      </c>
      <c r="J33" s="30">
        <f t="shared" si="8"/>
        <v>843780.52502629044</v>
      </c>
      <c r="K33" s="30">
        <f t="shared" si="8"/>
        <v>759002.78969607002</v>
      </c>
      <c r="L33" s="30">
        <f t="shared" si="8"/>
        <v>827398.56028610608</v>
      </c>
      <c r="M33" s="30">
        <f t="shared" si="8"/>
        <v>1093468.1148156042</v>
      </c>
      <c r="N33" s="30">
        <f t="shared" si="8"/>
        <v>1157639.5908418233</v>
      </c>
      <c r="O33" s="30">
        <f t="shared" si="8"/>
        <v>1104701.163685865</v>
      </c>
      <c r="P33" s="30">
        <f t="shared" si="8"/>
        <v>991042.5482198908</v>
      </c>
      <c r="Q33" s="30">
        <f t="shared" si="8"/>
        <v>608195.12782057538</v>
      </c>
      <c r="R33" s="30">
        <f t="shared" si="8"/>
        <v>406491.330441111</v>
      </c>
    </row>
    <row r="34" spans="2:27" ht="15">
      <c r="B34" s="31"/>
      <c r="C34" s="32"/>
      <c r="D34" s="1" t="s">
        <v>0</v>
      </c>
      <c r="E34" s="1" t="s">
        <v>1</v>
      </c>
      <c r="F34" s="1" t="s">
        <v>2</v>
      </c>
      <c r="G34" s="1" t="s">
        <v>3</v>
      </c>
      <c r="H34" s="1" t="s">
        <v>4</v>
      </c>
      <c r="I34" s="1" t="s">
        <v>5</v>
      </c>
      <c r="J34" s="1" t="s">
        <v>6</v>
      </c>
      <c r="K34" s="1" t="s">
        <v>7</v>
      </c>
      <c r="L34" s="1" t="s">
        <v>8</v>
      </c>
      <c r="M34" s="1" t="s">
        <v>9</v>
      </c>
      <c r="N34" s="1" t="s">
        <v>10</v>
      </c>
      <c r="O34" s="1" t="s">
        <v>11</v>
      </c>
      <c r="P34" s="1" t="s">
        <v>0</v>
      </c>
      <c r="Q34" s="1" t="s">
        <v>1</v>
      </c>
      <c r="R34" s="1" t="s">
        <v>2</v>
      </c>
      <c r="S34" s="1" t="s">
        <v>3</v>
      </c>
      <c r="T34" s="1" t="s">
        <v>4</v>
      </c>
      <c r="U34" s="1" t="s">
        <v>5</v>
      </c>
      <c r="V34" s="1" t="s">
        <v>6</v>
      </c>
      <c r="W34" s="1" t="s">
        <v>7</v>
      </c>
      <c r="X34" s="1" t="s">
        <v>8</v>
      </c>
      <c r="Y34" s="1" t="s">
        <v>9</v>
      </c>
      <c r="Z34" s="1" t="s">
        <v>10</v>
      </c>
      <c r="AA34" s="1" t="s">
        <v>11</v>
      </c>
    </row>
    <row r="35" spans="2:26" ht="15">
      <c r="B35" s="33" t="s">
        <v>43</v>
      </c>
      <c r="C35" s="32"/>
      <c r="D35" s="31"/>
      <c r="E35" s="31"/>
      <c r="F35" s="34">
        <f>G33</f>
        <v>963039.92891919625</v>
      </c>
      <c r="G35" s="34">
        <f t="shared" si="9" ref="G35:Z35">F35+H33</f>
        <v>2224178.8918340406</v>
      </c>
      <c r="H35" s="34">
        <f t="shared" si="9"/>
        <v>3199398.8416506681</v>
      </c>
      <c r="I35" s="34">
        <f t="shared" si="9"/>
        <v>4043179.3666769583</v>
      </c>
      <c r="J35" s="34">
        <f t="shared" si="9"/>
        <v>4802182.1563730286</v>
      </c>
      <c r="K35" s="34">
        <f t="shared" si="9"/>
        <v>5629580.7166591343</v>
      </c>
      <c r="L35" s="34">
        <f t="shared" si="9"/>
        <v>6723048.8314747382</v>
      </c>
      <c r="M35" s="34">
        <f t="shared" si="9"/>
        <v>7880688.4223165615</v>
      </c>
      <c r="N35" s="34">
        <f t="shared" si="9"/>
        <v>8985389.5860024262</v>
      </c>
      <c r="O35" s="34">
        <f t="shared" si="9"/>
        <v>9976432.1342223175</v>
      </c>
      <c r="P35" s="34">
        <f t="shared" si="9"/>
        <v>10584627.262042893</v>
      </c>
      <c r="Q35" s="34">
        <f t="shared" si="9"/>
        <v>10991118.592484005</v>
      </c>
      <c r="R35" s="34">
        <f t="shared" si="9"/>
        <v>10991118.592484005</v>
      </c>
      <c r="S35" s="34">
        <f t="shared" si="9"/>
        <v>10991118.592484005</v>
      </c>
      <c r="T35" s="34">
        <f t="shared" si="9"/>
        <v>10991118.592484005</v>
      </c>
      <c r="U35" s="34">
        <f t="shared" si="9"/>
        <v>10991118.592484005</v>
      </c>
      <c r="V35" s="34">
        <f t="shared" si="9"/>
        <v>10991118.592484005</v>
      </c>
      <c r="W35" s="34">
        <f t="shared" si="9"/>
        <v>10991118.592484005</v>
      </c>
      <c r="X35" s="34">
        <f t="shared" si="9"/>
        <v>10991118.592484005</v>
      </c>
      <c r="Y35" s="34">
        <f t="shared" si="9"/>
        <v>10991118.592484005</v>
      </c>
      <c r="Z35" s="34">
        <f t="shared" si="9"/>
        <v>10991118.592484005</v>
      </c>
    </row>
    <row r="36" spans="2:26" ht="15">
      <c r="B36" s="33" t="s">
        <v>44</v>
      </c>
      <c r="C36" s="32"/>
      <c r="D36" s="31"/>
      <c r="E36" s="31"/>
      <c r="F36" s="31"/>
      <c r="G36" s="32"/>
      <c r="H36" s="32"/>
      <c r="I36" s="32"/>
      <c r="J36" s="32"/>
      <c r="K36" s="32"/>
      <c r="L36" s="32"/>
      <c r="M36" s="34">
        <f>-G33</f>
        <v>-963039.92891919625</v>
      </c>
      <c r="N36" s="34">
        <f>M36-H33</f>
        <v>-2224178.8918340406</v>
      </c>
      <c r="O36" s="34">
        <f>N36-I33</f>
        <v>-3199398.8416506681</v>
      </c>
      <c r="P36" s="34">
        <f>O36-J33</f>
        <v>-4043179.3666769583</v>
      </c>
      <c r="Q36" s="34">
        <f>P36-K33</f>
        <v>-4802182.1563730286</v>
      </c>
      <c r="R36" s="34">
        <f>Q36-L33</f>
        <v>-5629580.7166591343</v>
      </c>
      <c r="S36" s="34">
        <f t="shared" si="10" ref="S36:Z36">R36-M33</f>
        <v>-6723048.8314747382</v>
      </c>
      <c r="T36" s="34">
        <f t="shared" si="10"/>
        <v>-7880688.4223165615</v>
      </c>
      <c r="U36" s="34">
        <f t="shared" si="10"/>
        <v>-8985389.5860024262</v>
      </c>
      <c r="V36" s="34">
        <f t="shared" si="10"/>
        <v>-9976432.1342223175</v>
      </c>
      <c r="W36" s="34">
        <f t="shared" si="10"/>
        <v>-10584627.262042893</v>
      </c>
      <c r="X36" s="34">
        <f t="shared" si="10"/>
        <v>-10991118.592484005</v>
      </c>
      <c r="Y36" s="34">
        <f t="shared" si="10"/>
        <v>-10991118.592484005</v>
      </c>
      <c r="Z36" s="34">
        <f t="shared" si="10"/>
        <v>-10991118.592484005</v>
      </c>
    </row>
    <row r="37" spans="2:26" ht="15">
      <c r="B37" s="33" t="s">
        <v>98</v>
      </c>
      <c r="C37" s="32"/>
      <c r="D37" s="31"/>
      <c r="E37" s="31"/>
      <c r="F37" s="34">
        <f>F35+F36</f>
        <v>963039.92891919625</v>
      </c>
      <c r="G37" s="34">
        <f t="shared" si="11" ref="G37:Z37">G35+G36</f>
        <v>2224178.8918340406</v>
      </c>
      <c r="H37" s="34">
        <f t="shared" si="11"/>
        <v>3199398.8416506681</v>
      </c>
      <c r="I37" s="34">
        <f t="shared" si="11"/>
        <v>4043179.3666769583</v>
      </c>
      <c r="J37" s="34">
        <f t="shared" si="11"/>
        <v>4802182.1563730286</v>
      </c>
      <c r="K37" s="34">
        <f t="shared" si="11"/>
        <v>5629580.7166591343</v>
      </c>
      <c r="L37" s="34">
        <f t="shared" si="11"/>
        <v>6723048.8314747382</v>
      </c>
      <c r="M37" s="34">
        <f t="shared" si="11"/>
        <v>6917648.4933973653</v>
      </c>
      <c r="N37" s="34">
        <f t="shared" si="11"/>
        <v>6761210.6941683851</v>
      </c>
      <c r="O37" s="34">
        <f t="shared" si="11"/>
        <v>6777033.292571649</v>
      </c>
      <c r="P37" s="34">
        <f t="shared" si="11"/>
        <v>6541447.8953659348</v>
      </c>
      <c r="Q37" s="34">
        <f t="shared" si="11"/>
        <v>6188936.4361109762</v>
      </c>
      <c r="R37" s="34">
        <f t="shared" si="11"/>
        <v>5361537.8758248705</v>
      </c>
      <c r="S37" s="34">
        <f t="shared" si="11"/>
        <v>4268069.7610092666</v>
      </c>
      <c r="T37" s="34">
        <f t="shared" si="11"/>
        <v>3110430.1701674433</v>
      </c>
      <c r="U37" s="34">
        <f t="shared" si="11"/>
        <v>2005729.0064815786</v>
      </c>
      <c r="V37" s="34">
        <f t="shared" si="11"/>
        <v>1014686.4582616873</v>
      </c>
      <c r="W37" s="34">
        <f t="shared" si="11"/>
        <v>406491.3304411117</v>
      </c>
      <c r="X37" s="34">
        <f t="shared" si="11"/>
        <v>0</v>
      </c>
      <c r="Y37" s="34">
        <f t="shared" si="11"/>
        <v>0</v>
      </c>
      <c r="Z37" s="34">
        <f t="shared" si="11"/>
        <v>0</v>
      </c>
    </row>
    <row r="39" spans="2:26" ht="15">
      <c r="B39" s="33" t="s">
        <v>46</v>
      </c>
      <c r="C39" s="32"/>
      <c r="D39" s="31"/>
      <c r="E39" s="31"/>
      <c r="F39" s="34">
        <f t="shared" si="12" ref="F39:W39">F37*F43</f>
        <v>306719.09308413148</v>
      </c>
      <c r="G39" s="34">
        <f t="shared" si="12"/>
        <v>635037.25177881017</v>
      </c>
      <c r="H39" s="34">
        <f t="shared" si="12"/>
        <v>693530.73570796475</v>
      </c>
      <c r="I39" s="34">
        <f t="shared" si="12"/>
        <v>1134536.7525578367</v>
      </c>
      <c r="J39" s="34">
        <f t="shared" si="12"/>
        <v>1567062.4861358285</v>
      </c>
      <c r="K39" s="34">
        <f t="shared" si="12"/>
        <v>2683455.0828396329</v>
      </c>
      <c r="L39" s="34">
        <f t="shared" si="12"/>
        <v>2095183.1236774048</v>
      </c>
      <c r="M39" s="34">
        <f t="shared" si="12"/>
        <v>2896471.7374241669</v>
      </c>
      <c r="N39" s="34">
        <f t="shared" si="12"/>
        <v>2015657.3840612487</v>
      </c>
      <c r="O39" s="34">
        <f t="shared" si="12"/>
        <v>1634752.398209828</v>
      </c>
      <c r="P39" s="34">
        <f t="shared" si="12"/>
        <v>2103510.8903061054</v>
      </c>
      <c r="Q39" s="34">
        <f t="shared" si="12"/>
        <v>1141256.9623698453</v>
      </c>
      <c r="R39" s="34">
        <f t="shared" si="12"/>
        <v>1707599.0158111143</v>
      </c>
      <c r="S39" s="34">
        <f t="shared" si="12"/>
        <v>1218599.5026670748</v>
      </c>
      <c r="T39" s="34">
        <f t="shared" si="12"/>
        <v>674245.07885722746</v>
      </c>
      <c r="U39" s="34">
        <f t="shared" si="12"/>
        <v>562817.78945536457</v>
      </c>
      <c r="V39" s="34">
        <f t="shared" si="12"/>
        <v>331115.52876471158</v>
      </c>
      <c r="W39" s="34">
        <f t="shared" si="12"/>
        <v>193762.42773720817</v>
      </c>
      <c r="X39" s="34"/>
      <c r="Y39" s="34"/>
      <c r="Z39" s="34"/>
    </row>
    <row r="40" spans="2:23" ht="15">
      <c r="B40" s="33" t="s">
        <v>47</v>
      </c>
      <c r="F40" s="17">
        <f t="shared" si="13" ref="F40:W40">F37-F39</f>
        <v>656320.83583506476</v>
      </c>
      <c r="G40" s="17">
        <f t="shared" si="13"/>
        <v>1589141.6400552304</v>
      </c>
      <c r="H40" s="17">
        <f t="shared" si="13"/>
        <v>2505868.1059427033</v>
      </c>
      <c r="I40" s="17">
        <f t="shared" si="13"/>
        <v>2908642.6141191218</v>
      </c>
      <c r="J40" s="17">
        <f t="shared" si="13"/>
        <v>3235119.6702372003</v>
      </c>
      <c r="K40" s="17">
        <f t="shared" si="13"/>
        <v>2946125.6338195014</v>
      </c>
      <c r="L40" s="17">
        <f t="shared" si="13"/>
        <v>4627865.7077973336</v>
      </c>
      <c r="M40" s="17">
        <f t="shared" si="13"/>
        <v>4021176.7559731985</v>
      </c>
      <c r="N40" s="17">
        <f t="shared" si="13"/>
        <v>4745553.3101071361</v>
      </c>
      <c r="O40" s="17">
        <f t="shared" si="13"/>
        <v>5142280.894361821</v>
      </c>
      <c r="P40" s="17">
        <f t="shared" si="13"/>
        <v>4437937.005059829</v>
      </c>
      <c r="Q40" s="17">
        <f t="shared" si="13"/>
        <v>5047679.4737411309</v>
      </c>
      <c r="R40" s="17">
        <f t="shared" si="13"/>
        <v>3653938.860013756</v>
      </c>
      <c r="S40" s="17">
        <f t="shared" si="13"/>
        <v>3049470.2583421916</v>
      </c>
      <c r="T40" s="17">
        <f t="shared" si="13"/>
        <v>2436185.0913102161</v>
      </c>
      <c r="U40" s="17">
        <f t="shared" si="13"/>
        <v>1442911.2170262141</v>
      </c>
      <c r="V40" s="17">
        <f t="shared" si="13"/>
        <v>683570.92949697573</v>
      </c>
      <c r="W40" s="17">
        <f t="shared" si="13"/>
        <v>212728.90270390353</v>
      </c>
    </row>
    <row r="43" spans="2:27" ht="15">
      <c r="B43" t="s">
        <v>48</v>
      </c>
      <c r="F43" s="35">
        <v>0.31849052554690771</v>
      </c>
      <c r="G43" s="35">
        <v>0.28551536664173777</v>
      </c>
      <c r="H43" s="35">
        <v>0.21676907757775862</v>
      </c>
      <c r="I43" s="35">
        <v>0.28060510050789539</v>
      </c>
      <c r="J43" s="35">
        <v>0.3263229996505157</v>
      </c>
      <c r="K43" s="35">
        <v>0.47667050494519336</v>
      </c>
      <c r="L43" s="35">
        <v>0.31164181254620082</v>
      </c>
      <c r="M43" s="35">
        <v>0.4187075622863376</v>
      </c>
      <c r="N43" s="35">
        <v>0.29812077677149956</v>
      </c>
      <c r="O43" s="35">
        <v>0.24121947283359091</v>
      </c>
      <c r="P43" s="35">
        <v>0.32156655895650649</v>
      </c>
      <c r="Q43" s="35">
        <v>0.18440276033712053</v>
      </c>
      <c r="R43" s="35">
        <v>0.31849052554690771</v>
      </c>
      <c r="S43" s="35">
        <v>0.28551536664173777</v>
      </c>
      <c r="T43" s="35">
        <v>0.21676907757775862</v>
      </c>
      <c r="U43" s="35">
        <v>0.28060510050789539</v>
      </c>
      <c r="V43" s="35">
        <v>0.3263229996505157</v>
      </c>
      <c r="W43" s="35">
        <v>0.47667050494519336</v>
      </c>
      <c r="X43" s="35">
        <v>0.31164181254620082</v>
      </c>
      <c r="Y43" s="35">
        <v>0.4187075622863376</v>
      </c>
      <c r="Z43" s="35">
        <v>0.29812077677149956</v>
      </c>
      <c r="AA43" s="35">
        <v>0.24121947283359091</v>
      </c>
    </row>
    <row r="46" spans="2:4" ht="15">
      <c r="B46" t="s">
        <v>49</v>
      </c>
      <c r="D46" t="s">
        <v>50</v>
      </c>
    </row>
    <row r="47" spans="2:4" ht="15">
      <c r="B47" t="s">
        <v>51</v>
      </c>
      <c r="D47" t="s">
        <v>52</v>
      </c>
    </row>
    <row r="49" ht="15">
      <c r="B49" t="s">
        <v>53</v>
      </c>
    </row>
    <row r="50" ht="15">
      <c r="B50" t="s">
        <v>54</v>
      </c>
    </row>
    <row r="52" ht="15">
      <c r="B52" t="s">
        <v>55</v>
      </c>
    </row>
    <row r="54" spans="2:15" ht="15">
      <c r="B54" s="36" t="s">
        <v>56</v>
      </c>
      <c r="C54" s="37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6" spans="2:3" ht="15">
      <c r="B56" t="s">
        <v>60</v>
      </c>
      <c r="C56" t="s">
        <v>59</v>
      </c>
    </row>
    <row r="60" ht="15.75" thickBot="1"/>
    <row r="61" spans="2:27" ht="15">
      <c r="B61" s="25" t="s">
        <v>57</v>
      </c>
      <c r="C61" s="25"/>
      <c r="D61" s="268">
        <v>2020</v>
      </c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70"/>
      <c r="P61" s="5">
        <v>2021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7"/>
    </row>
    <row r="62" spans="4:27" ht="15.75" thickBot="1">
      <c r="D62" s="8" t="s">
        <v>0</v>
      </c>
      <c r="E62" s="9" t="s">
        <v>1</v>
      </c>
      <c r="F62" s="9" t="s">
        <v>2</v>
      </c>
      <c r="G62" s="9" t="s">
        <v>3</v>
      </c>
      <c r="H62" s="9" t="s">
        <v>4</v>
      </c>
      <c r="I62" s="9" t="s">
        <v>5</v>
      </c>
      <c r="J62" s="9" t="s">
        <v>6</v>
      </c>
      <c r="K62" s="9" t="s">
        <v>7</v>
      </c>
      <c r="L62" s="9" t="s">
        <v>8</v>
      </c>
      <c r="M62" s="9" t="s">
        <v>9</v>
      </c>
      <c r="N62" s="9" t="s">
        <v>10</v>
      </c>
      <c r="O62" s="10" t="s">
        <v>11</v>
      </c>
      <c r="P62" s="8" t="s">
        <v>0</v>
      </c>
      <c r="Q62" s="9" t="s">
        <v>1</v>
      </c>
      <c r="R62" s="9" t="s">
        <v>2</v>
      </c>
      <c r="S62" s="9" t="s">
        <v>3</v>
      </c>
      <c r="T62" s="9" t="s">
        <v>4</v>
      </c>
      <c r="U62" s="9" t="s">
        <v>5</v>
      </c>
      <c r="V62" s="9" t="s">
        <v>6</v>
      </c>
      <c r="W62" s="9" t="s">
        <v>7</v>
      </c>
      <c r="X62" s="9" t="s">
        <v>8</v>
      </c>
      <c r="Y62" s="9" t="s">
        <v>9</v>
      </c>
      <c r="Z62" s="9" t="s">
        <v>10</v>
      </c>
      <c r="AA62" s="10" t="s">
        <v>11</v>
      </c>
    </row>
    <row r="63" spans="3:23" ht="15">
      <c r="C63" t="s">
        <v>58</v>
      </c>
      <c r="F63" s="34">
        <v>963039.92891919625</v>
      </c>
      <c r="G63" s="34">
        <v>2224178.8918340406</v>
      </c>
      <c r="H63" s="34">
        <v>3199398.8416506681</v>
      </c>
      <c r="I63" s="34">
        <v>4043179.3666769583</v>
      </c>
      <c r="J63" s="34">
        <v>4802182.1563730286</v>
      </c>
      <c r="K63" s="34">
        <v>5629580.7166591343</v>
      </c>
      <c r="L63" s="34">
        <v>6723048.8314747382</v>
      </c>
      <c r="M63" s="34">
        <v>6917648.4933973653</v>
      </c>
      <c r="N63" s="34">
        <v>6761210.6941683851</v>
      </c>
      <c r="O63" s="34">
        <v>6777033.292571649</v>
      </c>
      <c r="P63" s="34">
        <v>6541447.8953659348</v>
      </c>
      <c r="Q63" s="34">
        <v>6188936.4361109762</v>
      </c>
      <c r="R63" s="34">
        <v>5361537.8758248705</v>
      </c>
      <c r="S63" s="34">
        <v>4268069.7610092666</v>
      </c>
      <c r="T63" s="34">
        <v>3110430.1701674433</v>
      </c>
      <c r="U63" s="34">
        <v>2005729.0064815786</v>
      </c>
      <c r="V63" s="34">
        <v>1014686.4582616873</v>
      </c>
      <c r="W63" s="34">
        <v>406491.3304411117</v>
      </c>
    </row>
  </sheetData>
  <mergeCells count="2">
    <mergeCell ref="D10:O10"/>
    <mergeCell ref="D61:O61"/>
  </mergeCells>
  <pageMargins left="0.25" right="0.25" top="0.75" bottom="0.75" header="0.3" footer="0.3"/>
  <pageSetup orientation="landscape" paperSize="17" scale="10" r:id="rId3"/>
  <customProperties>
    <customPr name="_pios_id" r:id="rId4"/>
  </customProperties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65"/>
  <sheetViews>
    <sheetView workbookViewId="0" topLeftCell="A1"/>
  </sheetViews>
  <sheetFormatPr defaultColWidth="8.72727272727273" defaultRowHeight="15"/>
  <cols>
    <col min="1" max="1" width="6.18181818181818" customWidth="1"/>
    <col min="2" max="2" width="31.8181818181818" bestFit="1" customWidth="1"/>
    <col min="3" max="3" width="25.1818181818182" customWidth="1"/>
    <col min="4" max="5" width="13.5454545454545" bestFit="1" customWidth="1"/>
    <col min="6" max="12" width="13.7272727272727" bestFit="1" customWidth="1"/>
    <col min="13" max="14" width="14.2727272727273" bestFit="1" customWidth="1"/>
    <col min="15" max="15" width="13.7272727272727" bestFit="1" customWidth="1"/>
    <col min="16" max="16" width="14.8181818181818" bestFit="1" customWidth="1"/>
    <col min="17" max="19" width="13.5454545454545" bestFit="1" customWidth="1"/>
    <col min="20" max="22" width="11.5454545454545" bestFit="1" customWidth="1"/>
    <col min="23" max="26" width="12.5454545454545" bestFit="1" customWidth="1"/>
    <col min="27" max="27" width="10.2727272727273" customWidth="1"/>
  </cols>
  <sheetData>
    <row r="1" s="242" customFormat="1" ht="15">
      <c r="A1" s="276" t="s">
        <v>254</v>
      </c>
    </row>
    <row r="2" s="242" customFormat="1" ht="15">
      <c r="A2" s="287" t="s">
        <v>243</v>
      </c>
    </row>
    <row r="3" s="242" customFormat="1" ht="15"/>
    <row r="4" s="242" customFormat="1" ht="15"/>
    <row r="5" s="242" customFormat="1" ht="15"/>
    <row r="6" s="242" customFormat="1" ht="15"/>
    <row r="7" s="242" customFormat="1" ht="15"/>
    <row r="8" spans="4:18" ht="15">
      <c r="D8" s="1" t="s">
        <v>0</v>
      </c>
      <c r="E8" s="1" t="s">
        <v>1</v>
      </c>
      <c r="F8" s="1" t="s">
        <v>2</v>
      </c>
      <c r="G8" s="1" t="s">
        <v>3</v>
      </c>
      <c r="H8" s="1" t="s">
        <v>4</v>
      </c>
      <c r="I8" s="1" t="s">
        <v>5</v>
      </c>
      <c r="J8" s="1" t="s">
        <v>6</v>
      </c>
      <c r="K8" s="1" t="s">
        <v>7</v>
      </c>
      <c r="L8" s="1" t="s">
        <v>8</v>
      </c>
      <c r="M8" s="1" t="s">
        <v>9</v>
      </c>
      <c r="N8" s="1" t="s">
        <v>10</v>
      </c>
      <c r="O8" s="2" t="s">
        <v>11</v>
      </c>
      <c r="P8" s="1" t="s">
        <v>0</v>
      </c>
      <c r="Q8" s="1" t="s">
        <v>1</v>
      </c>
      <c r="R8" s="1" t="s">
        <v>2</v>
      </c>
    </row>
    <row r="9" spans="1:18" ht="15">
      <c r="A9" t="s">
        <v>12</v>
      </c>
      <c r="D9" s="3">
        <v>404727.53021701647</v>
      </c>
      <c r="E9" s="3">
        <v>305926.56073394307</v>
      </c>
      <c r="F9" s="3">
        <v>174825.27803798296</v>
      </c>
      <c r="G9" s="3">
        <v>319252.21384705772</v>
      </c>
      <c r="H9" s="3">
        <v>374630.40997862176</v>
      </c>
      <c r="I9" s="3">
        <v>228806.32100893205</v>
      </c>
      <c r="J9" s="3">
        <v>175736.90242606847</v>
      </c>
      <c r="K9" s="3">
        <v>139310.57231100238</v>
      </c>
      <c r="L9" s="3">
        <v>220216.09091582111</v>
      </c>
      <c r="M9" s="3">
        <v>367251.92169789685</v>
      </c>
      <c r="N9" s="3">
        <v>425907.76303631364</v>
      </c>
      <c r="O9" s="4">
        <v>500903.92406990228</v>
      </c>
      <c r="P9" s="3">
        <v>395827.75032219832</v>
      </c>
      <c r="Q9" s="3">
        <v>299199.3705844346</v>
      </c>
      <c r="R9" s="3">
        <v>170980.94727611422</v>
      </c>
    </row>
    <row r="10" ht="15">
      <c r="A10" t="s">
        <v>102</v>
      </c>
    </row>
    <row r="11" ht="15.75" thickBot="1"/>
    <row r="12" spans="4:27" ht="15">
      <c r="D12" s="268">
        <v>2020</v>
      </c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70"/>
      <c r="P12" s="5">
        <v>2021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7"/>
    </row>
    <row r="13" spans="2:27" ht="15.75" thickBot="1">
      <c r="B13" t="s">
        <v>13</v>
      </c>
      <c r="D13" s="8" t="s">
        <v>0</v>
      </c>
      <c r="E13" s="9" t="s">
        <v>1</v>
      </c>
      <c r="F13" s="9" t="s">
        <v>2</v>
      </c>
      <c r="G13" s="9" t="s">
        <v>3</v>
      </c>
      <c r="H13" s="9" t="s">
        <v>4</v>
      </c>
      <c r="I13" s="9" t="s">
        <v>5</v>
      </c>
      <c r="J13" s="9" t="s">
        <v>6</v>
      </c>
      <c r="K13" s="9" t="s">
        <v>7</v>
      </c>
      <c r="L13" s="9" t="s">
        <v>8</v>
      </c>
      <c r="M13" s="9" t="s">
        <v>9</v>
      </c>
      <c r="N13" s="9" t="s">
        <v>10</v>
      </c>
      <c r="O13" s="10" t="s">
        <v>11</v>
      </c>
      <c r="P13" s="8" t="s">
        <v>0</v>
      </c>
      <c r="Q13" s="9" t="s">
        <v>1</v>
      </c>
      <c r="R13" s="9" t="s">
        <v>2</v>
      </c>
      <c r="S13" s="9" t="s">
        <v>3</v>
      </c>
      <c r="T13" s="9" t="s">
        <v>4</v>
      </c>
      <c r="U13" s="9" t="s">
        <v>5</v>
      </c>
      <c r="V13" s="9" t="s">
        <v>6</v>
      </c>
      <c r="W13" s="9" t="s">
        <v>7</v>
      </c>
      <c r="X13" s="9" t="s">
        <v>8</v>
      </c>
      <c r="Y13" s="9" t="s">
        <v>9</v>
      </c>
      <c r="Z13" s="9" t="s">
        <v>10</v>
      </c>
      <c r="AA13" s="10" t="s">
        <v>11</v>
      </c>
    </row>
    <row r="14" spans="1:15" ht="15">
      <c r="A14" t="s">
        <v>14</v>
      </c>
      <c r="B14" t="s">
        <v>15</v>
      </c>
      <c r="D14" t="s">
        <v>16</v>
      </c>
      <c r="E14" t="s">
        <v>17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  <c r="M14" t="s">
        <v>18</v>
      </c>
      <c r="N14" t="s">
        <v>18</v>
      </c>
      <c r="O14" t="s">
        <v>18</v>
      </c>
    </row>
    <row r="15" spans="2:15" ht="15">
      <c r="B15" t="s">
        <v>19</v>
      </c>
      <c r="D15" t="s">
        <v>20</v>
      </c>
      <c r="E15" t="s">
        <v>17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  <c r="M15" t="s">
        <v>18</v>
      </c>
      <c r="N15" t="s">
        <v>18</v>
      </c>
      <c r="O15" t="s">
        <v>18</v>
      </c>
    </row>
    <row r="16" spans="2:15" ht="15">
      <c r="B16" t="s">
        <v>96</v>
      </c>
      <c r="D16" t="s">
        <v>97</v>
      </c>
      <c r="E16" t="s">
        <v>22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  <c r="L16" t="s">
        <v>18</v>
      </c>
      <c r="M16" t="s">
        <v>18</v>
      </c>
      <c r="N16" t="s">
        <v>18</v>
      </c>
      <c r="O16" t="s">
        <v>18</v>
      </c>
    </row>
    <row r="18" spans="1:15" ht="15">
      <c r="A18" t="s">
        <v>21</v>
      </c>
      <c r="B18" t="s">
        <v>15</v>
      </c>
      <c r="D18" t="s">
        <v>22</v>
      </c>
      <c r="E18" t="s">
        <v>22</v>
      </c>
      <c r="F18" s="11" t="s">
        <v>16</v>
      </c>
      <c r="G18" s="12" t="s">
        <v>16</v>
      </c>
      <c r="H18" s="12" t="s">
        <v>16</v>
      </c>
      <c r="I18" s="12" t="s">
        <v>16</v>
      </c>
      <c r="J18" s="12" t="s">
        <v>16</v>
      </c>
      <c r="K18" s="12" t="s">
        <v>16</v>
      </c>
      <c r="L18" s="12" t="s">
        <v>16</v>
      </c>
      <c r="M18" s="12" t="s">
        <v>16</v>
      </c>
      <c r="N18" s="12" t="s">
        <v>16</v>
      </c>
      <c r="O18" s="12" t="s">
        <v>16</v>
      </c>
    </row>
    <row r="19" spans="2:15" ht="15">
      <c r="B19" t="s">
        <v>23</v>
      </c>
      <c r="D19" t="s">
        <v>22</v>
      </c>
      <c r="E19" t="s">
        <v>22</v>
      </c>
      <c r="F19" s="11" t="s">
        <v>16</v>
      </c>
      <c r="G19" s="12" t="s">
        <v>16</v>
      </c>
      <c r="H19" s="12" t="s">
        <v>16</v>
      </c>
      <c r="I19" s="12" t="s">
        <v>16</v>
      </c>
      <c r="J19" s="12" t="s">
        <v>16</v>
      </c>
      <c r="K19" s="12" t="s">
        <v>16</v>
      </c>
      <c r="L19" s="12" t="s">
        <v>16</v>
      </c>
      <c r="M19" s="12" t="s">
        <v>16</v>
      </c>
      <c r="N19" s="12" t="s">
        <v>16</v>
      </c>
      <c r="O19" s="12" t="s">
        <v>16</v>
      </c>
    </row>
    <row r="20" spans="2:18" ht="15">
      <c r="B20" t="s">
        <v>24</v>
      </c>
      <c r="D20" s="13" t="s">
        <v>22</v>
      </c>
      <c r="E20" s="13" t="s">
        <v>22</v>
      </c>
      <c r="F20" s="13" t="s">
        <v>22</v>
      </c>
      <c r="G20" s="13" t="s">
        <v>22</v>
      </c>
      <c r="H20" s="13" t="s">
        <v>22</v>
      </c>
      <c r="I20" s="13" t="s">
        <v>22</v>
      </c>
      <c r="J20" s="13" t="s">
        <v>22</v>
      </c>
      <c r="K20" s="13" t="s">
        <v>22</v>
      </c>
      <c r="L20" s="11" t="s">
        <v>16</v>
      </c>
      <c r="M20" s="12" t="s">
        <v>16</v>
      </c>
      <c r="N20" s="12" t="s">
        <v>16</v>
      </c>
      <c r="O20" s="12" t="s">
        <v>16</v>
      </c>
      <c r="P20" s="12" t="s">
        <v>16</v>
      </c>
      <c r="Q20" s="12" t="s">
        <v>16</v>
      </c>
      <c r="R20" s="12" t="s">
        <v>16</v>
      </c>
    </row>
    <row r="21" spans="2:18" ht="15">
      <c r="B21" t="s">
        <v>96</v>
      </c>
      <c r="D21" s="13" t="s">
        <v>22</v>
      </c>
      <c r="E21" s="13" t="s">
        <v>22</v>
      </c>
      <c r="F21" s="13" t="s">
        <v>22</v>
      </c>
      <c r="G21" s="13" t="s">
        <v>22</v>
      </c>
      <c r="H21" s="13" t="s">
        <v>22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2"/>
    </row>
    <row r="22" ht="15">
      <c r="A22" s="14"/>
    </row>
    <row r="23" spans="2:15" ht="15">
      <c r="B23" s="15" t="s">
        <v>26</v>
      </c>
      <c r="D23" s="16">
        <f>D24/$C$24</f>
        <v>0.12885503407365848</v>
      </c>
      <c r="E23" s="16">
        <f t="shared" si="0" ref="E23:O23">E24/$C$24</f>
        <v>0.11645647466334119</v>
      </c>
      <c r="F23" s="16">
        <f t="shared" si="0"/>
        <v>0.097441063671361197</v>
      </c>
      <c r="G23" s="16">
        <f t="shared" si="0"/>
        <v>0.06799092009988475</v>
      </c>
      <c r="H23" s="16">
        <f t="shared" si="0"/>
        <v>0.063534714435379114</v>
      </c>
      <c r="I23" s="16">
        <f t="shared" si="0"/>
        <v>0.048585545906572276</v>
      </c>
      <c r="J23" s="16">
        <f t="shared" si="0"/>
        <v>0.048036846093920726</v>
      </c>
      <c r="K23" s="16">
        <f t="shared" si="0"/>
        <v>0.053478097939496601</v>
      </c>
      <c r="L23" s="16">
        <f t="shared" si="0"/>
        <v>0.066732887219844259</v>
      </c>
      <c r="M23" s="16">
        <f t="shared" si="0"/>
        <v>0.087860720067002934</v>
      </c>
      <c r="N23" s="16">
        <f t="shared" si="0"/>
        <v>0.10403152619958545</v>
      </c>
      <c r="O23" s="16">
        <f t="shared" si="0"/>
        <v>0.11699616962995298</v>
      </c>
    </row>
    <row r="24" spans="2:15" ht="15">
      <c r="B24" t="s">
        <v>27</v>
      </c>
      <c r="C24" s="17">
        <f>SUM(D24:O24)</f>
        <v>14471033.628139529</v>
      </c>
      <c r="D24" s="17">
        <v>1864665.5312349768</v>
      </c>
      <c r="E24" s="17">
        <v>1685245.5610677896</v>
      </c>
      <c r="F24" s="17">
        <v>1410072.9091499529</v>
      </c>
      <c r="G24" s="17">
        <v>983898.89117358008</v>
      </c>
      <c r="H24" s="17">
        <v>919412.98914861318</v>
      </c>
      <c r="I24" s="17">
        <v>703083.06865552429</v>
      </c>
      <c r="J24" s="17">
        <v>695142.81521488982</v>
      </c>
      <c r="K24" s="17">
        <v>773883.3536513946</v>
      </c>
      <c r="L24" s="17">
        <v>965693.85506120895</v>
      </c>
      <c r="M24" s="17">
        <v>1271435.4346821529</v>
      </c>
      <c r="N24" s="17">
        <v>1505443.7140208795</v>
      </c>
      <c r="O24" s="17">
        <v>1693055.5050785663</v>
      </c>
    </row>
    <row r="25" spans="2:15" ht="15">
      <c r="B25" t="s">
        <v>147</v>
      </c>
      <c r="C25" s="98">
        <f>'4yr Chargeoff History'!D102</f>
        <v>5295421.3533333326</v>
      </c>
      <c r="D25" s="17">
        <f>D26*$C$25</f>
        <v>649824.3626007383</v>
      </c>
      <c r="E25" s="17">
        <f t="shared" si="1" ref="E25:O25">E26*$C$25</f>
        <v>465257.5350875727</v>
      </c>
      <c r="F25" s="17">
        <f t="shared" si="1"/>
        <v>373149.62738332135</v>
      </c>
      <c r="G25" s="17">
        <f t="shared" si="1"/>
        <v>442024.17581882357</v>
      </c>
      <c r="H25" s="17">
        <f t="shared" si="1"/>
        <v>385898.78704964416</v>
      </c>
      <c r="I25" s="17">
        <f t="shared" si="1"/>
        <v>319724.7602655426</v>
      </c>
      <c r="J25" s="17">
        <f t="shared" si="1"/>
        <v>297911.91569268162</v>
      </c>
      <c r="K25" s="17">
        <f t="shared" si="1"/>
        <v>290311.24297559552</v>
      </c>
      <c r="L25" s="17">
        <f t="shared" si="1"/>
        <v>345242.14389116777</v>
      </c>
      <c r="M25" s="17">
        <f t="shared" si="1"/>
        <v>501889.20284746023</v>
      </c>
      <c r="N25" s="17">
        <f t="shared" si="1"/>
        <v>590381.29696400801</v>
      </c>
      <c r="O25" s="17">
        <f t="shared" si="1"/>
        <v>633806.30275677657</v>
      </c>
    </row>
    <row r="26" spans="2:15" ht="15.75" thickBot="1">
      <c r="B26" t="s">
        <v>29</v>
      </c>
      <c r="C26" s="19"/>
      <c r="D26" s="20">
        <v>0.12271438271700334</v>
      </c>
      <c r="E26" s="20">
        <v>0.087860342745852499</v>
      </c>
      <c r="F26" s="20">
        <v>0.070466465741849449</v>
      </c>
      <c r="G26" s="20">
        <v>0.083472899760956815</v>
      </c>
      <c r="H26" s="20">
        <v>0.072874047464935102</v>
      </c>
      <c r="I26" s="20">
        <v>0.060377586396271193</v>
      </c>
      <c r="J26" s="20">
        <v>0.056258396795026269</v>
      </c>
      <c r="K26" s="20">
        <v>0.054823067628575389</v>
      </c>
      <c r="L26" s="20">
        <v>0.06519634998900449</v>
      </c>
      <c r="M26" s="20">
        <v>0.094777954266384065</v>
      </c>
      <c r="N26" s="20">
        <v>0.11148901240736547</v>
      </c>
      <c r="O26" s="20">
        <v>0.11968949408677587</v>
      </c>
    </row>
    <row r="27" ht="15.75" thickTop="1">
      <c r="C27" s="17"/>
    </row>
    <row r="28" spans="1:18" ht="15">
      <c r="A28" s="14">
        <v>0.30</v>
      </c>
      <c r="B28" t="s">
        <v>15</v>
      </c>
      <c r="C28" s="17">
        <f>SUM(D28:O28)</f>
        <v>1588626.4059999997</v>
      </c>
      <c r="D28" s="17">
        <f>D$25*$A28</f>
        <v>194947.30878022147</v>
      </c>
      <c r="E28" s="17">
        <f t="shared" si="2" ref="E28:O29">E$25*$A28</f>
        <v>139577.2605262718</v>
      </c>
      <c r="F28" s="17">
        <f t="shared" si="2"/>
        <v>111944.88821499641</v>
      </c>
      <c r="G28" s="17">
        <f t="shared" si="2"/>
        <v>132607.25274564707</v>
      </c>
      <c r="H28" s="17">
        <f t="shared" si="2"/>
        <v>115769.63611489325</v>
      </c>
      <c r="I28" s="17">
        <f t="shared" si="2"/>
        <v>95917.428079662772</v>
      </c>
      <c r="J28" s="17">
        <f t="shared" si="2"/>
        <v>89373.574707804481</v>
      </c>
      <c r="K28" s="17">
        <f t="shared" si="2"/>
        <v>87093.372892678657</v>
      </c>
      <c r="L28" s="17">
        <f t="shared" si="2"/>
        <v>103572.64316735033</v>
      </c>
      <c r="M28" s="17">
        <f t="shared" si="2"/>
        <v>150566.76085423806</v>
      </c>
      <c r="N28" s="17">
        <f t="shared" si="2"/>
        <v>177114.38908920239</v>
      </c>
      <c r="O28" s="17">
        <f t="shared" si="2"/>
        <v>190141.89082703297</v>
      </c>
      <c r="P28" s="17">
        <f>D28</f>
        <v>194947.30878022147</v>
      </c>
      <c r="Q28" s="17">
        <f t="shared" si="3" ref="Q28:R29">E28</f>
        <v>139577.2605262718</v>
      </c>
      <c r="R28" s="17">
        <f t="shared" si="3"/>
        <v>111944.88821499641</v>
      </c>
    </row>
    <row r="29" spans="1:18" ht="15">
      <c r="A29" s="14">
        <v>0.70</v>
      </c>
      <c r="B29" t="s">
        <v>19</v>
      </c>
      <c r="C29" s="17">
        <f>SUM(D29:O29)</f>
        <v>3706794.9473333322</v>
      </c>
      <c r="D29" s="17">
        <f t="shared" si="4" ref="D29">D$25*$A29</f>
        <v>454877.0538205168</v>
      </c>
      <c r="E29" s="17">
        <f t="shared" si="2"/>
        <v>325680.27456130087</v>
      </c>
      <c r="F29" s="17">
        <f t="shared" si="2"/>
        <v>261204.73916832492</v>
      </c>
      <c r="G29" s="21">
        <f t="shared" si="2"/>
        <v>309416.92307317647</v>
      </c>
      <c r="H29" s="22">
        <f t="shared" si="2"/>
        <v>270129.15093475091</v>
      </c>
      <c r="I29" s="22">
        <f t="shared" si="2"/>
        <v>223807.33218587982</v>
      </c>
      <c r="J29" s="22">
        <f t="shared" si="2"/>
        <v>208538.34098487711</v>
      </c>
      <c r="K29" s="22">
        <f t="shared" si="2"/>
        <v>203217.87008291687</v>
      </c>
      <c r="L29" s="22">
        <f t="shared" si="2"/>
        <v>241669.50072381742</v>
      </c>
      <c r="M29" s="22">
        <f t="shared" si="2"/>
        <v>351322.44199322216</v>
      </c>
      <c r="N29" s="22">
        <f t="shared" si="2"/>
        <v>413266.90787480556</v>
      </c>
      <c r="O29" s="17">
        <f t="shared" si="2"/>
        <v>443664.4119297436</v>
      </c>
      <c r="P29" s="17">
        <f t="shared" si="5" ref="P29">D29</f>
        <v>454877.0538205168</v>
      </c>
      <c r="Q29" s="17">
        <f t="shared" si="3"/>
        <v>325680.27456130087</v>
      </c>
      <c r="R29" s="17">
        <f t="shared" si="3"/>
        <v>261204.73916832492</v>
      </c>
    </row>
    <row r="30" spans="2:18" ht="15.75" thickBot="1">
      <c r="B30" t="s">
        <v>30</v>
      </c>
      <c r="G30" s="8" t="s">
        <v>31</v>
      </c>
      <c r="H30" s="9" t="s">
        <v>1</v>
      </c>
      <c r="I30" s="9" t="s">
        <v>2</v>
      </c>
      <c r="J30" s="9" t="s">
        <v>3</v>
      </c>
      <c r="K30" s="9" t="s">
        <v>4</v>
      </c>
      <c r="L30" s="9" t="s">
        <v>5</v>
      </c>
      <c r="M30" s="9" t="s">
        <v>6</v>
      </c>
      <c r="N30" s="9" t="s">
        <v>7</v>
      </c>
      <c r="O30" s="9" t="s">
        <v>8</v>
      </c>
      <c r="P30" s="9" t="s">
        <v>9</v>
      </c>
      <c r="Q30" s="9" t="s">
        <v>10</v>
      </c>
      <c r="R30" s="10" t="s">
        <v>11</v>
      </c>
    </row>
    <row r="31" spans="2:18" ht="15">
      <c r="B31" t="s">
        <v>32</v>
      </c>
      <c r="G31" s="2" t="s">
        <v>6</v>
      </c>
      <c r="H31" s="2" t="s">
        <v>33</v>
      </c>
      <c r="I31" s="2" t="s">
        <v>7</v>
      </c>
      <c r="J31" s="23" t="s">
        <v>34</v>
      </c>
      <c r="K31" s="2" t="s">
        <v>8</v>
      </c>
      <c r="L31" s="23" t="s">
        <v>35</v>
      </c>
      <c r="M31" s="2" t="s">
        <v>9</v>
      </c>
      <c r="N31" s="23" t="s">
        <v>36</v>
      </c>
      <c r="O31" s="24" t="s">
        <v>10</v>
      </c>
      <c r="P31" s="2" t="s">
        <v>37</v>
      </c>
      <c r="Q31" s="2" t="s">
        <v>11</v>
      </c>
      <c r="R31" s="2" t="s">
        <v>38</v>
      </c>
    </row>
    <row r="32" spans="2:18" ht="15">
      <c r="B32" t="s">
        <v>39</v>
      </c>
      <c r="G32" s="25">
        <v>6</v>
      </c>
      <c r="H32" s="25">
        <f>G32-0.5</f>
        <v>5.50</v>
      </c>
      <c r="I32" s="25">
        <f t="shared" si="6" ref="I32:R32">H32-0.5</f>
        <v>5</v>
      </c>
      <c r="J32" s="25">
        <f t="shared" si="6"/>
        <v>4.50</v>
      </c>
      <c r="K32" s="25">
        <f t="shared" si="6"/>
        <v>4</v>
      </c>
      <c r="L32" s="25">
        <f t="shared" si="6"/>
        <v>3.50</v>
      </c>
      <c r="M32" s="25">
        <f t="shared" si="6"/>
        <v>3</v>
      </c>
      <c r="N32" s="25">
        <f t="shared" si="6"/>
        <v>2.50</v>
      </c>
      <c r="O32" s="25">
        <f t="shared" si="6"/>
        <v>2</v>
      </c>
      <c r="P32" s="25">
        <f t="shared" si="6"/>
        <v>1.50</v>
      </c>
      <c r="Q32" s="25">
        <f t="shared" si="6"/>
        <v>1</v>
      </c>
      <c r="R32" s="25">
        <f t="shared" si="6"/>
        <v>0.50</v>
      </c>
    </row>
    <row r="33" spans="2:18" ht="15">
      <c r="B33" t="s">
        <v>40</v>
      </c>
      <c r="C33" s="26">
        <f>SUM(G33:R33)</f>
        <v>5121598.3359947205</v>
      </c>
      <c r="G33" s="17">
        <f>G29/2/2*G32</f>
        <v>464125.38460976467</v>
      </c>
      <c r="H33" s="17">
        <f t="shared" si="7" ref="H33:R33">H29/2*H32</f>
        <v>742855.16507056495</v>
      </c>
      <c r="I33" s="17">
        <f t="shared" si="7"/>
        <v>559518.33046469954</v>
      </c>
      <c r="J33" s="17">
        <f t="shared" si="7"/>
        <v>469211.26721597352</v>
      </c>
      <c r="K33" s="17">
        <f t="shared" si="7"/>
        <v>406435.74016583373</v>
      </c>
      <c r="L33" s="17">
        <f t="shared" si="7"/>
        <v>422921.62626668048</v>
      </c>
      <c r="M33" s="17">
        <f t="shared" si="7"/>
        <v>526983.66298983328</v>
      </c>
      <c r="N33" s="17">
        <f t="shared" si="7"/>
        <v>516583.63484350697</v>
      </c>
      <c r="O33" s="17">
        <f t="shared" si="7"/>
        <v>443664.4119297436</v>
      </c>
      <c r="P33" s="17">
        <f t="shared" si="7"/>
        <v>341157.79036538757</v>
      </c>
      <c r="Q33" s="17">
        <f t="shared" si="7"/>
        <v>162840.13728065044</v>
      </c>
      <c r="R33" s="17">
        <f t="shared" si="7"/>
        <v>65301.184792081229</v>
      </c>
    </row>
    <row r="34" spans="2:18" ht="15.75" thickBot="1">
      <c r="B34" t="s">
        <v>41</v>
      </c>
      <c r="C34" s="26"/>
      <c r="G34" s="9" t="s">
        <v>9</v>
      </c>
      <c r="H34" s="9" t="s">
        <v>10</v>
      </c>
      <c r="I34" s="9" t="s">
        <v>11</v>
      </c>
      <c r="J34" s="9" t="s">
        <v>0</v>
      </c>
      <c r="K34" s="9" t="s">
        <v>1</v>
      </c>
      <c r="L34" s="9" t="s">
        <v>2</v>
      </c>
      <c r="M34" s="9" t="s">
        <v>3</v>
      </c>
      <c r="N34" s="9" t="s">
        <v>4</v>
      </c>
      <c r="O34" s="9" t="s">
        <v>5</v>
      </c>
      <c r="P34" s="9" t="s">
        <v>6</v>
      </c>
      <c r="Q34" s="9" t="s">
        <v>7</v>
      </c>
      <c r="R34" s="9" t="s">
        <v>8</v>
      </c>
    </row>
    <row r="35" spans="2:18" ht="15.75" thickBot="1">
      <c r="B35" s="27" t="s">
        <v>42</v>
      </c>
      <c r="C35" s="28">
        <f>SUM(G35:R35)</f>
        <v>8828393.2833280526</v>
      </c>
      <c r="D35" s="29"/>
      <c r="E35" s="29"/>
      <c r="F35" s="30"/>
      <c r="G35" s="30">
        <f t="shared" si="8" ref="G35:R35">G33+G29</f>
        <v>773542.3076829412</v>
      </c>
      <c r="H35" s="30">
        <f t="shared" si="8"/>
        <v>1012984.3160053159</v>
      </c>
      <c r="I35" s="30">
        <f t="shared" si="8"/>
        <v>783325.66265057935</v>
      </c>
      <c r="J35" s="30">
        <f t="shared" si="8"/>
        <v>677749.60820085066</v>
      </c>
      <c r="K35" s="30">
        <f t="shared" si="8"/>
        <v>609653.61024875054</v>
      </c>
      <c r="L35" s="30">
        <f t="shared" si="8"/>
        <v>664591.12699049793</v>
      </c>
      <c r="M35" s="30">
        <f t="shared" si="8"/>
        <v>878306.1049830555</v>
      </c>
      <c r="N35" s="30">
        <f t="shared" si="8"/>
        <v>929850.54271831247</v>
      </c>
      <c r="O35" s="30">
        <f t="shared" si="8"/>
        <v>887328.82385948719</v>
      </c>
      <c r="P35" s="30">
        <f t="shared" si="8"/>
        <v>796034.84418590437</v>
      </c>
      <c r="Q35" s="30">
        <f t="shared" si="8"/>
        <v>488520.41184195131</v>
      </c>
      <c r="R35" s="30">
        <f t="shared" si="8"/>
        <v>326505.92396040616</v>
      </c>
    </row>
    <row r="36" spans="2:27" ht="15">
      <c r="B36" s="31"/>
      <c r="C36" s="32"/>
      <c r="D36" s="1" t="s">
        <v>0</v>
      </c>
      <c r="E36" s="1" t="s">
        <v>1</v>
      </c>
      <c r="F36" s="1" t="s">
        <v>2</v>
      </c>
      <c r="G36" s="1" t="s">
        <v>3</v>
      </c>
      <c r="H36" s="1" t="s">
        <v>4</v>
      </c>
      <c r="I36" s="1" t="s">
        <v>5</v>
      </c>
      <c r="J36" s="1" t="s">
        <v>6</v>
      </c>
      <c r="K36" s="1" t="s">
        <v>7</v>
      </c>
      <c r="L36" s="1" t="s">
        <v>8</v>
      </c>
      <c r="M36" s="1" t="s">
        <v>9</v>
      </c>
      <c r="N36" s="1" t="s">
        <v>10</v>
      </c>
      <c r="O36" s="1" t="s">
        <v>11</v>
      </c>
      <c r="P36" s="1" t="s">
        <v>0</v>
      </c>
      <c r="Q36" s="1" t="s">
        <v>1</v>
      </c>
      <c r="R36" s="1" t="s">
        <v>2</v>
      </c>
      <c r="S36" s="1" t="s">
        <v>3</v>
      </c>
      <c r="T36" s="1" t="s">
        <v>4</v>
      </c>
      <c r="U36" s="1" t="s">
        <v>5</v>
      </c>
      <c r="V36" s="1" t="s">
        <v>6</v>
      </c>
      <c r="W36" s="1" t="s">
        <v>7</v>
      </c>
      <c r="X36" s="1" t="s">
        <v>8</v>
      </c>
      <c r="Y36" s="1" t="s">
        <v>9</v>
      </c>
      <c r="Z36" s="1" t="s">
        <v>10</v>
      </c>
      <c r="AA36" s="1" t="s">
        <v>11</v>
      </c>
    </row>
    <row r="37" spans="2:26" ht="15">
      <c r="B37" s="33" t="s">
        <v>43</v>
      </c>
      <c r="C37" s="32"/>
      <c r="D37" s="31"/>
      <c r="E37" s="31"/>
      <c r="F37" s="34">
        <f>G35</f>
        <v>773542.3076829412</v>
      </c>
      <c r="G37" s="34">
        <f t="shared" si="9" ref="G37:Z37">F37+H35</f>
        <v>1786526.6236882571</v>
      </c>
      <c r="H37" s="34">
        <f t="shared" si="9"/>
        <v>2569852.2863388364</v>
      </c>
      <c r="I37" s="34">
        <f t="shared" si="9"/>
        <v>3247601.8945396869</v>
      </c>
      <c r="J37" s="34">
        <f t="shared" si="9"/>
        <v>3857255.5047884374</v>
      </c>
      <c r="K37" s="34">
        <f t="shared" si="9"/>
        <v>4521846.631778935</v>
      </c>
      <c r="L37" s="34">
        <f t="shared" si="9"/>
        <v>5400152.7367619909</v>
      </c>
      <c r="M37" s="34">
        <f t="shared" si="9"/>
        <v>6330003.2794803036</v>
      </c>
      <c r="N37" s="34">
        <f t="shared" si="9"/>
        <v>7217332.1033397913</v>
      </c>
      <c r="O37" s="34">
        <f t="shared" si="9"/>
        <v>8013366.9475256959</v>
      </c>
      <c r="P37" s="34">
        <f t="shared" si="9"/>
        <v>8501887.3593676463</v>
      </c>
      <c r="Q37" s="34">
        <f t="shared" si="9"/>
        <v>8828393.2833280526</v>
      </c>
      <c r="R37" s="34">
        <f t="shared" si="9"/>
        <v>8828393.2833280526</v>
      </c>
      <c r="S37" s="34">
        <f t="shared" si="9"/>
        <v>8828393.2833280526</v>
      </c>
      <c r="T37" s="34">
        <f t="shared" si="9"/>
        <v>8828393.2833280526</v>
      </c>
      <c r="U37" s="34">
        <f t="shared" si="9"/>
        <v>8828393.2833280526</v>
      </c>
      <c r="V37" s="34">
        <f t="shared" si="9"/>
        <v>8828393.2833280526</v>
      </c>
      <c r="W37" s="34">
        <f t="shared" si="9"/>
        <v>8828393.2833280526</v>
      </c>
      <c r="X37" s="34">
        <f t="shared" si="9"/>
        <v>8828393.2833280526</v>
      </c>
      <c r="Y37" s="34">
        <f t="shared" si="9"/>
        <v>8828393.2833280526</v>
      </c>
      <c r="Z37" s="34">
        <f t="shared" si="9"/>
        <v>8828393.2833280526</v>
      </c>
    </row>
    <row r="38" spans="2:26" ht="15">
      <c r="B38" s="33" t="s">
        <v>44</v>
      </c>
      <c r="C38" s="32"/>
      <c r="D38" s="31"/>
      <c r="E38" s="31"/>
      <c r="F38" s="31"/>
      <c r="G38" s="32"/>
      <c r="H38" s="32"/>
      <c r="I38" s="32"/>
      <c r="J38" s="32"/>
      <c r="K38" s="32"/>
      <c r="L38" s="32"/>
      <c r="M38" s="34">
        <f>-G35</f>
        <v>-773542.3076829412</v>
      </c>
      <c r="N38" s="34">
        <f>M38-H35</f>
        <v>-1786526.6236882571</v>
      </c>
      <c r="O38" s="34">
        <f>N38-I35</f>
        <v>-2569852.2863388364</v>
      </c>
      <c r="P38" s="34">
        <f>O38-J35</f>
        <v>-3247601.8945396869</v>
      </c>
      <c r="Q38" s="34">
        <f>P38-K35</f>
        <v>-3857255.5047884374</v>
      </c>
      <c r="R38" s="34">
        <f>Q38-L35</f>
        <v>-4521846.631778935</v>
      </c>
      <c r="S38" s="34">
        <f t="shared" si="10" ref="S38:Z38">R38-M35</f>
        <v>-5400152.7367619909</v>
      </c>
      <c r="T38" s="34">
        <f t="shared" si="10"/>
        <v>-6330003.2794803036</v>
      </c>
      <c r="U38" s="34">
        <f t="shared" si="10"/>
        <v>-7217332.1033397913</v>
      </c>
      <c r="V38" s="34">
        <f t="shared" si="10"/>
        <v>-8013366.9475256959</v>
      </c>
      <c r="W38" s="34">
        <f t="shared" si="10"/>
        <v>-8501887.3593676463</v>
      </c>
      <c r="X38" s="34">
        <f t="shared" si="10"/>
        <v>-8828393.2833280526</v>
      </c>
      <c r="Y38" s="34">
        <f t="shared" si="10"/>
        <v>-8828393.2833280526</v>
      </c>
      <c r="Z38" s="34">
        <f t="shared" si="10"/>
        <v>-8828393.2833280526</v>
      </c>
    </row>
    <row r="39" spans="2:26" ht="15">
      <c r="B39" s="33" t="s">
        <v>99</v>
      </c>
      <c r="C39" s="32"/>
      <c r="D39" s="31"/>
      <c r="E39" s="31"/>
      <c r="F39" s="34">
        <f>F37+F38</f>
        <v>773542.3076829412</v>
      </c>
      <c r="G39" s="34">
        <f t="shared" si="11" ref="G39:Z39">G37+G38</f>
        <v>1786526.6236882571</v>
      </c>
      <c r="H39" s="34">
        <f t="shared" si="11"/>
        <v>2569852.2863388364</v>
      </c>
      <c r="I39" s="34">
        <f t="shared" si="11"/>
        <v>3247601.8945396869</v>
      </c>
      <c r="J39" s="34">
        <f t="shared" si="11"/>
        <v>3857255.5047884374</v>
      </c>
      <c r="K39" s="34">
        <f t="shared" si="11"/>
        <v>4521846.631778935</v>
      </c>
      <c r="L39" s="34">
        <f t="shared" si="11"/>
        <v>5400152.7367619909</v>
      </c>
      <c r="M39" s="185">
        <f t="shared" si="11"/>
        <v>5556460.971797362</v>
      </c>
      <c r="N39" s="34">
        <f t="shared" si="11"/>
        <v>5430805.479651534</v>
      </c>
      <c r="O39" s="34">
        <f t="shared" si="11"/>
        <v>5443514.661186859</v>
      </c>
      <c r="P39" s="34">
        <f t="shared" si="11"/>
        <v>5254285.4648279594</v>
      </c>
      <c r="Q39" s="34">
        <f t="shared" si="11"/>
        <v>4971137.7785396148</v>
      </c>
      <c r="R39" s="34">
        <f t="shared" si="11"/>
        <v>4306546.6515491176</v>
      </c>
      <c r="S39" s="34">
        <f t="shared" si="11"/>
        <v>3428240.5465660617</v>
      </c>
      <c r="T39" s="34">
        <f t="shared" si="11"/>
        <v>2498390.003847749</v>
      </c>
      <c r="U39" s="34">
        <f t="shared" si="11"/>
        <v>1611061.1799882613</v>
      </c>
      <c r="V39" s="34">
        <f t="shared" si="11"/>
        <v>815026.33580235671</v>
      </c>
      <c r="W39" s="34">
        <f t="shared" si="11"/>
        <v>326505.92396040633</v>
      </c>
      <c r="X39" s="34">
        <f t="shared" si="11"/>
        <v>0</v>
      </c>
      <c r="Y39" s="34">
        <f t="shared" si="11"/>
        <v>0</v>
      </c>
      <c r="Z39" s="34">
        <f t="shared" si="11"/>
        <v>0</v>
      </c>
    </row>
    <row r="41" spans="2:26" ht="15">
      <c r="B41" s="33" t="s">
        <v>46</v>
      </c>
      <c r="C41" s="32"/>
      <c r="D41" s="31"/>
      <c r="E41" s="31"/>
      <c r="F41" s="34">
        <f t="shared" si="12" ref="F41:W41">F39*F45</f>
        <v>246365.89610670772</v>
      </c>
      <c r="G41" s="34">
        <f t="shared" si="12"/>
        <v>510080.80397757859</v>
      </c>
      <c r="H41" s="34">
        <f t="shared" si="12"/>
        <v>557064.50962076359</v>
      </c>
      <c r="I41" s="34">
        <f t="shared" si="12"/>
        <v>911293.65602694033</v>
      </c>
      <c r="J41" s="34">
        <f t="shared" si="12"/>
        <v>1258711.1867410271</v>
      </c>
      <c r="K41" s="34">
        <f t="shared" si="12"/>
        <v>2155430.9172547869</v>
      </c>
      <c r="L41" s="34">
        <f t="shared" si="12"/>
        <v>1682913.3869108337</v>
      </c>
      <c r="M41" s="34">
        <f t="shared" si="12"/>
        <v>2326532.2284404477</v>
      </c>
      <c r="N41" s="34">
        <f t="shared" si="12"/>
        <v>1619035.9480886315</v>
      </c>
      <c r="O41" s="34">
        <f t="shared" si="12"/>
        <v>1313081.7369334174</v>
      </c>
      <c r="P41" s="34">
        <f t="shared" si="12"/>
        <v>1689602.496699915</v>
      </c>
      <c r="Q41" s="34">
        <f t="shared" si="12"/>
        <v>916691.52837884636</v>
      </c>
      <c r="R41" s="34">
        <f t="shared" si="12"/>
        <v>1371594.3063441541</v>
      </c>
      <c r="S41" s="34">
        <f t="shared" si="12"/>
        <v>978815.35658888053</v>
      </c>
      <c r="T41" s="34">
        <f t="shared" si="12"/>
        <v>541573.69656356936</v>
      </c>
      <c r="U41" s="34">
        <f t="shared" si="12"/>
        <v>452071.98433497461</v>
      </c>
      <c r="V41" s="34">
        <f t="shared" si="12"/>
        <v>265961.83869319357</v>
      </c>
      <c r="W41" s="34">
        <f t="shared" si="12"/>
        <v>155635.7436418038</v>
      </c>
      <c r="X41" s="34"/>
      <c r="Y41" s="34"/>
      <c r="Z41" s="34"/>
    </row>
    <row r="42" spans="2:23" ht="15">
      <c r="B42" s="33" t="s">
        <v>47</v>
      </c>
      <c r="F42" s="17">
        <f t="shared" si="13" ref="F42:W42">F39-F41</f>
        <v>527176.41157623345</v>
      </c>
      <c r="G42" s="17">
        <f t="shared" si="13"/>
        <v>1276445.8197106784</v>
      </c>
      <c r="H42" s="17">
        <f t="shared" si="13"/>
        <v>2012787.7767180728</v>
      </c>
      <c r="I42" s="17">
        <f t="shared" si="13"/>
        <v>2336308.2385127465</v>
      </c>
      <c r="J42" s="17">
        <f t="shared" si="13"/>
        <v>2598544.3180474103</v>
      </c>
      <c r="K42" s="17">
        <f t="shared" si="13"/>
        <v>2366415.714524148</v>
      </c>
      <c r="L42" s="17">
        <f t="shared" si="13"/>
        <v>3717239.3498511575</v>
      </c>
      <c r="M42" s="17">
        <f t="shared" si="13"/>
        <v>3229928.7433569143</v>
      </c>
      <c r="N42" s="17">
        <f t="shared" si="13"/>
        <v>3811769.5315629025</v>
      </c>
      <c r="O42" s="17">
        <f t="shared" si="13"/>
        <v>4130432.9242534414</v>
      </c>
      <c r="P42" s="17">
        <f t="shared" si="13"/>
        <v>3564682.9681280442</v>
      </c>
      <c r="Q42" s="17">
        <f t="shared" si="13"/>
        <v>4054446.2501607686</v>
      </c>
      <c r="R42" s="17">
        <f t="shared" si="13"/>
        <v>2934952.3452049633</v>
      </c>
      <c r="S42" s="17">
        <f t="shared" si="13"/>
        <v>2449425.1899771811</v>
      </c>
      <c r="T42" s="17">
        <f t="shared" si="13"/>
        <v>1956816.3072841796</v>
      </c>
      <c r="U42" s="17">
        <f t="shared" si="13"/>
        <v>1158989.1956532868</v>
      </c>
      <c r="V42" s="17">
        <f t="shared" si="13"/>
        <v>549064.49710916309</v>
      </c>
      <c r="W42" s="17">
        <f t="shared" si="13"/>
        <v>170870.18031860254</v>
      </c>
    </row>
    <row r="45" spans="2:27" ht="15">
      <c r="B45" t="s">
        <v>48</v>
      </c>
      <c r="F45" s="35">
        <v>0.31849052554690771</v>
      </c>
      <c r="G45" s="35">
        <v>0.28551536664173777</v>
      </c>
      <c r="H45" s="35">
        <v>0.21676907757775862</v>
      </c>
      <c r="I45" s="35">
        <v>0.28060510050789539</v>
      </c>
      <c r="J45" s="35">
        <v>0.3263229996505157</v>
      </c>
      <c r="K45" s="35">
        <v>0.47667050494519336</v>
      </c>
      <c r="L45" s="35">
        <v>0.31164181254620082</v>
      </c>
      <c r="M45" s="35">
        <v>0.4187075622863376</v>
      </c>
      <c r="N45" s="35">
        <v>0.29812077677149956</v>
      </c>
      <c r="O45" s="35">
        <v>0.24121947283359091</v>
      </c>
      <c r="P45" s="35">
        <v>0.32156655895650649</v>
      </c>
      <c r="Q45" s="35">
        <v>0.18440276033712053</v>
      </c>
      <c r="R45" s="35">
        <v>0.31849052554690771</v>
      </c>
      <c r="S45" s="35">
        <v>0.28551536664173777</v>
      </c>
      <c r="T45" s="35">
        <v>0.21676907757775862</v>
      </c>
      <c r="U45" s="35">
        <v>0.28060510050789539</v>
      </c>
      <c r="V45" s="35">
        <v>0.3263229996505157</v>
      </c>
      <c r="W45" s="35">
        <v>0.47667050494519336</v>
      </c>
      <c r="X45" s="35">
        <v>0.31164181254620082</v>
      </c>
      <c r="Y45" s="35">
        <v>0.4187075622863376</v>
      </c>
      <c r="Z45" s="35">
        <v>0.29812077677149956</v>
      </c>
      <c r="AA45" s="35">
        <v>0.24121947283359091</v>
      </c>
    </row>
    <row r="48" spans="2:4" ht="15">
      <c r="B48" t="s">
        <v>49</v>
      </c>
      <c r="D48" t="s">
        <v>50</v>
      </c>
    </row>
    <row r="49" spans="2:4" ht="15">
      <c r="B49" t="s">
        <v>51</v>
      </c>
      <c r="D49" t="s">
        <v>52</v>
      </c>
    </row>
    <row r="51" ht="15">
      <c r="B51" t="s">
        <v>53</v>
      </c>
    </row>
    <row r="52" ht="15">
      <c r="B52" t="s">
        <v>54</v>
      </c>
    </row>
    <row r="54" ht="15">
      <c r="B54" t="s">
        <v>55</v>
      </c>
    </row>
    <row r="56" spans="2:15" ht="15">
      <c r="B56" s="36" t="s">
        <v>56</v>
      </c>
      <c r="C56" s="37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8" spans="2:3" ht="15">
      <c r="B58" t="s">
        <v>60</v>
      </c>
      <c r="C58" t="s">
        <v>59</v>
      </c>
    </row>
    <row r="62" ht="15.75" thickBot="1"/>
    <row r="63" spans="2:27" ht="15">
      <c r="B63" s="25" t="s">
        <v>57</v>
      </c>
      <c r="C63" s="25"/>
      <c r="D63" s="268">
        <v>2020</v>
      </c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70"/>
      <c r="P63" s="5">
        <v>2021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7"/>
    </row>
    <row r="64" spans="4:27" ht="15.75" thickBot="1">
      <c r="D64" s="8" t="s">
        <v>0</v>
      </c>
      <c r="E64" s="9" t="s">
        <v>1</v>
      </c>
      <c r="F64" s="9" t="s">
        <v>2</v>
      </c>
      <c r="G64" s="9" t="s">
        <v>3</v>
      </c>
      <c r="H64" s="9" t="s">
        <v>4</v>
      </c>
      <c r="I64" s="9" t="s">
        <v>5</v>
      </c>
      <c r="J64" s="9" t="s">
        <v>6</v>
      </c>
      <c r="K64" s="9" t="s">
        <v>7</v>
      </c>
      <c r="L64" s="9" t="s">
        <v>8</v>
      </c>
      <c r="M64" s="9" t="s">
        <v>9</v>
      </c>
      <c r="N64" s="9" t="s">
        <v>10</v>
      </c>
      <c r="O64" s="10" t="s">
        <v>11</v>
      </c>
      <c r="P64" s="8" t="s">
        <v>0</v>
      </c>
      <c r="Q64" s="9" t="s">
        <v>1</v>
      </c>
      <c r="R64" s="9" t="s">
        <v>2</v>
      </c>
      <c r="S64" s="9" t="s">
        <v>3</v>
      </c>
      <c r="T64" s="9" t="s">
        <v>4</v>
      </c>
      <c r="U64" s="9" t="s">
        <v>5</v>
      </c>
      <c r="V64" s="9" t="s">
        <v>6</v>
      </c>
      <c r="W64" s="9" t="s">
        <v>7</v>
      </c>
      <c r="X64" s="9" t="s">
        <v>8</v>
      </c>
      <c r="Y64" s="9" t="s">
        <v>9</v>
      </c>
      <c r="Z64" s="9" t="s">
        <v>10</v>
      </c>
      <c r="AA64" s="10" t="s">
        <v>11</v>
      </c>
    </row>
    <row r="65" spans="3:23" ht="15">
      <c r="C65" t="s">
        <v>58</v>
      </c>
      <c r="F65" s="34">
        <v>963039.92891919625</v>
      </c>
      <c r="G65" s="34">
        <v>2224178.8918340406</v>
      </c>
      <c r="H65" s="34">
        <v>3199398.8416506681</v>
      </c>
      <c r="I65" s="34">
        <v>4043179.3666769583</v>
      </c>
      <c r="J65" s="34">
        <v>4802182.1563730286</v>
      </c>
      <c r="K65" s="34">
        <v>5629580.7166591343</v>
      </c>
      <c r="L65" s="34">
        <v>6723048.8314747382</v>
      </c>
      <c r="M65" s="34">
        <v>6917648.4933973653</v>
      </c>
      <c r="N65" s="34">
        <v>6761210.6941683851</v>
      </c>
      <c r="O65" s="34">
        <v>6777033.292571649</v>
      </c>
      <c r="P65" s="34">
        <v>6541447.8953659348</v>
      </c>
      <c r="Q65" s="34">
        <v>6188936.4361109762</v>
      </c>
      <c r="R65" s="34">
        <v>5361537.8758248705</v>
      </c>
      <c r="S65" s="34">
        <v>4268069.7610092666</v>
      </c>
      <c r="T65" s="34">
        <v>3110430.1701674433</v>
      </c>
      <c r="U65" s="34">
        <v>2005729.0064815786</v>
      </c>
      <c r="V65" s="34">
        <v>1014686.4582616873</v>
      </c>
      <c r="W65" s="34">
        <v>406491.3304411117</v>
      </c>
    </row>
  </sheetData>
  <mergeCells count="2">
    <mergeCell ref="D12:O12"/>
    <mergeCell ref="D63:O63"/>
  </mergeCells>
  <pageMargins left="0.25" right="0.25" top="0.75" bottom="0.75" header="0.3" footer="0.3"/>
  <pageSetup orientation="landscape" paperSize="17" scale="10" r:id="rId3"/>
  <customProperties>
    <customPr name="_pios_id" r:id="rId4"/>
  </customProperties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15"/>
  <sheetViews>
    <sheetView workbookViewId="0" topLeftCell="A1">
      <pane xSplit="2" ySplit="15" topLeftCell="C16" activePane="bottomRight" state="frozen"/>
      <selection pane="topLeft" activeCell="A2" sqref="A1:A2"/>
      <selection pane="bottomLeft" activeCell="A2" sqref="A1:A2"/>
      <selection pane="topRight" activeCell="A2" sqref="A1:A2"/>
      <selection pane="bottomRight" activeCell="A2" sqref="A2"/>
    </sheetView>
  </sheetViews>
  <sheetFormatPr defaultColWidth="8.72727272727273" defaultRowHeight="15"/>
  <cols>
    <col min="1" max="1" width="6.72727272727273" style="40" customWidth="1"/>
    <col min="2" max="2" width="5" style="40" customWidth="1"/>
    <col min="3" max="3" width="7.45454545454545" style="40" bestFit="1" customWidth="1"/>
    <col min="4" max="4" width="15" style="40" bestFit="1" customWidth="1"/>
    <col min="5" max="5" width="2.27272727272727" style="40" customWidth="1"/>
    <col min="6" max="6" width="15.4545454545455" style="40" bestFit="1" customWidth="1"/>
    <col min="7" max="7" width="2.54545454545455" style="40" customWidth="1"/>
    <col min="8" max="8" width="14" style="40" bestFit="1" customWidth="1"/>
    <col min="9" max="9" width="19.5454545454545" style="40" customWidth="1"/>
    <col min="10" max="11" width="4" style="40" customWidth="1"/>
    <col min="12" max="12" width="11.5454545454545" style="40" bestFit="1" customWidth="1"/>
    <col min="13" max="13" width="11.5454545454545" style="40" customWidth="1"/>
    <col min="14" max="15" width="13.5454545454545" style="40" customWidth="1"/>
    <col min="16" max="16" width="6" style="40" customWidth="1"/>
    <col min="17" max="18" width="9.18181818181818" style="40"/>
    <col min="19" max="19" width="14" style="40" customWidth="1"/>
    <col min="20" max="16384" width="9.18181818181818" style="40"/>
  </cols>
  <sheetData>
    <row r="1" ht="15">
      <c r="A1" s="276" t="s">
        <v>258</v>
      </c>
    </row>
    <row r="2" ht="15">
      <c r="A2" s="286" t="s">
        <v>243</v>
      </c>
    </row>
    <row r="13" spans="1:9" ht="15" customHeight="1">
      <c r="A13" s="272" t="s">
        <v>61</v>
      </c>
      <c r="B13" s="272"/>
      <c r="C13" s="272"/>
      <c r="D13" s="272"/>
      <c r="E13" s="272"/>
      <c r="F13" s="272"/>
      <c r="G13" s="272"/>
      <c r="H13" s="272"/>
      <c r="I13" s="39"/>
    </row>
    <row r="14" spans="1:17" ht="15" customHeight="1">
      <c r="A14" s="272"/>
      <c r="B14" s="272"/>
      <c r="C14" s="272"/>
      <c r="D14" s="272"/>
      <c r="E14" s="272"/>
      <c r="F14" s="272"/>
      <c r="G14" s="272"/>
      <c r="H14" s="272"/>
      <c r="I14" s="39"/>
      <c r="Q14" s="40" t="s">
        <v>62</v>
      </c>
    </row>
    <row r="15" spans="4:31" ht="43.5">
      <c r="D15" s="41" t="s">
        <v>63</v>
      </c>
      <c r="E15" s="41"/>
      <c r="F15" s="41" t="s">
        <v>64</v>
      </c>
      <c r="G15" s="41"/>
      <c r="H15" s="41" t="s">
        <v>65</v>
      </c>
      <c r="I15" s="42" t="s">
        <v>66</v>
      </c>
      <c r="L15" s="42" t="s">
        <v>67</v>
      </c>
      <c r="M15" s="43" t="s">
        <v>68</v>
      </c>
      <c r="N15" s="43" t="s">
        <v>69</v>
      </c>
      <c r="O15" s="43" t="s">
        <v>70</v>
      </c>
      <c r="P15" s="43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</row>
    <row r="16" spans="1:31" ht="15.75">
      <c r="A16" s="273">
        <v>2015</v>
      </c>
      <c r="B16" s="273"/>
      <c r="D16" s="179"/>
      <c r="E16" s="179"/>
      <c r="F16" s="179"/>
      <c r="G16" s="179"/>
      <c r="H16" s="179"/>
      <c r="I16" s="43"/>
      <c r="L16" s="43"/>
      <c r="M16" s="43"/>
      <c r="N16" s="43"/>
      <c r="O16" s="43"/>
      <c r="P16" s="43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</row>
    <row r="17" spans="1:31" ht="15">
      <c r="A17" s="271" t="s">
        <v>0</v>
      </c>
      <c r="B17" s="271"/>
      <c r="D17" s="46">
        <v>481281.37</v>
      </c>
      <c r="E17" s="46"/>
      <c r="F17" s="46">
        <v>-149882.07999999999</v>
      </c>
      <c r="G17" s="46"/>
      <c r="H17" s="46">
        <f>D17+F17</f>
        <v>331399.29000000004</v>
      </c>
      <c r="I17" s="180"/>
      <c r="L17" s="180"/>
      <c r="M17" s="180"/>
      <c r="N17" s="180"/>
      <c r="O17" s="180"/>
      <c r="P17" s="180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</row>
    <row r="18" spans="1:31" ht="15">
      <c r="A18" s="271" t="s">
        <v>1</v>
      </c>
      <c r="B18" s="271"/>
      <c r="D18" s="46">
        <v>388277.41</v>
      </c>
      <c r="E18" s="46"/>
      <c r="F18" s="46">
        <v>-322567.14</v>
      </c>
      <c r="G18" s="46"/>
      <c r="H18" s="46">
        <f t="shared" si="0" ref="H18:H28">D18+F18</f>
        <v>65710.26999999996</v>
      </c>
      <c r="I18" s="180"/>
      <c r="L18" s="180"/>
      <c r="M18" s="180"/>
      <c r="N18" s="180"/>
      <c r="O18" s="180"/>
      <c r="P18" s="180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</row>
    <row r="19" spans="1:31" ht="15">
      <c r="A19" s="271" t="s">
        <v>2</v>
      </c>
      <c r="B19" s="271"/>
      <c r="D19" s="46">
        <v>392948.51</v>
      </c>
      <c r="E19" s="46"/>
      <c r="F19" s="46">
        <v>-209911.37</v>
      </c>
      <c r="G19" s="46"/>
      <c r="H19" s="46">
        <f t="shared" si="0"/>
        <v>183037.14</v>
      </c>
      <c r="I19" s="180"/>
      <c r="L19" s="180"/>
      <c r="M19" s="180"/>
      <c r="N19" s="180"/>
      <c r="O19" s="180"/>
      <c r="P19" s="180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</row>
    <row r="20" spans="1:31" ht="15">
      <c r="A20" s="271" t="s">
        <v>3</v>
      </c>
      <c r="B20" s="271"/>
      <c r="D20" s="46">
        <v>464067.84</v>
      </c>
      <c r="E20" s="46"/>
      <c r="F20" s="46">
        <v>-215325.65</v>
      </c>
      <c r="G20" s="46"/>
      <c r="H20" s="46">
        <f t="shared" si="0"/>
        <v>248742.19000000003</v>
      </c>
      <c r="I20" s="180"/>
      <c r="L20" s="180"/>
      <c r="M20" s="180"/>
      <c r="N20" s="180"/>
      <c r="O20" s="180"/>
      <c r="P20" s="180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</row>
    <row r="21" spans="1:31" ht="15">
      <c r="A21" s="271" t="s">
        <v>4</v>
      </c>
      <c r="B21" s="271"/>
      <c r="D21" s="46">
        <v>276251</v>
      </c>
      <c r="E21" s="46"/>
      <c r="F21" s="46">
        <v>-92604.37</v>
      </c>
      <c r="G21" s="46"/>
      <c r="H21" s="46">
        <f t="shared" si="0"/>
        <v>183646.63</v>
      </c>
      <c r="I21" s="180"/>
      <c r="L21" s="180"/>
      <c r="M21" s="180"/>
      <c r="N21" s="180"/>
      <c r="O21" s="180"/>
      <c r="P21" s="180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</row>
    <row r="22" spans="1:31" ht="15">
      <c r="A22" s="271" t="s">
        <v>5</v>
      </c>
      <c r="B22" s="271"/>
      <c r="D22" s="46">
        <v>289409.82</v>
      </c>
      <c r="E22" s="46"/>
      <c r="F22" s="46">
        <v>-117063.15</v>
      </c>
      <c r="G22" s="46"/>
      <c r="H22" s="46">
        <f t="shared" si="0"/>
        <v>172346.67</v>
      </c>
      <c r="I22" s="180"/>
      <c r="L22" s="180"/>
      <c r="M22" s="180"/>
      <c r="N22" s="180"/>
      <c r="O22" s="180"/>
      <c r="P22" s="180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</row>
    <row r="23" spans="1:31" ht="15">
      <c r="A23" s="271" t="s">
        <v>6</v>
      </c>
      <c r="B23" s="271"/>
      <c r="D23" s="46">
        <v>336949.81</v>
      </c>
      <c r="E23" s="46"/>
      <c r="F23" s="46">
        <v>-172813.92</v>
      </c>
      <c r="G23" s="46"/>
      <c r="H23" s="46">
        <f t="shared" si="0"/>
        <v>164135.88999999999</v>
      </c>
      <c r="I23" s="180"/>
      <c r="L23" s="180"/>
      <c r="M23" s="180"/>
      <c r="N23" s="180"/>
      <c r="O23" s="180"/>
      <c r="P23" s="180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</row>
    <row r="24" spans="1:31" ht="15">
      <c r="A24" s="271" t="s">
        <v>7</v>
      </c>
      <c r="B24" s="271"/>
      <c r="D24" s="46">
        <v>378520.79</v>
      </c>
      <c r="E24" s="46"/>
      <c r="F24" s="46">
        <v>-207447.86</v>
      </c>
      <c r="G24" s="46"/>
      <c r="H24" s="46">
        <f t="shared" si="0"/>
        <v>171072.93</v>
      </c>
      <c r="I24" s="180"/>
      <c r="L24" s="180"/>
      <c r="M24" s="180"/>
      <c r="N24" s="180"/>
      <c r="O24" s="180"/>
      <c r="P24" s="180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</row>
    <row r="25" spans="1:31" ht="15">
      <c r="A25" s="271" t="s">
        <v>8</v>
      </c>
      <c r="B25" s="271"/>
      <c r="D25" s="46">
        <v>407987.45</v>
      </c>
      <c r="E25" s="46"/>
      <c r="F25" s="46">
        <v>-162637.44</v>
      </c>
      <c r="G25" s="46"/>
      <c r="H25" s="46">
        <f t="shared" si="0"/>
        <v>245350.01</v>
      </c>
      <c r="I25" s="180"/>
      <c r="L25" s="180"/>
      <c r="M25" s="180"/>
      <c r="N25" s="180"/>
      <c r="O25" s="180"/>
      <c r="P25" s="180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</row>
    <row r="26" spans="1:31" ht="15">
      <c r="A26" s="271" t="s">
        <v>9</v>
      </c>
      <c r="B26" s="271"/>
      <c r="D26" s="46">
        <v>475807.63</v>
      </c>
      <c r="E26" s="46"/>
      <c r="F26" s="46">
        <v>-158787.29999999999</v>
      </c>
      <c r="G26" s="46"/>
      <c r="H26" s="46">
        <f t="shared" si="0"/>
        <v>317020.33</v>
      </c>
      <c r="I26" s="180"/>
      <c r="L26" s="180"/>
      <c r="M26" s="180"/>
      <c r="N26" s="180"/>
      <c r="O26" s="180"/>
      <c r="P26" s="180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</row>
    <row r="27" spans="1:31" ht="15">
      <c r="A27" s="271" t="s">
        <v>10</v>
      </c>
      <c r="B27" s="271"/>
      <c r="D27" s="46">
        <v>731290.92</v>
      </c>
      <c r="E27" s="46"/>
      <c r="F27" s="46">
        <v>-170637.88</v>
      </c>
      <c r="G27" s="46"/>
      <c r="H27" s="46">
        <f t="shared" si="0"/>
        <v>560653.04</v>
      </c>
      <c r="I27" s="180"/>
      <c r="L27" s="180"/>
      <c r="M27" s="180"/>
      <c r="N27" s="180"/>
      <c r="O27" s="180"/>
      <c r="P27" s="180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</row>
    <row r="28" spans="1:31" ht="15">
      <c r="A28" s="271" t="s">
        <v>11</v>
      </c>
      <c r="B28" s="271"/>
      <c r="D28" s="46">
        <v>679271.07</v>
      </c>
      <c r="E28" s="46"/>
      <c r="F28" s="46">
        <v>-153549.04999999999</v>
      </c>
      <c r="G28" s="46"/>
      <c r="H28" s="46">
        <f t="shared" si="0"/>
        <v>525722.02</v>
      </c>
      <c r="I28" s="180"/>
      <c r="L28" s="180"/>
      <c r="M28" s="180"/>
      <c r="N28" s="180"/>
      <c r="O28" s="180"/>
      <c r="P28" s="180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</row>
    <row r="29" spans="1:31" ht="15.75" thickBot="1">
      <c r="A29" s="144"/>
      <c r="B29" s="144"/>
      <c r="D29" s="59">
        <f>SUM(D17:D28)</f>
        <v>5302063.620000001</v>
      </c>
      <c r="E29" s="46"/>
      <c r="F29" s="59">
        <f>SUM(F17:F28)</f>
        <v>-2133227.21</v>
      </c>
      <c r="G29" s="46"/>
      <c r="H29" s="59">
        <f>SUM(H17:H28)</f>
        <v>3168836.4099999997</v>
      </c>
      <c r="I29" s="180"/>
      <c r="L29" s="180"/>
      <c r="M29" s="180"/>
      <c r="N29" s="180"/>
      <c r="O29" s="180"/>
      <c r="P29" s="180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</row>
    <row r="30" spans="1:31" ht="15.75" thickTop="1">
      <c r="A30" s="144"/>
      <c r="B30" s="144"/>
      <c r="D30" s="183"/>
      <c r="E30" s="183"/>
      <c r="F30" s="183"/>
      <c r="G30" s="183"/>
      <c r="H30" s="183"/>
      <c r="I30" s="180"/>
      <c r="L30" s="180"/>
      <c r="M30" s="180"/>
      <c r="N30" s="180"/>
      <c r="O30" s="180"/>
      <c r="P30" s="180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</row>
    <row r="31" spans="1:31" ht="15.75">
      <c r="A31" s="273">
        <v>2016</v>
      </c>
      <c r="B31" s="273"/>
      <c r="C31" s="181"/>
      <c r="D31" s="184"/>
      <c r="E31" s="184"/>
      <c r="F31" s="184"/>
      <c r="G31" s="184"/>
      <c r="H31" s="184"/>
      <c r="S31" s="182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</row>
    <row r="32" spans="1:33" ht="15">
      <c r="A32" s="271" t="s">
        <v>0</v>
      </c>
      <c r="B32" s="271"/>
      <c r="C32" s="45">
        <f>D32/$D$44</f>
        <v>0.11724801288037567</v>
      </c>
      <c r="D32" s="46">
        <v>607865.88</v>
      </c>
      <c r="E32" s="46"/>
      <c r="F32" s="46">
        <v>-169671.75</v>
      </c>
      <c r="G32" s="46"/>
      <c r="H32" s="46">
        <v>438194.13</v>
      </c>
      <c r="I32" s="47">
        <f>-IF(F32=0,0,F32/D32)</f>
        <v>0.27912695149133887</v>
      </c>
      <c r="J32" s="48"/>
      <c r="K32" s="48"/>
      <c r="L32" s="49">
        <v>82514039.569999993</v>
      </c>
      <c r="M32" s="50">
        <f>D32/L32</f>
        <v>0.0073668176127084754</v>
      </c>
      <c r="N32" s="50">
        <f>F32/L32</f>
        <v>-0.0020562773424280191</v>
      </c>
      <c r="O32" s="50">
        <f>H32/L32</f>
        <v>0.0053105402702804559</v>
      </c>
      <c r="P32" s="50"/>
      <c r="Q32" s="49">
        <v>438194.13</v>
      </c>
      <c r="S32" s="51" t="s">
        <v>71</v>
      </c>
      <c r="T32" s="52" t="s">
        <v>0</v>
      </c>
      <c r="U32" s="52" t="s">
        <v>1</v>
      </c>
      <c r="V32" s="52" t="s">
        <v>2</v>
      </c>
      <c r="W32" s="52" t="s">
        <v>3</v>
      </c>
      <c r="X32" s="52" t="s">
        <v>4</v>
      </c>
      <c r="Y32" s="52" t="s">
        <v>5</v>
      </c>
      <c r="Z32" s="52" t="s">
        <v>6</v>
      </c>
      <c r="AA32" s="52" t="s">
        <v>7</v>
      </c>
      <c r="AB32" s="52" t="s">
        <v>8</v>
      </c>
      <c r="AC32" s="52" t="s">
        <v>9</v>
      </c>
      <c r="AD32" s="52" t="s">
        <v>10</v>
      </c>
      <c r="AE32" s="52" t="s">
        <v>11</v>
      </c>
      <c r="AG32" s="50"/>
    </row>
    <row r="33" spans="1:33" ht="15">
      <c r="A33" s="271" t="s">
        <v>1</v>
      </c>
      <c r="B33" s="271"/>
      <c r="C33" s="45">
        <f t="shared" si="1" ref="C33:C43">D33/$D$44</f>
        <v>0.083220691094025565</v>
      </c>
      <c r="D33" s="46">
        <v>431453.10</v>
      </c>
      <c r="E33" s="46"/>
      <c r="F33" s="46">
        <v>-302801.28999999998</v>
      </c>
      <c r="G33" s="46"/>
      <c r="H33" s="46">
        <v>128651.81</v>
      </c>
      <c r="I33" s="47">
        <f t="shared" si="2" ref="I33:I43">-IF(F33=0,0,F33/D33)</f>
        <v>0.70181739336210591</v>
      </c>
      <c r="J33" s="48"/>
      <c r="K33" s="48"/>
      <c r="L33" s="49">
        <v>72762137.310000002</v>
      </c>
      <c r="M33" s="50">
        <f t="shared" si="3" ref="M33:M43">D33/L33</f>
        <v>0.0059296375278506779</v>
      </c>
      <c r="N33" s="50">
        <f t="shared" si="4" ref="N33:N43">F33/L33</f>
        <v>-0.0041615227533782842</v>
      </c>
      <c r="O33" s="50">
        <f t="shared" si="5" ref="O33:O43">H33/L33</f>
        <v>0.0017681147744723937</v>
      </c>
      <c r="P33" s="50"/>
      <c r="Q33" s="49">
        <v>128651.81</v>
      </c>
      <c r="S33" s="53">
        <v>2016</v>
      </c>
      <c r="T33" s="50">
        <v>0.0073668176127084754</v>
      </c>
      <c r="U33" s="50">
        <v>0.0059296375278506779</v>
      </c>
      <c r="V33" s="50">
        <v>0.005563229187077732</v>
      </c>
      <c r="W33" s="50">
        <v>0.0064520448945579656</v>
      </c>
      <c r="X33" s="50">
        <v>0.0063759858935289451</v>
      </c>
      <c r="Y33" s="50">
        <v>0.00428395672342885</v>
      </c>
      <c r="Z33" s="50">
        <v>0.0032549796986375639</v>
      </c>
      <c r="AA33" s="50">
        <v>0.0033062830328939416</v>
      </c>
      <c r="AB33" s="50">
        <v>0.0032018547693142782</v>
      </c>
      <c r="AC33" s="50">
        <v>0.0063287101214444886</v>
      </c>
      <c r="AD33" s="50">
        <v>0.0085402727264004153</v>
      </c>
      <c r="AE33" s="50">
        <v>0.0086708566026662912</v>
      </c>
      <c r="AG33" s="50"/>
    </row>
    <row r="34" spans="1:33" ht="15">
      <c r="A34" s="271" t="s">
        <v>2</v>
      </c>
      <c r="B34" s="271"/>
      <c r="C34" s="45">
        <f t="shared" si="1"/>
        <v>0.06737872359164071</v>
      </c>
      <c r="D34" s="46">
        <v>349321.29</v>
      </c>
      <c r="E34" s="46"/>
      <c r="F34" s="46">
        <v>-210696.93</v>
      </c>
      <c r="G34" s="46"/>
      <c r="H34" s="46">
        <v>138624.35999999999</v>
      </c>
      <c r="I34" s="47">
        <f t="shared" si="2"/>
        <v>0.60316086087967902</v>
      </c>
      <c r="J34" s="48"/>
      <c r="K34" s="48"/>
      <c r="L34" s="49">
        <v>62791101.760000005</v>
      </c>
      <c r="M34" s="50">
        <f t="shared" si="3"/>
        <v>0.005563229187077732</v>
      </c>
      <c r="N34" s="50">
        <f t="shared" si="4"/>
        <v>-0.0033555221057487618</v>
      </c>
      <c r="O34" s="50">
        <f t="shared" si="5"/>
        <v>0.0022077070813289702</v>
      </c>
      <c r="P34" s="50"/>
      <c r="Q34" s="49">
        <v>138624.35999999999</v>
      </c>
      <c r="S34" s="53">
        <v>2017</v>
      </c>
      <c r="T34" s="50">
        <v>0.0093712124798747392</v>
      </c>
      <c r="U34" s="50">
        <v>0.0070089567635858987</v>
      </c>
      <c r="V34" s="50">
        <v>0.0066009600918697474</v>
      </c>
      <c r="W34" s="50">
        <v>0.0070861015109308628</v>
      </c>
      <c r="X34" s="50">
        <v>0.0051515417648836676</v>
      </c>
      <c r="Y34" s="50">
        <v>0.0037284444014605523</v>
      </c>
      <c r="Z34" s="50">
        <v>0.0026581338117555617</v>
      </c>
      <c r="AA34" s="50">
        <v>0.0026327948318398166</v>
      </c>
      <c r="AB34" s="50">
        <v>0.0037291707042965139</v>
      </c>
      <c r="AC34" s="50">
        <v>0.0051063603653639404</v>
      </c>
      <c r="AD34" s="50">
        <v>0.007447371316839071</v>
      </c>
      <c r="AE34" s="50">
        <v>0.0081983590353719056</v>
      </c>
      <c r="AG34" s="50"/>
    </row>
    <row r="35" spans="1:33" ht="15">
      <c r="A35" s="271" t="s">
        <v>3</v>
      </c>
      <c r="B35" s="271"/>
      <c r="C35" s="45">
        <f t="shared" si="1"/>
        <v>0.076379596307998274</v>
      </c>
      <c r="D35" s="46">
        <v>395985.82</v>
      </c>
      <c r="E35" s="46"/>
      <c r="F35" s="46">
        <v>-196584.41</v>
      </c>
      <c r="G35" s="46"/>
      <c r="H35" s="46">
        <v>199401.41</v>
      </c>
      <c r="I35" s="47">
        <f t="shared" si="2"/>
        <v>0.49644305445078818</v>
      </c>
      <c r="J35" s="48"/>
      <c r="K35" s="48"/>
      <c r="L35" s="49">
        <v>61373692.600000001</v>
      </c>
      <c r="M35" s="50">
        <f t="shared" si="3"/>
        <v>0.0064520448945579656</v>
      </c>
      <c r="N35" s="50">
        <f t="shared" si="4"/>
        <v>-0.0032030728749079698</v>
      </c>
      <c r="O35" s="50">
        <f t="shared" si="5"/>
        <v>0.0032489720196499958</v>
      </c>
      <c r="P35" s="50"/>
      <c r="Q35" s="49">
        <v>199401.41</v>
      </c>
      <c r="S35" s="53">
        <v>2018</v>
      </c>
      <c r="T35" s="50">
        <v>0.0052632964776685512</v>
      </c>
      <c r="U35" s="50">
        <v>0.0054329765777550174</v>
      </c>
      <c r="V35" s="50">
        <v>0.0038455965661949782</v>
      </c>
      <c r="W35" s="50">
        <v>0.0091176389942554323</v>
      </c>
      <c r="X35" s="50">
        <v>0.011753301989558478</v>
      </c>
      <c r="Y35" s="50">
        <v>0.0059944124420445392</v>
      </c>
      <c r="Z35" s="50">
        <v>0.0036653077805138602</v>
      </c>
      <c r="AA35" s="50">
        <v>0.0038451354741699025</v>
      </c>
      <c r="AB35" s="50">
        <v>0.0042313796238044737</v>
      </c>
      <c r="AC35" s="50">
        <v>0.0056677133423133543</v>
      </c>
      <c r="AD35" s="50">
        <v>0.0078931386331895417</v>
      </c>
      <c r="AE35" s="50">
        <v>0.0080240864153161631</v>
      </c>
      <c r="AG35" s="50" t="s">
        <v>72</v>
      </c>
    </row>
    <row r="36" spans="1:33" ht="15">
      <c r="A36" s="271" t="s">
        <v>4</v>
      </c>
      <c r="B36" s="271"/>
      <c r="C36" s="45">
        <f t="shared" si="1"/>
        <v>0.078162460223201696</v>
      </c>
      <c r="D36" s="46">
        <v>405228.98</v>
      </c>
      <c r="E36" s="46"/>
      <c r="F36" s="46">
        <v>-183256.50</v>
      </c>
      <c r="G36" s="46"/>
      <c r="H36" s="46">
        <v>221972.48</v>
      </c>
      <c r="I36" s="47">
        <f t="shared" si="2"/>
        <v>0.45222950244081755</v>
      </c>
      <c r="J36" s="48"/>
      <c r="K36" s="48"/>
      <c r="L36" s="49">
        <v>63555501.340000004</v>
      </c>
      <c r="M36" s="50">
        <f t="shared" si="3"/>
        <v>0.0063759858935289451</v>
      </c>
      <c r="N36" s="50">
        <f t="shared" si="4"/>
        <v>-0.0028834089282002663</v>
      </c>
      <c r="O36" s="50">
        <f t="shared" si="5"/>
        <v>0.0034925769653286792</v>
      </c>
      <c r="P36" s="50"/>
      <c r="Q36" s="49">
        <v>221972.48</v>
      </c>
      <c r="S36" s="53">
        <v>2019</v>
      </c>
      <c r="T36" s="50">
        <v>0.0053379990196195815</v>
      </c>
      <c r="U36" s="50">
        <v>0.011275233778176665</v>
      </c>
      <c r="V36" s="50">
        <v>0.009025571701103614</v>
      </c>
      <c r="W36" s="50">
        <v>0.0096231877428463123</v>
      </c>
      <c r="X36" s="50">
        <v>0.0099977345880693964</v>
      </c>
      <c r="Y36" s="50">
        <v>0.0061033545634979593</v>
      </c>
      <c r="Z36" s="50">
        <v>0.0045649179933465031</v>
      </c>
      <c r="AA36" s="50">
        <v>0.0032774394598261486</v>
      </c>
      <c r="AB36" s="50">
        <v>0.0048009468589229097</v>
      </c>
      <c r="AC36" s="50">
        <v>0.0042870985010534509</v>
      </c>
      <c r="AD36" s="50">
        <v>0.0085484047335249932</v>
      </c>
      <c r="AE36" s="50">
        <v>0.0098057075700501237</v>
      </c>
      <c r="AG36" s="50" t="s">
        <v>73</v>
      </c>
    </row>
    <row r="37" spans="1:33" ht="15.75" thickBot="1">
      <c r="A37" s="271" t="s">
        <v>5</v>
      </c>
      <c r="B37" s="271"/>
      <c r="C37" s="45">
        <f t="shared" si="1"/>
        <v>0.064927498845802206</v>
      </c>
      <c r="D37" s="46">
        <v>336613.05</v>
      </c>
      <c r="E37" s="46"/>
      <c r="F37" s="46">
        <v>-184351.86</v>
      </c>
      <c r="G37" s="46"/>
      <c r="H37" s="46">
        <v>152261.19</v>
      </c>
      <c r="I37" s="47">
        <f t="shared" si="2"/>
        <v>0.54766700221515474</v>
      </c>
      <c r="J37" s="48"/>
      <c r="K37" s="48"/>
      <c r="L37" s="49">
        <v>78575268.549999997</v>
      </c>
      <c r="M37" s="50">
        <f t="shared" si="3"/>
        <v>0.00428395672342885</v>
      </c>
      <c r="N37" s="50">
        <f t="shared" si="4"/>
        <v>-0.0023461817363397354</v>
      </c>
      <c r="O37" s="50">
        <f t="shared" si="5"/>
        <v>0.0019377749870891153</v>
      </c>
      <c r="P37" s="50"/>
      <c r="Q37" s="49">
        <v>152261.19</v>
      </c>
      <c r="S37" s="53" t="s">
        <v>74</v>
      </c>
      <c r="T37" s="54">
        <f>AVERAGE(T33:T36)</f>
        <v>0.006834831397467836</v>
      </c>
      <c r="U37" s="54">
        <f t="shared" si="6" ref="U37:AE37">AVERAGE(U33:U36)</f>
        <v>0.0074117011618420646</v>
      </c>
      <c r="V37" s="54">
        <f t="shared" si="6"/>
        <v>0.0062588393865615176</v>
      </c>
      <c r="W37" s="54">
        <f t="shared" si="6"/>
        <v>0.0080697432856476434</v>
      </c>
      <c r="X37" s="54">
        <f t="shared" si="6"/>
        <v>0.0083196410590101223</v>
      </c>
      <c r="Y37" s="54">
        <f t="shared" si="6"/>
        <v>0.0050275420326079756</v>
      </c>
      <c r="Z37" s="54">
        <f t="shared" si="6"/>
        <v>0.0035358348210633725</v>
      </c>
      <c r="AA37" s="54">
        <f t="shared" si="6"/>
        <v>0.003265413199682452</v>
      </c>
      <c r="AB37" s="54">
        <f t="shared" si="6"/>
        <v>0.003990837989084544</v>
      </c>
      <c r="AC37" s="54">
        <f t="shared" si="6"/>
        <v>0.0053474705825438083</v>
      </c>
      <c r="AD37" s="54">
        <f t="shared" si="6"/>
        <v>0.0081072968524885051</v>
      </c>
      <c r="AE37" s="54">
        <f t="shared" si="6"/>
        <v>0.0086747524058511209</v>
      </c>
      <c r="AG37" s="50"/>
    </row>
    <row r="38" spans="1:33" ht="15.75" thickTop="1">
      <c r="A38" s="271" t="s">
        <v>6</v>
      </c>
      <c r="B38" s="271"/>
      <c r="C38" s="45">
        <f t="shared" si="1"/>
        <v>0.061137228178356318</v>
      </c>
      <c r="D38" s="46">
        <v>316962.59999999998</v>
      </c>
      <c r="E38" s="46"/>
      <c r="F38" s="46">
        <v>-162200.97</v>
      </c>
      <c r="G38" s="46"/>
      <c r="H38" s="46">
        <v>154761.63</v>
      </c>
      <c r="I38" s="47">
        <f t="shared" si="2"/>
        <v>0.51173535931368563</v>
      </c>
      <c r="J38" s="48"/>
      <c r="K38" s="48"/>
      <c r="L38" s="49">
        <v>97377750.200000003</v>
      </c>
      <c r="M38" s="50">
        <f t="shared" si="3"/>
        <v>0.0032549796986375639</v>
      </c>
      <c r="N38" s="50">
        <f t="shared" si="4"/>
        <v>-0.0016656882056410459</v>
      </c>
      <c r="O38" s="50">
        <f t="shared" si="5"/>
        <v>0.0015892914929965182</v>
      </c>
      <c r="P38" s="50"/>
      <c r="Q38" s="49">
        <v>154761.63</v>
      </c>
      <c r="AG38" s="50"/>
    </row>
    <row r="39" spans="1:33" ht="15">
      <c r="A39" s="271" t="s">
        <v>7</v>
      </c>
      <c r="B39" s="271"/>
      <c r="C39" s="45">
        <f t="shared" si="1"/>
        <v>0.05992207979907125</v>
      </c>
      <c r="D39" s="46">
        <v>310662.73</v>
      </c>
      <c r="E39" s="46"/>
      <c r="F39" s="46">
        <v>-164965.24</v>
      </c>
      <c r="G39" s="46"/>
      <c r="H39" s="46">
        <v>145697.49</v>
      </c>
      <c r="I39" s="47">
        <f t="shared" si="2"/>
        <v>0.5310107202109503</v>
      </c>
      <c r="J39" s="48"/>
      <c r="K39" s="48"/>
      <c r="L39" s="49">
        <v>93961323.610000014</v>
      </c>
      <c r="M39" s="50">
        <f t="shared" si="3"/>
        <v>0.0033062830328939416</v>
      </c>
      <c r="N39" s="50">
        <f t="shared" si="4"/>
        <v>-0.0017556717345182571</v>
      </c>
      <c r="O39" s="50">
        <f t="shared" si="5"/>
        <v>0.0015506112983756845</v>
      </c>
      <c r="P39" s="50"/>
      <c r="Q39" s="49">
        <v>145697.49</v>
      </c>
      <c r="S39" s="51" t="s">
        <v>75</v>
      </c>
      <c r="T39" s="52" t="s">
        <v>0</v>
      </c>
      <c r="U39" s="52" t="s">
        <v>1</v>
      </c>
      <c r="V39" s="52" t="s">
        <v>2</v>
      </c>
      <c r="W39" s="52" t="s">
        <v>3</v>
      </c>
      <c r="X39" s="52" t="s">
        <v>4</v>
      </c>
      <c r="Y39" s="52" t="s">
        <v>5</v>
      </c>
      <c r="Z39" s="52" t="s">
        <v>6</v>
      </c>
      <c r="AA39" s="52" t="s">
        <v>7</v>
      </c>
      <c r="AB39" s="52" t="s">
        <v>8</v>
      </c>
      <c r="AC39" s="52" t="s">
        <v>9</v>
      </c>
      <c r="AD39" s="52" t="s">
        <v>10</v>
      </c>
      <c r="AE39" s="52" t="s">
        <v>11</v>
      </c>
      <c r="AG39" s="50"/>
    </row>
    <row r="40" spans="1:33" ht="15">
      <c r="A40" s="271" t="s">
        <v>8</v>
      </c>
      <c r="B40" s="271"/>
      <c r="C40" s="45">
        <f t="shared" si="1"/>
        <v>0.057719413961191464</v>
      </c>
      <c r="D40" s="46">
        <v>299243.13</v>
      </c>
      <c r="E40" s="46"/>
      <c r="F40" s="46">
        <v>-147589.81</v>
      </c>
      <c r="G40" s="46"/>
      <c r="H40" s="46">
        <v>151653.32</v>
      </c>
      <c r="I40" s="47">
        <f t="shared" si="2"/>
        <v>0.49321035373477079</v>
      </c>
      <c r="J40" s="48"/>
      <c r="K40" s="48"/>
      <c r="L40" s="49">
        <v>93459307.670000002</v>
      </c>
      <c r="M40" s="50">
        <f t="shared" si="3"/>
        <v>0.0032018547693142782</v>
      </c>
      <c r="N40" s="50">
        <f t="shared" si="4"/>
        <v>-0.001579187923380858</v>
      </c>
      <c r="O40" s="50">
        <f t="shared" si="5"/>
        <v>0.0016226668459334201</v>
      </c>
      <c r="P40" s="50"/>
      <c r="Q40" s="49">
        <v>151653.32</v>
      </c>
      <c r="S40" s="53">
        <v>2016</v>
      </c>
      <c r="T40" s="50">
        <v>-0.0020562773424280191</v>
      </c>
      <c r="U40" s="50">
        <v>-0.0041615227533782842</v>
      </c>
      <c r="V40" s="50">
        <v>-0.0033555221057487618</v>
      </c>
      <c r="W40" s="50">
        <v>-0.0032030728749079698</v>
      </c>
      <c r="X40" s="50">
        <v>-0.0028834089282002663</v>
      </c>
      <c r="Y40" s="50">
        <v>-0.0023461817363397354</v>
      </c>
      <c r="Z40" s="50">
        <v>-0.0016656882056410459</v>
      </c>
      <c r="AA40" s="50">
        <v>-0.0017556717345182571</v>
      </c>
      <c r="AB40" s="50">
        <v>-0.001579187923380858</v>
      </c>
      <c r="AC40" s="50">
        <v>-0.0017553295070355272</v>
      </c>
      <c r="AD40" s="50">
        <v>-0.002625748794590621</v>
      </c>
      <c r="AE40" s="50">
        <v>-0.002063297329156456</v>
      </c>
      <c r="AG40" s="50"/>
    </row>
    <row r="41" spans="1:33" ht="15">
      <c r="A41" s="271" t="s">
        <v>9</v>
      </c>
      <c r="B41" s="271"/>
      <c r="C41" s="45">
        <f t="shared" si="1"/>
        <v>0.098526977347363334</v>
      </c>
      <c r="D41" s="46">
        <v>510807.70</v>
      </c>
      <c r="E41" s="46"/>
      <c r="F41" s="46">
        <v>-141677.50</v>
      </c>
      <c r="G41" s="46"/>
      <c r="H41" s="46">
        <v>369130.20</v>
      </c>
      <c r="I41" s="47">
        <f t="shared" si="2"/>
        <v>0.27735975788931921</v>
      </c>
      <c r="J41" s="48"/>
      <c r="K41" s="48"/>
      <c r="L41" s="49">
        <v>80712766.140000001</v>
      </c>
      <c r="M41" s="50">
        <f t="shared" si="3"/>
        <v>0.0063287101214444886</v>
      </c>
      <c r="N41" s="50">
        <f t="shared" si="4"/>
        <v>-0.0017553295070355272</v>
      </c>
      <c r="O41" s="50">
        <f t="shared" si="5"/>
        <v>0.0045733806144089614</v>
      </c>
      <c r="P41" s="50"/>
      <c r="Q41" s="49">
        <v>369130.20</v>
      </c>
      <c r="S41" s="53">
        <v>2017</v>
      </c>
      <c r="T41" s="50">
        <v>-0.0027379164191116152</v>
      </c>
      <c r="U41" s="50">
        <v>-0.0038444490993040452</v>
      </c>
      <c r="V41" s="50">
        <v>-0.004018635747567615</v>
      </c>
      <c r="W41" s="50">
        <v>-0.0028900837759378399</v>
      </c>
      <c r="X41" s="50">
        <v>-0.002488368917585782</v>
      </c>
      <c r="Y41" s="50">
        <v>-0.0023728592558094059</v>
      </c>
      <c r="Z41" s="50">
        <v>-0.001606667319335968</v>
      </c>
      <c r="AA41" s="50">
        <v>-0.0016479454872282075</v>
      </c>
      <c r="AB41" s="50">
        <v>-0.0013825243135139882</v>
      </c>
      <c r="AC41" s="50">
        <v>-0.0014608124385808202</v>
      </c>
      <c r="AD41" s="50">
        <v>-0.0021965708846620057</v>
      </c>
      <c r="AE41" s="50">
        <v>-0.0019435423242787986</v>
      </c>
      <c r="AG41" s="50"/>
    </row>
    <row r="42" spans="1:33" ht="15">
      <c r="A42" s="271" t="s">
        <v>10</v>
      </c>
      <c r="B42" s="271"/>
      <c r="C42" s="45">
        <f t="shared" si="1"/>
        <v>0.11764324901080779</v>
      </c>
      <c r="D42" s="46">
        <v>609914.96</v>
      </c>
      <c r="E42" s="46"/>
      <c r="F42" s="46">
        <v>-187521.35</v>
      </c>
      <c r="G42" s="46"/>
      <c r="H42" s="46">
        <v>422393.61</v>
      </c>
      <c r="I42" s="47">
        <f t="shared" si="2"/>
        <v>0.3074549114191264</v>
      </c>
      <c r="J42" s="48"/>
      <c r="K42" s="48"/>
      <c r="L42" s="49">
        <v>71416332.890000001</v>
      </c>
      <c r="M42" s="50">
        <f t="shared" si="3"/>
        <v>0.0085402727264004153</v>
      </c>
      <c r="N42" s="50">
        <f t="shared" si="4"/>
        <v>-0.002625748794590621</v>
      </c>
      <c r="O42" s="50">
        <f t="shared" si="5"/>
        <v>0.0059145239318097948</v>
      </c>
      <c r="P42" s="50"/>
      <c r="Q42" s="49">
        <v>422393.61</v>
      </c>
      <c r="S42" s="53">
        <v>2018</v>
      </c>
      <c r="T42" s="50">
        <v>-0.0014905579695822771</v>
      </c>
      <c r="U42" s="50">
        <v>-0.0020825719424273337</v>
      </c>
      <c r="V42" s="50">
        <v>-0.0033123125575155862</v>
      </c>
      <c r="W42" s="50">
        <v>-0.0030705418630652538</v>
      </c>
      <c r="X42" s="50">
        <v>-0.0026624035596227846</v>
      </c>
      <c r="Y42" s="50">
        <v>-0.0022695508037061263</v>
      </c>
      <c r="Z42" s="50">
        <v>-0.0018232449912699805</v>
      </c>
      <c r="AA42" s="50">
        <v>-0.0018692500545334759</v>
      </c>
      <c r="AB42" s="50">
        <v>-0.0015081669410438165</v>
      </c>
      <c r="AC42" s="50">
        <v>-0.0012789641419690032</v>
      </c>
      <c r="AD42" s="50">
        <v>-0.0023785997555286595</v>
      </c>
      <c r="AE42" s="50">
        <v>-0.0023591453702695728</v>
      </c>
      <c r="AG42" s="50"/>
    </row>
    <row r="43" spans="1:33" ht="15">
      <c r="A43" s="271" t="s">
        <v>11</v>
      </c>
      <c r="B43" s="271"/>
      <c r="C43" s="45">
        <f t="shared" si="1"/>
        <v>0.11773406876016555</v>
      </c>
      <c r="D43" s="55">
        <v>610385.81000000006</v>
      </c>
      <c r="E43" s="46"/>
      <c r="F43" s="55">
        <v>-145246.01999999999</v>
      </c>
      <c r="G43" s="46"/>
      <c r="H43" s="55">
        <v>465139.79</v>
      </c>
      <c r="I43" s="47">
        <f t="shared" si="2"/>
        <v>0.23795772709722721</v>
      </c>
      <c r="J43" s="48"/>
      <c r="K43" s="48"/>
      <c r="L43" s="49">
        <v>70395099.120000005</v>
      </c>
      <c r="M43" s="50">
        <f t="shared" si="3"/>
        <v>0.0086708566026662912</v>
      </c>
      <c r="N43" s="50">
        <f t="shared" si="4"/>
        <v>-0.002063297329156456</v>
      </c>
      <c r="O43" s="50">
        <f t="shared" si="5"/>
        <v>0.0066075592735098335</v>
      </c>
      <c r="P43" s="50"/>
      <c r="Q43" s="49">
        <v>465139.79</v>
      </c>
      <c r="S43" s="53">
        <v>2019</v>
      </c>
      <c r="T43" s="50">
        <v>-0.0024521742520746772</v>
      </c>
      <c r="U43" s="50">
        <v>-0.0029702631887744534</v>
      </c>
      <c r="V43" s="50">
        <v>-0.004106512963493983</v>
      </c>
      <c r="W43" s="50">
        <v>-0.0039250971095157747</v>
      </c>
      <c r="X43" s="50">
        <v>-0.0030959995778900794</v>
      </c>
      <c r="Y43" s="50">
        <v>-0.0024466177438938102</v>
      </c>
      <c r="Z43" s="50">
        <v>-0.0021280539039249197</v>
      </c>
      <c r="AA43" s="50">
        <v>-0.0022317981746323313</v>
      </c>
      <c r="AB43" s="50">
        <v>-0.0021373939729324646</v>
      </c>
      <c r="AC43" s="50">
        <v>-0.0025643436609392892</v>
      </c>
      <c r="AD43" s="50">
        <v>-0.0036406529418794788</v>
      </c>
      <c r="AE43" s="50">
        <v>-0.0033790394440112036</v>
      </c>
      <c r="AG43" s="50"/>
    </row>
    <row r="44" spans="1:33" ht="15.75" thickBot="1">
      <c r="A44" s="53"/>
      <c r="B44" s="53"/>
      <c r="C44" s="45">
        <f>SUM(C32:C43)</f>
        <v>1</v>
      </c>
      <c r="D44" s="56">
        <f>SUM(D32:D43)</f>
        <v>5184445.0500000007</v>
      </c>
      <c r="E44" s="57"/>
      <c r="F44" s="56">
        <f>SUM(F32:F43)</f>
        <v>-2196563.63</v>
      </c>
      <c r="G44" s="57"/>
      <c r="H44" s="56">
        <f>SUM(H32:H43)</f>
        <v>2987881.42</v>
      </c>
      <c r="I44" s="47"/>
      <c r="J44" s="48"/>
      <c r="K44" s="48"/>
      <c r="L44" s="49"/>
      <c r="M44" s="50"/>
      <c r="N44" s="50"/>
      <c r="O44" s="50"/>
      <c r="P44" s="50"/>
      <c r="Q44" s="58"/>
      <c r="S44" s="53" t="s">
        <v>74</v>
      </c>
      <c r="T44" s="54">
        <f>AVERAGE(T40:T43)</f>
        <v>-0.002184231495799147</v>
      </c>
      <c r="U44" s="54">
        <f t="shared" si="7" ref="U44:AE44">AVERAGE(U40:U43)</f>
        <v>-0.0032647017459710294</v>
      </c>
      <c r="V44" s="54">
        <f t="shared" si="7"/>
        <v>-0.0036982458435814861</v>
      </c>
      <c r="W44" s="54">
        <f t="shared" si="7"/>
        <v>-0.0032721989058567096</v>
      </c>
      <c r="X44" s="54">
        <f t="shared" si="7"/>
        <v>-0.0027825452458247282</v>
      </c>
      <c r="Y44" s="54">
        <f t="shared" si="7"/>
        <v>-0.0023588023849372697</v>
      </c>
      <c r="Z44" s="54">
        <f t="shared" si="7"/>
        <v>-0.0018059136050429785</v>
      </c>
      <c r="AA44" s="54">
        <f t="shared" si="7"/>
        <v>-0.0018761663627280679</v>
      </c>
      <c r="AB44" s="54">
        <f t="shared" si="7"/>
        <v>-0.0016518182877177817</v>
      </c>
      <c r="AC44" s="54">
        <f t="shared" si="7"/>
        <v>-0.0017648624371311601</v>
      </c>
      <c r="AD44" s="54">
        <f t="shared" si="7"/>
        <v>-0.002710393094165191</v>
      </c>
      <c r="AE44" s="54">
        <f t="shared" si="7"/>
        <v>-0.0024362561169290076</v>
      </c>
      <c r="AG44" s="50"/>
    </row>
    <row r="45" spans="1:33" ht="15.75" thickTop="1">
      <c r="A45" s="53"/>
      <c r="B45" s="53"/>
      <c r="C45" s="53"/>
      <c r="D45" s="57"/>
      <c r="E45" s="57"/>
      <c r="F45" s="57"/>
      <c r="G45" s="57"/>
      <c r="H45" s="57"/>
      <c r="I45" s="47"/>
      <c r="J45" s="48"/>
      <c r="K45" s="48"/>
      <c r="L45" s="49"/>
      <c r="M45" s="50"/>
      <c r="N45" s="50"/>
      <c r="O45" s="50"/>
      <c r="P45" s="50"/>
      <c r="Q45" s="58"/>
      <c r="AG45" s="50"/>
    </row>
    <row r="46" spans="1:33" ht="15.75">
      <c r="A46" s="273">
        <v>2017</v>
      </c>
      <c r="B46" s="273"/>
      <c r="C46" s="44"/>
      <c r="D46" s="57"/>
      <c r="E46" s="57"/>
      <c r="F46" s="57"/>
      <c r="G46" s="57"/>
      <c r="H46" s="57"/>
      <c r="I46" s="47"/>
      <c r="J46" s="48"/>
      <c r="K46" s="48"/>
      <c r="L46" s="49"/>
      <c r="M46" s="50"/>
      <c r="N46" s="50"/>
      <c r="O46" s="50"/>
      <c r="P46" s="50"/>
      <c r="Q46" s="58"/>
      <c r="S46" s="51" t="s">
        <v>76</v>
      </c>
      <c r="T46" s="52" t="s">
        <v>0</v>
      </c>
      <c r="U46" s="52" t="s">
        <v>1</v>
      </c>
      <c r="V46" s="52" t="s">
        <v>2</v>
      </c>
      <c r="W46" s="52" t="s">
        <v>3</v>
      </c>
      <c r="X46" s="52" t="s">
        <v>4</v>
      </c>
      <c r="Y46" s="52" t="s">
        <v>5</v>
      </c>
      <c r="Z46" s="52" t="s">
        <v>6</v>
      </c>
      <c r="AA46" s="52" t="s">
        <v>7</v>
      </c>
      <c r="AB46" s="52" t="s">
        <v>8</v>
      </c>
      <c r="AC46" s="52" t="s">
        <v>9</v>
      </c>
      <c r="AD46" s="52" t="s">
        <v>10</v>
      </c>
      <c r="AE46" s="52" t="s">
        <v>11</v>
      </c>
      <c r="AG46" s="50"/>
    </row>
    <row r="47" spans="1:33" ht="15">
      <c r="A47" s="271" t="s">
        <v>0</v>
      </c>
      <c r="B47" s="271"/>
      <c r="C47" s="45">
        <f>D47/$D$59</f>
        <v>0.12818075255363101</v>
      </c>
      <c r="D47" s="46">
        <v>621762.34</v>
      </c>
      <c r="E47" s="46"/>
      <c r="F47" s="46">
        <v>-181655.61</v>
      </c>
      <c r="G47" s="46"/>
      <c r="H47" s="46">
        <v>440106.73</v>
      </c>
      <c r="I47" s="47">
        <f t="shared" si="8" ref="I47:I58">-IF(F47=0,0,F47/D47)</f>
        <v>0.29216245229648358</v>
      </c>
      <c r="J47" s="48"/>
      <c r="K47" s="48"/>
      <c r="L47" s="49">
        <v>66348121.050000004</v>
      </c>
      <c r="M47" s="50">
        <f>D47/L47</f>
        <v>0.0093712124798747392</v>
      </c>
      <c r="N47" s="50">
        <f>F47/L47</f>
        <v>-0.0027379164191116152</v>
      </c>
      <c r="O47" s="50">
        <f>H47/L47</f>
        <v>0.0066332960607631249</v>
      </c>
      <c r="P47" s="50"/>
      <c r="Q47" s="49">
        <v>440106.73</v>
      </c>
      <c r="S47" s="53">
        <v>2016</v>
      </c>
      <c r="T47" s="50">
        <v>0.0053105402702804559</v>
      </c>
      <c r="U47" s="50">
        <v>0.0017681147744723937</v>
      </c>
      <c r="V47" s="50">
        <v>0.0022077070813289702</v>
      </c>
      <c r="W47" s="50">
        <v>0.0032489720196499958</v>
      </c>
      <c r="X47" s="50">
        <v>0.0034925769653286792</v>
      </c>
      <c r="Y47" s="50">
        <v>0.0019377749870891153</v>
      </c>
      <c r="Z47" s="50">
        <v>0.0015892914929965182</v>
      </c>
      <c r="AA47" s="50">
        <v>0.0015506112983756845</v>
      </c>
      <c r="AB47" s="50">
        <v>0.0016226668459334201</v>
      </c>
      <c r="AC47" s="50">
        <v>0.0045733806144089614</v>
      </c>
      <c r="AD47" s="50">
        <v>0.0059145239318097948</v>
      </c>
      <c r="AE47" s="50">
        <v>0.0066075592735098335</v>
      </c>
      <c r="AG47" s="50"/>
    </row>
    <row r="48" spans="1:33" ht="15">
      <c r="A48" s="271" t="s">
        <v>1</v>
      </c>
      <c r="B48" s="271"/>
      <c r="C48" s="45">
        <f t="shared" si="9" ref="C48:C58">D48/$D$59</f>
        <v>0.092499994397679433</v>
      </c>
      <c r="D48" s="46">
        <v>448686.81</v>
      </c>
      <c r="E48" s="46"/>
      <c r="F48" s="46">
        <v>-246107.04</v>
      </c>
      <c r="G48" s="46"/>
      <c r="H48" s="46">
        <v>202579.77</v>
      </c>
      <c r="I48" s="47">
        <f t="shared" si="8"/>
        <v>0.54850518115297398</v>
      </c>
      <c r="J48" s="48"/>
      <c r="K48" s="48"/>
      <c r="L48" s="49">
        <v>64016204.57</v>
      </c>
      <c r="M48" s="50">
        <f t="shared" si="10" ref="M48:M58">D48/L48</f>
        <v>0.0070089567635858987</v>
      </c>
      <c r="N48" s="50">
        <f t="shared" si="11" ref="N48:N58">F48/L48</f>
        <v>-0.0038444490993040452</v>
      </c>
      <c r="O48" s="50">
        <f t="shared" si="12" ref="O48:O58">H48/L48</f>
        <v>0.003164507664281853</v>
      </c>
      <c r="P48" s="50"/>
      <c r="Q48" s="49">
        <v>202579.77</v>
      </c>
      <c r="S48" s="53">
        <v>2017</v>
      </c>
      <c r="T48" s="50">
        <v>0.0066332960607631249</v>
      </c>
      <c r="U48" s="50">
        <v>0.003164507664281853</v>
      </c>
      <c r="V48" s="50">
        <v>0.0025823243443021324</v>
      </c>
      <c r="W48" s="50">
        <v>0.0041960177349930228</v>
      </c>
      <c r="X48" s="50">
        <v>0.0026631728472978856</v>
      </c>
      <c r="Y48" s="50">
        <v>0.0013555851456511468</v>
      </c>
      <c r="Z48" s="50">
        <v>0.0010514664924195939</v>
      </c>
      <c r="AA48" s="50">
        <v>0.00098484934461160866</v>
      </c>
      <c r="AB48" s="50">
        <v>0.0023466463907825257</v>
      </c>
      <c r="AC48" s="50">
        <v>0.0036455479267831201</v>
      </c>
      <c r="AD48" s="50">
        <v>0.0052508004321770649</v>
      </c>
      <c r="AE48" s="50">
        <v>0.0062548167110931053</v>
      </c>
      <c r="AG48" s="50"/>
    </row>
    <row r="49" spans="1:33" ht="15">
      <c r="A49" s="271" t="s">
        <v>2</v>
      </c>
      <c r="B49" s="271"/>
      <c r="C49" s="45">
        <f t="shared" si="9"/>
        <v>0.073554207892058174</v>
      </c>
      <c r="D49" s="46">
        <v>356787.08</v>
      </c>
      <c r="E49" s="46"/>
      <c r="F49" s="46">
        <v>-217210.42</v>
      </c>
      <c r="G49" s="46"/>
      <c r="H49" s="46">
        <v>139576.66</v>
      </c>
      <c r="I49" s="47">
        <f t="shared" si="8"/>
        <v>0.6087956436090679</v>
      </c>
      <c r="J49" s="48"/>
      <c r="K49" s="48"/>
      <c r="L49" s="49">
        <v>54050785.799999997</v>
      </c>
      <c r="M49" s="50">
        <f t="shared" si="10"/>
        <v>0.0066009600918697474</v>
      </c>
      <c r="N49" s="50">
        <f t="shared" si="11"/>
        <v>-0.004018635747567615</v>
      </c>
      <c r="O49" s="50">
        <f t="shared" si="12"/>
        <v>0.0025823243443021324</v>
      </c>
      <c r="P49" s="50"/>
      <c r="Q49" s="49">
        <v>139576.65</v>
      </c>
      <c r="S49" s="53">
        <v>2018</v>
      </c>
      <c r="T49" s="50">
        <v>0.0037727385080862734</v>
      </c>
      <c r="U49" s="50">
        <v>0.0033504046353276837</v>
      </c>
      <c r="V49" s="50">
        <v>0.0005332840086793917</v>
      </c>
      <c r="W49" s="50">
        <v>0.0060470971311901781</v>
      </c>
      <c r="X49" s="50">
        <v>0.0090908984299356912</v>
      </c>
      <c r="Y49" s="50">
        <v>0.0037248616383384124</v>
      </c>
      <c r="Z49" s="50">
        <v>0.0018420627892438801</v>
      </c>
      <c r="AA49" s="50">
        <v>0.0019758854196364269</v>
      </c>
      <c r="AB49" s="50">
        <v>0.0027232126827606571</v>
      </c>
      <c r="AC49" s="50">
        <v>0.0043887492003443513</v>
      </c>
      <c r="AD49" s="50">
        <v>0.0055145388776608835</v>
      </c>
      <c r="AE49" s="50">
        <v>0.0056649410450465894</v>
      </c>
      <c r="AG49" s="50"/>
    </row>
    <row r="50" spans="1:33" ht="15">
      <c r="A50" s="271" t="s">
        <v>3</v>
      </c>
      <c r="B50" s="271"/>
      <c r="C50" s="45">
        <f t="shared" si="9"/>
        <v>0.090566203213915356</v>
      </c>
      <c r="D50" s="46">
        <v>439306.63</v>
      </c>
      <c r="E50" s="46"/>
      <c r="F50" s="46">
        <v>-179172.28</v>
      </c>
      <c r="G50" s="46"/>
      <c r="H50" s="46">
        <v>260134.35</v>
      </c>
      <c r="I50" s="47">
        <f t="shared" si="8"/>
        <v>0.40785243782913089</v>
      </c>
      <c r="J50" s="48"/>
      <c r="K50" s="48"/>
      <c r="L50" s="49">
        <v>61995531.579999998</v>
      </c>
      <c r="M50" s="50">
        <f t="shared" si="10"/>
        <v>0.0070861015109308628</v>
      </c>
      <c r="N50" s="50">
        <f t="shared" si="11"/>
        <v>-0.0028900837759378399</v>
      </c>
      <c r="O50" s="50">
        <f t="shared" si="12"/>
        <v>0.0041960177349930228</v>
      </c>
      <c r="P50" s="50"/>
      <c r="Q50" s="49">
        <v>260134.35</v>
      </c>
      <c r="S50" s="53">
        <v>2019</v>
      </c>
      <c r="T50" s="50">
        <v>0.0028858247675449047</v>
      </c>
      <c r="U50" s="50">
        <v>0.0083049705894022111</v>
      </c>
      <c r="V50" s="50">
        <v>0.0049190587376096292</v>
      </c>
      <c r="W50" s="50">
        <v>0.0056980906333305376</v>
      </c>
      <c r="X50" s="50">
        <v>0.0069017350101793174</v>
      </c>
      <c r="Y50" s="50">
        <v>0.0036567368196041491</v>
      </c>
      <c r="Z50" s="50">
        <v>0.0024368640894215834</v>
      </c>
      <c r="AA50" s="50">
        <v>0.0010456412851938171</v>
      </c>
      <c r="AB50" s="50">
        <v>0.0026635528859904455</v>
      </c>
      <c r="AC50" s="50">
        <v>0.001722754840114162</v>
      </c>
      <c r="AD50" s="50">
        <v>0.0049077517916455149</v>
      </c>
      <c r="AE50" s="50">
        <v>0.0064266681260389197</v>
      </c>
      <c r="AG50" s="50"/>
    </row>
    <row r="51" spans="1:33" ht="15.75" thickBot="1">
      <c r="A51" s="271" t="s">
        <v>4</v>
      </c>
      <c r="B51" s="271"/>
      <c r="C51" s="45">
        <f t="shared" si="9"/>
        <v>0.067585634706668507</v>
      </c>
      <c r="D51" s="46">
        <v>327835.51</v>
      </c>
      <c r="E51" s="46"/>
      <c r="F51" s="46">
        <v>-158355.64000000001</v>
      </c>
      <c r="G51" s="46"/>
      <c r="H51" s="46">
        <v>169479.87</v>
      </c>
      <c r="I51" s="47">
        <f t="shared" si="8"/>
        <v>0.48303382388320293</v>
      </c>
      <c r="J51" s="48"/>
      <c r="K51" s="48"/>
      <c r="L51" s="49">
        <v>63638329.060000002</v>
      </c>
      <c r="M51" s="50">
        <f t="shared" si="10"/>
        <v>0.0051515417648836676</v>
      </c>
      <c r="N51" s="50">
        <f t="shared" si="11"/>
        <v>-0.002488368917585782</v>
      </c>
      <c r="O51" s="50">
        <f t="shared" si="12"/>
        <v>0.0026631728472978856</v>
      </c>
      <c r="P51" s="50"/>
      <c r="Q51" s="49">
        <v>169479.87</v>
      </c>
      <c r="S51" s="53" t="s">
        <v>74</v>
      </c>
      <c r="T51" s="54">
        <f>AVERAGE(T47:T50)</f>
        <v>0.0046505999016686894</v>
      </c>
      <c r="U51" s="54">
        <f t="shared" si="13" ref="U51:AE51">AVERAGE(U47:U50)</f>
        <v>0.0041469994158710357</v>
      </c>
      <c r="V51" s="54">
        <f t="shared" si="13"/>
        <v>0.0025605935429800306</v>
      </c>
      <c r="W51" s="54">
        <f t="shared" si="13"/>
        <v>0.0047975443797909339</v>
      </c>
      <c r="X51" s="54">
        <f t="shared" si="13"/>
        <v>0.0055370958131853937</v>
      </c>
      <c r="Y51" s="54">
        <f t="shared" si="13"/>
        <v>0.002668739647670706</v>
      </c>
      <c r="Z51" s="54">
        <f t="shared" si="13"/>
        <v>0.001729921216020394</v>
      </c>
      <c r="AA51" s="54">
        <f t="shared" si="13"/>
        <v>0.0013892468369543843</v>
      </c>
      <c r="AB51" s="54">
        <f t="shared" si="13"/>
        <v>0.0023390197013667619</v>
      </c>
      <c r="AC51" s="54">
        <f t="shared" si="13"/>
        <v>0.0035826081454126486</v>
      </c>
      <c r="AD51" s="54">
        <f t="shared" si="13"/>
        <v>0.0053969037583233145</v>
      </c>
      <c r="AE51" s="54">
        <f t="shared" si="13"/>
        <v>0.0062384962889221116</v>
      </c>
      <c r="AG51" s="50"/>
    </row>
    <row r="52" spans="1:33" ht="15.75" thickTop="1">
      <c r="A52" s="271" t="s">
        <v>5</v>
      </c>
      <c r="B52" s="271"/>
      <c r="C52" s="45">
        <f t="shared" si="9"/>
        <v>0.055827673946740174</v>
      </c>
      <c r="D52" s="46">
        <v>270801.53999999998</v>
      </c>
      <c r="E52" s="46"/>
      <c r="F52" s="46">
        <v>-172343.71</v>
      </c>
      <c r="G52" s="46"/>
      <c r="H52" s="46">
        <v>98457.83</v>
      </c>
      <c r="I52" s="47">
        <f t="shared" si="8"/>
        <v>0.63642071607126016</v>
      </c>
      <c r="J52" s="48"/>
      <c r="K52" s="48"/>
      <c r="L52" s="49">
        <v>72631239.960000008</v>
      </c>
      <c r="M52" s="50">
        <f t="shared" si="10"/>
        <v>0.0037284444014605523</v>
      </c>
      <c r="N52" s="50">
        <f t="shared" si="11"/>
        <v>-0.0023728592558094059</v>
      </c>
      <c r="O52" s="50">
        <f t="shared" si="12"/>
        <v>0.0013555851456511468</v>
      </c>
      <c r="P52" s="50"/>
      <c r="Q52" s="49">
        <v>98457.83</v>
      </c>
      <c r="W52" s="50"/>
      <c r="AG52" s="50"/>
    </row>
    <row r="53" spans="1:33" ht="15">
      <c r="A53" s="271" t="s">
        <v>6</v>
      </c>
      <c r="B53" s="271"/>
      <c r="C53" s="45">
        <f t="shared" si="9"/>
        <v>0.051379565411696214</v>
      </c>
      <c r="D53" s="46">
        <v>249225.24</v>
      </c>
      <c r="E53" s="46"/>
      <c r="F53" s="46">
        <v>-150640.29</v>
      </c>
      <c r="G53" s="46"/>
      <c r="H53" s="46">
        <v>98584.95</v>
      </c>
      <c r="I53" s="47">
        <f t="shared" si="8"/>
        <v>0.60443432615412473</v>
      </c>
      <c r="J53" s="48"/>
      <c r="K53" s="48"/>
      <c r="L53" s="49">
        <v>93759478.510000005</v>
      </c>
      <c r="M53" s="50">
        <f t="shared" si="10"/>
        <v>0.0026581338117555617</v>
      </c>
      <c r="N53" s="50">
        <f t="shared" si="11"/>
        <v>-0.001606667319335968</v>
      </c>
      <c r="O53" s="50">
        <f t="shared" si="12"/>
        <v>0.0010514664924195939</v>
      </c>
      <c r="P53" s="50"/>
      <c r="Q53" s="49">
        <v>98584.95</v>
      </c>
      <c r="W53" s="50"/>
      <c r="AG53" s="50"/>
    </row>
    <row r="54" spans="1:33" ht="15">
      <c r="A54" s="271" t="s">
        <v>7</v>
      </c>
      <c r="B54" s="271"/>
      <c r="C54" s="45">
        <f t="shared" si="9"/>
        <v>0.049724055458079536</v>
      </c>
      <c r="D54" s="46">
        <v>241194.91</v>
      </c>
      <c r="E54" s="46"/>
      <c r="F54" s="46">
        <v>-150971.15</v>
      </c>
      <c r="G54" s="46"/>
      <c r="H54" s="46">
        <v>90223.76</v>
      </c>
      <c r="I54" s="47">
        <f t="shared" si="8"/>
        <v>0.6259300828529093</v>
      </c>
      <c r="J54" s="48"/>
      <c r="K54" s="48"/>
      <c r="L54" s="49">
        <v>91611737.870000005</v>
      </c>
      <c r="M54" s="50">
        <f t="shared" si="10"/>
        <v>0.0026327948318398166</v>
      </c>
      <c r="N54" s="50">
        <f t="shared" si="11"/>
        <v>-0.0016479454872282075</v>
      </c>
      <c r="O54" s="50">
        <f t="shared" si="12"/>
        <v>0.00098484934461160866</v>
      </c>
      <c r="P54" s="50"/>
      <c r="Q54" s="49">
        <v>90223.76</v>
      </c>
      <c r="W54" s="50"/>
      <c r="AG54" s="50"/>
    </row>
    <row r="55" spans="1:33" ht="15">
      <c r="A55" s="271" t="s">
        <v>8</v>
      </c>
      <c r="B55" s="271"/>
      <c r="C55" s="45">
        <f t="shared" si="9"/>
        <v>0.072673286016817509</v>
      </c>
      <c r="D55" s="46">
        <v>352514.02</v>
      </c>
      <c r="E55" s="46"/>
      <c r="F55" s="46">
        <v>-130688.36</v>
      </c>
      <c r="G55" s="46"/>
      <c r="H55" s="46">
        <v>221825.66</v>
      </c>
      <c r="I55" s="47">
        <f t="shared" si="8"/>
        <v>0.37073237541020354</v>
      </c>
      <c r="J55" s="48"/>
      <c r="K55" s="48"/>
      <c r="L55" s="49">
        <v>94528796.870000005</v>
      </c>
      <c r="M55" s="50">
        <f t="shared" si="10"/>
        <v>0.0037291707042965139</v>
      </c>
      <c r="N55" s="50">
        <f t="shared" si="11"/>
        <v>-0.0013825243135139882</v>
      </c>
      <c r="O55" s="50">
        <f t="shared" si="12"/>
        <v>0.0023466463907825257</v>
      </c>
      <c r="P55" s="50"/>
      <c r="Q55" s="49">
        <v>221825.66</v>
      </c>
      <c r="W55" s="50"/>
      <c r="AG55" s="50"/>
    </row>
    <row r="56" spans="1:33" ht="15">
      <c r="A56" s="271" t="s">
        <v>9</v>
      </c>
      <c r="B56" s="271"/>
      <c r="C56" s="45">
        <f t="shared" si="9"/>
        <v>0.091028931185404796</v>
      </c>
      <c r="D56" s="46">
        <v>441551.17</v>
      </c>
      <c r="E56" s="46"/>
      <c r="F56" s="46">
        <v>-126317.65</v>
      </c>
      <c r="G56" s="46"/>
      <c r="H56" s="46">
        <v>315233.52</v>
      </c>
      <c r="I56" s="47">
        <f t="shared" si="8"/>
        <v>0.28607703609980245</v>
      </c>
      <c r="J56" s="48"/>
      <c r="K56" s="48"/>
      <c r="L56" s="49">
        <v>86470820.389999986</v>
      </c>
      <c r="M56" s="50">
        <f t="shared" si="10"/>
        <v>0.0051063603653639404</v>
      </c>
      <c r="N56" s="50">
        <f t="shared" si="11"/>
        <v>-0.0014608124385808202</v>
      </c>
      <c r="O56" s="50">
        <f t="shared" si="12"/>
        <v>0.0036455479267831201</v>
      </c>
      <c r="P56" s="50"/>
      <c r="Q56" s="49">
        <v>315233.52</v>
      </c>
      <c r="W56" s="50"/>
      <c r="AG56" s="50"/>
    </row>
    <row r="57" spans="1:33" ht="15">
      <c r="A57" s="271" t="s">
        <v>10</v>
      </c>
      <c r="B57" s="271"/>
      <c r="C57" s="45">
        <f t="shared" si="9"/>
        <v>0.10533477580392317</v>
      </c>
      <c r="D57" s="46">
        <v>510944.08</v>
      </c>
      <c r="E57" s="46"/>
      <c r="F57" s="46">
        <v>-150700.81</v>
      </c>
      <c r="G57" s="46"/>
      <c r="H57" s="46">
        <v>360243.27</v>
      </c>
      <c r="I57" s="47">
        <f t="shared" si="8"/>
        <v>0.29494579915672964</v>
      </c>
      <c r="J57" s="48"/>
      <c r="K57" s="48"/>
      <c r="L57" s="49">
        <v>68607305.620000005</v>
      </c>
      <c r="M57" s="50">
        <f t="shared" si="10"/>
        <v>0.007447371316839071</v>
      </c>
      <c r="N57" s="50">
        <f t="shared" si="11"/>
        <v>-0.0021965708846620057</v>
      </c>
      <c r="O57" s="50">
        <f t="shared" si="12"/>
        <v>0.0052508004321770649</v>
      </c>
      <c r="P57" s="50"/>
      <c r="Q57" s="49">
        <v>360243.27</v>
      </c>
      <c r="W57" s="50"/>
      <c r="AG57" s="50"/>
    </row>
    <row r="58" spans="1:33" ht="15">
      <c r="A58" s="271" t="s">
        <v>11</v>
      </c>
      <c r="B58" s="271"/>
      <c r="C58" s="45">
        <f t="shared" si="9"/>
        <v>0.12164491941338619</v>
      </c>
      <c r="D58" s="55">
        <v>590059.18000000005</v>
      </c>
      <c r="E58" s="46"/>
      <c r="F58" s="55">
        <v>-139882.26</v>
      </c>
      <c r="G58" s="46"/>
      <c r="H58" s="55">
        <v>450176.92</v>
      </c>
      <c r="I58" s="47">
        <f t="shared" si="8"/>
        <v>0.23706479746658632</v>
      </c>
      <c r="J58" s="48"/>
      <c r="K58" s="48"/>
      <c r="L58" s="49">
        <v>71972839.620000005</v>
      </c>
      <c r="M58" s="50">
        <f t="shared" si="10"/>
        <v>0.0081983590353719056</v>
      </c>
      <c r="N58" s="50">
        <f t="shared" si="11"/>
        <v>-0.0019435423242787986</v>
      </c>
      <c r="O58" s="50">
        <f t="shared" si="12"/>
        <v>0.0062548167110931053</v>
      </c>
      <c r="P58" s="50"/>
      <c r="Q58" s="49">
        <v>449481.92</v>
      </c>
      <c r="W58" s="50"/>
      <c r="AG58" s="50"/>
    </row>
    <row r="59" spans="1:23" ht="15.75" thickBot="1">
      <c r="A59" s="53"/>
      <c r="B59" s="53"/>
      <c r="C59" s="45">
        <f>SUM(C47:C58)</f>
        <v>1.0000000000000002</v>
      </c>
      <c r="D59" s="59">
        <f>SUM(D47:D58)</f>
        <v>4850668.51</v>
      </c>
      <c r="E59" s="46"/>
      <c r="F59" s="59">
        <f>SUM(F47:F58)</f>
        <v>-2004045.2200000002</v>
      </c>
      <c r="G59" s="46"/>
      <c r="H59" s="59">
        <f>SUM(H47:H58)</f>
        <v>2846623.29</v>
      </c>
      <c r="I59" s="47"/>
      <c r="J59" s="48"/>
      <c r="K59" s="48"/>
      <c r="L59" s="49"/>
      <c r="M59" s="50"/>
      <c r="N59" s="50"/>
      <c r="O59" s="50"/>
      <c r="P59" s="50"/>
      <c r="Q59" s="49"/>
      <c r="W59" s="50"/>
    </row>
    <row r="60" spans="1:23" ht="15.75" thickTop="1">
      <c r="A60" s="53"/>
      <c r="B60" s="53"/>
      <c r="C60" s="53"/>
      <c r="D60" s="46"/>
      <c r="E60" s="46"/>
      <c r="F60" s="46"/>
      <c r="G60" s="46"/>
      <c r="H60" s="46"/>
      <c r="I60" s="47"/>
      <c r="J60" s="48"/>
      <c r="K60" s="48"/>
      <c r="L60" s="49"/>
      <c r="M60" s="50"/>
      <c r="N60" s="50"/>
      <c r="O60" s="50"/>
      <c r="P60" s="50"/>
      <c r="Q60" s="49"/>
      <c r="W60" s="50"/>
    </row>
    <row r="61" spans="1:23" ht="15.75">
      <c r="A61" s="273">
        <v>2018</v>
      </c>
      <c r="B61" s="273"/>
      <c r="C61" s="44"/>
      <c r="D61" s="46"/>
      <c r="E61" s="46"/>
      <c r="F61" s="46"/>
      <c r="G61" s="46"/>
      <c r="H61" s="46"/>
      <c r="I61" s="47"/>
      <c r="J61" s="48"/>
      <c r="K61" s="48"/>
      <c r="L61" s="49"/>
      <c r="M61" s="50"/>
      <c r="N61" s="50"/>
      <c r="O61" s="50"/>
      <c r="P61" s="50"/>
      <c r="Q61" s="49"/>
      <c r="W61" s="50"/>
    </row>
    <row r="62" spans="1:23" ht="15">
      <c r="A62" s="271" t="s">
        <v>0</v>
      </c>
      <c r="B62" s="271"/>
      <c r="C62" s="45">
        <f>D62/$D$74</f>
        <v>0.083647569824088455</v>
      </c>
      <c r="D62" s="46">
        <v>489434.52</v>
      </c>
      <c r="E62" s="46"/>
      <c r="F62" s="46">
        <v>-138607.15</v>
      </c>
      <c r="G62" s="46"/>
      <c r="H62" s="46">
        <v>350827.37</v>
      </c>
      <c r="I62" s="47">
        <f>-IF(F62=0,0,F62/D62)</f>
        <v>0.28319855738822836</v>
      </c>
      <c r="J62" s="48"/>
      <c r="K62" s="48"/>
      <c r="L62" s="49">
        <v>92990110.299999997</v>
      </c>
      <c r="M62" s="50">
        <f>D62/L62</f>
        <v>0.0052632964776685512</v>
      </c>
      <c r="N62" s="50">
        <f>F62/L62</f>
        <v>-0.0014905579695822771</v>
      </c>
      <c r="O62" s="50">
        <f>H62/L62</f>
        <v>0.0037727385080862734</v>
      </c>
      <c r="P62" s="50"/>
      <c r="Q62" s="49">
        <v>351522.37</v>
      </c>
      <c r="W62" s="50"/>
    </row>
    <row r="63" spans="1:23" ht="15">
      <c r="A63" s="271" t="s">
        <v>1</v>
      </c>
      <c r="B63" s="271"/>
      <c r="C63" s="45">
        <f t="shared" si="14" ref="C63:C73">D63/$D$74</f>
        <v>0.077407803815676954</v>
      </c>
      <c r="D63" s="46">
        <v>452924.71</v>
      </c>
      <c r="E63" s="46"/>
      <c r="F63" s="46">
        <v>-173615.38</v>
      </c>
      <c r="G63" s="46"/>
      <c r="H63" s="46">
        <v>279309.33</v>
      </c>
      <c r="I63" s="47">
        <f t="shared" si="15" ref="I63:I73">-IF(F63=0,0,F63/D63)</f>
        <v>0.38332061856373434</v>
      </c>
      <c r="J63" s="48"/>
      <c r="K63" s="48"/>
      <c r="L63" s="49">
        <v>83365849.920000002</v>
      </c>
      <c r="M63" s="50">
        <f t="shared" si="16" ref="M63:M73">D63/L63</f>
        <v>0.0054329765777550174</v>
      </c>
      <c r="N63" s="50">
        <f t="shared" si="17" ref="N63:N73">F63/L63</f>
        <v>-0.0020825719424273337</v>
      </c>
      <c r="O63" s="50">
        <f t="shared" si="18" ref="O63:O73">H63/L63</f>
        <v>0.0033504046353276837</v>
      </c>
      <c r="P63" s="50"/>
      <c r="Q63" s="49">
        <v>279309.33</v>
      </c>
      <c r="W63" s="50"/>
    </row>
    <row r="64" spans="1:23" ht="15">
      <c r="A64" s="271" t="s">
        <v>2</v>
      </c>
      <c r="B64" s="271"/>
      <c r="C64" s="45">
        <f t="shared" si="14"/>
        <v>0.04629714617663655</v>
      </c>
      <c r="D64" s="46">
        <v>270891.57</v>
      </c>
      <c r="E64" s="46"/>
      <c r="F64" s="46">
        <v>-233325.97</v>
      </c>
      <c r="G64" s="46"/>
      <c r="H64" s="46">
        <v>37565.60</v>
      </c>
      <c r="I64" s="47">
        <f t="shared" si="15"/>
        <v>0.861326064890096</v>
      </c>
      <c r="J64" s="48"/>
      <c r="K64" s="48"/>
      <c r="L64" s="49">
        <v>70442014.739999995</v>
      </c>
      <c r="M64" s="50">
        <f t="shared" si="16"/>
        <v>0.0038455965661949782</v>
      </c>
      <c r="N64" s="50">
        <f t="shared" si="17"/>
        <v>-0.0033123125575155862</v>
      </c>
      <c r="O64" s="50">
        <f t="shared" si="18"/>
        <v>0.0005332840086793917</v>
      </c>
      <c r="P64" s="50"/>
      <c r="Q64" s="49">
        <v>37565.60</v>
      </c>
      <c r="W64" s="50"/>
    </row>
    <row r="65" spans="1:17" ht="15">
      <c r="A65" s="271" t="s">
        <v>3</v>
      </c>
      <c r="B65" s="271"/>
      <c r="C65" s="45">
        <f t="shared" si="14"/>
        <v>0.1013974567907628</v>
      </c>
      <c r="D65" s="46">
        <v>593291.78</v>
      </c>
      <c r="E65" s="46"/>
      <c r="F65" s="46">
        <v>-199802.52</v>
      </c>
      <c r="G65" s="46"/>
      <c r="H65" s="46">
        <v>393489.26</v>
      </c>
      <c r="I65" s="47">
        <f t="shared" si="15"/>
        <v>0.33676940543487721</v>
      </c>
      <c r="J65" s="48"/>
      <c r="K65" s="48"/>
      <c r="L65" s="49">
        <v>65070768.909999996</v>
      </c>
      <c r="M65" s="50">
        <f t="shared" si="16"/>
        <v>0.0091176389942554323</v>
      </c>
      <c r="N65" s="50">
        <f t="shared" si="17"/>
        <v>-0.0030705418630652538</v>
      </c>
      <c r="O65" s="50">
        <f t="shared" si="18"/>
        <v>0.0060470971311901781</v>
      </c>
      <c r="P65" s="50"/>
      <c r="Q65" s="49">
        <v>393489.26</v>
      </c>
    </row>
    <row r="66" spans="1:17" ht="15">
      <c r="A66" s="271" t="s">
        <v>4</v>
      </c>
      <c r="B66" s="271"/>
      <c r="C66" s="45">
        <f t="shared" si="14"/>
        <v>0.1372194938414249</v>
      </c>
      <c r="D66" s="46">
        <v>802891.91</v>
      </c>
      <c r="E66" s="46"/>
      <c r="F66" s="46">
        <v>-181874.19</v>
      </c>
      <c r="G66" s="46"/>
      <c r="H66" s="46">
        <v>621017.72</v>
      </c>
      <c r="I66" s="47">
        <f t="shared" si="15"/>
        <v>0.22652387916077021</v>
      </c>
      <c r="J66" s="48"/>
      <c r="K66" s="48"/>
      <c r="L66" s="49">
        <v>68312029.310000002</v>
      </c>
      <c r="M66" s="50">
        <f t="shared" si="16"/>
        <v>0.011753301989558478</v>
      </c>
      <c r="N66" s="50">
        <f t="shared" si="17"/>
        <v>-0.0026624035596227846</v>
      </c>
      <c r="O66" s="50">
        <f t="shared" si="18"/>
        <v>0.0090908984299356912</v>
      </c>
      <c r="P66" s="50"/>
      <c r="Q66" s="49">
        <v>621017.72</v>
      </c>
    </row>
    <row r="67" spans="1:17" ht="15">
      <c r="A67" s="271" t="s">
        <v>5</v>
      </c>
      <c r="B67" s="271"/>
      <c r="C67" s="45">
        <f t="shared" si="14"/>
        <v>0.087284428934104513</v>
      </c>
      <c r="D67" s="46">
        <v>510714.33</v>
      </c>
      <c r="E67" s="46"/>
      <c r="F67" s="46">
        <v>-193362.09</v>
      </c>
      <c r="G67" s="46"/>
      <c r="H67" s="46">
        <v>317352.24</v>
      </c>
      <c r="I67" s="47">
        <f t="shared" si="15"/>
        <v>0.37861105248407656</v>
      </c>
      <c r="J67" s="48"/>
      <c r="K67" s="48"/>
      <c r="L67" s="49">
        <v>85198396.829999998</v>
      </c>
      <c r="M67" s="50">
        <f t="shared" si="16"/>
        <v>0.0059944124420445392</v>
      </c>
      <c r="N67" s="50">
        <f t="shared" si="17"/>
        <v>-0.0022695508037061263</v>
      </c>
      <c r="O67" s="50">
        <f t="shared" si="18"/>
        <v>0.0037248616383384124</v>
      </c>
      <c r="P67" s="50"/>
      <c r="Q67" s="49">
        <v>317352.24</v>
      </c>
    </row>
    <row r="68" spans="1:17" ht="15">
      <c r="A68" s="271" t="s">
        <v>6</v>
      </c>
      <c r="B68" s="271"/>
      <c r="C68" s="45">
        <f t="shared" si="14"/>
        <v>0.059780002240584995</v>
      </c>
      <c r="D68" s="46">
        <v>349781.79</v>
      </c>
      <c r="E68" s="46"/>
      <c r="F68" s="46">
        <v>-173993</v>
      </c>
      <c r="G68" s="46"/>
      <c r="H68" s="46">
        <v>175788.79</v>
      </c>
      <c r="I68" s="47">
        <f t="shared" si="15"/>
        <v>0.49743298529062935</v>
      </c>
      <c r="J68" s="48"/>
      <c r="K68" s="48"/>
      <c r="L68" s="49">
        <v>95430400.650000006</v>
      </c>
      <c r="M68" s="50">
        <f t="shared" si="16"/>
        <v>0.0036653077805138602</v>
      </c>
      <c r="N68" s="50">
        <f t="shared" si="17"/>
        <v>-0.0018232449912699805</v>
      </c>
      <c r="O68" s="50">
        <f t="shared" si="18"/>
        <v>0.0018420627892438801</v>
      </c>
      <c r="P68" s="50"/>
      <c r="Q68" s="49">
        <v>175788.79</v>
      </c>
    </row>
    <row r="69" spans="1:17" ht="15">
      <c r="A69" s="271" t="s">
        <v>7</v>
      </c>
      <c r="B69" s="271"/>
      <c r="C69" s="45">
        <f t="shared" si="14"/>
        <v>0.057808460062683406</v>
      </c>
      <c r="D69" s="46">
        <v>338246</v>
      </c>
      <c r="E69" s="46"/>
      <c r="F69" s="46">
        <v>-164432.79</v>
      </c>
      <c r="G69" s="46"/>
      <c r="H69" s="46">
        <v>173813.21</v>
      </c>
      <c r="I69" s="47">
        <f t="shared" si="15"/>
        <v>0.48613373107146873</v>
      </c>
      <c r="J69" s="48"/>
      <c r="K69" s="48"/>
      <c r="L69" s="49">
        <v>87967251.680000007</v>
      </c>
      <c r="M69" s="50">
        <f t="shared" si="16"/>
        <v>0.0038451354741699025</v>
      </c>
      <c r="N69" s="50">
        <f t="shared" si="17"/>
        <v>-0.0018692500545334759</v>
      </c>
      <c r="O69" s="50">
        <f t="shared" si="18"/>
        <v>0.0019758854196364269</v>
      </c>
      <c r="P69" s="50"/>
      <c r="Q69" s="49">
        <v>173813.21</v>
      </c>
    </row>
    <row r="70" spans="1:17" ht="15">
      <c r="A70" s="271" t="s">
        <v>8</v>
      </c>
      <c r="B70" s="271"/>
      <c r="C70" s="45">
        <f t="shared" si="14"/>
        <v>0.071469616103704739</v>
      </c>
      <c r="D70" s="46">
        <v>418179.48</v>
      </c>
      <c r="E70" s="46"/>
      <c r="F70" s="46">
        <v>-149049.37</v>
      </c>
      <c r="G70" s="46"/>
      <c r="H70" s="46">
        <v>269130.11</v>
      </c>
      <c r="I70" s="47">
        <f t="shared" si="15"/>
        <v>0.35642439939903314</v>
      </c>
      <c r="J70" s="48"/>
      <c r="K70" s="48"/>
      <c r="L70" s="49">
        <v>98828164.140000001</v>
      </c>
      <c r="M70" s="50">
        <f t="shared" si="16"/>
        <v>0.0042313796238044737</v>
      </c>
      <c r="N70" s="50">
        <f t="shared" si="17"/>
        <v>-0.0015081669410438165</v>
      </c>
      <c r="O70" s="50">
        <f t="shared" si="18"/>
        <v>0.0027232126827606571</v>
      </c>
      <c r="P70" s="50"/>
      <c r="Q70" s="49">
        <v>269130.11</v>
      </c>
    </row>
    <row r="71" spans="1:17" ht="15">
      <c r="A71" s="271" t="s">
        <v>9</v>
      </c>
      <c r="B71" s="271"/>
      <c r="C71" s="45">
        <f t="shared" si="14"/>
        <v>0.084680120601922662</v>
      </c>
      <c r="D71" s="46">
        <v>495476.13</v>
      </c>
      <c r="E71" s="46"/>
      <c r="F71" s="46">
        <v>-111808.09</v>
      </c>
      <c r="G71" s="46"/>
      <c r="H71" s="46">
        <v>383668.04</v>
      </c>
      <c r="I71" s="47">
        <f t="shared" si="15"/>
        <v>0.2256578737708313</v>
      </c>
      <c r="J71" s="48"/>
      <c r="K71" s="48"/>
      <c r="L71" s="49">
        <v>87420816.840000004</v>
      </c>
      <c r="M71" s="50">
        <f t="shared" si="16"/>
        <v>0.0056677133423133543</v>
      </c>
      <c r="N71" s="50">
        <f t="shared" si="17"/>
        <v>-0.0012789641419690032</v>
      </c>
      <c r="O71" s="50">
        <f t="shared" si="18"/>
        <v>0.0043887492003443513</v>
      </c>
      <c r="P71" s="50"/>
      <c r="Q71" s="49">
        <v>383668.04</v>
      </c>
    </row>
    <row r="72" spans="1:17" ht="15">
      <c r="A72" s="271" t="s">
        <v>10</v>
      </c>
      <c r="B72" s="271"/>
      <c r="C72" s="45">
        <f t="shared" si="14"/>
        <v>0.091013080248064052</v>
      </c>
      <c r="D72" s="46">
        <v>532531.23</v>
      </c>
      <c r="E72" s="46"/>
      <c r="F72" s="46">
        <v>-160478.45000000001</v>
      </c>
      <c r="G72" s="46"/>
      <c r="H72" s="46">
        <v>372052.78</v>
      </c>
      <c r="I72" s="47">
        <f t="shared" si="15"/>
        <v>0.30135030766176851</v>
      </c>
      <c r="J72" s="48"/>
      <c r="K72" s="48"/>
      <c r="L72" s="49">
        <v>67467613.930000007</v>
      </c>
      <c r="M72" s="50">
        <f t="shared" si="16"/>
        <v>0.0078931386331895417</v>
      </c>
      <c r="N72" s="50">
        <f t="shared" si="17"/>
        <v>-0.0023785997555286595</v>
      </c>
      <c r="O72" s="50">
        <f t="shared" si="18"/>
        <v>0.0055145388776608835</v>
      </c>
      <c r="P72" s="50"/>
      <c r="Q72" s="49">
        <v>372052.78</v>
      </c>
    </row>
    <row r="73" spans="1:17" ht="15">
      <c r="A73" s="271" t="s">
        <v>11</v>
      </c>
      <c r="B73" s="271"/>
      <c r="C73" s="45">
        <f t="shared" si="14"/>
        <v>0.10199482136034617</v>
      </c>
      <c r="D73" s="55">
        <v>596787.05000000005</v>
      </c>
      <c r="E73" s="46"/>
      <c r="F73" s="55">
        <v>-175460.15</v>
      </c>
      <c r="G73" s="46"/>
      <c r="H73" s="55">
        <v>421326.90</v>
      </c>
      <c r="I73" s="47">
        <f t="shared" si="15"/>
        <v>0.29400797152015945</v>
      </c>
      <c r="J73" s="48"/>
      <c r="K73" s="48"/>
      <c r="L73" s="49">
        <v>74374454.5</v>
      </c>
      <c r="M73" s="50">
        <f t="shared" si="16"/>
        <v>0.0080240864153161631</v>
      </c>
      <c r="N73" s="50">
        <f t="shared" si="17"/>
        <v>-0.0023591453702695728</v>
      </c>
      <c r="O73" s="50">
        <f t="shared" si="18"/>
        <v>0.0056649410450465894</v>
      </c>
      <c r="P73" s="50"/>
      <c r="Q73" s="49">
        <v>421326.90</v>
      </c>
    </row>
    <row r="74" spans="1:19" ht="15.75" thickBot="1">
      <c r="A74" s="53"/>
      <c r="B74" s="53"/>
      <c r="C74" s="45">
        <f>SUM(C62:C73)</f>
        <v>1.0000000000000002</v>
      </c>
      <c r="D74" s="59">
        <f>SUM(D62:D73)</f>
        <v>5851150.4999999991</v>
      </c>
      <c r="E74" s="46"/>
      <c r="F74" s="59">
        <f>SUM(F62:F73)</f>
        <v>-2055809.15</v>
      </c>
      <c r="G74" s="46"/>
      <c r="H74" s="59">
        <f>SUM(H62:H73)</f>
        <v>3795341.35</v>
      </c>
      <c r="I74" s="47"/>
      <c r="J74" s="48"/>
      <c r="K74" s="48"/>
      <c r="L74" s="49"/>
      <c r="M74" s="50"/>
      <c r="N74" s="50"/>
      <c r="O74" s="50"/>
      <c r="P74" s="50"/>
      <c r="Q74" s="49"/>
      <c r="S74" s="51" t="s">
        <v>77</v>
      </c>
    </row>
    <row r="75" spans="1:31" ht="15.75" thickTop="1">
      <c r="A75" s="53"/>
      <c r="B75" s="53"/>
      <c r="C75" s="53"/>
      <c r="D75" s="46"/>
      <c r="E75" s="46"/>
      <c r="F75" s="46"/>
      <c r="G75" s="46"/>
      <c r="H75" s="46"/>
      <c r="I75" s="47"/>
      <c r="J75" s="48"/>
      <c r="K75" s="48"/>
      <c r="L75" s="49"/>
      <c r="M75" s="50"/>
      <c r="N75" s="50"/>
      <c r="O75" s="50"/>
      <c r="P75" s="50"/>
      <c r="Q75" s="49"/>
      <c r="T75" s="52" t="s">
        <v>0</v>
      </c>
      <c r="U75" s="52" t="s">
        <v>1</v>
      </c>
      <c r="V75" s="52" t="s">
        <v>2</v>
      </c>
      <c r="W75" s="52" t="s">
        <v>3</v>
      </c>
      <c r="X75" s="52" t="s">
        <v>4</v>
      </c>
      <c r="Y75" s="52" t="s">
        <v>5</v>
      </c>
      <c r="Z75" s="52" t="s">
        <v>6</v>
      </c>
      <c r="AA75" s="52" t="s">
        <v>7</v>
      </c>
      <c r="AB75" s="52" t="s">
        <v>8</v>
      </c>
      <c r="AC75" s="52" t="s">
        <v>9</v>
      </c>
      <c r="AD75" s="52" t="s">
        <v>10</v>
      </c>
      <c r="AE75" s="52" t="s">
        <v>11</v>
      </c>
    </row>
    <row r="76" spans="1:31" ht="15.75">
      <c r="A76" s="273">
        <v>2019</v>
      </c>
      <c r="B76" s="273"/>
      <c r="C76" s="44"/>
      <c r="D76" s="46"/>
      <c r="E76" s="46"/>
      <c r="F76" s="46"/>
      <c r="G76" s="46"/>
      <c r="H76" s="46"/>
      <c r="I76" s="47"/>
      <c r="J76" s="48"/>
      <c r="K76" s="48"/>
      <c r="L76" s="49"/>
      <c r="M76" s="50"/>
      <c r="N76" s="50"/>
      <c r="O76" s="50"/>
      <c r="P76" s="50"/>
      <c r="Q76" s="49"/>
      <c r="S76" s="40">
        <v>2016</v>
      </c>
      <c r="T76" s="45">
        <v>0.11724801288037567</v>
      </c>
      <c r="U76" s="45">
        <v>0.083220691094025565</v>
      </c>
      <c r="V76" s="45">
        <v>0.06737872359164071</v>
      </c>
      <c r="W76" s="45">
        <v>0.076379596307998274</v>
      </c>
      <c r="X76" s="45">
        <v>0.078162460223201696</v>
      </c>
      <c r="Y76" s="45">
        <v>0.064927498845802206</v>
      </c>
      <c r="Z76" s="45">
        <v>0.061137228178356318</v>
      </c>
      <c r="AA76" s="45">
        <v>0.05992207979907125</v>
      </c>
      <c r="AB76" s="45">
        <v>0.057719413961191464</v>
      </c>
      <c r="AC76" s="45">
        <v>0.098526977347363334</v>
      </c>
      <c r="AD76" s="45">
        <v>0.11764324901080779</v>
      </c>
      <c r="AE76" s="45">
        <v>0.11773406876016555</v>
      </c>
    </row>
    <row r="77" spans="1:31" ht="15">
      <c r="A77" s="271" t="s">
        <v>0</v>
      </c>
      <c r="B77" s="271"/>
      <c r="C77" s="45">
        <f>D77/$D$89</f>
        <v>0.055397626836066381</v>
      </c>
      <c r="D77" s="46">
        <v>365217.79</v>
      </c>
      <c r="E77" s="46"/>
      <c r="F77" s="46">
        <v>-167774.04</v>
      </c>
      <c r="G77" s="46"/>
      <c r="H77" s="46">
        <v>197443.75</v>
      </c>
      <c r="I77" s="47">
        <f>-IF(F77=0,0,F77/D77)</f>
        <v>0.45938079850929503</v>
      </c>
      <c r="J77" s="48"/>
      <c r="K77" s="48"/>
      <c r="L77" s="49">
        <v>68418482.030000001</v>
      </c>
      <c r="M77" s="50">
        <f>D77/L77</f>
        <v>0.0053379990196195815</v>
      </c>
      <c r="N77" s="50">
        <f>F77/L77</f>
        <v>-0.0024521742520746772</v>
      </c>
      <c r="O77" s="50">
        <f>H77/L77</f>
        <v>0.0028858247675449047</v>
      </c>
      <c r="P77" s="50"/>
      <c r="Q77" s="49">
        <v>197443.42</v>
      </c>
      <c r="S77" s="40">
        <v>2017</v>
      </c>
      <c r="T77" s="45">
        <v>0.12818075255363101</v>
      </c>
      <c r="U77" s="45">
        <v>0.092499994397679433</v>
      </c>
      <c r="V77" s="45">
        <v>0.073554207892058174</v>
      </c>
      <c r="W77" s="45">
        <v>0.090566203213915356</v>
      </c>
      <c r="X77" s="45">
        <v>0.067585634706668507</v>
      </c>
      <c r="Y77" s="45">
        <v>0.055827673946740174</v>
      </c>
      <c r="Z77" s="45">
        <v>0.051379565411696214</v>
      </c>
      <c r="AA77" s="45">
        <v>0.049724055458079536</v>
      </c>
      <c r="AB77" s="45">
        <v>0.072673286016817509</v>
      </c>
      <c r="AC77" s="45">
        <v>0.091028931185404796</v>
      </c>
      <c r="AD77" s="45">
        <v>0.10533477580392317</v>
      </c>
      <c r="AE77" s="45">
        <v>0.12164491941338619</v>
      </c>
    </row>
    <row r="78" spans="1:31" ht="15">
      <c r="A78" s="271" t="s">
        <v>1</v>
      </c>
      <c r="B78" s="271"/>
      <c r="C78" s="45">
        <f t="shared" si="19" ref="C78:C88">D78/$D$89</f>
        <v>0.11810351779804543</v>
      </c>
      <c r="D78" s="46">
        <v>778616.49</v>
      </c>
      <c r="E78" s="46"/>
      <c r="F78" s="46">
        <v>-205112.90</v>
      </c>
      <c r="G78" s="46"/>
      <c r="H78" s="46">
        <v>573503.59</v>
      </c>
      <c r="I78" s="47">
        <f t="shared" si="20" ref="I78:I88">-IF(F78=0,0,F78/D78)</f>
        <v>0.26343251476731505</v>
      </c>
      <c r="J78" s="48"/>
      <c r="K78" s="48"/>
      <c r="L78" s="49">
        <v>69055463.090000004</v>
      </c>
      <c r="M78" s="50">
        <f t="shared" si="21" ref="M78:M88">D78/L78</f>
        <v>0.011275233778176665</v>
      </c>
      <c r="N78" s="50">
        <f t="shared" si="22" ref="N78:N88">F78/L78</f>
        <v>-0.0029702631887744534</v>
      </c>
      <c r="O78" s="50">
        <f t="shared" si="23" ref="O78:O88">H78/L78</f>
        <v>0.0083049705894022111</v>
      </c>
      <c r="P78" s="50"/>
      <c r="Q78" s="49">
        <v>573503.59</v>
      </c>
      <c r="S78" s="40">
        <v>2018</v>
      </c>
      <c r="T78" s="45">
        <v>0.083647569824088455</v>
      </c>
      <c r="U78" s="45">
        <v>0.077407803815676954</v>
      </c>
      <c r="V78" s="45">
        <v>0.04629714617663655</v>
      </c>
      <c r="W78" s="45">
        <v>0.1013974567907628</v>
      </c>
      <c r="X78" s="45">
        <v>0.1372194938414249</v>
      </c>
      <c r="Y78" s="45">
        <v>0.087284428934104513</v>
      </c>
      <c r="Z78" s="45">
        <v>0.059780002240584995</v>
      </c>
      <c r="AA78" s="45">
        <v>0.057808460062683406</v>
      </c>
      <c r="AB78" s="45">
        <v>0.071469616103704739</v>
      </c>
      <c r="AC78" s="60">
        <v>0.084680120601922662</v>
      </c>
      <c r="AD78" s="60">
        <v>0.091013080248064052</v>
      </c>
      <c r="AE78" s="60">
        <v>0.10199482136034617</v>
      </c>
    </row>
    <row r="79" spans="1:31" ht="15">
      <c r="A79" s="271" t="s">
        <v>2</v>
      </c>
      <c r="B79" s="271"/>
      <c r="C79" s="45">
        <f t="shared" si="19"/>
        <v>0.093356329549883502</v>
      </c>
      <c r="D79" s="46">
        <v>615466.66</v>
      </c>
      <c r="E79" s="46"/>
      <c r="F79" s="46">
        <v>-280029</v>
      </c>
      <c r="G79" s="46"/>
      <c r="H79" s="46">
        <v>335437.65999999997</v>
      </c>
      <c r="I79" s="47">
        <f t="shared" si="20"/>
        <v>0.45498646506701107</v>
      </c>
      <c r="J79" s="48"/>
      <c r="K79" s="48"/>
      <c r="L79" s="49">
        <v>68191432.120000005</v>
      </c>
      <c r="M79" s="50">
        <f t="shared" si="21"/>
        <v>0.009025571701103614</v>
      </c>
      <c r="N79" s="50">
        <f t="shared" si="22"/>
        <v>-0.004106512963493983</v>
      </c>
      <c r="O79" s="50">
        <f t="shared" si="23"/>
        <v>0.0049190587376096292</v>
      </c>
      <c r="P79" s="50"/>
      <c r="Q79" s="49">
        <v>335437.65999999997</v>
      </c>
      <c r="S79" s="40">
        <v>2019</v>
      </c>
      <c r="T79" s="60">
        <v>0.055397626836066381</v>
      </c>
      <c r="U79" s="60">
        <v>0.11810351779804543</v>
      </c>
      <c r="V79" s="60">
        <v>0.093356329549883502</v>
      </c>
      <c r="W79" s="60">
        <v>0.088258159247856655</v>
      </c>
      <c r="X79" s="60">
        <v>0.0971223458683102</v>
      </c>
      <c r="Y79" s="60">
        <v>0.08056516885004418</v>
      </c>
      <c r="Z79" s="60">
        <v>0.066353258685310085</v>
      </c>
      <c r="AA79" s="60">
        <v>0.049433953249553346</v>
      </c>
      <c r="AB79" s="60">
        <v>0.072251673345105225</v>
      </c>
      <c r="AC79" s="45">
        <v>0.06200820913097449</v>
      </c>
      <c r="AD79" s="45">
        <v>0.10440829882221966</v>
      </c>
      <c r="AE79" s="45">
        <v>0.112741458616631</v>
      </c>
    </row>
    <row r="80" spans="1:31" ht="15">
      <c r="A80" s="271" t="s">
        <v>3</v>
      </c>
      <c r="B80" s="271"/>
      <c r="C80" s="45">
        <f t="shared" si="19"/>
        <v>0.088258159247856655</v>
      </c>
      <c r="D80" s="46">
        <v>581856.15</v>
      </c>
      <c r="E80" s="46"/>
      <c r="F80" s="46">
        <v>-237326.96</v>
      </c>
      <c r="G80" s="46"/>
      <c r="H80" s="46">
        <v>344529.19</v>
      </c>
      <c r="I80" s="47">
        <f t="shared" si="20"/>
        <v>0.40787909520248256</v>
      </c>
      <c r="J80" s="48"/>
      <c r="K80" s="48"/>
      <c r="L80" s="49">
        <v>60463971.560000002</v>
      </c>
      <c r="M80" s="50">
        <f t="shared" si="21"/>
        <v>0.0096231877428463123</v>
      </c>
      <c r="N80" s="50">
        <f t="shared" si="22"/>
        <v>-0.0039250971095157747</v>
      </c>
      <c r="O80" s="50">
        <f t="shared" si="23"/>
        <v>0.0056980906333305376</v>
      </c>
      <c r="P80" s="50"/>
      <c r="Q80" s="49">
        <v>344529.19</v>
      </c>
      <c r="AE80" s="61" t="s">
        <v>73</v>
      </c>
    </row>
    <row r="81" spans="1:20" ht="15">
      <c r="A81" s="271" t="s">
        <v>4</v>
      </c>
      <c r="B81" s="271"/>
      <c r="C81" s="45">
        <f t="shared" si="19"/>
        <v>0.0971223458683102</v>
      </c>
      <c r="D81" s="46">
        <v>640294.73</v>
      </c>
      <c r="E81" s="46"/>
      <c r="F81" s="46">
        <v>-198280.14</v>
      </c>
      <c r="G81" s="46"/>
      <c r="H81" s="46">
        <v>442014.59</v>
      </c>
      <c r="I81" s="47">
        <f t="shared" si="20"/>
        <v>0.30967011082536949</v>
      </c>
      <c r="J81" s="48"/>
      <c r="K81" s="48"/>
      <c r="L81" s="49">
        <v>64043981.600000001</v>
      </c>
      <c r="M81" s="50">
        <f t="shared" si="21"/>
        <v>0.0099977345880693964</v>
      </c>
      <c r="N81" s="50">
        <f t="shared" si="22"/>
        <v>-0.0030959995778900794</v>
      </c>
      <c r="O81" s="50">
        <f t="shared" si="23"/>
        <v>0.0069017350101793174</v>
      </c>
      <c r="P81" s="50"/>
      <c r="Q81" s="49">
        <v>442014.59</v>
      </c>
      <c r="T81" s="45"/>
    </row>
    <row r="82" spans="1:20" ht="15">
      <c r="A82" s="271" t="s">
        <v>5</v>
      </c>
      <c r="B82" s="271"/>
      <c r="C82" s="45">
        <f t="shared" si="19"/>
        <v>0.08056516885004418</v>
      </c>
      <c r="D82" s="46">
        <v>531138.87</v>
      </c>
      <c r="E82" s="46"/>
      <c r="F82" s="46">
        <v>-212914.68</v>
      </c>
      <c r="G82" s="46"/>
      <c r="H82" s="46">
        <v>318224.19</v>
      </c>
      <c r="I82" s="47">
        <f t="shared" si="20"/>
        <v>0.40086442929699345</v>
      </c>
      <c r="J82" s="48"/>
      <c r="K82" s="48"/>
      <c r="L82" s="49">
        <v>87024088.879999995</v>
      </c>
      <c r="M82" s="50">
        <f t="shared" si="21"/>
        <v>0.0061033545634979593</v>
      </c>
      <c r="N82" s="50">
        <f t="shared" si="22"/>
        <v>-0.0024466177438938102</v>
      </c>
      <c r="O82" s="50">
        <f t="shared" si="23"/>
        <v>0.0036567368196041491</v>
      </c>
      <c r="P82" s="50"/>
      <c r="Q82" s="49">
        <v>318224.19</v>
      </c>
      <c r="T82" s="45"/>
    </row>
    <row r="83" spans="1:29" ht="15">
      <c r="A83" s="271" t="s">
        <v>6</v>
      </c>
      <c r="B83" s="271"/>
      <c r="C83" s="45">
        <f t="shared" si="19"/>
        <v>0.066353258685310085</v>
      </c>
      <c r="D83" s="46">
        <v>437444.56</v>
      </c>
      <c r="E83" s="46"/>
      <c r="F83" s="46">
        <v>-203926.03</v>
      </c>
      <c r="G83" s="46"/>
      <c r="H83" s="46">
        <v>233518.53</v>
      </c>
      <c r="I83" s="47">
        <f t="shared" si="20"/>
        <v>0.46617571378645101</v>
      </c>
      <c r="J83" s="48"/>
      <c r="K83" s="48"/>
      <c r="L83" s="49">
        <v>95827473.930000007</v>
      </c>
      <c r="M83" s="50">
        <f t="shared" si="21"/>
        <v>0.0045649179933465031</v>
      </c>
      <c r="N83" s="50">
        <f t="shared" si="22"/>
        <v>-0.0021280539039249197</v>
      </c>
      <c r="O83" s="50">
        <f t="shared" si="23"/>
        <v>0.0024368640894215834</v>
      </c>
      <c r="P83" s="50"/>
      <c r="Q83" s="49">
        <v>233518.53</v>
      </c>
      <c r="T83" s="45"/>
      <c r="AC83" s="40" t="s">
        <v>78</v>
      </c>
    </row>
    <row r="84" spans="1:29" ht="15">
      <c r="A84" s="271" t="s">
        <v>7</v>
      </c>
      <c r="B84" s="271"/>
      <c r="C84" s="45">
        <f t="shared" si="19"/>
        <v>0.049433953249553346</v>
      </c>
      <c r="D84" s="46">
        <v>325901.31</v>
      </c>
      <c r="E84" s="46"/>
      <c r="F84" s="46">
        <v>-221925.06</v>
      </c>
      <c r="G84" s="46"/>
      <c r="H84" s="46">
        <v>103976.25</v>
      </c>
      <c r="I84" s="47">
        <f t="shared" si="20"/>
        <v>0.68095786420741911</v>
      </c>
      <c r="J84" s="48"/>
      <c r="K84" s="48"/>
      <c r="L84" s="49">
        <v>99437781.840000004</v>
      </c>
      <c r="M84" s="50">
        <f t="shared" si="21"/>
        <v>0.0032774394598261486</v>
      </c>
      <c r="N84" s="50">
        <f t="shared" si="22"/>
        <v>-0.0022317981746323313</v>
      </c>
      <c r="O84" s="50">
        <f t="shared" si="23"/>
        <v>0.0010456412851938171</v>
      </c>
      <c r="P84" s="50"/>
      <c r="Q84" s="49">
        <v>103976.25</v>
      </c>
      <c r="T84" s="45"/>
      <c r="AC84" s="40" t="s">
        <v>79</v>
      </c>
    </row>
    <row r="85" spans="1:20" ht="15">
      <c r="A85" s="271" t="s">
        <v>8</v>
      </c>
      <c r="B85" s="271"/>
      <c r="C85" s="45">
        <f t="shared" si="19"/>
        <v>0.072251673345105225</v>
      </c>
      <c r="D85" s="46">
        <v>476330.81</v>
      </c>
      <c r="E85" s="46"/>
      <c r="F85" s="46">
        <v>-212063.71</v>
      </c>
      <c r="G85" s="46"/>
      <c r="H85" s="46">
        <v>264267.09999999998</v>
      </c>
      <c r="I85" s="47">
        <f t="shared" si="20"/>
        <v>0.44520258935171547</v>
      </c>
      <c r="J85" s="48"/>
      <c r="K85" s="48"/>
      <c r="L85" s="49">
        <v>99216013.840000004</v>
      </c>
      <c r="M85" s="50">
        <f t="shared" si="21"/>
        <v>0.0048009468589229097</v>
      </c>
      <c r="N85" s="50">
        <f t="shared" si="22"/>
        <v>-0.0021373939729324646</v>
      </c>
      <c r="O85" s="50">
        <f t="shared" si="23"/>
        <v>0.0026635528859904455</v>
      </c>
      <c r="P85" s="50"/>
      <c r="Q85" s="49">
        <v>164274.43</v>
      </c>
      <c r="T85" s="45"/>
    </row>
    <row r="86" spans="1:20" ht="15">
      <c r="A86" s="271" t="s">
        <v>9</v>
      </c>
      <c r="B86" s="271"/>
      <c r="C86" s="45">
        <f t="shared" si="19"/>
        <v>0.06200820913097449</v>
      </c>
      <c r="D86" s="46">
        <v>408799.12</v>
      </c>
      <c r="E86" s="46"/>
      <c r="F86" s="46">
        <v>-244524.69</v>
      </c>
      <c r="G86" s="46"/>
      <c r="H86" s="46">
        <v>164274.43</v>
      </c>
      <c r="I86" s="47">
        <f t="shared" si="20"/>
        <v>0.59815366040905371</v>
      </c>
      <c r="J86" s="48"/>
      <c r="K86" s="48"/>
      <c r="L86" s="49">
        <v>95355663.019999996</v>
      </c>
      <c r="M86" s="50">
        <f t="shared" si="21"/>
        <v>0.0042870985010534509</v>
      </c>
      <c r="N86" s="50">
        <f t="shared" si="22"/>
        <v>-0.0025643436609392892</v>
      </c>
      <c r="O86" s="50">
        <f t="shared" si="23"/>
        <v>0.001722754840114162</v>
      </c>
      <c r="P86" s="50"/>
      <c r="Q86" s="49">
        <v>264267.09999999998</v>
      </c>
      <c r="T86" s="45"/>
    </row>
    <row r="87" spans="1:20" ht="15">
      <c r="A87" s="271" t="s">
        <v>10</v>
      </c>
      <c r="B87" s="271"/>
      <c r="C87" s="45">
        <f t="shared" si="19"/>
        <v>0.10440829882221966</v>
      </c>
      <c r="D87" s="46">
        <v>688328.55</v>
      </c>
      <c r="E87" s="46"/>
      <c r="F87" s="46">
        <v>-293150.06</v>
      </c>
      <c r="G87" s="46"/>
      <c r="H87" s="46">
        <v>395178.49</v>
      </c>
      <c r="I87" s="47">
        <f t="shared" si="20"/>
        <v>0.42588682395928512</v>
      </c>
      <c r="J87" s="48"/>
      <c r="K87" s="48"/>
      <c r="L87" s="49">
        <v>80521286.890000001</v>
      </c>
      <c r="M87" s="50">
        <f t="shared" si="21"/>
        <v>0.0085484047335249932</v>
      </c>
      <c r="N87" s="50">
        <f t="shared" si="22"/>
        <v>-0.0036406529418794788</v>
      </c>
      <c r="O87" s="50">
        <f t="shared" si="23"/>
        <v>0.0049077517916455149</v>
      </c>
      <c r="P87" s="50"/>
      <c r="Q87" s="49">
        <v>395178.49</v>
      </c>
      <c r="T87" s="45"/>
    </row>
    <row r="88" spans="1:20" ht="15">
      <c r="A88" s="271" t="s">
        <v>11</v>
      </c>
      <c r="B88" s="271"/>
      <c r="C88" s="45">
        <f t="shared" si="19"/>
        <v>0.112741458616631</v>
      </c>
      <c r="D88" s="55">
        <v>743266.25</v>
      </c>
      <c r="E88" s="46"/>
      <c r="F88" s="55">
        <v>-256128.99</v>
      </c>
      <c r="G88" s="46"/>
      <c r="H88" s="55">
        <v>487137.26</v>
      </c>
      <c r="I88" s="47">
        <f t="shared" si="20"/>
        <v>0.34459924690512989</v>
      </c>
      <c r="J88" s="48"/>
      <c r="K88" s="48"/>
      <c r="L88" s="49">
        <v>75799348.969999999</v>
      </c>
      <c r="M88" s="50">
        <f t="shared" si="21"/>
        <v>0.0098057075700501237</v>
      </c>
      <c r="N88" s="50">
        <f t="shared" si="22"/>
        <v>-0.0033790394440112036</v>
      </c>
      <c r="O88" s="50">
        <f t="shared" si="23"/>
        <v>0.0064266681260389197</v>
      </c>
      <c r="P88" s="50"/>
      <c r="Q88" s="49">
        <v>487137.26</v>
      </c>
      <c r="T88" s="45"/>
    </row>
    <row r="89" spans="3:20" ht="15.75" thickBot="1">
      <c r="C89" s="35">
        <f>SUM(C77:C88)</f>
        <v>1.0000000000000002</v>
      </c>
      <c r="D89" s="59">
        <f>SUM(D77:D88)</f>
        <v>6592661.2899999991</v>
      </c>
      <c r="E89" s="46"/>
      <c r="F89" s="59">
        <f>SUM(F77:F88)</f>
        <v>-2733156.26</v>
      </c>
      <c r="G89" s="46"/>
      <c r="H89" s="59">
        <f>SUM(H77:H88)</f>
        <v>3859505.0300000003</v>
      </c>
      <c r="I89" s="46"/>
      <c r="M89" s="58"/>
      <c r="N89" s="58"/>
      <c r="O89" s="58"/>
      <c r="P89" s="58"/>
      <c r="Q89" s="58"/>
      <c r="T89" s="45"/>
    </row>
    <row r="90" spans="4:20" ht="15.75" thickTop="1">
      <c r="D90" s="46"/>
      <c r="E90" s="46"/>
      <c r="F90" s="46"/>
      <c r="G90" s="46"/>
      <c r="H90" s="46"/>
      <c r="I90" s="46"/>
      <c r="M90" s="58"/>
      <c r="N90" s="58"/>
      <c r="O90" s="58"/>
      <c r="P90" s="58"/>
      <c r="Q90" s="58"/>
      <c r="T90" s="45"/>
    </row>
    <row r="91" spans="4:20" ht="15">
      <c r="D91" s="62">
        <f>(D89/D74)-1</f>
        <v>0.12672905781521093</v>
      </c>
      <c r="E91" s="57"/>
      <c r="F91" s="62">
        <f>(F89/F74)-1</f>
        <v>0.32947956769236098</v>
      </c>
      <c r="G91" s="57"/>
      <c r="H91" s="62">
        <f>(H89/H74)-1</f>
        <v>0.016905904919461312</v>
      </c>
      <c r="I91" s="57"/>
      <c r="M91" s="58"/>
      <c r="N91" s="58"/>
      <c r="O91" s="58"/>
      <c r="P91" s="58"/>
      <c r="Q91" s="58"/>
      <c r="T91" s="45"/>
    </row>
    <row r="92" spans="4:20" ht="15">
      <c r="D92" s="57"/>
      <c r="E92" s="57"/>
      <c r="F92" s="57"/>
      <c r="G92" s="57"/>
      <c r="H92" s="57"/>
      <c r="I92" s="57"/>
      <c r="T92" s="45"/>
    </row>
    <row r="93" spans="3:12" ht="15">
      <c r="C93" s="40" t="s">
        <v>100</v>
      </c>
      <c r="D93" s="57">
        <f>(D44+D59+D74+D89)/4</f>
        <v>5619731.3374999994</v>
      </c>
      <c r="E93" s="57"/>
      <c r="F93" s="57">
        <f>(F44+F59+F74+F89)/4</f>
        <v>-2247393.5649999999</v>
      </c>
      <c r="G93" s="57"/>
      <c r="H93" s="57">
        <f>(H44+H59+H74+H89)/4</f>
        <v>3372337.7725</v>
      </c>
      <c r="I93" s="57"/>
      <c r="L93" s="40">
        <f>L77/3</f>
        <v>22806160.676666666</v>
      </c>
    </row>
    <row r="94" spans="4:9" ht="15">
      <c r="D94" s="57"/>
      <c r="E94" s="57"/>
      <c r="F94" s="57"/>
      <c r="G94" s="57"/>
      <c r="H94" s="57"/>
      <c r="I94" s="57"/>
    </row>
    <row r="95" spans="3:9" ht="15">
      <c r="C95" s="40">
        <v>2014</v>
      </c>
      <c r="D95" s="140">
        <v>5138119.71</v>
      </c>
      <c r="E95" s="57"/>
      <c r="F95" s="57"/>
      <c r="G95" s="57"/>
      <c r="H95" s="57"/>
      <c r="I95" s="57"/>
    </row>
    <row r="96" spans="3:8" ht="15">
      <c r="C96" s="40">
        <v>2015</v>
      </c>
      <c r="D96" s="140">
        <f>D29</f>
        <v>5302063.620000001</v>
      </c>
      <c r="F96" s="140">
        <f>F29</f>
        <v>-2133227.21</v>
      </c>
      <c r="H96" s="140">
        <f>H29</f>
        <v>3168836.4099999997</v>
      </c>
    </row>
    <row r="97" spans="3:8" ht="15">
      <c r="C97" s="61">
        <v>2016</v>
      </c>
      <c r="D97" s="140">
        <f>D44</f>
        <v>5184445.0500000007</v>
      </c>
      <c r="E97" s="140"/>
      <c r="F97" s="140">
        <f>F44</f>
        <v>-2196563.63</v>
      </c>
      <c r="G97" s="140"/>
      <c r="H97" s="140">
        <f>H44</f>
        <v>2987881.42</v>
      </c>
    </row>
    <row r="98" spans="3:8" ht="15">
      <c r="C98" s="61">
        <v>2017</v>
      </c>
      <c r="D98" s="140">
        <f>D59</f>
        <v>4850668.51</v>
      </c>
      <c r="E98" s="140"/>
      <c r="F98" s="140">
        <f>F59</f>
        <v>-2004045.2200000002</v>
      </c>
      <c r="G98" s="140"/>
      <c r="H98" s="140">
        <f>H59</f>
        <v>2846623.29</v>
      </c>
    </row>
    <row r="99" spans="3:13" ht="15">
      <c r="C99" s="61">
        <v>2018</v>
      </c>
      <c r="D99" s="140">
        <f>D74</f>
        <v>5851150.4999999991</v>
      </c>
      <c r="E99" s="140"/>
      <c r="F99" s="140">
        <f>F74</f>
        <v>-2055809.15</v>
      </c>
      <c r="G99" s="140"/>
      <c r="H99" s="140">
        <f>H74</f>
        <v>3795341.35</v>
      </c>
      <c r="M99" s="97"/>
    </row>
    <row r="100" spans="3:8" ht="15">
      <c r="C100" s="40">
        <v>2019</v>
      </c>
      <c r="D100" s="140">
        <f>D89</f>
        <v>6592661.2899999991</v>
      </c>
      <c r="E100" s="140"/>
      <c r="F100" s="140">
        <f>F89</f>
        <v>-2733156.26</v>
      </c>
      <c r="G100" s="140"/>
      <c r="H100" s="140">
        <f>H89</f>
        <v>3859505.0300000003</v>
      </c>
    </row>
    <row r="101" ht="15">
      <c r="D101" s="140"/>
    </row>
    <row r="102" spans="3:4" ht="15">
      <c r="C102" s="61" t="s">
        <v>80</v>
      </c>
      <c r="D102" s="140">
        <f>AVERAGE(D97:D99)</f>
        <v>5295421.3533333326</v>
      </c>
    </row>
    <row r="112" spans="20:31" ht="15">
      <c r="T112" s="52" t="s">
        <v>0</v>
      </c>
      <c r="U112" s="52" t="s">
        <v>1</v>
      </c>
      <c r="V112" s="52" t="s">
        <v>2</v>
      </c>
      <c r="W112" s="52" t="s">
        <v>3</v>
      </c>
      <c r="X112" s="52" t="s">
        <v>4</v>
      </c>
      <c r="Y112" s="52" t="s">
        <v>5</v>
      </c>
      <c r="Z112" s="52" t="s">
        <v>6</v>
      </c>
      <c r="AA112" s="52" t="s">
        <v>7</v>
      </c>
      <c r="AB112" s="52" t="s">
        <v>8</v>
      </c>
      <c r="AC112" s="52" t="s">
        <v>9</v>
      </c>
      <c r="AD112" s="52" t="s">
        <v>10</v>
      </c>
      <c r="AE112" s="52" t="s">
        <v>11</v>
      </c>
    </row>
    <row r="113" spans="19:31" ht="15">
      <c r="S113" s="53">
        <v>2016</v>
      </c>
      <c r="T113" s="45">
        <v>0.11724801288037567</v>
      </c>
      <c r="U113" s="45">
        <v>0.083220691094025565</v>
      </c>
      <c r="V113" s="45">
        <v>0.06737872359164071</v>
      </c>
      <c r="W113" s="45">
        <v>0.076379596307998274</v>
      </c>
      <c r="X113" s="45">
        <v>0.078162460223201696</v>
      </c>
      <c r="Y113" s="45">
        <v>0.064927498845802206</v>
      </c>
      <c r="Z113" s="45">
        <v>0.061137228178356318</v>
      </c>
      <c r="AA113" s="45">
        <v>0.05992207979907125</v>
      </c>
      <c r="AB113" s="45">
        <v>0.057719413961191464</v>
      </c>
      <c r="AC113" s="45">
        <v>0.098526977347363334</v>
      </c>
      <c r="AD113" s="45">
        <v>0.11764324901080779</v>
      </c>
      <c r="AE113" s="45">
        <v>0.11773406876016555</v>
      </c>
    </row>
    <row r="114" spans="19:31" ht="15">
      <c r="S114" s="53">
        <v>2017</v>
      </c>
      <c r="T114" s="45">
        <v>0.12818075255363101</v>
      </c>
      <c r="U114" s="45">
        <v>0.092499994397679433</v>
      </c>
      <c r="V114" s="45">
        <v>0.073554207892058174</v>
      </c>
      <c r="W114" s="45">
        <v>0.090566203213915356</v>
      </c>
      <c r="X114" s="45">
        <v>0.067585634706668507</v>
      </c>
      <c r="Y114" s="45">
        <v>0.055827673946740174</v>
      </c>
      <c r="Z114" s="45">
        <v>0.051379565411696214</v>
      </c>
      <c r="AA114" s="45">
        <v>0.049724055458079536</v>
      </c>
      <c r="AB114" s="45">
        <v>0.072673286016817509</v>
      </c>
      <c r="AC114" s="45">
        <v>0.091028931185404796</v>
      </c>
      <c r="AD114" s="45">
        <v>0.10533477580392317</v>
      </c>
      <c r="AE114" s="45">
        <v>0.12164491941338619</v>
      </c>
    </row>
    <row r="115" spans="19:31" ht="15.75" thickBot="1">
      <c r="S115" s="53" t="s">
        <v>80</v>
      </c>
      <c r="T115" s="63">
        <f>AVERAGE(T113:T114)</f>
        <v>0.12271438271700334</v>
      </c>
      <c r="U115" s="63">
        <f t="shared" si="24" ref="U115:AE115">AVERAGE(U113:U114)</f>
        <v>0.087860342745852499</v>
      </c>
      <c r="V115" s="63">
        <f t="shared" si="24"/>
        <v>0.070466465741849449</v>
      </c>
      <c r="W115" s="63">
        <f t="shared" si="24"/>
        <v>0.083472899760956815</v>
      </c>
      <c r="X115" s="63">
        <f t="shared" si="24"/>
        <v>0.072874047464935102</v>
      </c>
      <c r="Y115" s="63">
        <f t="shared" si="24"/>
        <v>0.060377586396271193</v>
      </c>
      <c r="Z115" s="63">
        <f t="shared" si="24"/>
        <v>0.056258396795026269</v>
      </c>
      <c r="AA115" s="63">
        <f t="shared" si="24"/>
        <v>0.054823067628575389</v>
      </c>
      <c r="AB115" s="63">
        <f t="shared" si="24"/>
        <v>0.06519634998900449</v>
      </c>
      <c r="AC115" s="63">
        <f t="shared" si="24"/>
        <v>0.094777954266384065</v>
      </c>
      <c r="AD115" s="63">
        <f t="shared" si="24"/>
        <v>0.11148901240736547</v>
      </c>
      <c r="AE115" s="63">
        <f t="shared" si="24"/>
        <v>0.11968949408677587</v>
      </c>
    </row>
    <row r="116" ht="15.75" thickTop="1"/>
  </sheetData>
  <mergeCells count="78">
    <mergeCell ref="A84:B84"/>
    <mergeCell ref="A85:B85"/>
    <mergeCell ref="A86:B86"/>
    <mergeCell ref="A87:B87"/>
    <mergeCell ref="A88:B88"/>
    <mergeCell ref="A83:B83"/>
    <mergeCell ref="A70:B70"/>
    <mergeCell ref="A71:B71"/>
    <mergeCell ref="A72:B72"/>
    <mergeCell ref="A73:B73"/>
    <mergeCell ref="A76:B76"/>
    <mergeCell ref="A77:B77"/>
    <mergeCell ref="A78:B78"/>
    <mergeCell ref="A79:B79"/>
    <mergeCell ref="A80:B80"/>
    <mergeCell ref="A81:B81"/>
    <mergeCell ref="A82:B82"/>
    <mergeCell ref="A69:B69"/>
    <mergeCell ref="A56:B56"/>
    <mergeCell ref="A57:B57"/>
    <mergeCell ref="A58:B58"/>
    <mergeCell ref="A61:B61"/>
    <mergeCell ref="A62:B62"/>
    <mergeCell ref="A63:B63"/>
    <mergeCell ref="A64:B64"/>
    <mergeCell ref="A65:B65"/>
    <mergeCell ref="A66:B66"/>
    <mergeCell ref="A67:B67"/>
    <mergeCell ref="A68:B68"/>
    <mergeCell ref="A38:B38"/>
    <mergeCell ref="A39:B39"/>
    <mergeCell ref="A40:B40"/>
    <mergeCell ref="A55:B55"/>
    <mergeCell ref="A42:B42"/>
    <mergeCell ref="A43:B43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41:B41"/>
    <mergeCell ref="AE15:AE31"/>
    <mergeCell ref="A31:B31"/>
    <mergeCell ref="A32:B32"/>
    <mergeCell ref="A33:B33"/>
    <mergeCell ref="A34:B34"/>
    <mergeCell ref="AC15:AC31"/>
    <mergeCell ref="AD15:AD31"/>
    <mergeCell ref="A35:B35"/>
    <mergeCell ref="Y15:Y31"/>
    <mergeCell ref="Z15:Z31"/>
    <mergeCell ref="AA15:AA31"/>
    <mergeCell ref="AB15:AB31"/>
    <mergeCell ref="X15:X31"/>
    <mergeCell ref="V15:V31"/>
    <mergeCell ref="W15:W31"/>
    <mergeCell ref="A27:B27"/>
    <mergeCell ref="A28:B28"/>
    <mergeCell ref="A36:B36"/>
    <mergeCell ref="A37:B37"/>
    <mergeCell ref="A13:H14"/>
    <mergeCell ref="T15:T31"/>
    <mergeCell ref="U15:U31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ageMargins left="0.7" right="0.7" top="0.75" bottom="0.75" header="0.3" footer="0.3"/>
  <pageSetup orientation="portrait" r:id="rId3"/>
  <customProperties>
    <customPr name="_pios_id" r:id="rId4"/>
  </customProperties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225"/>
  <sheetViews>
    <sheetView zoomScale="80" zoomScaleNormal="80" zoomScaleSheetLayoutView="80" workbookViewId="0" topLeftCell="A1">
      <selection pane="topLeft" activeCell="A1" sqref="A1"/>
    </sheetView>
  </sheetViews>
  <sheetFormatPr defaultColWidth="8.72727272727273" defaultRowHeight="13"/>
  <cols>
    <col min="1" max="1" width="1.27272727272727" style="13" customWidth="1"/>
    <col min="2" max="2" width="10.2727272727273" style="13" customWidth="1"/>
    <col min="3" max="14" width="9.18181818181818" style="13" customWidth="1"/>
    <col min="15" max="15" width="9.18181818181818" style="65" customWidth="1"/>
    <col min="16" max="16384" width="9.18181818181818" style="13"/>
  </cols>
  <sheetData>
    <row r="1" spans="1:15" s="277" customFormat="1" ht="15">
      <c r="A1" s="276" t="s">
        <v>255</v>
      </c>
      <c r="O1" s="293"/>
    </row>
    <row r="2" ht="15">
      <c r="A2" s="285" t="s">
        <v>243</v>
      </c>
    </row>
    <row r="8" ht="20.25">
      <c r="B8" s="64" t="s">
        <v>81</v>
      </c>
    </row>
    <row r="9" spans="1:2" ht="18">
      <c r="A9" s="66">
        <v>40817</v>
      </c>
      <c r="B9" s="67" t="s">
        <v>260</v>
      </c>
    </row>
    <row r="10" spans="2:15" ht="15" customHeight="1" hidden="1">
      <c r="B10" s="68"/>
      <c r="C10" s="69">
        <v>40909</v>
      </c>
      <c r="D10" s="69">
        <v>40940</v>
      </c>
      <c r="E10" s="69">
        <v>40969</v>
      </c>
      <c r="F10" s="69">
        <v>41000</v>
      </c>
      <c r="G10" s="69">
        <v>41030</v>
      </c>
      <c r="H10" s="69">
        <v>41061</v>
      </c>
      <c r="I10" s="69">
        <v>41091</v>
      </c>
      <c r="J10" s="69">
        <v>41122</v>
      </c>
      <c r="K10" s="69">
        <v>41153</v>
      </c>
      <c r="L10" s="69">
        <v>41183</v>
      </c>
      <c r="M10" s="69">
        <v>41214</v>
      </c>
      <c r="N10" s="69">
        <v>41244</v>
      </c>
      <c r="O10" s="70" t="s">
        <v>82</v>
      </c>
    </row>
    <row r="11" spans="2:15" ht="15" customHeight="1" hidden="1">
      <c r="B11" s="71" t="s">
        <v>83</v>
      </c>
      <c r="C11" s="72">
        <v>172</v>
      </c>
      <c r="D11" s="72">
        <v>186</v>
      </c>
      <c r="E11" s="72">
        <v>136</v>
      </c>
      <c r="F11" s="72">
        <v>133</v>
      </c>
      <c r="G11" s="72">
        <v>157</v>
      </c>
      <c r="H11" s="72">
        <v>153</v>
      </c>
      <c r="I11" s="72">
        <v>133</v>
      </c>
      <c r="J11" s="72">
        <v>195</v>
      </c>
      <c r="K11" s="72">
        <v>222</v>
      </c>
      <c r="L11" s="72">
        <v>256</v>
      </c>
      <c r="M11" s="72">
        <v>215</v>
      </c>
      <c r="N11" s="72">
        <v>204</v>
      </c>
      <c r="O11" s="73">
        <f t="shared" si="0" ref="O11:O21">SUM(C11:N11)</f>
        <v>2162</v>
      </c>
    </row>
    <row r="12" spans="2:15" ht="15" customHeight="1" hidden="1">
      <c r="B12" s="68" t="s">
        <v>84</v>
      </c>
      <c r="C12" s="74">
        <v>55</v>
      </c>
      <c r="D12" s="74">
        <v>58</v>
      </c>
      <c r="E12" s="74">
        <v>52</v>
      </c>
      <c r="F12" s="74">
        <v>38</v>
      </c>
      <c r="G12" s="74">
        <v>49</v>
      </c>
      <c r="H12" s="74">
        <v>44</v>
      </c>
      <c r="I12" s="74">
        <v>55</v>
      </c>
      <c r="J12" s="74">
        <v>44</v>
      </c>
      <c r="K12" s="74">
        <v>69</v>
      </c>
      <c r="L12" s="74">
        <v>69</v>
      </c>
      <c r="M12" s="74">
        <v>38</v>
      </c>
      <c r="N12" s="74">
        <v>51</v>
      </c>
      <c r="O12" s="75">
        <f t="shared" si="0"/>
        <v>622</v>
      </c>
    </row>
    <row r="13" spans="2:15" ht="15" customHeight="1" hidden="1">
      <c r="B13" s="71" t="s">
        <v>85</v>
      </c>
      <c r="C13" s="72">
        <v>614</v>
      </c>
      <c r="D13" s="72">
        <v>594</v>
      </c>
      <c r="E13" s="72">
        <v>541</v>
      </c>
      <c r="F13" s="72">
        <v>462</v>
      </c>
      <c r="G13" s="72">
        <v>620</v>
      </c>
      <c r="H13" s="72">
        <v>556</v>
      </c>
      <c r="I13" s="72">
        <v>733</v>
      </c>
      <c r="J13" s="72">
        <v>639</v>
      </c>
      <c r="K13" s="72">
        <v>837</v>
      </c>
      <c r="L13" s="72">
        <v>1090</v>
      </c>
      <c r="M13" s="72">
        <v>904</v>
      </c>
      <c r="N13" s="72">
        <v>916</v>
      </c>
      <c r="O13" s="73">
        <f t="shared" si="0"/>
        <v>8506</v>
      </c>
    </row>
    <row r="14" spans="2:15" ht="15" customHeight="1" hidden="1">
      <c r="B14" s="68" t="s">
        <v>86</v>
      </c>
      <c r="C14" s="74">
        <v>82</v>
      </c>
      <c r="D14" s="74">
        <v>75</v>
      </c>
      <c r="E14" s="74">
        <v>62</v>
      </c>
      <c r="F14" s="74">
        <v>64</v>
      </c>
      <c r="G14" s="74">
        <v>78</v>
      </c>
      <c r="H14" s="74">
        <v>60</v>
      </c>
      <c r="I14" s="74">
        <v>70</v>
      </c>
      <c r="J14" s="74">
        <v>74</v>
      </c>
      <c r="K14" s="74">
        <v>99</v>
      </c>
      <c r="L14" s="74">
        <v>119</v>
      </c>
      <c r="M14" s="74">
        <v>126</v>
      </c>
      <c r="N14" s="74">
        <v>89</v>
      </c>
      <c r="O14" s="75">
        <f t="shared" si="0"/>
        <v>998</v>
      </c>
    </row>
    <row r="15" spans="2:15" ht="15" customHeight="1" hidden="1">
      <c r="B15" s="71" t="s">
        <v>87</v>
      </c>
      <c r="C15" s="72">
        <v>25</v>
      </c>
      <c r="D15" s="72">
        <v>24</v>
      </c>
      <c r="E15" s="72">
        <v>14</v>
      </c>
      <c r="F15" s="72">
        <v>16</v>
      </c>
      <c r="G15" s="72">
        <v>14</v>
      </c>
      <c r="H15" s="72">
        <v>11</v>
      </c>
      <c r="I15" s="72">
        <v>21</v>
      </c>
      <c r="J15" s="72">
        <v>29</v>
      </c>
      <c r="K15" s="72">
        <v>26</v>
      </c>
      <c r="L15" s="72">
        <v>44</v>
      </c>
      <c r="M15" s="72">
        <v>40</v>
      </c>
      <c r="N15" s="72">
        <v>20</v>
      </c>
      <c r="O15" s="73">
        <f t="shared" si="0"/>
        <v>284</v>
      </c>
    </row>
    <row r="16" spans="2:15" ht="15" customHeight="1" hidden="1">
      <c r="B16" s="68" t="s">
        <v>88</v>
      </c>
      <c r="C16" s="74">
        <v>48</v>
      </c>
      <c r="D16" s="74">
        <v>17</v>
      </c>
      <c r="E16" s="74">
        <v>75</v>
      </c>
      <c r="F16" s="74">
        <v>70</v>
      </c>
      <c r="G16" s="74">
        <v>49</v>
      </c>
      <c r="H16" s="74">
        <v>18</v>
      </c>
      <c r="I16" s="74">
        <v>36</v>
      </c>
      <c r="J16" s="74">
        <v>60</v>
      </c>
      <c r="K16" s="74">
        <v>117</v>
      </c>
      <c r="L16" s="74">
        <v>127</v>
      </c>
      <c r="M16" s="74">
        <v>85</v>
      </c>
      <c r="N16" s="74">
        <v>52</v>
      </c>
      <c r="O16" s="75">
        <f t="shared" si="0"/>
        <v>754</v>
      </c>
    </row>
    <row r="17" spans="2:15" ht="15.75" customHeight="1" hidden="1">
      <c r="B17" s="71" t="s">
        <v>89</v>
      </c>
      <c r="C17" s="72">
        <v>552</v>
      </c>
      <c r="D17" s="72">
        <v>689</v>
      </c>
      <c r="E17" s="72">
        <v>763</v>
      </c>
      <c r="F17" s="72">
        <v>430</v>
      </c>
      <c r="G17" s="72">
        <v>562</v>
      </c>
      <c r="H17" s="72">
        <v>666</v>
      </c>
      <c r="I17" s="72">
        <v>456</v>
      </c>
      <c r="J17" s="72">
        <v>608</v>
      </c>
      <c r="K17" s="72">
        <v>866</v>
      </c>
      <c r="L17" s="72">
        <v>1094</v>
      </c>
      <c r="M17" s="72">
        <v>809</v>
      </c>
      <c r="N17" s="72">
        <v>515</v>
      </c>
      <c r="O17" s="73">
        <f t="shared" si="0"/>
        <v>8010</v>
      </c>
    </row>
    <row r="18" spans="2:15" ht="15.75" customHeight="1" hidden="1">
      <c r="B18" s="68" t="s">
        <v>90</v>
      </c>
      <c r="C18" s="74">
        <v>28</v>
      </c>
      <c r="D18" s="74">
        <v>19</v>
      </c>
      <c r="E18" s="74">
        <v>17</v>
      </c>
      <c r="F18" s="74">
        <v>16</v>
      </c>
      <c r="G18" s="74">
        <v>12</v>
      </c>
      <c r="H18" s="74">
        <v>13</v>
      </c>
      <c r="I18" s="74">
        <v>19</v>
      </c>
      <c r="J18" s="74">
        <v>2</v>
      </c>
      <c r="K18" s="74">
        <v>25</v>
      </c>
      <c r="L18" s="74">
        <v>17</v>
      </c>
      <c r="M18" s="74">
        <v>15</v>
      </c>
      <c r="N18" s="74">
        <v>2</v>
      </c>
      <c r="O18" s="75">
        <f t="shared" si="0"/>
        <v>185</v>
      </c>
    </row>
    <row r="19" spans="2:15" ht="15.75" customHeight="1" hidden="1">
      <c r="B19" s="71" t="s">
        <v>91</v>
      </c>
      <c r="C19" s="72">
        <v>380</v>
      </c>
      <c r="D19" s="72">
        <v>348</v>
      </c>
      <c r="E19" s="72">
        <v>385</v>
      </c>
      <c r="F19" s="71">
        <v>382</v>
      </c>
      <c r="G19" s="72">
        <v>353</v>
      </c>
      <c r="H19" s="72">
        <v>313</v>
      </c>
      <c r="I19" s="72">
        <v>298</v>
      </c>
      <c r="J19" s="72">
        <v>331</v>
      </c>
      <c r="K19" s="72">
        <v>418</v>
      </c>
      <c r="L19" s="72">
        <v>427</v>
      </c>
      <c r="M19" s="72">
        <v>235</v>
      </c>
      <c r="N19" s="72">
        <v>265</v>
      </c>
      <c r="O19" s="73">
        <f t="shared" si="0"/>
        <v>4135</v>
      </c>
    </row>
    <row r="20" spans="2:15" ht="15.75" customHeight="1" hidden="1">
      <c r="B20" s="76" t="s">
        <v>92</v>
      </c>
      <c r="C20" s="77">
        <v>2004</v>
      </c>
      <c r="D20" s="77">
        <v>2110</v>
      </c>
      <c r="E20" s="77">
        <v>1926</v>
      </c>
      <c r="F20" s="78">
        <v>1617</v>
      </c>
      <c r="G20" s="77">
        <v>1701</v>
      </c>
      <c r="H20" s="77">
        <v>1477</v>
      </c>
      <c r="I20" s="77">
        <v>1631</v>
      </c>
      <c r="J20" s="77">
        <v>1567</v>
      </c>
      <c r="K20" s="77">
        <v>1928</v>
      </c>
      <c r="L20" s="77">
        <v>2343</v>
      </c>
      <c r="M20" s="77">
        <v>1840</v>
      </c>
      <c r="N20" s="77">
        <v>1721</v>
      </c>
      <c r="O20" s="79">
        <f t="shared" si="0"/>
        <v>21865</v>
      </c>
    </row>
    <row r="21" spans="2:15" ht="12" customHeight="1" hidden="1">
      <c r="B21" s="80" t="s">
        <v>93</v>
      </c>
      <c r="C21" s="81">
        <f t="shared" si="1" ref="C21:K21">SUM(C11:C20)</f>
        <v>3960</v>
      </c>
      <c r="D21" s="81">
        <f t="shared" si="1"/>
        <v>4120</v>
      </c>
      <c r="E21" s="81">
        <f t="shared" si="1"/>
        <v>3971</v>
      </c>
      <c r="F21" s="81">
        <f t="shared" si="1"/>
        <v>3228</v>
      </c>
      <c r="G21" s="81">
        <f t="shared" si="1"/>
        <v>3595</v>
      </c>
      <c r="H21" s="81">
        <f t="shared" si="1"/>
        <v>3311</v>
      </c>
      <c r="I21" s="81">
        <f t="shared" si="1"/>
        <v>3452</v>
      </c>
      <c r="J21" s="81">
        <f t="shared" si="1"/>
        <v>3549</v>
      </c>
      <c r="K21" s="81">
        <f t="shared" si="1"/>
        <v>4607</v>
      </c>
      <c r="L21" s="81">
        <f>SUM(L11:L20)</f>
        <v>5586</v>
      </c>
      <c r="M21" s="81">
        <f>SUM(M11:M20)</f>
        <v>4307</v>
      </c>
      <c r="N21" s="81">
        <f>SUM(N11:N20)</f>
        <v>3835</v>
      </c>
      <c r="O21" s="81">
        <f t="shared" si="0"/>
        <v>47521</v>
      </c>
    </row>
    <row r="22" spans="2:15" ht="12" customHeight="1" hidden="1"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2:15" ht="12" customHeight="1" hidden="1"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2:15" ht="12" customHeight="1" hidden="1"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2:15" ht="15" customHeight="1" hidden="1">
      <c r="B25" s="68"/>
      <c r="C25" s="69">
        <v>41275</v>
      </c>
      <c r="D25" s="69">
        <v>41306</v>
      </c>
      <c r="E25" s="69">
        <v>41334</v>
      </c>
      <c r="F25" s="69">
        <v>41365</v>
      </c>
      <c r="G25" s="69">
        <v>41395</v>
      </c>
      <c r="H25" s="69">
        <v>41426</v>
      </c>
      <c r="I25" s="69">
        <v>41456</v>
      </c>
      <c r="J25" s="69">
        <v>41487</v>
      </c>
      <c r="K25" s="69">
        <v>41518</v>
      </c>
      <c r="L25" s="69">
        <v>41548</v>
      </c>
      <c r="M25" s="69">
        <v>41579</v>
      </c>
      <c r="N25" s="69">
        <v>41609</v>
      </c>
      <c r="O25" s="70" t="s">
        <v>82</v>
      </c>
    </row>
    <row r="26" spans="2:15" ht="15" customHeight="1" hidden="1">
      <c r="B26" s="71" t="s">
        <v>83</v>
      </c>
      <c r="C26" s="72">
        <v>220</v>
      </c>
      <c r="D26" s="72">
        <v>167</v>
      </c>
      <c r="E26" s="72">
        <v>160</v>
      </c>
      <c r="F26" s="72">
        <v>197</v>
      </c>
      <c r="G26" s="72">
        <v>202</v>
      </c>
      <c r="H26" s="72">
        <v>164</v>
      </c>
      <c r="I26" s="72">
        <v>220</v>
      </c>
      <c r="J26" s="72">
        <v>258</v>
      </c>
      <c r="K26" s="72">
        <v>230</v>
      </c>
      <c r="L26" s="72">
        <v>231</v>
      </c>
      <c r="M26" s="72">
        <v>248</v>
      </c>
      <c r="N26" s="72">
        <v>128</v>
      </c>
      <c r="O26" s="73">
        <f t="shared" si="2" ref="O26:O36">SUM(C26:N26)</f>
        <v>2425</v>
      </c>
    </row>
    <row r="27" spans="2:15" ht="15" customHeight="1" hidden="1">
      <c r="B27" s="68" t="s">
        <v>84</v>
      </c>
      <c r="C27" s="74">
        <v>52</v>
      </c>
      <c r="D27" s="74">
        <v>63</v>
      </c>
      <c r="E27" s="74">
        <v>56</v>
      </c>
      <c r="F27" s="74">
        <v>48</v>
      </c>
      <c r="G27" s="74">
        <v>72</v>
      </c>
      <c r="H27" s="74">
        <v>59</v>
      </c>
      <c r="I27" s="74">
        <v>55</v>
      </c>
      <c r="J27" s="74">
        <v>45</v>
      </c>
      <c r="K27" s="74">
        <v>58</v>
      </c>
      <c r="L27" s="74">
        <v>71</v>
      </c>
      <c r="M27" s="74">
        <v>43</v>
      </c>
      <c r="N27" s="74">
        <v>37</v>
      </c>
      <c r="O27" s="75">
        <f t="shared" si="2"/>
        <v>659</v>
      </c>
    </row>
    <row r="28" spans="2:15" ht="15" customHeight="1" hidden="1">
      <c r="B28" s="71" t="s">
        <v>85</v>
      </c>
      <c r="C28" s="72">
        <v>685</v>
      </c>
      <c r="D28" s="72">
        <v>689</v>
      </c>
      <c r="E28" s="72">
        <v>522</v>
      </c>
      <c r="F28" s="72">
        <v>666</v>
      </c>
      <c r="G28" s="72">
        <v>559</v>
      </c>
      <c r="H28" s="72">
        <v>568</v>
      </c>
      <c r="I28" s="72">
        <v>689</v>
      </c>
      <c r="J28" s="72">
        <v>898</v>
      </c>
      <c r="K28" s="72">
        <v>685</v>
      </c>
      <c r="L28" s="72">
        <v>951</v>
      </c>
      <c r="M28" s="72">
        <v>819</v>
      </c>
      <c r="N28" s="72">
        <v>409</v>
      </c>
      <c r="O28" s="73">
        <f t="shared" si="2"/>
        <v>8140</v>
      </c>
    </row>
    <row r="29" spans="2:15" ht="15" customHeight="1" hidden="1">
      <c r="B29" s="68" t="s">
        <v>86</v>
      </c>
      <c r="C29" s="74">
        <v>121</v>
      </c>
      <c r="D29" s="74">
        <v>81</v>
      </c>
      <c r="E29" s="74">
        <v>72</v>
      </c>
      <c r="F29" s="74">
        <v>101</v>
      </c>
      <c r="G29" s="74">
        <v>90</v>
      </c>
      <c r="H29" s="74">
        <v>74</v>
      </c>
      <c r="I29" s="74">
        <v>100</v>
      </c>
      <c r="J29" s="74">
        <v>108</v>
      </c>
      <c r="K29" s="74">
        <v>91</v>
      </c>
      <c r="L29" s="74">
        <v>122</v>
      </c>
      <c r="M29" s="74">
        <v>114</v>
      </c>
      <c r="N29" s="74">
        <v>56</v>
      </c>
      <c r="O29" s="75">
        <f t="shared" si="2"/>
        <v>1130</v>
      </c>
    </row>
    <row r="30" spans="2:15" ht="15" customHeight="1" hidden="1">
      <c r="B30" s="71" t="s">
        <v>87</v>
      </c>
      <c r="C30" s="72">
        <v>20</v>
      </c>
      <c r="D30" s="72">
        <v>30</v>
      </c>
      <c r="E30" s="72">
        <v>38</v>
      </c>
      <c r="F30" s="72">
        <v>34</v>
      </c>
      <c r="G30" s="72">
        <v>32</v>
      </c>
      <c r="H30" s="72">
        <v>34</v>
      </c>
      <c r="I30" s="72">
        <v>45</v>
      </c>
      <c r="J30" s="72">
        <v>46</v>
      </c>
      <c r="K30" s="72">
        <v>33</v>
      </c>
      <c r="L30" s="72">
        <v>51</v>
      </c>
      <c r="M30" s="72">
        <v>33</v>
      </c>
      <c r="N30" s="72">
        <v>31</v>
      </c>
      <c r="O30" s="73">
        <f t="shared" si="2"/>
        <v>427</v>
      </c>
    </row>
    <row r="31" spans="2:15" ht="15" customHeight="1" hidden="1">
      <c r="B31" s="68" t="s">
        <v>88</v>
      </c>
      <c r="C31" s="74">
        <v>79</v>
      </c>
      <c r="D31" s="74">
        <v>114</v>
      </c>
      <c r="E31" s="74">
        <v>99</v>
      </c>
      <c r="F31" s="74">
        <v>137</v>
      </c>
      <c r="G31" s="74">
        <v>106</v>
      </c>
      <c r="H31" s="74">
        <v>104</v>
      </c>
      <c r="I31" s="74">
        <v>82</v>
      </c>
      <c r="J31" s="74">
        <v>124</v>
      </c>
      <c r="K31" s="74">
        <v>97</v>
      </c>
      <c r="L31" s="74">
        <v>119</v>
      </c>
      <c r="M31" s="74">
        <v>82</v>
      </c>
      <c r="N31" s="74">
        <v>95</v>
      </c>
      <c r="O31" s="75">
        <f t="shared" si="2"/>
        <v>1238</v>
      </c>
    </row>
    <row r="32" spans="2:15" ht="15" customHeight="1" hidden="1">
      <c r="B32" s="71" t="s">
        <v>89</v>
      </c>
      <c r="C32" s="72">
        <v>1002</v>
      </c>
      <c r="D32" s="72">
        <v>1021</v>
      </c>
      <c r="E32" s="72">
        <v>1101</v>
      </c>
      <c r="F32" s="72">
        <v>997</v>
      </c>
      <c r="G32" s="72">
        <v>1198</v>
      </c>
      <c r="H32" s="72">
        <v>946</v>
      </c>
      <c r="I32" s="72">
        <v>1052</v>
      </c>
      <c r="J32" s="72">
        <v>1289</v>
      </c>
      <c r="K32" s="72">
        <v>1213</v>
      </c>
      <c r="L32" s="72">
        <v>1752</v>
      </c>
      <c r="M32" s="72">
        <v>1064</v>
      </c>
      <c r="N32" s="72">
        <v>1188</v>
      </c>
      <c r="O32" s="73">
        <f t="shared" si="2"/>
        <v>13823</v>
      </c>
    </row>
    <row r="33" spans="2:15" ht="15" customHeight="1" hidden="1">
      <c r="B33" s="68" t="s">
        <v>90</v>
      </c>
      <c r="C33" s="74">
        <v>20</v>
      </c>
      <c r="D33" s="74">
        <v>14</v>
      </c>
      <c r="E33" s="74">
        <v>6</v>
      </c>
      <c r="F33" s="74">
        <v>15</v>
      </c>
      <c r="G33" s="74">
        <v>9</v>
      </c>
      <c r="H33" s="74">
        <v>11</v>
      </c>
      <c r="I33" s="74">
        <v>27</v>
      </c>
      <c r="J33" s="74">
        <v>13</v>
      </c>
      <c r="K33" s="74">
        <v>10</v>
      </c>
      <c r="L33" s="74">
        <v>17</v>
      </c>
      <c r="M33" s="74">
        <v>8</v>
      </c>
      <c r="N33" s="74">
        <v>2</v>
      </c>
      <c r="O33" s="75">
        <f t="shared" si="2"/>
        <v>152</v>
      </c>
    </row>
    <row r="34" spans="2:15" ht="15" customHeight="1" hidden="1">
      <c r="B34" s="71" t="s">
        <v>91</v>
      </c>
      <c r="C34" s="72">
        <v>264</v>
      </c>
      <c r="D34" s="72">
        <v>271</v>
      </c>
      <c r="E34" s="72">
        <v>266</v>
      </c>
      <c r="F34" s="71">
        <v>276</v>
      </c>
      <c r="G34" s="72">
        <v>260</v>
      </c>
      <c r="H34" s="72">
        <v>165</v>
      </c>
      <c r="I34" s="72">
        <v>214</v>
      </c>
      <c r="J34" s="72">
        <v>201</v>
      </c>
      <c r="K34" s="72">
        <v>257</v>
      </c>
      <c r="L34" s="72">
        <v>265</v>
      </c>
      <c r="M34" s="72">
        <v>166</v>
      </c>
      <c r="N34" s="72">
        <v>142</v>
      </c>
      <c r="O34" s="73">
        <f t="shared" si="2"/>
        <v>2747</v>
      </c>
    </row>
    <row r="35" spans="2:15" ht="15" customHeight="1" hidden="1">
      <c r="B35" s="76" t="s">
        <v>92</v>
      </c>
      <c r="C35" s="77">
        <v>1811</v>
      </c>
      <c r="D35" s="77">
        <v>1205</v>
      </c>
      <c r="E35" s="77">
        <v>1516</v>
      </c>
      <c r="F35" s="78">
        <v>1547</v>
      </c>
      <c r="G35" s="77">
        <v>1557</v>
      </c>
      <c r="H35" s="77">
        <v>1142</v>
      </c>
      <c r="I35" s="77">
        <v>1584</v>
      </c>
      <c r="J35" s="77">
        <v>2100</v>
      </c>
      <c r="K35" s="77">
        <v>1826</v>
      </c>
      <c r="L35" s="77">
        <v>2268</v>
      </c>
      <c r="M35" s="77">
        <v>1529</v>
      </c>
      <c r="N35" s="77">
        <v>1323</v>
      </c>
      <c r="O35" s="79">
        <f t="shared" si="2"/>
        <v>19408</v>
      </c>
    </row>
    <row r="36" spans="2:15" ht="15" customHeight="1" hidden="1">
      <c r="B36" s="80" t="s">
        <v>93</v>
      </c>
      <c r="C36" s="81">
        <f t="shared" si="3" ref="C36:K36">SUM(C26:C35)</f>
        <v>4274</v>
      </c>
      <c r="D36" s="81">
        <f t="shared" si="3"/>
        <v>3655</v>
      </c>
      <c r="E36" s="81">
        <f t="shared" si="3"/>
        <v>3836</v>
      </c>
      <c r="F36" s="81">
        <f t="shared" si="3"/>
        <v>4018</v>
      </c>
      <c r="G36" s="81">
        <f t="shared" si="3"/>
        <v>4085</v>
      </c>
      <c r="H36" s="81">
        <f t="shared" si="3"/>
        <v>3267</v>
      </c>
      <c r="I36" s="81">
        <f t="shared" si="3"/>
        <v>4068</v>
      </c>
      <c r="J36" s="81">
        <f t="shared" si="3"/>
        <v>5082</v>
      </c>
      <c r="K36" s="81">
        <f t="shared" si="3"/>
        <v>4500</v>
      </c>
      <c r="L36" s="81">
        <f>SUM(L26:L35)</f>
        <v>5847</v>
      </c>
      <c r="M36" s="81">
        <f>SUM(M26:M35)</f>
        <v>4106</v>
      </c>
      <c r="N36" s="81">
        <f>SUM(N26:N35)</f>
        <v>3411</v>
      </c>
      <c r="O36" s="81">
        <f t="shared" si="2"/>
        <v>50149</v>
      </c>
    </row>
    <row r="37" spans="2:15" ht="12" customHeight="1"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</row>
    <row r="38" spans="2:15" ht="15" customHeight="1" hidden="1">
      <c r="B38" s="68"/>
      <c r="C38" s="69">
        <v>41640</v>
      </c>
      <c r="D38" s="69">
        <v>41671</v>
      </c>
      <c r="E38" s="69">
        <v>41699</v>
      </c>
      <c r="F38" s="69">
        <v>41730</v>
      </c>
      <c r="G38" s="69">
        <v>41760</v>
      </c>
      <c r="H38" s="69">
        <v>41791</v>
      </c>
      <c r="I38" s="69">
        <v>41821</v>
      </c>
      <c r="J38" s="69">
        <v>41852</v>
      </c>
      <c r="K38" s="69">
        <v>41883</v>
      </c>
      <c r="L38" s="69">
        <v>41913</v>
      </c>
      <c r="M38" s="69">
        <v>41944</v>
      </c>
      <c r="N38" s="69">
        <v>41974</v>
      </c>
      <c r="O38" s="70" t="s">
        <v>82</v>
      </c>
    </row>
    <row r="39" spans="2:15" ht="15" customHeight="1" hidden="1">
      <c r="B39" s="71" t="s">
        <v>83</v>
      </c>
      <c r="C39" s="72">
        <v>90</v>
      </c>
      <c r="D39" s="72">
        <v>233</v>
      </c>
      <c r="E39" s="72">
        <v>211</v>
      </c>
      <c r="F39" s="72">
        <v>196</v>
      </c>
      <c r="G39" s="72">
        <v>173</v>
      </c>
      <c r="H39" s="72">
        <v>155</v>
      </c>
      <c r="I39" s="72">
        <v>162</v>
      </c>
      <c r="J39" s="72">
        <v>217</v>
      </c>
      <c r="K39" s="72">
        <v>226</v>
      </c>
      <c r="L39" s="72">
        <v>285</v>
      </c>
      <c r="M39" s="72">
        <v>201</v>
      </c>
      <c r="N39" s="72">
        <v>125</v>
      </c>
      <c r="O39" s="73">
        <f t="shared" si="4" ref="O39:O49">SUM(C39:N39)</f>
        <v>2274</v>
      </c>
    </row>
    <row r="40" spans="2:15" ht="15" customHeight="1" hidden="1">
      <c r="B40" s="68" t="s">
        <v>84</v>
      </c>
      <c r="C40" s="74">
        <v>21</v>
      </c>
      <c r="D40" s="74">
        <v>55</v>
      </c>
      <c r="E40" s="74">
        <v>42</v>
      </c>
      <c r="F40" s="74">
        <v>65</v>
      </c>
      <c r="G40" s="74">
        <v>51</v>
      </c>
      <c r="H40" s="74">
        <v>34</v>
      </c>
      <c r="I40" s="74">
        <v>41</v>
      </c>
      <c r="J40" s="74">
        <v>50</v>
      </c>
      <c r="K40" s="74">
        <v>74</v>
      </c>
      <c r="L40" s="74">
        <v>72</v>
      </c>
      <c r="M40" s="74">
        <v>38</v>
      </c>
      <c r="N40" s="74">
        <v>32</v>
      </c>
      <c r="O40" s="75">
        <f t="shared" si="4"/>
        <v>575</v>
      </c>
    </row>
    <row r="41" spans="2:15" ht="15" customHeight="1" hidden="1">
      <c r="B41" s="71" t="s">
        <v>85</v>
      </c>
      <c r="C41" s="72">
        <v>438</v>
      </c>
      <c r="D41" s="72">
        <v>680</v>
      </c>
      <c r="E41" s="72">
        <v>643</v>
      </c>
      <c r="F41" s="72">
        <v>626</v>
      </c>
      <c r="G41" s="72">
        <v>569</v>
      </c>
      <c r="H41" s="72">
        <v>548</v>
      </c>
      <c r="I41" s="72">
        <v>524</v>
      </c>
      <c r="J41" s="72">
        <v>713</v>
      </c>
      <c r="K41" s="72">
        <v>974</v>
      </c>
      <c r="L41" s="72">
        <v>1066</v>
      </c>
      <c r="M41" s="72">
        <v>393</v>
      </c>
      <c r="N41" s="72">
        <v>451</v>
      </c>
      <c r="O41" s="73">
        <f t="shared" si="4"/>
        <v>7625</v>
      </c>
    </row>
    <row r="42" spans="2:15" ht="15" customHeight="1" hidden="1">
      <c r="B42" s="68" t="s">
        <v>86</v>
      </c>
      <c r="C42" s="74">
        <v>38</v>
      </c>
      <c r="D42" s="74">
        <v>114</v>
      </c>
      <c r="E42" s="74">
        <v>93</v>
      </c>
      <c r="F42" s="74">
        <v>92</v>
      </c>
      <c r="G42" s="74">
        <v>86</v>
      </c>
      <c r="H42" s="74">
        <v>71</v>
      </c>
      <c r="I42" s="74">
        <v>64</v>
      </c>
      <c r="J42" s="74">
        <v>103</v>
      </c>
      <c r="K42" s="74">
        <v>110</v>
      </c>
      <c r="L42" s="74">
        <v>130</v>
      </c>
      <c r="M42" s="74">
        <v>55</v>
      </c>
      <c r="N42" s="74">
        <v>57</v>
      </c>
      <c r="O42" s="75">
        <f t="shared" si="4"/>
        <v>1013</v>
      </c>
    </row>
    <row r="43" spans="2:15" ht="15" customHeight="1" hidden="1">
      <c r="B43" s="71" t="s">
        <v>87</v>
      </c>
      <c r="C43" s="72">
        <v>20</v>
      </c>
      <c r="D43" s="72">
        <v>34</v>
      </c>
      <c r="E43" s="72">
        <v>38</v>
      </c>
      <c r="F43" s="72">
        <v>45</v>
      </c>
      <c r="G43" s="72">
        <v>33</v>
      </c>
      <c r="H43" s="72">
        <v>27</v>
      </c>
      <c r="I43" s="72">
        <v>36</v>
      </c>
      <c r="J43" s="72">
        <v>37</v>
      </c>
      <c r="K43" s="72">
        <v>35</v>
      </c>
      <c r="L43" s="72">
        <v>41</v>
      </c>
      <c r="M43" s="72">
        <v>46</v>
      </c>
      <c r="N43" s="72">
        <v>22</v>
      </c>
      <c r="O43" s="73">
        <f t="shared" si="4"/>
        <v>414</v>
      </c>
    </row>
    <row r="44" spans="2:15" ht="15" customHeight="1" hidden="1">
      <c r="B44" s="68" t="s">
        <v>88</v>
      </c>
      <c r="C44" s="74">
        <v>100</v>
      </c>
      <c r="D44" s="74">
        <v>89</v>
      </c>
      <c r="E44" s="74">
        <v>113</v>
      </c>
      <c r="F44" s="74">
        <v>122</v>
      </c>
      <c r="G44" s="74">
        <v>95</v>
      </c>
      <c r="H44" s="74">
        <v>84</v>
      </c>
      <c r="I44" s="74">
        <v>108</v>
      </c>
      <c r="J44" s="74">
        <v>106</v>
      </c>
      <c r="K44" s="74">
        <v>120</v>
      </c>
      <c r="L44" s="74">
        <v>132</v>
      </c>
      <c r="M44" s="74">
        <v>118</v>
      </c>
      <c r="N44" s="74">
        <v>67</v>
      </c>
      <c r="O44" s="75">
        <f t="shared" si="4"/>
        <v>1254</v>
      </c>
    </row>
    <row r="45" spans="2:15" ht="15" customHeight="1" hidden="1">
      <c r="B45" s="71" t="s">
        <v>89</v>
      </c>
      <c r="C45" s="72">
        <v>1024</v>
      </c>
      <c r="D45" s="72">
        <v>1159</v>
      </c>
      <c r="E45" s="72">
        <v>1258</v>
      </c>
      <c r="F45" s="72">
        <v>1144</v>
      </c>
      <c r="G45" s="72">
        <v>992</v>
      </c>
      <c r="H45" s="72">
        <v>938</v>
      </c>
      <c r="I45" s="72">
        <v>1097</v>
      </c>
      <c r="J45" s="72">
        <v>1253</v>
      </c>
      <c r="K45" s="72">
        <v>1302</v>
      </c>
      <c r="L45" s="72">
        <v>1497</v>
      </c>
      <c r="M45" s="72">
        <v>1262</v>
      </c>
      <c r="N45" s="72">
        <v>995</v>
      </c>
      <c r="O45" s="73">
        <f t="shared" si="4"/>
        <v>13921</v>
      </c>
    </row>
    <row r="46" spans="2:15" ht="15" customHeight="1" hidden="1">
      <c r="B46" s="68" t="s">
        <v>90</v>
      </c>
      <c r="C46" s="74">
        <v>3</v>
      </c>
      <c r="D46" s="74">
        <v>1</v>
      </c>
      <c r="E46" s="74">
        <v>27</v>
      </c>
      <c r="F46" s="74">
        <v>22</v>
      </c>
      <c r="G46" s="74">
        <v>9</v>
      </c>
      <c r="H46" s="74">
        <v>10</v>
      </c>
      <c r="I46" s="74">
        <v>14</v>
      </c>
      <c r="J46" s="74">
        <v>10</v>
      </c>
      <c r="K46" s="74">
        <v>16</v>
      </c>
      <c r="L46" s="74">
        <v>11</v>
      </c>
      <c r="M46" s="74">
        <v>1</v>
      </c>
      <c r="N46" s="74">
        <v>14</v>
      </c>
      <c r="O46" s="75">
        <f t="shared" si="4"/>
        <v>138</v>
      </c>
    </row>
    <row r="47" spans="2:15" ht="15" customHeight="1" hidden="1">
      <c r="B47" s="71" t="s">
        <v>91</v>
      </c>
      <c r="C47" s="72">
        <v>31</v>
      </c>
      <c r="D47" s="72">
        <v>203</v>
      </c>
      <c r="E47" s="72">
        <v>405</v>
      </c>
      <c r="F47" s="71">
        <v>452</v>
      </c>
      <c r="G47" s="72">
        <v>364</v>
      </c>
      <c r="H47" s="72">
        <v>314</v>
      </c>
      <c r="I47" s="72">
        <v>328</v>
      </c>
      <c r="J47" s="72">
        <v>333</v>
      </c>
      <c r="K47" s="72">
        <v>362</v>
      </c>
      <c r="L47" s="72">
        <v>439</v>
      </c>
      <c r="M47" s="72">
        <v>275</v>
      </c>
      <c r="N47" s="72">
        <v>241</v>
      </c>
      <c r="O47" s="73">
        <f t="shared" si="4"/>
        <v>3747</v>
      </c>
    </row>
    <row r="48" spans="2:15" ht="15" customHeight="1" hidden="1">
      <c r="B48" s="82" t="s">
        <v>92</v>
      </c>
      <c r="C48" s="83">
        <v>345</v>
      </c>
      <c r="D48" s="83">
        <v>1734</v>
      </c>
      <c r="E48" s="83">
        <v>1932</v>
      </c>
      <c r="F48" s="84">
        <v>2335</v>
      </c>
      <c r="G48" s="83">
        <v>1606</v>
      </c>
      <c r="H48" s="83">
        <v>1445</v>
      </c>
      <c r="I48" s="83">
        <v>1623</v>
      </c>
      <c r="J48" s="83">
        <v>1507</v>
      </c>
      <c r="K48" s="83">
        <v>2120</v>
      </c>
      <c r="L48" s="83">
        <v>2372</v>
      </c>
      <c r="M48" s="83">
        <v>1267</v>
      </c>
      <c r="N48" s="83">
        <v>1407</v>
      </c>
      <c r="O48" s="85">
        <f t="shared" si="4"/>
        <v>19693</v>
      </c>
    </row>
    <row r="49" spans="2:15" ht="15" customHeight="1" hidden="1">
      <c r="B49" s="80" t="s">
        <v>93</v>
      </c>
      <c r="C49" s="81">
        <f t="shared" si="5" ref="C49:K49">SUM(C39:C48)</f>
        <v>2110</v>
      </c>
      <c r="D49" s="81">
        <f t="shared" si="5"/>
        <v>4302</v>
      </c>
      <c r="E49" s="81">
        <f t="shared" si="5"/>
        <v>4762</v>
      </c>
      <c r="F49" s="81">
        <f t="shared" si="5"/>
        <v>5099</v>
      </c>
      <c r="G49" s="81">
        <f t="shared" si="5"/>
        <v>3978</v>
      </c>
      <c r="H49" s="81">
        <f t="shared" si="5"/>
        <v>3626</v>
      </c>
      <c r="I49" s="81">
        <f t="shared" si="5"/>
        <v>3997</v>
      </c>
      <c r="J49" s="81">
        <f t="shared" si="5"/>
        <v>4329</v>
      </c>
      <c r="K49" s="81">
        <f t="shared" si="5"/>
        <v>5339</v>
      </c>
      <c r="L49" s="81">
        <f>SUM(L39:L48)</f>
        <v>6045</v>
      </c>
      <c r="M49" s="81">
        <f>SUM(M39:M48)</f>
        <v>3656</v>
      </c>
      <c r="N49" s="81">
        <f>SUM(N39:N48)</f>
        <v>3411</v>
      </c>
      <c r="O49" s="81">
        <f t="shared" si="4"/>
        <v>50654</v>
      </c>
    </row>
    <row r="50" ht="12.75" hidden="1"/>
    <row r="51" spans="2:15" ht="15" customHeight="1" hidden="1">
      <c r="B51" s="68"/>
      <c r="C51" s="69">
        <v>42005</v>
      </c>
      <c r="D51" s="69">
        <v>42036</v>
      </c>
      <c r="E51" s="69">
        <v>42064</v>
      </c>
      <c r="F51" s="69">
        <v>42095</v>
      </c>
      <c r="G51" s="69">
        <v>42125</v>
      </c>
      <c r="H51" s="69">
        <v>42156</v>
      </c>
      <c r="I51" s="69">
        <v>42186</v>
      </c>
      <c r="J51" s="69">
        <v>42217</v>
      </c>
      <c r="K51" s="69">
        <v>42248</v>
      </c>
      <c r="L51" s="69">
        <v>42278</v>
      </c>
      <c r="M51" s="69">
        <v>42309</v>
      </c>
      <c r="N51" s="69">
        <v>42339</v>
      </c>
      <c r="O51" s="70" t="s">
        <v>82</v>
      </c>
    </row>
    <row r="52" spans="2:15" ht="15" customHeight="1" hidden="1">
      <c r="B52" s="71" t="s">
        <v>83</v>
      </c>
      <c r="C52" s="72">
        <v>186</v>
      </c>
      <c r="D52" s="72">
        <v>164</v>
      </c>
      <c r="E52" s="72">
        <v>195</v>
      </c>
      <c r="F52" s="72">
        <v>222</v>
      </c>
      <c r="G52" s="72">
        <v>163</v>
      </c>
      <c r="H52" s="72">
        <v>228</v>
      </c>
      <c r="I52" s="86">
        <v>75</v>
      </c>
      <c r="J52" s="72">
        <v>173</v>
      </c>
      <c r="K52" s="72">
        <v>243</v>
      </c>
      <c r="L52" s="72">
        <v>261</v>
      </c>
      <c r="M52" s="72">
        <v>187</v>
      </c>
      <c r="N52" s="72">
        <v>134</v>
      </c>
      <c r="O52" s="73">
        <f t="shared" si="6" ref="O52:O62">SUM(C52:N52)</f>
        <v>2231</v>
      </c>
    </row>
    <row r="53" spans="2:15" ht="15" customHeight="1" hidden="1">
      <c r="B53" s="68" t="s">
        <v>84</v>
      </c>
      <c r="C53" s="74">
        <v>57</v>
      </c>
      <c r="D53" s="74">
        <v>39</v>
      </c>
      <c r="E53" s="74">
        <v>51</v>
      </c>
      <c r="F53" s="74">
        <v>76</v>
      </c>
      <c r="G53" s="74">
        <v>53</v>
      </c>
      <c r="H53" s="74">
        <v>61</v>
      </c>
      <c r="I53" s="87">
        <v>16</v>
      </c>
      <c r="J53" s="74">
        <v>52</v>
      </c>
      <c r="K53" s="74">
        <v>91</v>
      </c>
      <c r="L53" s="74">
        <v>69</v>
      </c>
      <c r="M53" s="74">
        <v>57</v>
      </c>
      <c r="N53" s="74">
        <v>28</v>
      </c>
      <c r="O53" s="75">
        <f t="shared" si="6"/>
        <v>650</v>
      </c>
    </row>
    <row r="54" spans="2:15" ht="15" customHeight="1" hidden="1">
      <c r="B54" s="71" t="s">
        <v>85</v>
      </c>
      <c r="C54" s="72">
        <v>698</v>
      </c>
      <c r="D54" s="72">
        <v>395</v>
      </c>
      <c r="E54" s="72">
        <v>645</v>
      </c>
      <c r="F54" s="72">
        <v>789</v>
      </c>
      <c r="G54" s="72">
        <v>459</v>
      </c>
      <c r="H54" s="72">
        <v>723</v>
      </c>
      <c r="I54" s="86">
        <v>268</v>
      </c>
      <c r="J54" s="72">
        <v>700</v>
      </c>
      <c r="K54" s="72">
        <v>661</v>
      </c>
      <c r="L54" s="72">
        <v>750</v>
      </c>
      <c r="M54" s="72">
        <v>589</v>
      </c>
      <c r="N54" s="72">
        <v>518</v>
      </c>
      <c r="O54" s="73">
        <f t="shared" si="6"/>
        <v>7195</v>
      </c>
    </row>
    <row r="55" spans="2:15" ht="15" customHeight="1" hidden="1">
      <c r="B55" s="68" t="s">
        <v>86</v>
      </c>
      <c r="C55" s="74">
        <v>111</v>
      </c>
      <c r="D55" s="74">
        <v>53</v>
      </c>
      <c r="E55" s="74">
        <v>108</v>
      </c>
      <c r="F55" s="74">
        <v>95</v>
      </c>
      <c r="G55" s="74">
        <v>70</v>
      </c>
      <c r="H55" s="74">
        <v>99</v>
      </c>
      <c r="I55" s="87">
        <v>32</v>
      </c>
      <c r="J55" s="74">
        <v>92</v>
      </c>
      <c r="K55" s="74">
        <v>117</v>
      </c>
      <c r="L55" s="74">
        <v>115</v>
      </c>
      <c r="M55" s="74">
        <v>93</v>
      </c>
      <c r="N55" s="74">
        <v>68</v>
      </c>
      <c r="O55" s="75">
        <f t="shared" si="6"/>
        <v>1053</v>
      </c>
    </row>
    <row r="56" spans="2:15" ht="15" customHeight="1" hidden="1">
      <c r="B56" s="71" t="s">
        <v>87</v>
      </c>
      <c r="C56" s="72">
        <v>37</v>
      </c>
      <c r="D56" s="72">
        <v>26</v>
      </c>
      <c r="E56" s="72">
        <v>40</v>
      </c>
      <c r="F56" s="72">
        <v>36</v>
      </c>
      <c r="G56" s="72">
        <v>35</v>
      </c>
      <c r="H56" s="72">
        <v>35</v>
      </c>
      <c r="I56" s="86">
        <v>30</v>
      </c>
      <c r="J56" s="72">
        <v>29</v>
      </c>
      <c r="K56" s="72">
        <v>48</v>
      </c>
      <c r="L56" s="72">
        <v>44</v>
      </c>
      <c r="M56" s="72">
        <v>40</v>
      </c>
      <c r="N56" s="72">
        <v>25</v>
      </c>
      <c r="O56" s="73">
        <f t="shared" si="6"/>
        <v>425</v>
      </c>
    </row>
    <row r="57" spans="2:15" ht="15" customHeight="1" hidden="1">
      <c r="B57" s="68" t="s">
        <v>88</v>
      </c>
      <c r="C57" s="74">
        <v>106</v>
      </c>
      <c r="D57" s="74">
        <v>89</v>
      </c>
      <c r="E57" s="74">
        <v>137</v>
      </c>
      <c r="F57" s="74">
        <v>124</v>
      </c>
      <c r="G57" s="74">
        <v>82</v>
      </c>
      <c r="H57" s="74">
        <v>92</v>
      </c>
      <c r="I57" s="87">
        <v>62</v>
      </c>
      <c r="J57" s="74">
        <v>101</v>
      </c>
      <c r="K57" s="74">
        <v>133</v>
      </c>
      <c r="L57" s="74">
        <v>125</v>
      </c>
      <c r="M57" s="74">
        <v>93</v>
      </c>
      <c r="N57" s="74">
        <v>65</v>
      </c>
      <c r="O57" s="75">
        <f t="shared" si="6"/>
        <v>1209</v>
      </c>
    </row>
    <row r="58" spans="2:15" ht="15" customHeight="1" hidden="1">
      <c r="B58" s="71" t="s">
        <v>89</v>
      </c>
      <c r="C58" s="72">
        <v>965</v>
      </c>
      <c r="D58" s="72">
        <v>927</v>
      </c>
      <c r="E58" s="72">
        <v>1194</v>
      </c>
      <c r="F58" s="72">
        <v>1083</v>
      </c>
      <c r="G58" s="72">
        <v>889</v>
      </c>
      <c r="H58" s="72">
        <v>1060</v>
      </c>
      <c r="I58" s="86">
        <v>763</v>
      </c>
      <c r="J58" s="72">
        <v>1204</v>
      </c>
      <c r="K58" s="72">
        <v>1136</v>
      </c>
      <c r="L58" s="72">
        <v>1210</v>
      </c>
      <c r="M58" s="72">
        <v>989</v>
      </c>
      <c r="N58" s="72">
        <v>873</v>
      </c>
      <c r="O58" s="73">
        <f t="shared" si="6"/>
        <v>12293</v>
      </c>
    </row>
    <row r="59" spans="2:15" ht="15" customHeight="1" hidden="1">
      <c r="B59" s="68" t="s">
        <v>90</v>
      </c>
      <c r="C59" s="74">
        <v>10</v>
      </c>
      <c r="D59" s="74">
        <v>24</v>
      </c>
      <c r="E59" s="74">
        <v>13</v>
      </c>
      <c r="F59" s="74">
        <v>18</v>
      </c>
      <c r="G59" s="74">
        <v>15</v>
      </c>
      <c r="H59" s="74">
        <v>8</v>
      </c>
      <c r="I59" s="87">
        <v>1</v>
      </c>
      <c r="J59" s="74">
        <v>18</v>
      </c>
      <c r="K59" s="74">
        <v>19</v>
      </c>
      <c r="L59" s="74">
        <v>9</v>
      </c>
      <c r="M59" s="74">
        <v>6</v>
      </c>
      <c r="N59" s="74">
        <v>3</v>
      </c>
      <c r="O59" s="75">
        <f t="shared" si="6"/>
        <v>144</v>
      </c>
    </row>
    <row r="60" spans="2:15" ht="15" customHeight="1" hidden="1">
      <c r="B60" s="71" t="s">
        <v>91</v>
      </c>
      <c r="C60" s="72">
        <v>237</v>
      </c>
      <c r="D60" s="72">
        <v>251</v>
      </c>
      <c r="E60" s="72">
        <v>415</v>
      </c>
      <c r="F60" s="71">
        <v>395</v>
      </c>
      <c r="G60" s="72">
        <v>316</v>
      </c>
      <c r="H60" s="72">
        <v>319</v>
      </c>
      <c r="I60" s="86">
        <v>107</v>
      </c>
      <c r="J60" s="72">
        <v>388</v>
      </c>
      <c r="K60" s="72">
        <v>448</v>
      </c>
      <c r="L60" s="72">
        <v>391</v>
      </c>
      <c r="M60" s="72">
        <v>232</v>
      </c>
      <c r="N60" s="72">
        <v>296</v>
      </c>
      <c r="O60" s="73">
        <f t="shared" si="6"/>
        <v>3795</v>
      </c>
    </row>
    <row r="61" spans="2:15" ht="15" customHeight="1" hidden="1">
      <c r="B61" s="82" t="s">
        <v>92</v>
      </c>
      <c r="C61" s="83">
        <v>1344</v>
      </c>
      <c r="D61" s="83">
        <v>1235</v>
      </c>
      <c r="E61" s="83">
        <v>1932</v>
      </c>
      <c r="F61" s="84">
        <v>1974</v>
      </c>
      <c r="G61" s="83">
        <v>1550</v>
      </c>
      <c r="H61" s="83">
        <v>1366</v>
      </c>
      <c r="I61" s="83">
        <v>545</v>
      </c>
      <c r="J61" s="83">
        <v>1735</v>
      </c>
      <c r="K61" s="83">
        <v>2000</v>
      </c>
      <c r="L61" s="83">
        <v>2067</v>
      </c>
      <c r="M61" s="83">
        <v>1375</v>
      </c>
      <c r="N61" s="83">
        <v>931</v>
      </c>
      <c r="O61" s="85">
        <f t="shared" si="6"/>
        <v>18054</v>
      </c>
    </row>
    <row r="62" spans="2:15" ht="15" customHeight="1" hidden="1">
      <c r="B62" s="80" t="s">
        <v>93</v>
      </c>
      <c r="C62" s="81">
        <f t="shared" si="7" ref="C62:K62">SUM(C52:C61)</f>
        <v>3751</v>
      </c>
      <c r="D62" s="81">
        <f t="shared" si="7"/>
        <v>3203</v>
      </c>
      <c r="E62" s="81">
        <f t="shared" si="7"/>
        <v>4730</v>
      </c>
      <c r="F62" s="81">
        <f t="shared" si="7"/>
        <v>4812</v>
      </c>
      <c r="G62" s="81">
        <f t="shared" si="7"/>
        <v>3632</v>
      </c>
      <c r="H62" s="81">
        <f t="shared" si="7"/>
        <v>3991</v>
      </c>
      <c r="I62" s="81">
        <f t="shared" si="7"/>
        <v>1899</v>
      </c>
      <c r="J62" s="81">
        <f t="shared" si="7"/>
        <v>4492</v>
      </c>
      <c r="K62" s="81">
        <f t="shared" si="7"/>
        <v>4896</v>
      </c>
      <c r="L62" s="81">
        <f>SUM(L52:L61)</f>
        <v>5041</v>
      </c>
      <c r="M62" s="81">
        <f>SUM(M52:M61)</f>
        <v>3661</v>
      </c>
      <c r="N62" s="81">
        <f>SUM(N52:N61)</f>
        <v>2941</v>
      </c>
      <c r="O62" s="81">
        <f t="shared" si="6"/>
        <v>47049</v>
      </c>
    </row>
    <row r="63" spans="2:15" ht="15" customHeight="1" hidden="1">
      <c r="B63" s="80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2:15" ht="15" customHeight="1">
      <c r="B64" s="68"/>
      <c r="C64" s="69">
        <v>42370</v>
      </c>
      <c r="D64" s="69">
        <v>42401</v>
      </c>
      <c r="E64" s="69">
        <v>42430</v>
      </c>
      <c r="F64" s="69">
        <v>42461</v>
      </c>
      <c r="G64" s="69">
        <v>42491</v>
      </c>
      <c r="H64" s="69">
        <v>42522</v>
      </c>
      <c r="I64" s="69">
        <v>42552</v>
      </c>
      <c r="J64" s="69">
        <v>42583</v>
      </c>
      <c r="K64" s="69">
        <v>42614</v>
      </c>
      <c r="L64" s="69">
        <v>42644</v>
      </c>
      <c r="M64" s="69">
        <v>42675</v>
      </c>
      <c r="N64" s="69">
        <v>42705</v>
      </c>
      <c r="O64" s="70" t="s">
        <v>82</v>
      </c>
    </row>
    <row r="65" spans="2:15" ht="15" customHeight="1">
      <c r="B65" s="71" t="s">
        <v>83</v>
      </c>
      <c r="C65" s="72">
        <v>202</v>
      </c>
      <c r="D65" s="72">
        <v>137</v>
      </c>
      <c r="E65" s="72">
        <v>218</v>
      </c>
      <c r="F65" s="72">
        <v>196</v>
      </c>
      <c r="G65" s="72">
        <v>119</v>
      </c>
      <c r="H65" s="72">
        <v>167</v>
      </c>
      <c r="I65" s="86">
        <v>83</v>
      </c>
      <c r="J65" s="72">
        <v>159</v>
      </c>
      <c r="K65" s="72">
        <v>242</v>
      </c>
      <c r="L65" s="72">
        <v>229</v>
      </c>
      <c r="M65" s="72">
        <v>235</v>
      </c>
      <c r="N65" s="72">
        <v>111</v>
      </c>
      <c r="O65" s="73">
        <f t="shared" si="8" ref="O65:O75">SUM(C65:N65)</f>
        <v>2098</v>
      </c>
    </row>
    <row r="66" spans="2:15" ht="15" customHeight="1">
      <c r="B66" s="68" t="s">
        <v>84</v>
      </c>
      <c r="C66" s="74">
        <v>74</v>
      </c>
      <c r="D66" s="74">
        <v>63</v>
      </c>
      <c r="E66" s="74">
        <v>81</v>
      </c>
      <c r="F66" s="74">
        <v>66</v>
      </c>
      <c r="G66" s="74">
        <v>37</v>
      </c>
      <c r="H66" s="74">
        <v>63</v>
      </c>
      <c r="I66" s="87">
        <v>43</v>
      </c>
      <c r="J66" s="74">
        <v>76</v>
      </c>
      <c r="K66" s="74">
        <v>64</v>
      </c>
      <c r="L66" s="74">
        <v>69</v>
      </c>
      <c r="M66" s="74">
        <v>45</v>
      </c>
      <c r="N66" s="74">
        <v>25</v>
      </c>
      <c r="O66" s="75">
        <f t="shared" si="8"/>
        <v>706</v>
      </c>
    </row>
    <row r="67" spans="2:15" ht="15" customHeight="1">
      <c r="B67" s="71" t="s">
        <v>85</v>
      </c>
      <c r="C67" s="72">
        <v>489</v>
      </c>
      <c r="D67" s="72">
        <v>665</v>
      </c>
      <c r="E67" s="72">
        <v>787</v>
      </c>
      <c r="F67" s="72">
        <v>540</v>
      </c>
      <c r="G67" s="72">
        <v>521</v>
      </c>
      <c r="H67" s="72">
        <v>636</v>
      </c>
      <c r="I67" s="86">
        <v>478</v>
      </c>
      <c r="J67" s="72">
        <v>773</v>
      </c>
      <c r="K67" s="72">
        <v>792</v>
      </c>
      <c r="L67" s="72">
        <v>781</v>
      </c>
      <c r="M67" s="72">
        <v>634</v>
      </c>
      <c r="N67" s="72">
        <v>407</v>
      </c>
      <c r="O67" s="73">
        <f t="shared" si="8"/>
        <v>7503</v>
      </c>
    </row>
    <row r="68" spans="2:15" ht="15" customHeight="1">
      <c r="B68" s="68" t="s">
        <v>86</v>
      </c>
      <c r="C68" s="74">
        <v>85</v>
      </c>
      <c r="D68" s="74">
        <v>49</v>
      </c>
      <c r="E68" s="74">
        <v>101</v>
      </c>
      <c r="F68" s="74">
        <v>64</v>
      </c>
      <c r="G68" s="74">
        <v>53</v>
      </c>
      <c r="H68" s="74">
        <v>61</v>
      </c>
      <c r="I68" s="87">
        <v>45</v>
      </c>
      <c r="J68" s="74">
        <v>94</v>
      </c>
      <c r="K68" s="74">
        <v>103</v>
      </c>
      <c r="L68" s="74">
        <v>69</v>
      </c>
      <c r="M68" s="74">
        <v>98</v>
      </c>
      <c r="N68" s="74">
        <v>42</v>
      </c>
      <c r="O68" s="75">
        <f t="shared" si="8"/>
        <v>864</v>
      </c>
    </row>
    <row r="69" spans="2:15" ht="15" customHeight="1">
      <c r="B69" s="71" t="s">
        <v>87</v>
      </c>
      <c r="C69" s="72">
        <v>22</v>
      </c>
      <c r="D69" s="72">
        <v>27</v>
      </c>
      <c r="E69" s="72">
        <v>29</v>
      </c>
      <c r="F69" s="72">
        <v>36</v>
      </c>
      <c r="G69" s="72">
        <v>37</v>
      </c>
      <c r="H69" s="72">
        <v>24</v>
      </c>
      <c r="I69" s="86">
        <v>27</v>
      </c>
      <c r="J69" s="72">
        <v>43</v>
      </c>
      <c r="K69" s="72">
        <v>26</v>
      </c>
      <c r="L69" s="72">
        <v>22</v>
      </c>
      <c r="M69" s="72">
        <v>52</v>
      </c>
      <c r="N69" s="72">
        <v>23</v>
      </c>
      <c r="O69" s="73">
        <f t="shared" si="8"/>
        <v>368</v>
      </c>
    </row>
    <row r="70" spans="2:15" ht="15" customHeight="1">
      <c r="B70" s="68" t="s">
        <v>88</v>
      </c>
      <c r="C70" s="74">
        <v>99</v>
      </c>
      <c r="D70" s="74">
        <v>92</v>
      </c>
      <c r="E70" s="74">
        <v>154</v>
      </c>
      <c r="F70" s="74">
        <v>108</v>
      </c>
      <c r="G70" s="74">
        <v>89</v>
      </c>
      <c r="H70" s="74">
        <v>96</v>
      </c>
      <c r="I70" s="87">
        <v>58</v>
      </c>
      <c r="J70" s="74">
        <v>101</v>
      </c>
      <c r="K70" s="74">
        <v>86</v>
      </c>
      <c r="L70" s="74">
        <v>88</v>
      </c>
      <c r="M70" s="74">
        <v>95</v>
      </c>
      <c r="N70" s="74">
        <v>43</v>
      </c>
      <c r="O70" s="75">
        <f t="shared" si="8"/>
        <v>1109</v>
      </c>
    </row>
    <row r="71" spans="2:15" ht="15" customHeight="1">
      <c r="B71" s="71" t="s">
        <v>89</v>
      </c>
      <c r="C71" s="72">
        <v>1109</v>
      </c>
      <c r="D71" s="72">
        <v>1008</v>
      </c>
      <c r="E71" s="72">
        <v>1386</v>
      </c>
      <c r="F71" s="72">
        <v>881</v>
      </c>
      <c r="G71" s="72">
        <v>760</v>
      </c>
      <c r="H71" s="72">
        <v>913</v>
      </c>
      <c r="I71" s="86">
        <v>849</v>
      </c>
      <c r="J71" s="72">
        <v>999</v>
      </c>
      <c r="K71" s="72">
        <v>759</v>
      </c>
      <c r="L71" s="72">
        <v>922</v>
      </c>
      <c r="M71" s="72">
        <v>900</v>
      </c>
      <c r="N71" s="72">
        <v>588</v>
      </c>
      <c r="O71" s="73">
        <f t="shared" si="8"/>
        <v>11074</v>
      </c>
    </row>
    <row r="72" spans="2:15" ht="15" customHeight="1">
      <c r="B72" s="68" t="s">
        <v>90</v>
      </c>
      <c r="C72" s="74">
        <v>12</v>
      </c>
      <c r="D72" s="74">
        <v>5</v>
      </c>
      <c r="E72" s="74">
        <v>17</v>
      </c>
      <c r="F72" s="74">
        <v>12</v>
      </c>
      <c r="G72" s="74">
        <v>18</v>
      </c>
      <c r="H72" s="74">
        <v>18</v>
      </c>
      <c r="I72" s="87">
        <v>3</v>
      </c>
      <c r="J72" s="74">
        <v>21</v>
      </c>
      <c r="K72" s="74">
        <v>9</v>
      </c>
      <c r="L72" s="74">
        <v>15</v>
      </c>
      <c r="M72" s="74">
        <v>9</v>
      </c>
      <c r="N72" s="74">
        <v>3</v>
      </c>
      <c r="O72" s="75">
        <f t="shared" si="8"/>
        <v>142</v>
      </c>
    </row>
    <row r="73" spans="2:15" ht="15" customHeight="1">
      <c r="B73" s="71" t="s">
        <v>91</v>
      </c>
      <c r="C73" s="72">
        <v>248</v>
      </c>
      <c r="D73" s="72">
        <v>244</v>
      </c>
      <c r="E73" s="72">
        <v>398</v>
      </c>
      <c r="F73" s="71">
        <v>398</v>
      </c>
      <c r="G73" s="72">
        <v>414</v>
      </c>
      <c r="H73" s="72">
        <v>436</v>
      </c>
      <c r="I73" s="86">
        <v>295</v>
      </c>
      <c r="J73" s="72">
        <v>503</v>
      </c>
      <c r="K73" s="72">
        <v>456</v>
      </c>
      <c r="L73" s="72">
        <v>544</v>
      </c>
      <c r="M73" s="72">
        <v>427</v>
      </c>
      <c r="N73" s="72">
        <v>249</v>
      </c>
      <c r="O73" s="73">
        <f t="shared" si="8"/>
        <v>4612</v>
      </c>
    </row>
    <row r="74" spans="2:15" ht="15" customHeight="1">
      <c r="B74" s="82" t="s">
        <v>92</v>
      </c>
      <c r="C74" s="83">
        <v>1227</v>
      </c>
      <c r="D74" s="83">
        <v>847</v>
      </c>
      <c r="E74" s="83">
        <v>1480</v>
      </c>
      <c r="F74" s="83">
        <v>1605</v>
      </c>
      <c r="G74" s="83">
        <v>1661</v>
      </c>
      <c r="H74" s="83">
        <v>1730</v>
      </c>
      <c r="I74" s="83">
        <v>1808</v>
      </c>
      <c r="J74" s="83">
        <v>2455</v>
      </c>
      <c r="K74" s="83">
        <v>2096</v>
      </c>
      <c r="L74" s="83">
        <v>1664</v>
      </c>
      <c r="M74" s="83">
        <v>1669</v>
      </c>
      <c r="N74" s="83">
        <v>1188</v>
      </c>
      <c r="O74" s="83">
        <f t="shared" si="8"/>
        <v>19430</v>
      </c>
    </row>
    <row r="75" spans="2:15" ht="15" customHeight="1">
      <c r="B75" s="80" t="s">
        <v>93</v>
      </c>
      <c r="C75" s="81">
        <f t="shared" si="9" ref="C75:N75">SUM(C65:C74)</f>
        <v>3567</v>
      </c>
      <c r="D75" s="81">
        <f t="shared" si="9"/>
        <v>3137</v>
      </c>
      <c r="E75" s="81">
        <f t="shared" si="9"/>
        <v>4651</v>
      </c>
      <c r="F75" s="81">
        <f t="shared" si="9"/>
        <v>3906</v>
      </c>
      <c r="G75" s="81">
        <f t="shared" si="9"/>
        <v>3709</v>
      </c>
      <c r="H75" s="81">
        <f t="shared" si="9"/>
        <v>4144</v>
      </c>
      <c r="I75" s="81">
        <f t="shared" si="9"/>
        <v>3689</v>
      </c>
      <c r="J75" s="81">
        <f t="shared" si="9"/>
        <v>5224</v>
      </c>
      <c r="K75" s="81">
        <f t="shared" si="9"/>
        <v>4633</v>
      </c>
      <c r="L75" s="81">
        <f t="shared" si="9"/>
        <v>4403</v>
      </c>
      <c r="M75" s="81">
        <f t="shared" si="9"/>
        <v>4164</v>
      </c>
      <c r="N75" s="81">
        <f t="shared" si="9"/>
        <v>2679</v>
      </c>
      <c r="O75" s="81">
        <f t="shared" si="8"/>
        <v>47906</v>
      </c>
    </row>
    <row r="76" spans="2:15" ht="15" customHeight="1">
      <c r="B76" s="80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</row>
    <row r="77" spans="2:15" ht="15" customHeight="1">
      <c r="B77" s="68"/>
      <c r="C77" s="69">
        <v>42736</v>
      </c>
      <c r="D77" s="69">
        <v>42767</v>
      </c>
      <c r="E77" s="69">
        <v>42795</v>
      </c>
      <c r="F77" s="69">
        <v>42826</v>
      </c>
      <c r="G77" s="69">
        <v>42856</v>
      </c>
      <c r="H77" s="69">
        <v>42887</v>
      </c>
      <c r="I77" s="69">
        <v>42917</v>
      </c>
      <c r="J77" s="69">
        <v>42948</v>
      </c>
      <c r="K77" s="69">
        <v>42979</v>
      </c>
      <c r="L77" s="69">
        <v>43009</v>
      </c>
      <c r="M77" s="69">
        <v>43040</v>
      </c>
      <c r="N77" s="69">
        <v>43070</v>
      </c>
      <c r="O77" s="70" t="s">
        <v>82</v>
      </c>
    </row>
    <row r="78" spans="2:15" ht="15" customHeight="1">
      <c r="B78" s="71" t="s">
        <v>83</v>
      </c>
      <c r="C78" s="72">
        <v>202</v>
      </c>
      <c r="D78" s="72">
        <v>212</v>
      </c>
      <c r="E78" s="72">
        <v>168</v>
      </c>
      <c r="F78" s="72">
        <v>174</v>
      </c>
      <c r="G78" s="72">
        <v>178</v>
      </c>
      <c r="H78" s="72">
        <v>157</v>
      </c>
      <c r="I78" s="86">
        <v>149</v>
      </c>
      <c r="J78" s="72">
        <v>212</v>
      </c>
      <c r="K78" s="72">
        <v>230</v>
      </c>
      <c r="L78" s="86">
        <v>261</v>
      </c>
      <c r="M78" s="72">
        <v>122</v>
      </c>
      <c r="N78" s="72">
        <v>1</v>
      </c>
      <c r="O78" s="73">
        <f>SUM(C78:N78)</f>
        <v>2066</v>
      </c>
    </row>
    <row r="79" spans="2:15" ht="15" customHeight="1">
      <c r="B79" s="68" t="s">
        <v>84</v>
      </c>
      <c r="C79" s="74">
        <v>55</v>
      </c>
      <c r="D79" s="74">
        <v>64</v>
      </c>
      <c r="E79" s="74">
        <v>59</v>
      </c>
      <c r="F79" s="74">
        <v>45</v>
      </c>
      <c r="G79" s="74">
        <v>61</v>
      </c>
      <c r="H79" s="74">
        <v>41</v>
      </c>
      <c r="I79" s="87">
        <v>45</v>
      </c>
      <c r="J79" s="74">
        <v>79</v>
      </c>
      <c r="K79" s="74">
        <v>65</v>
      </c>
      <c r="L79" s="87">
        <v>99</v>
      </c>
      <c r="M79" s="74">
        <v>27</v>
      </c>
      <c r="N79" s="74">
        <v>0</v>
      </c>
      <c r="O79" s="75">
        <f t="shared" si="10" ref="O79:O86">SUM(C79:N79)</f>
        <v>640</v>
      </c>
    </row>
    <row r="80" spans="2:15" ht="15" customHeight="1">
      <c r="B80" s="71" t="s">
        <v>85</v>
      </c>
      <c r="C80" s="72">
        <v>669</v>
      </c>
      <c r="D80" s="72">
        <v>633</v>
      </c>
      <c r="E80" s="72">
        <v>636</v>
      </c>
      <c r="F80" s="72">
        <v>493</v>
      </c>
      <c r="G80" s="72">
        <v>596</v>
      </c>
      <c r="H80" s="72">
        <v>557</v>
      </c>
      <c r="I80" s="86">
        <v>598</v>
      </c>
      <c r="J80" s="72">
        <v>823</v>
      </c>
      <c r="K80" s="72">
        <v>737</v>
      </c>
      <c r="L80" s="86">
        <v>877</v>
      </c>
      <c r="M80" s="72">
        <v>422</v>
      </c>
      <c r="N80" s="72">
        <v>4</v>
      </c>
      <c r="O80" s="73">
        <f t="shared" si="10"/>
        <v>7045</v>
      </c>
    </row>
    <row r="81" spans="2:15" ht="15" customHeight="1">
      <c r="B81" s="68" t="s">
        <v>86</v>
      </c>
      <c r="C81" s="74">
        <v>77</v>
      </c>
      <c r="D81" s="74">
        <v>73</v>
      </c>
      <c r="E81" s="74">
        <v>76</v>
      </c>
      <c r="F81" s="74">
        <v>58</v>
      </c>
      <c r="G81" s="74">
        <v>86</v>
      </c>
      <c r="H81" s="74">
        <v>63</v>
      </c>
      <c r="I81" s="87">
        <v>57</v>
      </c>
      <c r="J81" s="74">
        <v>89</v>
      </c>
      <c r="K81" s="74">
        <v>106</v>
      </c>
      <c r="L81" s="87">
        <v>100</v>
      </c>
      <c r="M81" s="74">
        <v>60</v>
      </c>
      <c r="N81" s="74">
        <v>0</v>
      </c>
      <c r="O81" s="75">
        <f t="shared" si="10"/>
        <v>845</v>
      </c>
    </row>
    <row r="82" spans="2:15" ht="15" customHeight="1">
      <c r="B82" s="71" t="s">
        <v>87</v>
      </c>
      <c r="C82" s="72">
        <v>36</v>
      </c>
      <c r="D82" s="72">
        <v>46</v>
      </c>
      <c r="E82" s="72">
        <v>37</v>
      </c>
      <c r="F82" s="72">
        <v>27</v>
      </c>
      <c r="G82" s="72">
        <v>37</v>
      </c>
      <c r="H82" s="72">
        <v>21</v>
      </c>
      <c r="I82" s="86">
        <v>30</v>
      </c>
      <c r="J82" s="72">
        <v>65</v>
      </c>
      <c r="K82" s="72">
        <v>37</v>
      </c>
      <c r="L82" s="86">
        <v>55</v>
      </c>
      <c r="M82" s="72">
        <v>43</v>
      </c>
      <c r="N82" s="72">
        <v>0</v>
      </c>
      <c r="O82" s="73">
        <f t="shared" si="10"/>
        <v>434</v>
      </c>
    </row>
    <row r="83" spans="2:15" ht="15" customHeight="1">
      <c r="B83" s="68" t="s">
        <v>88</v>
      </c>
      <c r="C83" s="74">
        <v>123</v>
      </c>
      <c r="D83" s="74">
        <v>118</v>
      </c>
      <c r="E83" s="74">
        <v>97</v>
      </c>
      <c r="F83" s="74">
        <v>90</v>
      </c>
      <c r="G83" s="74">
        <v>117</v>
      </c>
      <c r="H83" s="74">
        <v>77</v>
      </c>
      <c r="I83" s="87">
        <v>110</v>
      </c>
      <c r="J83" s="74">
        <v>140</v>
      </c>
      <c r="K83" s="74">
        <v>140</v>
      </c>
      <c r="L83" s="87">
        <v>149</v>
      </c>
      <c r="M83" s="74">
        <v>48</v>
      </c>
      <c r="N83" s="74">
        <v>1</v>
      </c>
      <c r="O83" s="75">
        <f t="shared" si="10"/>
        <v>1210</v>
      </c>
    </row>
    <row r="84" spans="2:15" ht="15" customHeight="1">
      <c r="B84" s="71" t="s">
        <v>89</v>
      </c>
      <c r="C84" s="72">
        <v>1069</v>
      </c>
      <c r="D84" s="72">
        <v>1030</v>
      </c>
      <c r="E84" s="72">
        <v>941</v>
      </c>
      <c r="F84" s="72">
        <v>932</v>
      </c>
      <c r="G84" s="72">
        <v>996</v>
      </c>
      <c r="H84" s="72">
        <v>952</v>
      </c>
      <c r="I84" s="86">
        <v>800</v>
      </c>
      <c r="J84" s="72">
        <v>1190</v>
      </c>
      <c r="K84" s="72">
        <v>924</v>
      </c>
      <c r="L84" s="86">
        <v>1044</v>
      </c>
      <c r="M84" s="72">
        <v>442</v>
      </c>
      <c r="N84" s="72">
        <v>1</v>
      </c>
      <c r="O84" s="73">
        <f t="shared" si="10"/>
        <v>10321</v>
      </c>
    </row>
    <row r="85" spans="2:15" ht="15" customHeight="1">
      <c r="B85" s="68" t="s">
        <v>90</v>
      </c>
      <c r="C85" s="74">
        <v>10</v>
      </c>
      <c r="D85" s="74">
        <v>13</v>
      </c>
      <c r="E85" s="74">
        <v>11</v>
      </c>
      <c r="F85" s="74">
        <v>6</v>
      </c>
      <c r="G85" s="74">
        <v>18</v>
      </c>
      <c r="H85" s="74">
        <v>9</v>
      </c>
      <c r="I85" s="87">
        <v>14</v>
      </c>
      <c r="J85" s="74">
        <v>15</v>
      </c>
      <c r="K85" s="74">
        <v>17</v>
      </c>
      <c r="L85" s="87">
        <v>19</v>
      </c>
      <c r="M85" s="74">
        <v>2</v>
      </c>
      <c r="N85" s="74">
        <v>0</v>
      </c>
      <c r="O85" s="75">
        <f t="shared" si="10"/>
        <v>134</v>
      </c>
    </row>
    <row r="86" spans="2:15" ht="15" customHeight="1">
      <c r="B86" s="71" t="s">
        <v>91</v>
      </c>
      <c r="C86" s="72">
        <v>445</v>
      </c>
      <c r="D86" s="72">
        <v>446</v>
      </c>
      <c r="E86" s="72">
        <v>401</v>
      </c>
      <c r="F86" s="71">
        <v>373</v>
      </c>
      <c r="G86" s="72">
        <v>405</v>
      </c>
      <c r="H86" s="72">
        <v>366</v>
      </c>
      <c r="I86" s="86">
        <v>323</v>
      </c>
      <c r="J86" s="72">
        <v>462</v>
      </c>
      <c r="K86" s="72">
        <v>440</v>
      </c>
      <c r="L86" s="86">
        <v>493</v>
      </c>
      <c r="M86" s="72">
        <v>140</v>
      </c>
      <c r="N86" s="72">
        <v>0</v>
      </c>
      <c r="O86" s="73">
        <f t="shared" si="10"/>
        <v>4294</v>
      </c>
    </row>
    <row r="87" spans="2:15" ht="15" customHeight="1">
      <c r="B87" s="82" t="s">
        <v>92</v>
      </c>
      <c r="C87" s="83">
        <v>2076</v>
      </c>
      <c r="D87" s="83">
        <v>2140</v>
      </c>
      <c r="E87" s="83">
        <v>2247</v>
      </c>
      <c r="F87" s="83">
        <v>1792</v>
      </c>
      <c r="G87" s="83">
        <v>1989</v>
      </c>
      <c r="H87" s="83">
        <v>1895</v>
      </c>
      <c r="I87" s="83">
        <v>1644</v>
      </c>
      <c r="J87" s="83">
        <v>2641</v>
      </c>
      <c r="K87" s="83">
        <v>2375</v>
      </c>
      <c r="L87" s="83">
        <v>2655</v>
      </c>
      <c r="M87" s="83">
        <v>985</v>
      </c>
      <c r="N87" s="83">
        <v>1</v>
      </c>
      <c r="O87" s="83">
        <f>SUM(C87:N87)</f>
        <v>22440</v>
      </c>
    </row>
    <row r="88" spans="2:15" ht="15" customHeight="1">
      <c r="B88" s="80" t="s">
        <v>93</v>
      </c>
      <c r="C88" s="81">
        <f t="shared" si="11" ref="C88:N88">SUM(C78:C87)</f>
        <v>4762</v>
      </c>
      <c r="D88" s="81">
        <f t="shared" si="11"/>
        <v>4775</v>
      </c>
      <c r="E88" s="81">
        <f t="shared" si="11"/>
        <v>4673</v>
      </c>
      <c r="F88" s="81">
        <f t="shared" si="11"/>
        <v>3990</v>
      </c>
      <c r="G88" s="81">
        <f t="shared" si="11"/>
        <v>4483</v>
      </c>
      <c r="H88" s="81">
        <f t="shared" si="11"/>
        <v>4138</v>
      </c>
      <c r="I88" s="81">
        <f t="shared" si="11"/>
        <v>3770</v>
      </c>
      <c r="J88" s="81">
        <f t="shared" si="11"/>
        <v>5716</v>
      </c>
      <c r="K88" s="81">
        <f t="shared" si="11"/>
        <v>5071</v>
      </c>
      <c r="L88" s="81">
        <f t="shared" si="11"/>
        <v>5752</v>
      </c>
      <c r="M88" s="81">
        <f t="shared" si="11"/>
        <v>2291</v>
      </c>
      <c r="N88" s="81">
        <f t="shared" si="11"/>
        <v>8</v>
      </c>
      <c r="O88" s="81">
        <f>SUM(C88:N88)</f>
        <v>49429</v>
      </c>
    </row>
    <row r="89" spans="2:15" ht="15" customHeight="1">
      <c r="B89" s="80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</row>
    <row r="90" spans="2:15" ht="15" customHeight="1">
      <c r="B90" s="80"/>
      <c r="C90" s="69">
        <v>43101</v>
      </c>
      <c r="D90" s="69">
        <v>43132</v>
      </c>
      <c r="E90" s="69">
        <v>43160</v>
      </c>
      <c r="F90" s="69">
        <v>43191</v>
      </c>
      <c r="G90" s="69">
        <v>43221</v>
      </c>
      <c r="H90" s="69">
        <v>43252</v>
      </c>
      <c r="I90" s="69">
        <v>43282</v>
      </c>
      <c r="J90" s="69">
        <v>43313</v>
      </c>
      <c r="K90" s="69">
        <v>43344</v>
      </c>
      <c r="L90" s="69">
        <v>43374</v>
      </c>
      <c r="M90" s="69">
        <v>43405</v>
      </c>
      <c r="N90" s="69">
        <v>43435</v>
      </c>
      <c r="O90" s="70" t="s">
        <v>82</v>
      </c>
    </row>
    <row r="91" spans="2:15" ht="15" customHeight="1">
      <c r="B91" s="71" t="s">
        <v>83</v>
      </c>
      <c r="C91" s="72">
        <v>118</v>
      </c>
      <c r="D91" s="72">
        <v>155</v>
      </c>
      <c r="E91" s="72">
        <v>217</v>
      </c>
      <c r="F91" s="72">
        <v>156</v>
      </c>
      <c r="G91" s="72">
        <v>146</v>
      </c>
      <c r="H91" s="72">
        <v>141</v>
      </c>
      <c r="I91" s="86">
        <v>209</v>
      </c>
      <c r="J91" s="72">
        <v>223</v>
      </c>
      <c r="K91" s="72">
        <v>221</v>
      </c>
      <c r="L91" s="86">
        <v>111</v>
      </c>
      <c r="M91" s="72">
        <v>179</v>
      </c>
      <c r="N91" s="72">
        <v>239</v>
      </c>
      <c r="O91" s="73">
        <f>SUM(C91:N91)</f>
        <v>2115</v>
      </c>
    </row>
    <row r="92" spans="2:15" ht="15" customHeight="1">
      <c r="B92" s="68" t="s">
        <v>84</v>
      </c>
      <c r="C92" s="74">
        <v>50</v>
      </c>
      <c r="D92" s="74">
        <v>41</v>
      </c>
      <c r="E92" s="74">
        <v>37</v>
      </c>
      <c r="F92" s="74">
        <v>31</v>
      </c>
      <c r="G92" s="74">
        <v>14</v>
      </c>
      <c r="H92" s="74">
        <v>25</v>
      </c>
      <c r="I92" s="87">
        <v>61</v>
      </c>
      <c r="J92" s="74">
        <v>56</v>
      </c>
      <c r="K92" s="74">
        <v>62</v>
      </c>
      <c r="L92" s="87">
        <v>24</v>
      </c>
      <c r="M92" s="74">
        <v>43</v>
      </c>
      <c r="N92" s="74">
        <v>48</v>
      </c>
      <c r="O92" s="81">
        <f t="shared" si="12" ref="O92:O101">SUM(C92:N92)</f>
        <v>492</v>
      </c>
    </row>
    <row r="93" spans="2:15" ht="15" customHeight="1">
      <c r="B93" s="71" t="s">
        <v>85</v>
      </c>
      <c r="C93" s="72">
        <v>295</v>
      </c>
      <c r="D93" s="72">
        <v>360</v>
      </c>
      <c r="E93" s="72">
        <v>399</v>
      </c>
      <c r="F93" s="72">
        <v>371</v>
      </c>
      <c r="G93" s="72">
        <v>272</v>
      </c>
      <c r="H93" s="72">
        <v>235</v>
      </c>
      <c r="I93" s="86">
        <v>443</v>
      </c>
      <c r="J93" s="72">
        <v>461</v>
      </c>
      <c r="K93" s="72">
        <v>432</v>
      </c>
      <c r="L93" s="86">
        <v>342</v>
      </c>
      <c r="M93" s="72">
        <v>556</v>
      </c>
      <c r="N93" s="72">
        <v>515</v>
      </c>
      <c r="O93" s="73">
        <f t="shared" si="12"/>
        <v>4681</v>
      </c>
    </row>
    <row r="94" spans="2:15" ht="15" customHeight="1">
      <c r="B94" s="68" t="s">
        <v>86</v>
      </c>
      <c r="C94" s="74">
        <v>32</v>
      </c>
      <c r="D94" s="74">
        <v>27</v>
      </c>
      <c r="E94" s="74">
        <v>13</v>
      </c>
      <c r="F94" s="74">
        <v>49</v>
      </c>
      <c r="G94" s="74">
        <v>47</v>
      </c>
      <c r="H94" s="74">
        <v>38</v>
      </c>
      <c r="I94" s="87">
        <v>63</v>
      </c>
      <c r="J94" s="74">
        <v>74</v>
      </c>
      <c r="K94" s="74">
        <v>96</v>
      </c>
      <c r="L94" s="87">
        <v>33</v>
      </c>
      <c r="M94" s="74">
        <v>87</v>
      </c>
      <c r="N94" s="74">
        <v>103</v>
      </c>
      <c r="O94" s="81">
        <f t="shared" si="12"/>
        <v>662</v>
      </c>
    </row>
    <row r="95" spans="2:15" ht="15" customHeight="1">
      <c r="B95" s="71" t="s">
        <v>87</v>
      </c>
      <c r="C95" s="72">
        <v>33</v>
      </c>
      <c r="D95" s="72">
        <v>35</v>
      </c>
      <c r="E95" s="72">
        <v>44</v>
      </c>
      <c r="F95" s="72">
        <v>30</v>
      </c>
      <c r="G95" s="72">
        <v>30</v>
      </c>
      <c r="H95" s="72">
        <v>25</v>
      </c>
      <c r="I95" s="86">
        <v>20</v>
      </c>
      <c r="J95" s="72">
        <v>37</v>
      </c>
      <c r="K95" s="72">
        <v>46</v>
      </c>
      <c r="L95" s="86">
        <v>40</v>
      </c>
      <c r="M95" s="72">
        <v>0</v>
      </c>
      <c r="N95" s="72">
        <v>0</v>
      </c>
      <c r="O95" s="73">
        <f t="shared" si="12"/>
        <v>340</v>
      </c>
    </row>
    <row r="96" spans="2:15" ht="15" customHeight="1">
      <c r="B96" s="68" t="s">
        <v>88</v>
      </c>
      <c r="C96" s="74">
        <v>92</v>
      </c>
      <c r="D96" s="74">
        <v>143</v>
      </c>
      <c r="E96" s="74">
        <v>97</v>
      </c>
      <c r="F96" s="74">
        <v>98</v>
      </c>
      <c r="G96" s="74">
        <v>75</v>
      </c>
      <c r="H96" s="74">
        <v>70</v>
      </c>
      <c r="I96" s="87">
        <v>107</v>
      </c>
      <c r="J96" s="74">
        <v>134</v>
      </c>
      <c r="K96" s="74">
        <v>117</v>
      </c>
      <c r="L96" s="87">
        <v>10</v>
      </c>
      <c r="M96" s="74">
        <v>0</v>
      </c>
      <c r="N96" s="74">
        <v>0</v>
      </c>
      <c r="O96" s="81">
        <f t="shared" si="12"/>
        <v>943</v>
      </c>
    </row>
    <row r="97" spans="2:15" ht="15" customHeight="1">
      <c r="B97" s="71" t="s">
        <v>89</v>
      </c>
      <c r="C97" s="72">
        <v>298</v>
      </c>
      <c r="D97" s="72">
        <v>495</v>
      </c>
      <c r="E97" s="72">
        <v>463</v>
      </c>
      <c r="F97" s="72">
        <v>516</v>
      </c>
      <c r="G97" s="72">
        <v>464</v>
      </c>
      <c r="H97" s="72">
        <v>556</v>
      </c>
      <c r="I97" s="86">
        <v>590</v>
      </c>
      <c r="J97" s="72">
        <v>725</v>
      </c>
      <c r="K97" s="72">
        <v>727</v>
      </c>
      <c r="L97" s="86">
        <v>248</v>
      </c>
      <c r="M97" s="72">
        <v>0</v>
      </c>
      <c r="N97" s="72">
        <v>0</v>
      </c>
      <c r="O97" s="73">
        <f t="shared" si="12"/>
        <v>5082</v>
      </c>
    </row>
    <row r="98" spans="2:15" ht="15" customHeight="1">
      <c r="B98" s="68" t="s">
        <v>90</v>
      </c>
      <c r="C98" s="74">
        <v>10</v>
      </c>
      <c r="D98" s="74">
        <v>22</v>
      </c>
      <c r="E98" s="74">
        <v>15</v>
      </c>
      <c r="F98" s="74">
        <v>16</v>
      </c>
      <c r="G98" s="74">
        <v>9</v>
      </c>
      <c r="H98" s="74">
        <v>8</v>
      </c>
      <c r="I98" s="87">
        <v>17</v>
      </c>
      <c r="J98" s="74">
        <v>22</v>
      </c>
      <c r="K98" s="74">
        <v>25</v>
      </c>
      <c r="L98" s="87">
        <v>12</v>
      </c>
      <c r="M98" s="74">
        <v>13</v>
      </c>
      <c r="N98" s="74">
        <v>23</v>
      </c>
      <c r="O98" s="81">
        <f t="shared" si="12"/>
        <v>192</v>
      </c>
    </row>
    <row r="99" spans="2:15" ht="15" customHeight="1">
      <c r="B99" s="71" t="s">
        <v>91</v>
      </c>
      <c r="C99" s="72">
        <v>249</v>
      </c>
      <c r="D99" s="72">
        <v>369</v>
      </c>
      <c r="E99" s="72">
        <v>389</v>
      </c>
      <c r="F99" s="71">
        <v>314</v>
      </c>
      <c r="G99" s="72">
        <v>292</v>
      </c>
      <c r="H99" s="72">
        <v>189</v>
      </c>
      <c r="I99" s="86">
        <v>343</v>
      </c>
      <c r="J99" s="72">
        <v>446</v>
      </c>
      <c r="K99" s="72">
        <v>333</v>
      </c>
      <c r="L99" s="86">
        <v>220</v>
      </c>
      <c r="M99" s="72">
        <v>405</v>
      </c>
      <c r="N99" s="72">
        <v>366</v>
      </c>
      <c r="O99" s="73">
        <f t="shared" si="12"/>
        <v>3915</v>
      </c>
    </row>
    <row r="100" spans="2:15" ht="15" customHeight="1">
      <c r="B100" s="82" t="s">
        <v>92</v>
      </c>
      <c r="C100" s="83">
        <v>1186</v>
      </c>
      <c r="D100" s="83">
        <v>1930</v>
      </c>
      <c r="E100" s="83">
        <v>1930</v>
      </c>
      <c r="F100" s="83">
        <v>1934</v>
      </c>
      <c r="G100" s="83">
        <v>1559</v>
      </c>
      <c r="H100" s="83">
        <v>1198</v>
      </c>
      <c r="I100" s="83">
        <v>1629</v>
      </c>
      <c r="J100" s="83">
        <v>2036</v>
      </c>
      <c r="K100" s="83">
        <v>1585</v>
      </c>
      <c r="L100" s="83">
        <v>1025</v>
      </c>
      <c r="M100" s="83">
        <v>1819</v>
      </c>
      <c r="N100" s="83">
        <v>1868</v>
      </c>
      <c r="O100" s="88">
        <f t="shared" si="12"/>
        <v>19699</v>
      </c>
    </row>
    <row r="101" spans="2:15" ht="15" customHeight="1">
      <c r="B101" s="80" t="s">
        <v>93</v>
      </c>
      <c r="C101" s="81">
        <f t="shared" si="13" ref="C101:N101">SUM(C91:C100)</f>
        <v>2363</v>
      </c>
      <c r="D101" s="81">
        <f t="shared" si="13"/>
        <v>3577</v>
      </c>
      <c r="E101" s="81">
        <f t="shared" si="13"/>
        <v>3604</v>
      </c>
      <c r="F101" s="81">
        <f t="shared" si="13"/>
        <v>3515</v>
      </c>
      <c r="G101" s="81">
        <f t="shared" si="13"/>
        <v>2908</v>
      </c>
      <c r="H101" s="81">
        <f t="shared" si="13"/>
        <v>2485</v>
      </c>
      <c r="I101" s="81">
        <f t="shared" si="13"/>
        <v>3482</v>
      </c>
      <c r="J101" s="81">
        <f t="shared" si="13"/>
        <v>4214</v>
      </c>
      <c r="K101" s="81">
        <f t="shared" si="13"/>
        <v>3644</v>
      </c>
      <c r="L101" s="81">
        <f t="shared" si="13"/>
        <v>2065</v>
      </c>
      <c r="M101" s="81">
        <f t="shared" si="13"/>
        <v>3102</v>
      </c>
      <c r="N101" s="81">
        <f t="shared" si="13"/>
        <v>3162</v>
      </c>
      <c r="O101" s="81">
        <f t="shared" si="12"/>
        <v>38121</v>
      </c>
    </row>
    <row r="103" spans="2:15" ht="15" customHeight="1">
      <c r="B103" s="80"/>
      <c r="C103" s="69">
        <v>43466</v>
      </c>
      <c r="D103" s="69">
        <v>43497</v>
      </c>
      <c r="E103" s="69">
        <v>43525</v>
      </c>
      <c r="F103" s="69">
        <v>43556</v>
      </c>
      <c r="G103" s="69">
        <v>43586</v>
      </c>
      <c r="H103" s="69">
        <v>43617</v>
      </c>
      <c r="I103" s="69">
        <v>43647</v>
      </c>
      <c r="J103" s="69">
        <v>43678</v>
      </c>
      <c r="K103" s="69">
        <v>43709</v>
      </c>
      <c r="L103" s="69">
        <v>43739</v>
      </c>
      <c r="M103" s="69">
        <v>43770</v>
      </c>
      <c r="N103" s="69">
        <v>43800</v>
      </c>
      <c r="O103" s="70" t="s">
        <v>82</v>
      </c>
    </row>
    <row r="104" spans="2:15" ht="15" customHeight="1">
      <c r="B104" s="71" t="s">
        <v>83</v>
      </c>
      <c r="C104" s="72">
        <v>267</v>
      </c>
      <c r="D104" s="72"/>
      <c r="E104" s="72"/>
      <c r="F104" s="72"/>
      <c r="G104" s="72"/>
      <c r="H104" s="72"/>
      <c r="I104" s="86"/>
      <c r="J104" s="72"/>
      <c r="K104" s="72"/>
      <c r="L104" s="86"/>
      <c r="M104" s="72"/>
      <c r="N104" s="72"/>
      <c r="O104" s="73">
        <f>SUM(C104:N104)</f>
        <v>267</v>
      </c>
    </row>
    <row r="105" spans="2:15" ht="15" customHeight="1">
      <c r="B105" s="68" t="s">
        <v>84</v>
      </c>
      <c r="C105" s="74">
        <v>79</v>
      </c>
      <c r="D105" s="74"/>
      <c r="E105" s="74"/>
      <c r="F105" s="74"/>
      <c r="G105" s="74"/>
      <c r="H105" s="74"/>
      <c r="I105" s="87"/>
      <c r="J105" s="74"/>
      <c r="K105" s="74"/>
      <c r="L105" s="87"/>
      <c r="M105" s="74"/>
      <c r="N105" s="74"/>
      <c r="O105" s="81">
        <f t="shared" si="14" ref="O105:O114">SUM(C105:N105)</f>
        <v>79</v>
      </c>
    </row>
    <row r="106" spans="2:15" ht="15" customHeight="1">
      <c r="B106" s="71" t="s">
        <v>85</v>
      </c>
      <c r="C106" s="72">
        <v>527</v>
      </c>
      <c r="D106" s="72"/>
      <c r="E106" s="72"/>
      <c r="F106" s="72"/>
      <c r="G106" s="72"/>
      <c r="H106" s="72"/>
      <c r="I106" s="86"/>
      <c r="J106" s="72"/>
      <c r="K106" s="72"/>
      <c r="L106" s="86"/>
      <c r="M106" s="72"/>
      <c r="N106" s="72"/>
      <c r="O106" s="73">
        <f t="shared" si="14"/>
        <v>527</v>
      </c>
    </row>
    <row r="107" spans="2:15" ht="15" customHeight="1">
      <c r="B107" s="68" t="s">
        <v>86</v>
      </c>
      <c r="C107" s="74">
        <v>90</v>
      </c>
      <c r="D107" s="74"/>
      <c r="E107" s="74"/>
      <c r="F107" s="74"/>
      <c r="G107" s="74"/>
      <c r="H107" s="74"/>
      <c r="I107" s="87"/>
      <c r="J107" s="74"/>
      <c r="K107" s="74"/>
      <c r="L107" s="87"/>
      <c r="M107" s="74"/>
      <c r="N107" s="74"/>
      <c r="O107" s="81">
        <f t="shared" si="14"/>
        <v>90</v>
      </c>
    </row>
    <row r="108" spans="2:15" ht="15" customHeight="1">
      <c r="B108" s="71" t="s">
        <v>87</v>
      </c>
      <c r="C108" s="72">
        <v>44</v>
      </c>
      <c r="D108" s="72"/>
      <c r="E108" s="72"/>
      <c r="F108" s="72"/>
      <c r="G108" s="72"/>
      <c r="H108" s="72"/>
      <c r="I108" s="86"/>
      <c r="J108" s="72"/>
      <c r="K108" s="72"/>
      <c r="L108" s="86"/>
      <c r="M108" s="72"/>
      <c r="N108" s="72"/>
      <c r="O108" s="73">
        <f t="shared" si="14"/>
        <v>44</v>
      </c>
    </row>
    <row r="109" spans="2:15" ht="15" customHeight="1">
      <c r="B109" s="68" t="s">
        <v>88</v>
      </c>
      <c r="C109" s="74">
        <v>169</v>
      </c>
      <c r="D109" s="74"/>
      <c r="E109" s="74"/>
      <c r="F109" s="74"/>
      <c r="G109" s="74"/>
      <c r="H109" s="74"/>
      <c r="I109" s="87"/>
      <c r="J109" s="74"/>
      <c r="K109" s="74"/>
      <c r="L109" s="87"/>
      <c r="M109" s="74"/>
      <c r="N109" s="74"/>
      <c r="O109" s="81">
        <f t="shared" si="14"/>
        <v>169</v>
      </c>
    </row>
    <row r="110" spans="2:15" ht="15" customHeight="1">
      <c r="B110" s="71" t="s">
        <v>89</v>
      </c>
      <c r="C110" s="72">
        <v>554</v>
      </c>
      <c r="D110" s="72"/>
      <c r="E110" s="72"/>
      <c r="F110" s="72"/>
      <c r="G110" s="72"/>
      <c r="H110" s="72"/>
      <c r="I110" s="86"/>
      <c r="J110" s="72"/>
      <c r="K110" s="72"/>
      <c r="L110" s="86"/>
      <c r="M110" s="72"/>
      <c r="N110" s="72"/>
      <c r="O110" s="73">
        <f t="shared" si="14"/>
        <v>554</v>
      </c>
    </row>
    <row r="111" spans="2:15" ht="15" customHeight="1">
      <c r="B111" s="68" t="s">
        <v>90</v>
      </c>
      <c r="C111" s="74">
        <v>13</v>
      </c>
      <c r="D111" s="74"/>
      <c r="E111" s="74"/>
      <c r="F111" s="74"/>
      <c r="G111" s="74"/>
      <c r="H111" s="74"/>
      <c r="I111" s="87"/>
      <c r="J111" s="74"/>
      <c r="K111" s="74"/>
      <c r="L111" s="87"/>
      <c r="M111" s="74"/>
      <c r="N111" s="74"/>
      <c r="O111" s="81">
        <f t="shared" si="14"/>
        <v>13</v>
      </c>
    </row>
    <row r="112" spans="2:15" ht="15" customHeight="1">
      <c r="B112" s="71" t="s">
        <v>91</v>
      </c>
      <c r="C112" s="72">
        <v>304</v>
      </c>
      <c r="D112" s="72"/>
      <c r="E112" s="72"/>
      <c r="F112" s="71"/>
      <c r="G112" s="72"/>
      <c r="H112" s="72"/>
      <c r="I112" s="86"/>
      <c r="J112" s="72"/>
      <c r="K112" s="72"/>
      <c r="L112" s="86"/>
      <c r="M112" s="72"/>
      <c r="N112" s="72"/>
      <c r="O112" s="73">
        <f t="shared" si="14"/>
        <v>304</v>
      </c>
    </row>
    <row r="113" spans="2:15" ht="15" customHeight="1">
      <c r="B113" s="82" t="s">
        <v>92</v>
      </c>
      <c r="C113" s="83">
        <v>1706</v>
      </c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8">
        <f t="shared" si="14"/>
        <v>1706</v>
      </c>
    </row>
    <row r="114" spans="2:15" ht="15" customHeight="1">
      <c r="B114" s="80" t="s">
        <v>93</v>
      </c>
      <c r="C114" s="81">
        <f t="shared" si="15" ref="C114:N114">SUM(C104:C113)</f>
        <v>3753</v>
      </c>
      <c r="D114" s="81">
        <f t="shared" si="15"/>
        <v>0</v>
      </c>
      <c r="E114" s="81">
        <f t="shared" si="15"/>
        <v>0</v>
      </c>
      <c r="F114" s="81">
        <f t="shared" si="15"/>
        <v>0</v>
      </c>
      <c r="G114" s="81">
        <f t="shared" si="15"/>
        <v>0</v>
      </c>
      <c r="H114" s="81">
        <f t="shared" si="15"/>
        <v>0</v>
      </c>
      <c r="I114" s="81">
        <f t="shared" si="15"/>
        <v>0</v>
      </c>
      <c r="J114" s="81">
        <f t="shared" si="15"/>
        <v>0</v>
      </c>
      <c r="K114" s="81">
        <f t="shared" si="15"/>
        <v>0</v>
      </c>
      <c r="L114" s="81">
        <f t="shared" si="15"/>
        <v>0</v>
      </c>
      <c r="M114" s="81">
        <f t="shared" si="15"/>
        <v>0</v>
      </c>
      <c r="N114" s="81">
        <f t="shared" si="15"/>
        <v>0</v>
      </c>
      <c r="O114" s="81">
        <f t="shared" si="14"/>
        <v>3753</v>
      </c>
    </row>
    <row r="116" spans="2:15" ht="20.25">
      <c r="B116" s="64" t="s">
        <v>94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90"/>
    </row>
    <row r="117" spans="2:15" ht="18">
      <c r="B117" s="67" t="s">
        <v>260</v>
      </c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N117" s="89"/>
      <c r="O117" s="90"/>
    </row>
    <row r="118" spans="2:15" s="94" customFormat="1" ht="12" customHeight="1" hidden="1">
      <c r="B118" s="91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3"/>
    </row>
    <row r="119" spans="2:15" ht="15" customHeight="1" hidden="1">
      <c r="B119" s="68"/>
      <c r="C119" s="69">
        <v>40909</v>
      </c>
      <c r="D119" s="69">
        <v>40940</v>
      </c>
      <c r="E119" s="69">
        <v>40969</v>
      </c>
      <c r="F119" s="69">
        <v>41000</v>
      </c>
      <c r="G119" s="69">
        <v>41030</v>
      </c>
      <c r="H119" s="69">
        <v>41061</v>
      </c>
      <c r="I119" s="69">
        <v>41091</v>
      </c>
      <c r="J119" s="69">
        <v>41122</v>
      </c>
      <c r="K119" s="69">
        <v>41153</v>
      </c>
      <c r="L119" s="69">
        <v>41183</v>
      </c>
      <c r="M119" s="69">
        <v>41214</v>
      </c>
      <c r="N119" s="69">
        <v>41244</v>
      </c>
      <c r="O119" s="70" t="s">
        <v>82</v>
      </c>
    </row>
    <row r="120" spans="2:15" ht="15" customHeight="1" hidden="1">
      <c r="B120" s="71" t="s">
        <v>83</v>
      </c>
      <c r="C120" s="72">
        <v>100</v>
      </c>
      <c r="D120" s="72">
        <v>128</v>
      </c>
      <c r="E120" s="72">
        <v>86</v>
      </c>
      <c r="F120" s="72">
        <v>93</v>
      </c>
      <c r="G120" s="72">
        <v>157</v>
      </c>
      <c r="H120" s="72">
        <v>103</v>
      </c>
      <c r="I120" s="72">
        <v>72</v>
      </c>
      <c r="J120" s="72">
        <v>117</v>
      </c>
      <c r="K120" s="72">
        <v>138</v>
      </c>
      <c r="L120" s="72">
        <v>166</v>
      </c>
      <c r="M120" s="72">
        <v>99</v>
      </c>
      <c r="N120" s="72">
        <v>112</v>
      </c>
      <c r="O120" s="73">
        <f t="shared" si="16" ref="O120:O130">SUM(C120:N120)</f>
        <v>1371</v>
      </c>
    </row>
    <row r="121" spans="2:15" ht="15" customHeight="1" hidden="1">
      <c r="B121" s="68" t="s">
        <v>84</v>
      </c>
      <c r="C121" s="74">
        <v>24</v>
      </c>
      <c r="D121" s="74">
        <v>33</v>
      </c>
      <c r="E121" s="74">
        <v>30</v>
      </c>
      <c r="F121" s="74">
        <v>23</v>
      </c>
      <c r="G121" s="74">
        <v>27</v>
      </c>
      <c r="H121" s="74">
        <v>24</v>
      </c>
      <c r="I121" s="74">
        <v>22</v>
      </c>
      <c r="J121" s="74">
        <v>18</v>
      </c>
      <c r="K121" s="74">
        <v>27</v>
      </c>
      <c r="L121" s="74">
        <v>29</v>
      </c>
      <c r="M121" s="74">
        <v>12</v>
      </c>
      <c r="N121" s="74">
        <v>18</v>
      </c>
      <c r="O121" s="75">
        <f t="shared" si="16"/>
        <v>287</v>
      </c>
    </row>
    <row r="122" spans="2:15" ht="15" customHeight="1" hidden="1">
      <c r="B122" s="71" t="s">
        <v>85</v>
      </c>
      <c r="C122" s="72">
        <v>409</v>
      </c>
      <c r="D122" s="72">
        <v>386</v>
      </c>
      <c r="E122" s="72">
        <v>378</v>
      </c>
      <c r="F122" s="72">
        <v>351</v>
      </c>
      <c r="G122" s="72">
        <v>425</v>
      </c>
      <c r="H122" s="72">
        <v>378</v>
      </c>
      <c r="I122" s="72">
        <v>446</v>
      </c>
      <c r="J122" s="72">
        <v>375</v>
      </c>
      <c r="K122" s="72">
        <v>483</v>
      </c>
      <c r="L122" s="72">
        <v>602</v>
      </c>
      <c r="M122" s="72">
        <v>367</v>
      </c>
      <c r="N122" s="72">
        <v>455</v>
      </c>
      <c r="O122" s="73">
        <f t="shared" si="16"/>
        <v>5055</v>
      </c>
    </row>
    <row r="123" spans="2:15" ht="15" customHeight="1" hidden="1">
      <c r="B123" s="68" t="s">
        <v>86</v>
      </c>
      <c r="C123" s="74">
        <v>40</v>
      </c>
      <c r="D123" s="74">
        <v>34</v>
      </c>
      <c r="E123" s="74">
        <v>31</v>
      </c>
      <c r="F123" s="74">
        <v>33</v>
      </c>
      <c r="G123" s="74">
        <v>48</v>
      </c>
      <c r="H123" s="74">
        <v>40</v>
      </c>
      <c r="I123" s="74">
        <v>41</v>
      </c>
      <c r="J123" s="74">
        <v>29</v>
      </c>
      <c r="K123" s="74">
        <v>44</v>
      </c>
      <c r="L123" s="74">
        <v>49</v>
      </c>
      <c r="M123" s="74">
        <v>53</v>
      </c>
      <c r="N123" s="74">
        <v>33</v>
      </c>
      <c r="O123" s="75">
        <f t="shared" si="16"/>
        <v>475</v>
      </c>
    </row>
    <row r="124" spans="2:15" ht="15" customHeight="1" hidden="1">
      <c r="B124" s="71" t="s">
        <v>87</v>
      </c>
      <c r="C124" s="72">
        <v>2</v>
      </c>
      <c r="D124" s="72">
        <v>14</v>
      </c>
      <c r="E124" s="72">
        <v>8</v>
      </c>
      <c r="F124" s="72">
        <v>5</v>
      </c>
      <c r="G124" s="72">
        <v>7</v>
      </c>
      <c r="H124" s="72">
        <v>3</v>
      </c>
      <c r="I124" s="72">
        <v>5</v>
      </c>
      <c r="J124" s="72">
        <v>9</v>
      </c>
      <c r="K124" s="72">
        <v>10</v>
      </c>
      <c r="L124" s="72">
        <v>11</v>
      </c>
      <c r="M124" s="72">
        <v>14</v>
      </c>
      <c r="N124" s="72">
        <v>5</v>
      </c>
      <c r="O124" s="73">
        <f t="shared" si="16"/>
        <v>93</v>
      </c>
    </row>
    <row r="125" spans="2:15" ht="15" customHeight="1" hidden="1">
      <c r="B125" s="68" t="s">
        <v>88</v>
      </c>
      <c r="C125" s="74">
        <v>18</v>
      </c>
      <c r="D125" s="74">
        <v>10</v>
      </c>
      <c r="E125" s="74">
        <v>40</v>
      </c>
      <c r="F125" s="74">
        <v>18</v>
      </c>
      <c r="G125" s="74">
        <v>19</v>
      </c>
      <c r="H125" s="74">
        <v>9</v>
      </c>
      <c r="I125" s="74">
        <v>11</v>
      </c>
      <c r="J125" s="74">
        <v>30</v>
      </c>
      <c r="K125" s="74">
        <v>56</v>
      </c>
      <c r="L125" s="74">
        <v>46</v>
      </c>
      <c r="M125" s="74">
        <v>25</v>
      </c>
      <c r="N125" s="74">
        <v>14</v>
      </c>
      <c r="O125" s="75">
        <f t="shared" si="16"/>
        <v>296</v>
      </c>
    </row>
    <row r="126" spans="2:15" ht="15" customHeight="1" hidden="1">
      <c r="B126" s="71" t="s">
        <v>89</v>
      </c>
      <c r="C126" s="72">
        <v>248</v>
      </c>
      <c r="D126" s="72">
        <v>320</v>
      </c>
      <c r="E126" s="72">
        <v>459</v>
      </c>
      <c r="F126" s="72">
        <v>258</v>
      </c>
      <c r="G126" s="72">
        <v>310</v>
      </c>
      <c r="H126" s="72">
        <v>384</v>
      </c>
      <c r="I126" s="72">
        <v>255</v>
      </c>
      <c r="J126" s="72">
        <v>345</v>
      </c>
      <c r="K126" s="72">
        <v>497</v>
      </c>
      <c r="L126" s="72">
        <v>584</v>
      </c>
      <c r="M126" s="72">
        <v>470</v>
      </c>
      <c r="N126" s="72">
        <v>284</v>
      </c>
      <c r="O126" s="73">
        <f t="shared" si="16"/>
        <v>4414</v>
      </c>
    </row>
    <row r="127" spans="2:15" ht="15" customHeight="1" hidden="1">
      <c r="B127" s="68" t="s">
        <v>90</v>
      </c>
      <c r="C127" s="74">
        <v>21</v>
      </c>
      <c r="D127" s="74">
        <v>16</v>
      </c>
      <c r="E127" s="74">
        <v>14</v>
      </c>
      <c r="F127" s="74">
        <v>14</v>
      </c>
      <c r="G127" s="74">
        <v>10</v>
      </c>
      <c r="H127" s="74">
        <v>9</v>
      </c>
      <c r="I127" s="74">
        <v>16</v>
      </c>
      <c r="J127" s="74">
        <v>1</v>
      </c>
      <c r="K127" s="74">
        <v>17</v>
      </c>
      <c r="L127" s="74">
        <v>8</v>
      </c>
      <c r="M127" s="74">
        <v>12</v>
      </c>
      <c r="N127" s="74">
        <v>0</v>
      </c>
      <c r="O127" s="75">
        <f t="shared" si="16"/>
        <v>138</v>
      </c>
    </row>
    <row r="128" spans="2:15" ht="15" customHeight="1" hidden="1">
      <c r="B128" s="71" t="s">
        <v>91</v>
      </c>
      <c r="C128" s="72">
        <v>277</v>
      </c>
      <c r="D128" s="72">
        <v>282</v>
      </c>
      <c r="E128" s="72">
        <v>309</v>
      </c>
      <c r="F128" s="71">
        <v>302</v>
      </c>
      <c r="G128" s="72">
        <v>265</v>
      </c>
      <c r="H128" s="72">
        <v>226</v>
      </c>
      <c r="I128" s="72">
        <v>205</v>
      </c>
      <c r="J128" s="72">
        <v>255</v>
      </c>
      <c r="K128" s="72">
        <v>312</v>
      </c>
      <c r="L128" s="72">
        <v>321</v>
      </c>
      <c r="M128" s="72">
        <v>198</v>
      </c>
      <c r="N128" s="72">
        <v>197</v>
      </c>
      <c r="O128" s="73">
        <f t="shared" si="16"/>
        <v>3149</v>
      </c>
    </row>
    <row r="129" spans="2:15" s="95" customFormat="1" ht="12.75" hidden="1">
      <c r="B129" s="76" t="s">
        <v>92</v>
      </c>
      <c r="C129" s="77">
        <v>1413</v>
      </c>
      <c r="D129" s="77">
        <v>1794</v>
      </c>
      <c r="E129" s="77">
        <v>1615</v>
      </c>
      <c r="F129" s="78">
        <v>1272</v>
      </c>
      <c r="G129" s="77">
        <v>1335</v>
      </c>
      <c r="H129" s="77">
        <v>1138</v>
      </c>
      <c r="I129" s="77">
        <v>1142</v>
      </c>
      <c r="J129" s="77">
        <v>1226</v>
      </c>
      <c r="K129" s="77">
        <v>1419</v>
      </c>
      <c r="L129" s="77">
        <v>1692</v>
      </c>
      <c r="M129" s="77">
        <v>1424</v>
      </c>
      <c r="N129" s="77">
        <v>1389</v>
      </c>
      <c r="O129" s="79">
        <f t="shared" si="16"/>
        <v>16859</v>
      </c>
    </row>
    <row r="130" spans="2:15" ht="12.75" hidden="1">
      <c r="B130" s="80" t="s">
        <v>93</v>
      </c>
      <c r="C130" s="81">
        <f t="shared" si="17" ref="C130:I130">SUM(C120:C129)</f>
        <v>2552</v>
      </c>
      <c r="D130" s="81">
        <f t="shared" si="17"/>
        <v>3017</v>
      </c>
      <c r="E130" s="81">
        <f t="shared" si="17"/>
        <v>2970</v>
      </c>
      <c r="F130" s="81">
        <f t="shared" si="17"/>
        <v>2369</v>
      </c>
      <c r="G130" s="81">
        <f t="shared" si="17"/>
        <v>2603</v>
      </c>
      <c r="H130" s="81">
        <f t="shared" si="17"/>
        <v>2314</v>
      </c>
      <c r="I130" s="81">
        <f t="shared" si="17"/>
        <v>2215</v>
      </c>
      <c r="J130" s="81">
        <f>SUM(J120:J129)</f>
        <v>2405</v>
      </c>
      <c r="K130" s="81">
        <f>SUM(K120:K129)</f>
        <v>3003</v>
      </c>
      <c r="L130" s="81">
        <f>SUM(L120:L129)</f>
        <v>3508</v>
      </c>
      <c r="M130" s="81">
        <f>SUM(M120:M129)</f>
        <v>2674</v>
      </c>
      <c r="N130" s="81">
        <f>SUM(N120:N129)</f>
        <v>2507</v>
      </c>
      <c r="O130" s="81">
        <f t="shared" si="16"/>
        <v>32137</v>
      </c>
    </row>
    <row r="131" spans="2:15" ht="12.75" hidden="1">
      <c r="B131" s="80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</row>
    <row r="132" spans="2:15" ht="15" customHeight="1">
      <c r="B132" s="68"/>
      <c r="C132" s="69">
        <v>41275</v>
      </c>
      <c r="D132" s="69">
        <v>41306</v>
      </c>
      <c r="E132" s="69">
        <v>41334</v>
      </c>
      <c r="F132" s="69">
        <v>41365</v>
      </c>
      <c r="G132" s="69">
        <v>41395</v>
      </c>
      <c r="H132" s="69">
        <v>41426</v>
      </c>
      <c r="I132" s="69">
        <v>41456</v>
      </c>
      <c r="J132" s="69">
        <v>41487</v>
      </c>
      <c r="K132" s="69">
        <v>41518</v>
      </c>
      <c r="L132" s="69">
        <v>41548</v>
      </c>
      <c r="M132" s="69">
        <v>41579</v>
      </c>
      <c r="N132" s="69">
        <v>41609</v>
      </c>
      <c r="O132" s="70" t="s">
        <v>82</v>
      </c>
    </row>
    <row r="133" spans="2:15" ht="15" customHeight="1">
      <c r="B133" s="71" t="s">
        <v>83</v>
      </c>
      <c r="C133" s="72">
        <v>119</v>
      </c>
      <c r="D133" s="72">
        <v>117</v>
      </c>
      <c r="E133" s="72">
        <v>107</v>
      </c>
      <c r="F133" s="72">
        <v>128</v>
      </c>
      <c r="G133" s="72">
        <v>140</v>
      </c>
      <c r="H133" s="72">
        <v>70</v>
      </c>
      <c r="I133" s="72">
        <v>121</v>
      </c>
      <c r="J133" s="72">
        <v>162</v>
      </c>
      <c r="K133" s="72">
        <v>173</v>
      </c>
      <c r="L133" s="72">
        <v>155</v>
      </c>
      <c r="M133" s="72">
        <v>109</v>
      </c>
      <c r="N133" s="72">
        <v>63</v>
      </c>
      <c r="O133" s="73">
        <f t="shared" si="18" ref="O133:O143">SUM(C133:N133)</f>
        <v>1464</v>
      </c>
    </row>
    <row r="134" spans="2:15" ht="15" customHeight="1">
      <c r="B134" s="68" t="s">
        <v>84</v>
      </c>
      <c r="C134" s="74">
        <v>21</v>
      </c>
      <c r="D134" s="74">
        <v>30</v>
      </c>
      <c r="E134" s="74">
        <v>25</v>
      </c>
      <c r="F134" s="74">
        <v>32</v>
      </c>
      <c r="G134" s="74">
        <v>38</v>
      </c>
      <c r="H134" s="74">
        <v>14</v>
      </c>
      <c r="I134" s="74">
        <v>16</v>
      </c>
      <c r="J134" s="74">
        <v>19</v>
      </c>
      <c r="K134" s="74">
        <v>26</v>
      </c>
      <c r="L134" s="74">
        <v>32</v>
      </c>
      <c r="M134" s="74">
        <v>18</v>
      </c>
      <c r="N134" s="74">
        <v>25</v>
      </c>
      <c r="O134" s="75">
        <f t="shared" si="18"/>
        <v>296</v>
      </c>
    </row>
    <row r="135" spans="2:15" ht="15" customHeight="1">
      <c r="B135" s="71" t="s">
        <v>85</v>
      </c>
      <c r="C135" s="72">
        <v>408</v>
      </c>
      <c r="D135" s="72">
        <v>479</v>
      </c>
      <c r="E135" s="72">
        <v>327</v>
      </c>
      <c r="F135" s="72">
        <v>431</v>
      </c>
      <c r="G135" s="72">
        <v>354</v>
      </c>
      <c r="H135" s="72">
        <v>120</v>
      </c>
      <c r="I135" s="72">
        <v>371</v>
      </c>
      <c r="J135" s="72">
        <v>538</v>
      </c>
      <c r="K135" s="72">
        <v>406</v>
      </c>
      <c r="L135" s="72">
        <v>549</v>
      </c>
      <c r="M135" s="72">
        <v>442</v>
      </c>
      <c r="N135" s="72">
        <v>190</v>
      </c>
      <c r="O135" s="73">
        <f t="shared" si="18"/>
        <v>4615</v>
      </c>
    </row>
    <row r="136" spans="2:15" ht="15" customHeight="1">
      <c r="B136" s="68" t="s">
        <v>86</v>
      </c>
      <c r="C136" s="74">
        <v>50</v>
      </c>
      <c r="D136" s="74">
        <v>43</v>
      </c>
      <c r="E136" s="74">
        <v>30</v>
      </c>
      <c r="F136" s="74">
        <v>51</v>
      </c>
      <c r="G136" s="74">
        <v>42</v>
      </c>
      <c r="H136" s="74">
        <v>36</v>
      </c>
      <c r="I136" s="74">
        <v>42</v>
      </c>
      <c r="J136" s="74">
        <v>52</v>
      </c>
      <c r="K136" s="74">
        <v>49</v>
      </c>
      <c r="L136" s="74">
        <v>58</v>
      </c>
      <c r="M136" s="74">
        <v>59</v>
      </c>
      <c r="N136" s="74">
        <v>28</v>
      </c>
      <c r="O136" s="75">
        <f t="shared" si="18"/>
        <v>540</v>
      </c>
    </row>
    <row r="137" spans="2:15" ht="15" customHeight="1">
      <c r="B137" s="71" t="s">
        <v>87</v>
      </c>
      <c r="C137" s="72">
        <v>6</v>
      </c>
      <c r="D137" s="72">
        <v>17</v>
      </c>
      <c r="E137" s="72">
        <v>20</v>
      </c>
      <c r="F137" s="72">
        <v>16</v>
      </c>
      <c r="G137" s="72">
        <v>11</v>
      </c>
      <c r="H137" s="72">
        <v>10</v>
      </c>
      <c r="I137" s="72">
        <v>10</v>
      </c>
      <c r="J137" s="72">
        <v>29</v>
      </c>
      <c r="K137" s="72">
        <v>9</v>
      </c>
      <c r="L137" s="72">
        <v>12</v>
      </c>
      <c r="M137" s="72">
        <v>11</v>
      </c>
      <c r="N137" s="72">
        <v>13</v>
      </c>
      <c r="O137" s="73">
        <f t="shared" si="18"/>
        <v>164</v>
      </c>
    </row>
    <row r="138" spans="2:15" ht="15" customHeight="1">
      <c r="B138" s="68" t="s">
        <v>88</v>
      </c>
      <c r="C138" s="74">
        <v>35</v>
      </c>
      <c r="D138" s="74">
        <v>48</v>
      </c>
      <c r="E138" s="74">
        <v>37</v>
      </c>
      <c r="F138" s="74">
        <v>59</v>
      </c>
      <c r="G138" s="74">
        <v>47</v>
      </c>
      <c r="H138" s="74">
        <v>44</v>
      </c>
      <c r="I138" s="74">
        <v>39</v>
      </c>
      <c r="J138" s="74">
        <v>66</v>
      </c>
      <c r="K138" s="74">
        <v>46</v>
      </c>
      <c r="L138" s="74">
        <v>58</v>
      </c>
      <c r="M138" s="74">
        <v>28</v>
      </c>
      <c r="N138" s="74">
        <v>24</v>
      </c>
      <c r="O138" s="75">
        <f t="shared" si="18"/>
        <v>531</v>
      </c>
    </row>
    <row r="139" spans="2:15" ht="15" customHeight="1">
      <c r="B139" s="71" t="s">
        <v>89</v>
      </c>
      <c r="C139" s="72">
        <v>566</v>
      </c>
      <c r="D139" s="72">
        <v>673</v>
      </c>
      <c r="E139" s="72">
        <v>758</v>
      </c>
      <c r="F139" s="72">
        <v>642</v>
      </c>
      <c r="G139" s="72">
        <v>775</v>
      </c>
      <c r="H139" s="72">
        <v>605</v>
      </c>
      <c r="I139" s="72">
        <v>657</v>
      </c>
      <c r="J139" s="72">
        <v>820</v>
      </c>
      <c r="K139" s="72">
        <v>757</v>
      </c>
      <c r="L139" s="72">
        <v>1042</v>
      </c>
      <c r="M139" s="72">
        <v>619</v>
      </c>
      <c r="N139" s="72">
        <v>496</v>
      </c>
      <c r="O139" s="73">
        <f t="shared" si="18"/>
        <v>8410</v>
      </c>
    </row>
    <row r="140" spans="2:15" ht="15" customHeight="1">
      <c r="B140" s="68" t="s">
        <v>90</v>
      </c>
      <c r="C140" s="74">
        <v>10</v>
      </c>
      <c r="D140" s="74">
        <v>7</v>
      </c>
      <c r="E140" s="74">
        <v>8</v>
      </c>
      <c r="F140" s="74">
        <v>12</v>
      </c>
      <c r="G140" s="74">
        <v>6</v>
      </c>
      <c r="H140" s="74">
        <v>10</v>
      </c>
      <c r="I140" s="74">
        <v>19</v>
      </c>
      <c r="J140" s="74">
        <v>7</v>
      </c>
      <c r="K140" s="74">
        <v>9</v>
      </c>
      <c r="L140" s="74">
        <v>10</v>
      </c>
      <c r="M140" s="74">
        <v>6</v>
      </c>
      <c r="N140" s="74">
        <v>1</v>
      </c>
      <c r="O140" s="75">
        <f t="shared" si="18"/>
        <v>105</v>
      </c>
    </row>
    <row r="141" spans="2:15" ht="15" customHeight="1">
      <c r="B141" s="71" t="s">
        <v>91</v>
      </c>
      <c r="C141" s="72">
        <v>194</v>
      </c>
      <c r="D141" s="72">
        <v>215</v>
      </c>
      <c r="E141" s="72">
        <v>215</v>
      </c>
      <c r="F141" s="71">
        <v>208</v>
      </c>
      <c r="G141" s="72">
        <v>194</v>
      </c>
      <c r="H141" s="72">
        <v>107</v>
      </c>
      <c r="I141" s="72">
        <v>143</v>
      </c>
      <c r="J141" s="72">
        <v>145</v>
      </c>
      <c r="K141" s="72">
        <v>142</v>
      </c>
      <c r="L141" s="72">
        <v>181</v>
      </c>
      <c r="M141" s="72">
        <v>112</v>
      </c>
      <c r="N141" s="72">
        <v>93</v>
      </c>
      <c r="O141" s="73">
        <f t="shared" si="18"/>
        <v>1949</v>
      </c>
    </row>
    <row r="142" spans="2:15" ht="15" customHeight="1">
      <c r="B142" s="76" t="s">
        <v>92</v>
      </c>
      <c r="C142" s="77">
        <v>1264</v>
      </c>
      <c r="D142" s="77">
        <v>996</v>
      </c>
      <c r="E142" s="77">
        <v>1187</v>
      </c>
      <c r="F142" s="78">
        <v>1198</v>
      </c>
      <c r="G142" s="77">
        <v>1182</v>
      </c>
      <c r="H142" s="77">
        <v>850</v>
      </c>
      <c r="I142" s="77">
        <v>1149</v>
      </c>
      <c r="J142" s="77">
        <v>1675</v>
      </c>
      <c r="K142" s="77">
        <v>1363</v>
      </c>
      <c r="L142" s="77">
        <v>1754</v>
      </c>
      <c r="M142" s="77">
        <v>1223</v>
      </c>
      <c r="N142" s="77">
        <v>983</v>
      </c>
      <c r="O142" s="79">
        <f t="shared" si="18"/>
        <v>14824</v>
      </c>
    </row>
    <row r="143" spans="2:15" ht="15" customHeight="1">
      <c r="B143" s="80" t="s">
        <v>93</v>
      </c>
      <c r="C143" s="81">
        <f t="shared" si="19" ref="C143:K143">SUM(C133:C142)</f>
        <v>2673</v>
      </c>
      <c r="D143" s="81">
        <f t="shared" si="19"/>
        <v>2625</v>
      </c>
      <c r="E143" s="81">
        <f t="shared" si="19"/>
        <v>2714</v>
      </c>
      <c r="F143" s="81">
        <f t="shared" si="19"/>
        <v>2777</v>
      </c>
      <c r="G143" s="81">
        <f t="shared" si="19"/>
        <v>2789</v>
      </c>
      <c r="H143" s="81">
        <f t="shared" si="19"/>
        <v>1866</v>
      </c>
      <c r="I143" s="81">
        <f t="shared" si="19"/>
        <v>2567</v>
      </c>
      <c r="J143" s="81">
        <f t="shared" si="19"/>
        <v>3513</v>
      </c>
      <c r="K143" s="81">
        <f t="shared" si="19"/>
        <v>2980</v>
      </c>
      <c r="L143" s="81">
        <f>SUM(L133:L142)</f>
        <v>3851</v>
      </c>
      <c r="M143" s="81">
        <f>SUM(M133:M142)</f>
        <v>2627</v>
      </c>
      <c r="N143" s="81">
        <f>SUM(N133:N142)</f>
        <v>1916</v>
      </c>
      <c r="O143" s="81">
        <f t="shared" si="18"/>
        <v>32898</v>
      </c>
    </row>
    <row r="144" spans="2:15" ht="15" customHeight="1">
      <c r="B144" s="80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</row>
    <row r="145" spans="2:15" ht="15" customHeight="1">
      <c r="B145" s="68"/>
      <c r="C145" s="69">
        <v>41640</v>
      </c>
      <c r="D145" s="69">
        <v>41671</v>
      </c>
      <c r="E145" s="69">
        <v>41699</v>
      </c>
      <c r="F145" s="69">
        <v>41730</v>
      </c>
      <c r="G145" s="69">
        <v>41760</v>
      </c>
      <c r="H145" s="69">
        <v>41791</v>
      </c>
      <c r="I145" s="69">
        <v>41821</v>
      </c>
      <c r="J145" s="69">
        <v>41852</v>
      </c>
      <c r="K145" s="69">
        <v>41883</v>
      </c>
      <c r="L145" s="69">
        <v>41913</v>
      </c>
      <c r="M145" s="69">
        <v>41944</v>
      </c>
      <c r="N145" s="69">
        <v>41974</v>
      </c>
      <c r="O145" s="70" t="s">
        <v>82</v>
      </c>
    </row>
    <row r="146" spans="2:15" ht="15" customHeight="1">
      <c r="B146" s="71" t="s">
        <v>83</v>
      </c>
      <c r="C146" s="72">
        <v>21</v>
      </c>
      <c r="D146" s="72">
        <v>106</v>
      </c>
      <c r="E146" s="72">
        <v>125</v>
      </c>
      <c r="F146" s="72">
        <v>112</v>
      </c>
      <c r="G146" s="72">
        <v>109</v>
      </c>
      <c r="H146" s="72">
        <v>91</v>
      </c>
      <c r="I146" s="72">
        <v>86</v>
      </c>
      <c r="J146" s="72">
        <v>144</v>
      </c>
      <c r="K146" s="72">
        <v>127</v>
      </c>
      <c r="L146" s="72">
        <v>167</v>
      </c>
      <c r="M146" s="72">
        <v>110</v>
      </c>
      <c r="N146" s="72">
        <v>81</v>
      </c>
      <c r="O146" s="73">
        <f t="shared" si="20" ref="O146:O156">SUM(C146:N146)</f>
        <v>1279</v>
      </c>
    </row>
    <row r="147" spans="2:15" ht="15" customHeight="1">
      <c r="B147" s="68" t="s">
        <v>84</v>
      </c>
      <c r="C147" s="74">
        <v>4</v>
      </c>
      <c r="D147" s="74">
        <v>24</v>
      </c>
      <c r="E147" s="74">
        <v>25</v>
      </c>
      <c r="F147" s="74">
        <v>31</v>
      </c>
      <c r="G147" s="74">
        <v>15</v>
      </c>
      <c r="H147" s="74">
        <v>11</v>
      </c>
      <c r="I147" s="74">
        <v>16</v>
      </c>
      <c r="J147" s="74">
        <v>29</v>
      </c>
      <c r="K147" s="74">
        <v>36</v>
      </c>
      <c r="L147" s="74">
        <v>32</v>
      </c>
      <c r="M147" s="74">
        <v>13</v>
      </c>
      <c r="N147" s="74">
        <v>14</v>
      </c>
      <c r="O147" s="75">
        <f t="shared" si="20"/>
        <v>250</v>
      </c>
    </row>
    <row r="148" spans="2:15" ht="15" customHeight="1">
      <c r="B148" s="71" t="s">
        <v>85</v>
      </c>
      <c r="C148" s="72">
        <v>73</v>
      </c>
      <c r="D148" s="72">
        <v>333</v>
      </c>
      <c r="E148" s="72">
        <v>358</v>
      </c>
      <c r="F148" s="72">
        <v>349</v>
      </c>
      <c r="G148" s="72">
        <v>324</v>
      </c>
      <c r="H148" s="72">
        <v>286</v>
      </c>
      <c r="I148" s="72">
        <v>287</v>
      </c>
      <c r="J148" s="72">
        <v>402</v>
      </c>
      <c r="K148" s="72">
        <v>479</v>
      </c>
      <c r="L148" s="72">
        <v>576</v>
      </c>
      <c r="M148" s="72">
        <v>201</v>
      </c>
      <c r="N148" s="72">
        <v>228</v>
      </c>
      <c r="O148" s="73">
        <f t="shared" si="20"/>
        <v>3896</v>
      </c>
    </row>
    <row r="149" spans="2:15" ht="15" customHeight="1">
      <c r="B149" s="68" t="s">
        <v>86</v>
      </c>
      <c r="C149" s="74">
        <v>12</v>
      </c>
      <c r="D149" s="74">
        <v>54</v>
      </c>
      <c r="E149" s="74">
        <v>44</v>
      </c>
      <c r="F149" s="74">
        <v>45</v>
      </c>
      <c r="G149" s="74">
        <v>41</v>
      </c>
      <c r="H149" s="74">
        <v>35</v>
      </c>
      <c r="I149" s="74">
        <v>26</v>
      </c>
      <c r="J149" s="74">
        <v>47</v>
      </c>
      <c r="K149" s="74">
        <v>54</v>
      </c>
      <c r="L149" s="74">
        <v>53</v>
      </c>
      <c r="M149" s="74">
        <v>28</v>
      </c>
      <c r="N149" s="74">
        <v>29</v>
      </c>
      <c r="O149" s="75">
        <f t="shared" si="20"/>
        <v>468</v>
      </c>
    </row>
    <row r="150" spans="2:15" ht="15" customHeight="1">
      <c r="B150" s="71" t="s">
        <v>87</v>
      </c>
      <c r="C150" s="72">
        <v>0</v>
      </c>
      <c r="D150" s="72">
        <v>9</v>
      </c>
      <c r="E150" s="72">
        <v>15</v>
      </c>
      <c r="F150" s="72">
        <v>17</v>
      </c>
      <c r="G150" s="72">
        <v>14</v>
      </c>
      <c r="H150" s="72">
        <v>11</v>
      </c>
      <c r="I150" s="72">
        <v>5</v>
      </c>
      <c r="J150" s="72">
        <v>14</v>
      </c>
      <c r="K150" s="72">
        <v>16</v>
      </c>
      <c r="L150" s="72">
        <v>18</v>
      </c>
      <c r="M150" s="72">
        <v>21</v>
      </c>
      <c r="N150" s="72">
        <v>7</v>
      </c>
      <c r="O150" s="73">
        <f t="shared" si="20"/>
        <v>147</v>
      </c>
    </row>
    <row r="151" spans="2:15" ht="15" customHeight="1">
      <c r="B151" s="68" t="s">
        <v>88</v>
      </c>
      <c r="C151" s="74">
        <v>8</v>
      </c>
      <c r="D151" s="74">
        <v>30</v>
      </c>
      <c r="E151" s="74">
        <v>50</v>
      </c>
      <c r="F151" s="74">
        <v>52</v>
      </c>
      <c r="G151" s="74">
        <v>38</v>
      </c>
      <c r="H151" s="74">
        <v>35</v>
      </c>
      <c r="I151" s="74">
        <v>50</v>
      </c>
      <c r="J151" s="74">
        <v>42</v>
      </c>
      <c r="K151" s="74">
        <v>51</v>
      </c>
      <c r="L151" s="74">
        <v>58</v>
      </c>
      <c r="M151" s="74">
        <v>47</v>
      </c>
      <c r="N151" s="74">
        <v>45</v>
      </c>
      <c r="O151" s="75">
        <f t="shared" si="20"/>
        <v>506</v>
      </c>
    </row>
    <row r="152" spans="2:15" ht="15" customHeight="1">
      <c r="B152" s="71" t="s">
        <v>89</v>
      </c>
      <c r="C152" s="72">
        <v>115</v>
      </c>
      <c r="D152" s="72">
        <v>559</v>
      </c>
      <c r="E152" s="72">
        <v>768</v>
      </c>
      <c r="F152" s="72">
        <v>702</v>
      </c>
      <c r="G152" s="72">
        <v>602</v>
      </c>
      <c r="H152" s="72">
        <v>531</v>
      </c>
      <c r="I152" s="72">
        <v>527</v>
      </c>
      <c r="J152" s="72">
        <v>749</v>
      </c>
      <c r="K152" s="72">
        <v>780</v>
      </c>
      <c r="L152" s="72">
        <v>955</v>
      </c>
      <c r="M152" s="72">
        <v>580</v>
      </c>
      <c r="N152" s="72">
        <v>528</v>
      </c>
      <c r="O152" s="73">
        <f t="shared" si="20"/>
        <v>7396</v>
      </c>
    </row>
    <row r="153" spans="2:15" ht="15" customHeight="1">
      <c r="B153" s="68" t="s">
        <v>90</v>
      </c>
      <c r="C153" s="74">
        <v>2</v>
      </c>
      <c r="D153" s="74">
        <v>1</v>
      </c>
      <c r="E153" s="74">
        <v>13</v>
      </c>
      <c r="F153" s="74">
        <v>12</v>
      </c>
      <c r="G153" s="74">
        <v>3</v>
      </c>
      <c r="H153" s="74">
        <v>9</v>
      </c>
      <c r="I153" s="74">
        <v>6</v>
      </c>
      <c r="J153" s="74">
        <v>5</v>
      </c>
      <c r="K153" s="74">
        <v>9</v>
      </c>
      <c r="L153" s="74">
        <v>6</v>
      </c>
      <c r="M153" s="74">
        <v>1</v>
      </c>
      <c r="N153" s="74">
        <v>6</v>
      </c>
      <c r="O153" s="75">
        <f t="shared" si="20"/>
        <v>73</v>
      </c>
    </row>
    <row r="154" spans="2:15" ht="15" customHeight="1">
      <c r="B154" s="71" t="s">
        <v>91</v>
      </c>
      <c r="C154" s="72">
        <v>23</v>
      </c>
      <c r="D154" s="72">
        <v>118</v>
      </c>
      <c r="E154" s="72">
        <v>142</v>
      </c>
      <c r="F154" s="71">
        <v>198</v>
      </c>
      <c r="G154" s="72">
        <v>157</v>
      </c>
      <c r="H154" s="72">
        <v>108</v>
      </c>
      <c r="I154" s="72">
        <v>117</v>
      </c>
      <c r="J154" s="72">
        <v>137</v>
      </c>
      <c r="K154" s="72">
        <v>136</v>
      </c>
      <c r="L154" s="72">
        <v>247</v>
      </c>
      <c r="M154" s="72">
        <v>92</v>
      </c>
      <c r="N154" s="72">
        <v>91</v>
      </c>
      <c r="O154" s="73">
        <f t="shared" si="20"/>
        <v>1566</v>
      </c>
    </row>
    <row r="155" spans="2:15" ht="15" customHeight="1">
      <c r="B155" s="82" t="s">
        <v>92</v>
      </c>
      <c r="C155" s="83">
        <v>206</v>
      </c>
      <c r="D155" s="83">
        <v>1245</v>
      </c>
      <c r="E155" s="83">
        <v>1226</v>
      </c>
      <c r="F155" s="84">
        <v>1609</v>
      </c>
      <c r="G155" s="83">
        <v>1087</v>
      </c>
      <c r="H155" s="83">
        <v>997</v>
      </c>
      <c r="I155" s="83">
        <v>1068</v>
      </c>
      <c r="J155" s="83">
        <v>1057</v>
      </c>
      <c r="K155" s="83">
        <v>1389</v>
      </c>
      <c r="L155" s="83">
        <v>1647</v>
      </c>
      <c r="M155" s="83">
        <v>808</v>
      </c>
      <c r="N155" s="83">
        <v>941</v>
      </c>
      <c r="O155" s="85">
        <f t="shared" si="20"/>
        <v>13280</v>
      </c>
    </row>
    <row r="156" spans="2:15" ht="15" customHeight="1">
      <c r="B156" s="80" t="s">
        <v>93</v>
      </c>
      <c r="C156" s="81">
        <f t="shared" si="21" ref="C156:K156">SUM(C146:C155)</f>
        <v>464</v>
      </c>
      <c r="D156" s="81">
        <f t="shared" si="21"/>
        <v>2479</v>
      </c>
      <c r="E156" s="81">
        <f t="shared" si="21"/>
        <v>2766</v>
      </c>
      <c r="F156" s="81">
        <f t="shared" si="21"/>
        <v>3127</v>
      </c>
      <c r="G156" s="81">
        <f t="shared" si="21"/>
        <v>2390</v>
      </c>
      <c r="H156" s="81">
        <f t="shared" si="21"/>
        <v>2114</v>
      </c>
      <c r="I156" s="81">
        <f t="shared" si="21"/>
        <v>2188</v>
      </c>
      <c r="J156" s="81">
        <f t="shared" si="21"/>
        <v>2626</v>
      </c>
      <c r="K156" s="81">
        <f t="shared" si="21"/>
        <v>3077</v>
      </c>
      <c r="L156" s="81">
        <f>SUM(L146:L155)</f>
        <v>3759</v>
      </c>
      <c r="M156" s="81">
        <f>SUM(M146:M155)</f>
        <v>1901</v>
      </c>
      <c r="N156" s="81">
        <f>SUM(N146:N155)</f>
        <v>1970</v>
      </c>
      <c r="O156" s="81">
        <f t="shared" si="20"/>
        <v>28861</v>
      </c>
    </row>
    <row r="157" spans="2:15" ht="15" customHeight="1">
      <c r="B157" s="96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5"/>
    </row>
    <row r="158" spans="2:15" ht="12.75">
      <c r="B158" s="68"/>
      <c r="C158" s="69">
        <v>42005</v>
      </c>
      <c r="D158" s="69">
        <v>42036</v>
      </c>
      <c r="E158" s="69">
        <v>42064</v>
      </c>
      <c r="F158" s="69">
        <v>42095</v>
      </c>
      <c r="G158" s="69">
        <v>42125</v>
      </c>
      <c r="H158" s="69">
        <v>42156</v>
      </c>
      <c r="I158" s="69">
        <v>42186</v>
      </c>
      <c r="J158" s="69">
        <v>42217</v>
      </c>
      <c r="K158" s="69">
        <v>42248</v>
      </c>
      <c r="L158" s="69">
        <v>42278</v>
      </c>
      <c r="M158" s="69">
        <v>42309</v>
      </c>
      <c r="N158" s="69">
        <v>42339</v>
      </c>
      <c r="O158" s="70" t="s">
        <v>82</v>
      </c>
    </row>
    <row r="159" spans="2:15" ht="15" customHeight="1">
      <c r="B159" s="71" t="s">
        <v>83</v>
      </c>
      <c r="C159" s="72">
        <v>118</v>
      </c>
      <c r="D159" s="72">
        <v>73</v>
      </c>
      <c r="E159" s="72">
        <v>102</v>
      </c>
      <c r="F159" s="72">
        <v>132</v>
      </c>
      <c r="G159" s="72">
        <v>93</v>
      </c>
      <c r="H159" s="72">
        <v>110</v>
      </c>
      <c r="I159" s="86">
        <v>23</v>
      </c>
      <c r="J159" s="72">
        <v>90</v>
      </c>
      <c r="K159" s="72">
        <v>155</v>
      </c>
      <c r="L159" s="72">
        <v>157</v>
      </c>
      <c r="M159" s="72">
        <v>115</v>
      </c>
      <c r="N159" s="72">
        <v>95</v>
      </c>
      <c r="O159" s="73">
        <f t="shared" si="22" ref="O159:O169">SUM(C159:N159)</f>
        <v>1263</v>
      </c>
    </row>
    <row r="160" spans="2:15" ht="15" customHeight="1">
      <c r="B160" s="68" t="s">
        <v>84</v>
      </c>
      <c r="C160" s="74">
        <v>23</v>
      </c>
      <c r="D160" s="74">
        <v>4</v>
      </c>
      <c r="E160" s="74">
        <v>27</v>
      </c>
      <c r="F160" s="74">
        <v>35</v>
      </c>
      <c r="G160" s="74">
        <v>33</v>
      </c>
      <c r="H160" s="74">
        <v>25</v>
      </c>
      <c r="I160" s="87">
        <v>8</v>
      </c>
      <c r="J160" s="74">
        <v>21</v>
      </c>
      <c r="K160" s="74">
        <v>47</v>
      </c>
      <c r="L160" s="74">
        <v>31</v>
      </c>
      <c r="M160" s="74">
        <v>31</v>
      </c>
      <c r="N160" s="74">
        <v>21</v>
      </c>
      <c r="O160" s="75">
        <f t="shared" si="22"/>
        <v>306</v>
      </c>
    </row>
    <row r="161" spans="2:15" ht="15" customHeight="1">
      <c r="B161" s="71" t="s">
        <v>85</v>
      </c>
      <c r="C161" s="72">
        <v>329</v>
      </c>
      <c r="D161" s="72">
        <v>158</v>
      </c>
      <c r="E161" s="72">
        <v>332</v>
      </c>
      <c r="F161" s="72">
        <v>387</v>
      </c>
      <c r="G161" s="72">
        <v>239</v>
      </c>
      <c r="H161" s="72">
        <v>334</v>
      </c>
      <c r="I161" s="86">
        <v>78</v>
      </c>
      <c r="J161" s="72">
        <v>419</v>
      </c>
      <c r="K161" s="72">
        <v>420</v>
      </c>
      <c r="L161" s="72">
        <v>437</v>
      </c>
      <c r="M161" s="72">
        <v>303</v>
      </c>
      <c r="N161" s="72">
        <v>259</v>
      </c>
      <c r="O161" s="73">
        <f t="shared" si="22"/>
        <v>3695</v>
      </c>
    </row>
    <row r="162" spans="2:15" ht="15" customHeight="1">
      <c r="B162" s="68" t="s">
        <v>86</v>
      </c>
      <c r="C162" s="74">
        <v>49</v>
      </c>
      <c r="D162" s="74">
        <v>22</v>
      </c>
      <c r="E162" s="74">
        <v>40</v>
      </c>
      <c r="F162" s="74">
        <v>42</v>
      </c>
      <c r="G162" s="74">
        <v>34</v>
      </c>
      <c r="H162" s="74">
        <v>46</v>
      </c>
      <c r="I162" s="87">
        <v>9</v>
      </c>
      <c r="J162" s="74">
        <v>61</v>
      </c>
      <c r="K162" s="74">
        <v>65</v>
      </c>
      <c r="L162" s="74">
        <v>63</v>
      </c>
      <c r="M162" s="74">
        <v>47</v>
      </c>
      <c r="N162" s="74">
        <v>34</v>
      </c>
      <c r="O162" s="75">
        <f t="shared" si="22"/>
        <v>512</v>
      </c>
    </row>
    <row r="163" spans="2:15" ht="15" customHeight="1">
      <c r="B163" s="71" t="s">
        <v>87</v>
      </c>
      <c r="C163" s="72">
        <v>17</v>
      </c>
      <c r="D163" s="72">
        <v>11</v>
      </c>
      <c r="E163" s="72">
        <v>24</v>
      </c>
      <c r="F163" s="72">
        <v>18</v>
      </c>
      <c r="G163" s="72">
        <v>13</v>
      </c>
      <c r="H163" s="72">
        <v>16</v>
      </c>
      <c r="I163" s="86">
        <v>16</v>
      </c>
      <c r="J163" s="72">
        <v>13</v>
      </c>
      <c r="K163" s="72">
        <v>32</v>
      </c>
      <c r="L163" s="72">
        <v>20</v>
      </c>
      <c r="M163" s="72">
        <v>27</v>
      </c>
      <c r="N163" s="72">
        <v>10</v>
      </c>
      <c r="O163" s="73">
        <f t="shared" si="22"/>
        <v>217</v>
      </c>
    </row>
    <row r="164" spans="2:15" ht="15" customHeight="1">
      <c r="B164" s="68" t="s">
        <v>88</v>
      </c>
      <c r="C164" s="74">
        <v>61</v>
      </c>
      <c r="D164" s="74">
        <v>43</v>
      </c>
      <c r="E164" s="74">
        <v>81</v>
      </c>
      <c r="F164" s="74">
        <v>73</v>
      </c>
      <c r="G164" s="74">
        <v>61</v>
      </c>
      <c r="H164" s="74">
        <v>39</v>
      </c>
      <c r="I164" s="87">
        <v>33</v>
      </c>
      <c r="J164" s="74">
        <v>65</v>
      </c>
      <c r="K164" s="74">
        <v>84</v>
      </c>
      <c r="L164" s="74">
        <v>66</v>
      </c>
      <c r="M164" s="74">
        <v>47</v>
      </c>
      <c r="N164" s="74">
        <v>35</v>
      </c>
      <c r="O164" s="75">
        <f t="shared" si="22"/>
        <v>688</v>
      </c>
    </row>
    <row r="165" spans="2:15" ht="15" customHeight="1">
      <c r="B165" s="71" t="s">
        <v>89</v>
      </c>
      <c r="C165" s="72">
        <v>541</v>
      </c>
      <c r="D165" s="72">
        <v>509</v>
      </c>
      <c r="E165" s="72">
        <v>722</v>
      </c>
      <c r="F165" s="72">
        <v>679</v>
      </c>
      <c r="G165" s="72">
        <v>560</v>
      </c>
      <c r="H165" s="72">
        <v>630</v>
      </c>
      <c r="I165" s="86">
        <v>469</v>
      </c>
      <c r="J165" s="72">
        <v>734</v>
      </c>
      <c r="K165" s="72">
        <v>695</v>
      </c>
      <c r="L165" s="72">
        <v>748</v>
      </c>
      <c r="M165" s="72">
        <v>596</v>
      </c>
      <c r="N165" s="72">
        <v>503</v>
      </c>
      <c r="O165" s="73">
        <f t="shared" si="22"/>
        <v>7386</v>
      </c>
    </row>
    <row r="166" spans="2:15" ht="15" customHeight="1">
      <c r="B166" s="68" t="s">
        <v>90</v>
      </c>
      <c r="C166" s="74">
        <v>7</v>
      </c>
      <c r="D166" s="74">
        <v>11</v>
      </c>
      <c r="E166" s="74">
        <v>5</v>
      </c>
      <c r="F166" s="74">
        <v>12</v>
      </c>
      <c r="G166" s="74">
        <v>9</v>
      </c>
      <c r="H166" s="74">
        <v>4</v>
      </c>
      <c r="I166" s="87">
        <v>1</v>
      </c>
      <c r="J166" s="74">
        <v>12</v>
      </c>
      <c r="K166" s="74">
        <v>8</v>
      </c>
      <c r="L166" s="74">
        <v>4</v>
      </c>
      <c r="M166" s="74">
        <v>2</v>
      </c>
      <c r="N166" s="74">
        <v>2</v>
      </c>
      <c r="O166" s="75">
        <f t="shared" si="22"/>
        <v>77</v>
      </c>
    </row>
    <row r="167" spans="2:15" ht="15" customHeight="1">
      <c r="B167" s="71" t="s">
        <v>91</v>
      </c>
      <c r="C167" s="72">
        <v>85</v>
      </c>
      <c r="D167" s="72">
        <v>78</v>
      </c>
      <c r="E167" s="72">
        <v>169</v>
      </c>
      <c r="F167" s="71">
        <v>164</v>
      </c>
      <c r="G167" s="72">
        <v>122</v>
      </c>
      <c r="H167" s="72">
        <v>134</v>
      </c>
      <c r="I167" s="86">
        <v>42</v>
      </c>
      <c r="J167" s="72">
        <v>176</v>
      </c>
      <c r="K167" s="72">
        <v>248</v>
      </c>
      <c r="L167" s="72">
        <v>204</v>
      </c>
      <c r="M167" s="72">
        <v>118</v>
      </c>
      <c r="N167" s="72">
        <v>139</v>
      </c>
      <c r="O167" s="73">
        <f t="shared" si="22"/>
        <v>1679</v>
      </c>
    </row>
    <row r="168" spans="2:15" ht="15" customHeight="1">
      <c r="B168" s="82" t="s">
        <v>92</v>
      </c>
      <c r="C168" s="83">
        <v>829</v>
      </c>
      <c r="D168" s="83">
        <v>644</v>
      </c>
      <c r="E168" s="83">
        <v>1148</v>
      </c>
      <c r="F168" s="84">
        <v>1311</v>
      </c>
      <c r="G168" s="83">
        <v>1193</v>
      </c>
      <c r="H168" s="83">
        <v>890</v>
      </c>
      <c r="I168" s="83">
        <v>408</v>
      </c>
      <c r="J168" s="83">
        <v>1176</v>
      </c>
      <c r="K168" s="83">
        <v>1332</v>
      </c>
      <c r="L168" s="83">
        <v>1422</v>
      </c>
      <c r="M168" s="83">
        <v>857</v>
      </c>
      <c r="N168" s="83">
        <v>632</v>
      </c>
      <c r="O168" s="85">
        <f t="shared" si="22"/>
        <v>11842</v>
      </c>
    </row>
    <row r="169" spans="2:15" ht="15" customHeight="1">
      <c r="B169" s="80" t="s">
        <v>93</v>
      </c>
      <c r="C169" s="81">
        <f t="shared" si="23" ref="C169:K169">SUM(C159:C168)</f>
        <v>2059</v>
      </c>
      <c r="D169" s="81">
        <f t="shared" si="23"/>
        <v>1553</v>
      </c>
      <c r="E169" s="81">
        <f t="shared" si="23"/>
        <v>2650</v>
      </c>
      <c r="F169" s="81">
        <f t="shared" si="23"/>
        <v>2853</v>
      </c>
      <c r="G169" s="81">
        <f t="shared" si="23"/>
        <v>2357</v>
      </c>
      <c r="H169" s="81">
        <f t="shared" si="23"/>
        <v>2228</v>
      </c>
      <c r="I169" s="81">
        <f t="shared" si="23"/>
        <v>1087</v>
      </c>
      <c r="J169" s="81">
        <f t="shared" si="23"/>
        <v>2767</v>
      </c>
      <c r="K169" s="81">
        <f t="shared" si="23"/>
        <v>3086</v>
      </c>
      <c r="L169" s="81">
        <f>SUM(L159:L168)</f>
        <v>3152</v>
      </c>
      <c r="M169" s="81">
        <f>SUM(M159:M168)</f>
        <v>2143</v>
      </c>
      <c r="N169" s="81">
        <f>SUM(N159:N168)</f>
        <v>1730</v>
      </c>
      <c r="O169" s="81">
        <f t="shared" si="22"/>
        <v>27665</v>
      </c>
    </row>
    <row r="170" spans="2:15" ht="15" customHeight="1">
      <c r="B170" s="80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</row>
    <row r="171" spans="2:15" ht="15" customHeight="1">
      <c r="B171" s="68"/>
      <c r="C171" s="69">
        <v>42370</v>
      </c>
      <c r="D171" s="69">
        <v>42401</v>
      </c>
      <c r="E171" s="69">
        <v>42430</v>
      </c>
      <c r="F171" s="69">
        <v>42461</v>
      </c>
      <c r="G171" s="69">
        <v>42491</v>
      </c>
      <c r="H171" s="69">
        <v>42522</v>
      </c>
      <c r="I171" s="69">
        <v>42552</v>
      </c>
      <c r="J171" s="69">
        <v>42583</v>
      </c>
      <c r="K171" s="69">
        <v>42614</v>
      </c>
      <c r="L171" s="69">
        <v>42644</v>
      </c>
      <c r="M171" s="69">
        <v>42675</v>
      </c>
      <c r="N171" s="69">
        <v>42705</v>
      </c>
      <c r="O171" s="70" t="s">
        <v>82</v>
      </c>
    </row>
    <row r="172" spans="2:15" ht="15" customHeight="1">
      <c r="B172" s="71" t="s">
        <v>83</v>
      </c>
      <c r="C172" s="72">
        <v>91</v>
      </c>
      <c r="D172" s="72">
        <v>92</v>
      </c>
      <c r="E172" s="72">
        <v>143</v>
      </c>
      <c r="F172" s="72">
        <v>123</v>
      </c>
      <c r="G172" s="72">
        <v>84</v>
      </c>
      <c r="H172" s="72">
        <v>73</v>
      </c>
      <c r="I172" s="86">
        <v>50</v>
      </c>
      <c r="J172" s="72">
        <v>90</v>
      </c>
      <c r="K172" s="72">
        <v>106</v>
      </c>
      <c r="L172" s="72">
        <v>136</v>
      </c>
      <c r="M172" s="72">
        <v>139</v>
      </c>
      <c r="N172" s="72">
        <v>59</v>
      </c>
      <c r="O172" s="73">
        <f t="shared" si="24" ref="O172:O182">SUM(C172:N172)</f>
        <v>1186</v>
      </c>
    </row>
    <row r="173" spans="2:15" ht="15" customHeight="1">
      <c r="B173" s="68" t="s">
        <v>84</v>
      </c>
      <c r="C173" s="74">
        <v>29</v>
      </c>
      <c r="D173" s="74">
        <v>34</v>
      </c>
      <c r="E173" s="74">
        <v>37</v>
      </c>
      <c r="F173" s="74">
        <v>38</v>
      </c>
      <c r="G173" s="74">
        <v>17</v>
      </c>
      <c r="H173" s="74">
        <v>31</v>
      </c>
      <c r="I173" s="87">
        <v>16</v>
      </c>
      <c r="J173" s="74">
        <v>36</v>
      </c>
      <c r="K173" s="74">
        <v>24</v>
      </c>
      <c r="L173" s="74">
        <v>33</v>
      </c>
      <c r="M173" s="74">
        <v>16</v>
      </c>
      <c r="N173" s="74">
        <v>14</v>
      </c>
      <c r="O173" s="75">
        <f t="shared" si="24"/>
        <v>325</v>
      </c>
    </row>
    <row r="174" spans="2:15" ht="15" customHeight="1">
      <c r="B174" s="71" t="s">
        <v>85</v>
      </c>
      <c r="C174" s="72">
        <v>208</v>
      </c>
      <c r="D174" s="72">
        <v>291</v>
      </c>
      <c r="E174" s="72">
        <v>473</v>
      </c>
      <c r="F174" s="72">
        <v>340</v>
      </c>
      <c r="G174" s="72">
        <v>318</v>
      </c>
      <c r="H174" s="72">
        <v>349</v>
      </c>
      <c r="I174" s="86">
        <v>226</v>
      </c>
      <c r="J174" s="72">
        <v>385</v>
      </c>
      <c r="K174" s="72">
        <v>427</v>
      </c>
      <c r="L174" s="72">
        <v>439</v>
      </c>
      <c r="M174" s="72">
        <v>293</v>
      </c>
      <c r="N174" s="72">
        <v>179</v>
      </c>
      <c r="O174" s="73">
        <f t="shared" si="24"/>
        <v>3928</v>
      </c>
    </row>
    <row r="175" spans="2:15" ht="15" customHeight="1">
      <c r="B175" s="68" t="s">
        <v>86</v>
      </c>
      <c r="C175" s="74">
        <v>40</v>
      </c>
      <c r="D175" s="74">
        <v>31</v>
      </c>
      <c r="E175" s="74">
        <v>53</v>
      </c>
      <c r="F175" s="74">
        <v>41</v>
      </c>
      <c r="G175" s="74">
        <v>35</v>
      </c>
      <c r="H175" s="74">
        <v>32</v>
      </c>
      <c r="I175" s="87">
        <v>23</v>
      </c>
      <c r="J175" s="74">
        <v>53</v>
      </c>
      <c r="K175" s="74">
        <v>46</v>
      </c>
      <c r="L175" s="74">
        <v>37</v>
      </c>
      <c r="M175" s="74">
        <v>44</v>
      </c>
      <c r="N175" s="74">
        <v>19</v>
      </c>
      <c r="O175" s="75">
        <f t="shared" si="24"/>
        <v>454</v>
      </c>
    </row>
    <row r="176" spans="2:15" ht="15" customHeight="1">
      <c r="B176" s="71" t="s">
        <v>87</v>
      </c>
      <c r="C176" s="72">
        <v>14</v>
      </c>
      <c r="D176" s="72">
        <v>13</v>
      </c>
      <c r="E176" s="72">
        <v>14</v>
      </c>
      <c r="F176" s="72">
        <v>14</v>
      </c>
      <c r="G176" s="72">
        <v>13</v>
      </c>
      <c r="H176" s="72">
        <v>12</v>
      </c>
      <c r="I176" s="86">
        <v>16</v>
      </c>
      <c r="J176" s="72">
        <v>22</v>
      </c>
      <c r="K176" s="72">
        <v>13</v>
      </c>
      <c r="L176" s="72">
        <v>13</v>
      </c>
      <c r="M176" s="72">
        <v>19</v>
      </c>
      <c r="N176" s="72">
        <v>14</v>
      </c>
      <c r="O176" s="73">
        <f t="shared" si="24"/>
        <v>177</v>
      </c>
    </row>
    <row r="177" spans="2:15" ht="15" customHeight="1">
      <c r="B177" s="68" t="s">
        <v>88</v>
      </c>
      <c r="C177" s="74">
        <v>55</v>
      </c>
      <c r="D177" s="74">
        <v>43</v>
      </c>
      <c r="E177" s="74">
        <v>79</v>
      </c>
      <c r="F177" s="74">
        <v>57</v>
      </c>
      <c r="G177" s="74">
        <v>43</v>
      </c>
      <c r="H177" s="74">
        <v>52</v>
      </c>
      <c r="I177" s="87">
        <v>28</v>
      </c>
      <c r="J177" s="74">
        <v>53</v>
      </c>
      <c r="K177" s="74">
        <v>38</v>
      </c>
      <c r="L177" s="74">
        <v>42</v>
      </c>
      <c r="M177" s="74">
        <v>47</v>
      </c>
      <c r="N177" s="74">
        <v>24</v>
      </c>
      <c r="O177" s="75">
        <f t="shared" si="24"/>
        <v>561</v>
      </c>
    </row>
    <row r="178" spans="2:15" ht="15" customHeight="1">
      <c r="B178" s="71" t="s">
        <v>89</v>
      </c>
      <c r="C178" s="72">
        <v>640</v>
      </c>
      <c r="D178" s="72">
        <v>574</v>
      </c>
      <c r="E178" s="72">
        <v>861</v>
      </c>
      <c r="F178" s="72">
        <v>581</v>
      </c>
      <c r="G178" s="72">
        <v>532</v>
      </c>
      <c r="H178" s="72">
        <v>554</v>
      </c>
      <c r="I178" s="86">
        <v>549</v>
      </c>
      <c r="J178" s="72">
        <v>641</v>
      </c>
      <c r="K178" s="72">
        <v>459</v>
      </c>
      <c r="L178" s="72">
        <v>563</v>
      </c>
      <c r="M178" s="72">
        <v>590</v>
      </c>
      <c r="N178" s="72">
        <v>338</v>
      </c>
      <c r="O178" s="73">
        <f t="shared" si="24"/>
        <v>6882</v>
      </c>
    </row>
    <row r="179" spans="2:15" ht="15" customHeight="1">
      <c r="B179" s="68" t="s">
        <v>90</v>
      </c>
      <c r="C179" s="74">
        <v>9</v>
      </c>
      <c r="D179" s="74">
        <v>4</v>
      </c>
      <c r="E179" s="74">
        <v>9</v>
      </c>
      <c r="F179" s="74">
        <v>7</v>
      </c>
      <c r="G179" s="74">
        <v>12</v>
      </c>
      <c r="H179" s="74">
        <v>12</v>
      </c>
      <c r="I179" s="87">
        <v>2</v>
      </c>
      <c r="J179" s="74">
        <v>17</v>
      </c>
      <c r="K179" s="74">
        <v>8</v>
      </c>
      <c r="L179" s="74">
        <v>10</v>
      </c>
      <c r="M179" s="74">
        <v>6</v>
      </c>
      <c r="N179" s="74">
        <v>4</v>
      </c>
      <c r="O179" s="75">
        <f t="shared" si="24"/>
        <v>100</v>
      </c>
    </row>
    <row r="180" spans="2:15" ht="15" customHeight="1">
      <c r="B180" s="71" t="s">
        <v>91</v>
      </c>
      <c r="C180" s="72">
        <v>114</v>
      </c>
      <c r="D180" s="72">
        <v>108</v>
      </c>
      <c r="E180" s="72">
        <v>222</v>
      </c>
      <c r="F180" s="71">
        <v>211</v>
      </c>
      <c r="G180" s="72">
        <v>274</v>
      </c>
      <c r="H180" s="72">
        <v>320</v>
      </c>
      <c r="I180" s="86">
        <v>206</v>
      </c>
      <c r="J180" s="72">
        <v>277</v>
      </c>
      <c r="K180" s="72">
        <v>284</v>
      </c>
      <c r="L180" s="72">
        <v>330</v>
      </c>
      <c r="M180" s="72">
        <v>265</v>
      </c>
      <c r="N180" s="72">
        <v>151</v>
      </c>
      <c r="O180" s="73">
        <f t="shared" si="24"/>
        <v>2762</v>
      </c>
    </row>
    <row r="181" spans="2:15" ht="15" customHeight="1">
      <c r="B181" s="82" t="s">
        <v>92</v>
      </c>
      <c r="C181" s="83">
        <v>824</v>
      </c>
      <c r="D181" s="83">
        <v>618</v>
      </c>
      <c r="E181" s="83">
        <v>1016</v>
      </c>
      <c r="F181" s="83">
        <v>1128</v>
      </c>
      <c r="G181" s="83">
        <v>1134</v>
      </c>
      <c r="H181" s="83">
        <v>1215</v>
      </c>
      <c r="I181" s="83">
        <v>1292</v>
      </c>
      <c r="J181" s="83">
        <v>1640</v>
      </c>
      <c r="K181" s="83">
        <v>1503</v>
      </c>
      <c r="L181" s="83">
        <v>1144</v>
      </c>
      <c r="M181" s="83">
        <v>1146</v>
      </c>
      <c r="N181" s="83">
        <v>847</v>
      </c>
      <c r="O181" s="83">
        <f t="shared" si="24"/>
        <v>13507</v>
      </c>
    </row>
    <row r="182" spans="2:15" ht="15" customHeight="1">
      <c r="B182" s="80" t="s">
        <v>93</v>
      </c>
      <c r="C182" s="81">
        <f t="shared" si="25" ref="C182:N182">SUM(C172:C181)</f>
        <v>2024</v>
      </c>
      <c r="D182" s="81">
        <f t="shared" si="25"/>
        <v>1808</v>
      </c>
      <c r="E182" s="81">
        <f t="shared" si="25"/>
        <v>2907</v>
      </c>
      <c r="F182" s="81">
        <f t="shared" si="25"/>
        <v>2540</v>
      </c>
      <c r="G182" s="81">
        <f t="shared" si="25"/>
        <v>2462</v>
      </c>
      <c r="H182" s="81">
        <f t="shared" si="25"/>
        <v>2650</v>
      </c>
      <c r="I182" s="81">
        <f t="shared" si="25"/>
        <v>2408</v>
      </c>
      <c r="J182" s="81">
        <f t="shared" si="25"/>
        <v>3214</v>
      </c>
      <c r="K182" s="81">
        <f t="shared" si="25"/>
        <v>2908</v>
      </c>
      <c r="L182" s="81">
        <f t="shared" si="25"/>
        <v>2747</v>
      </c>
      <c r="M182" s="81">
        <f t="shared" si="25"/>
        <v>2565</v>
      </c>
      <c r="N182" s="81">
        <f t="shared" si="25"/>
        <v>1649</v>
      </c>
      <c r="O182" s="81">
        <f t="shared" si="24"/>
        <v>29882</v>
      </c>
    </row>
    <row r="183" spans="2:15" ht="15" customHeight="1">
      <c r="B183" s="80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</row>
    <row r="184" spans="2:15" ht="15" customHeight="1">
      <c r="B184" s="68"/>
      <c r="C184" s="69">
        <v>42736</v>
      </c>
      <c r="D184" s="69">
        <v>42767</v>
      </c>
      <c r="E184" s="69">
        <v>42795</v>
      </c>
      <c r="F184" s="69">
        <v>42826</v>
      </c>
      <c r="G184" s="69">
        <v>42856</v>
      </c>
      <c r="H184" s="69">
        <v>42887</v>
      </c>
      <c r="I184" s="69">
        <v>42917</v>
      </c>
      <c r="J184" s="69">
        <v>42948</v>
      </c>
      <c r="K184" s="69">
        <v>42979</v>
      </c>
      <c r="L184" s="69">
        <v>43009</v>
      </c>
      <c r="M184" s="69">
        <v>43040</v>
      </c>
      <c r="N184" s="69">
        <v>43070</v>
      </c>
      <c r="O184" s="70" t="s">
        <v>82</v>
      </c>
    </row>
    <row r="185" spans="2:15" ht="15" customHeight="1">
      <c r="B185" s="71" t="s">
        <v>83</v>
      </c>
      <c r="C185" s="72">
        <v>106</v>
      </c>
      <c r="D185" s="72">
        <v>117</v>
      </c>
      <c r="E185" s="72">
        <v>94</v>
      </c>
      <c r="F185" s="72">
        <v>87</v>
      </c>
      <c r="G185" s="72">
        <v>105</v>
      </c>
      <c r="H185" s="72">
        <v>84</v>
      </c>
      <c r="I185" s="86">
        <v>76</v>
      </c>
      <c r="J185" s="72">
        <v>116</v>
      </c>
      <c r="K185" s="72">
        <v>138</v>
      </c>
      <c r="L185" s="86">
        <v>123</v>
      </c>
      <c r="M185" s="72">
        <v>93</v>
      </c>
      <c r="N185" s="72">
        <v>0</v>
      </c>
      <c r="O185" s="73">
        <f t="shared" si="26" ref="O185:O195">SUM(C185:N185)</f>
        <v>1139</v>
      </c>
    </row>
    <row r="186" spans="2:15" ht="15" customHeight="1">
      <c r="B186" s="68" t="s">
        <v>84</v>
      </c>
      <c r="C186" s="74">
        <v>24</v>
      </c>
      <c r="D186" s="74">
        <v>31</v>
      </c>
      <c r="E186" s="74">
        <v>25</v>
      </c>
      <c r="F186" s="74">
        <v>19</v>
      </c>
      <c r="G186" s="74">
        <v>30</v>
      </c>
      <c r="H186" s="74">
        <v>18</v>
      </c>
      <c r="I186" s="87">
        <v>15</v>
      </c>
      <c r="J186" s="74">
        <v>39</v>
      </c>
      <c r="K186" s="74">
        <v>28</v>
      </c>
      <c r="L186" s="87">
        <v>30</v>
      </c>
      <c r="M186" s="74">
        <v>13</v>
      </c>
      <c r="N186" s="74">
        <v>0</v>
      </c>
      <c r="O186" s="75">
        <f t="shared" si="26"/>
        <v>272</v>
      </c>
    </row>
    <row r="187" spans="2:15" ht="15" customHeight="1">
      <c r="B187" s="71" t="s">
        <v>85</v>
      </c>
      <c r="C187" s="72">
        <v>314</v>
      </c>
      <c r="D187" s="72">
        <v>307</v>
      </c>
      <c r="E187" s="72">
        <v>276</v>
      </c>
      <c r="F187" s="72">
        <v>258</v>
      </c>
      <c r="G187" s="72">
        <v>329</v>
      </c>
      <c r="H187" s="72">
        <v>257</v>
      </c>
      <c r="I187" s="86">
        <v>298</v>
      </c>
      <c r="J187" s="72">
        <v>388</v>
      </c>
      <c r="K187" s="72">
        <v>349</v>
      </c>
      <c r="L187" s="86">
        <v>404</v>
      </c>
      <c r="M187" s="72">
        <v>186</v>
      </c>
      <c r="N187" s="72">
        <v>0</v>
      </c>
      <c r="O187" s="73">
        <f t="shared" si="26"/>
        <v>3366</v>
      </c>
    </row>
    <row r="188" spans="2:15" ht="15" customHeight="1">
      <c r="B188" s="68" t="s">
        <v>86</v>
      </c>
      <c r="C188" s="74">
        <v>36</v>
      </c>
      <c r="D188" s="74">
        <v>28</v>
      </c>
      <c r="E188" s="74">
        <v>29</v>
      </c>
      <c r="F188" s="74">
        <v>24</v>
      </c>
      <c r="G188" s="74">
        <v>40</v>
      </c>
      <c r="H188" s="74">
        <v>29</v>
      </c>
      <c r="I188" s="87">
        <v>21</v>
      </c>
      <c r="J188" s="74">
        <v>27</v>
      </c>
      <c r="K188" s="74">
        <v>54</v>
      </c>
      <c r="L188" s="87">
        <v>43</v>
      </c>
      <c r="M188" s="74">
        <v>27</v>
      </c>
      <c r="N188" s="74">
        <v>0</v>
      </c>
      <c r="O188" s="75">
        <f t="shared" si="26"/>
        <v>358</v>
      </c>
    </row>
    <row r="189" spans="2:15" ht="15" customHeight="1">
      <c r="B189" s="71" t="s">
        <v>87</v>
      </c>
      <c r="C189" s="72">
        <v>16</v>
      </c>
      <c r="D189" s="72">
        <v>29</v>
      </c>
      <c r="E189" s="72">
        <v>29</v>
      </c>
      <c r="F189" s="72">
        <v>17</v>
      </c>
      <c r="G189" s="72">
        <v>20</v>
      </c>
      <c r="H189" s="72">
        <v>14</v>
      </c>
      <c r="I189" s="86">
        <v>9</v>
      </c>
      <c r="J189" s="72">
        <v>42</v>
      </c>
      <c r="K189" s="72">
        <v>23</v>
      </c>
      <c r="L189" s="86">
        <v>33</v>
      </c>
      <c r="M189" s="72">
        <v>22</v>
      </c>
      <c r="N189" s="72">
        <v>0</v>
      </c>
      <c r="O189" s="73">
        <f t="shared" si="26"/>
        <v>254</v>
      </c>
    </row>
    <row r="190" spans="2:15" ht="15" customHeight="1">
      <c r="B190" s="68" t="s">
        <v>88</v>
      </c>
      <c r="C190" s="74">
        <v>67</v>
      </c>
      <c r="D190" s="74">
        <v>76</v>
      </c>
      <c r="E190" s="74">
        <v>62</v>
      </c>
      <c r="F190" s="74">
        <v>64</v>
      </c>
      <c r="G190" s="74">
        <v>80</v>
      </c>
      <c r="H190" s="74">
        <v>46</v>
      </c>
      <c r="I190" s="87">
        <v>57</v>
      </c>
      <c r="J190" s="74">
        <v>77</v>
      </c>
      <c r="K190" s="74">
        <v>64</v>
      </c>
      <c r="L190" s="87">
        <v>72</v>
      </c>
      <c r="M190" s="74">
        <v>21</v>
      </c>
      <c r="N190" s="74">
        <v>0</v>
      </c>
      <c r="O190" s="75">
        <f t="shared" si="26"/>
        <v>686</v>
      </c>
    </row>
    <row r="191" spans="2:15" ht="15" customHeight="1">
      <c r="B191" s="71" t="s">
        <v>89</v>
      </c>
      <c r="C191" s="72">
        <v>594</v>
      </c>
      <c r="D191" s="72">
        <v>621</v>
      </c>
      <c r="E191" s="72">
        <v>575</v>
      </c>
      <c r="F191" s="72">
        <v>572</v>
      </c>
      <c r="G191" s="72">
        <v>611</v>
      </c>
      <c r="H191" s="72">
        <v>582</v>
      </c>
      <c r="I191" s="86">
        <v>476</v>
      </c>
      <c r="J191" s="72">
        <v>671</v>
      </c>
      <c r="K191" s="72">
        <v>530</v>
      </c>
      <c r="L191" s="86">
        <v>574</v>
      </c>
      <c r="M191" s="72">
        <v>267</v>
      </c>
      <c r="N191" s="72">
        <v>0</v>
      </c>
      <c r="O191" s="73">
        <f t="shared" si="26"/>
        <v>6073</v>
      </c>
    </row>
    <row r="192" spans="2:15" ht="15" customHeight="1">
      <c r="B192" s="68" t="s">
        <v>90</v>
      </c>
      <c r="C192" s="74">
        <v>4</v>
      </c>
      <c r="D192" s="74">
        <v>8</v>
      </c>
      <c r="E192" s="74">
        <v>10</v>
      </c>
      <c r="F192" s="74">
        <v>4</v>
      </c>
      <c r="G192" s="74">
        <v>13</v>
      </c>
      <c r="H192" s="74">
        <v>7</v>
      </c>
      <c r="I192" s="87">
        <v>11</v>
      </c>
      <c r="J192" s="74">
        <v>12</v>
      </c>
      <c r="K192" s="74">
        <v>9</v>
      </c>
      <c r="L192" s="87">
        <v>16</v>
      </c>
      <c r="M192" s="74">
        <v>1</v>
      </c>
      <c r="N192" s="74">
        <v>0</v>
      </c>
      <c r="O192" s="75">
        <f t="shared" si="26"/>
        <v>95</v>
      </c>
    </row>
    <row r="193" spans="2:15" ht="15" customHeight="1">
      <c r="B193" s="71" t="s">
        <v>91</v>
      </c>
      <c r="C193" s="72">
        <v>251</v>
      </c>
      <c r="D193" s="72">
        <v>291</v>
      </c>
      <c r="E193" s="72">
        <v>271</v>
      </c>
      <c r="F193" s="71">
        <v>233</v>
      </c>
      <c r="G193" s="72">
        <v>295</v>
      </c>
      <c r="H193" s="72">
        <v>264</v>
      </c>
      <c r="I193" s="86">
        <v>191</v>
      </c>
      <c r="J193" s="72">
        <v>279</v>
      </c>
      <c r="K193" s="72">
        <v>307</v>
      </c>
      <c r="L193" s="86">
        <v>299</v>
      </c>
      <c r="M193" s="72">
        <v>103</v>
      </c>
      <c r="N193" s="72">
        <v>0</v>
      </c>
      <c r="O193" s="73">
        <f t="shared" si="26"/>
        <v>2784</v>
      </c>
    </row>
    <row r="194" spans="2:15" ht="15" customHeight="1">
      <c r="B194" s="82" t="s">
        <v>92</v>
      </c>
      <c r="C194" s="83">
        <v>1374</v>
      </c>
      <c r="D194" s="83">
        <v>1633</v>
      </c>
      <c r="E194" s="83">
        <v>1789</v>
      </c>
      <c r="F194" s="83">
        <v>1408</v>
      </c>
      <c r="G194" s="83">
        <v>1470</v>
      </c>
      <c r="H194" s="83">
        <v>1474</v>
      </c>
      <c r="I194" s="83">
        <v>1216</v>
      </c>
      <c r="J194" s="83">
        <v>1958</v>
      </c>
      <c r="K194" s="83">
        <v>1834</v>
      </c>
      <c r="L194" s="83">
        <v>1899</v>
      </c>
      <c r="M194" s="83">
        <v>778</v>
      </c>
      <c r="N194" s="83">
        <v>0</v>
      </c>
      <c r="O194" s="83">
        <f t="shared" si="26"/>
        <v>16833</v>
      </c>
    </row>
    <row r="195" spans="2:15" ht="15" customHeight="1">
      <c r="B195" s="80" t="s">
        <v>93</v>
      </c>
      <c r="C195" s="81">
        <f t="shared" si="27" ref="C195:N195">SUM(C185:C194)</f>
        <v>2786</v>
      </c>
      <c r="D195" s="81">
        <f t="shared" si="27"/>
        <v>3141</v>
      </c>
      <c r="E195" s="81">
        <f t="shared" si="27"/>
        <v>3160</v>
      </c>
      <c r="F195" s="81">
        <f t="shared" si="27"/>
        <v>2686</v>
      </c>
      <c r="G195" s="81">
        <f t="shared" si="27"/>
        <v>2993</v>
      </c>
      <c r="H195" s="81">
        <f t="shared" si="27"/>
        <v>2775</v>
      </c>
      <c r="I195" s="81">
        <f t="shared" si="27"/>
        <v>2370</v>
      </c>
      <c r="J195" s="81">
        <f t="shared" si="27"/>
        <v>3609</v>
      </c>
      <c r="K195" s="81">
        <f t="shared" si="27"/>
        <v>3336</v>
      </c>
      <c r="L195" s="81">
        <f t="shared" si="27"/>
        <v>3493</v>
      </c>
      <c r="M195" s="81">
        <f t="shared" si="27"/>
        <v>1511</v>
      </c>
      <c r="N195" s="81">
        <f t="shared" si="27"/>
        <v>0</v>
      </c>
      <c r="O195" s="81">
        <f t="shared" si="26"/>
        <v>31860</v>
      </c>
    </row>
    <row r="196" spans="2:15" ht="15" customHeight="1">
      <c r="B196" s="80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</row>
    <row r="197" spans="2:15" ht="15" customHeight="1">
      <c r="B197" s="80"/>
      <c r="C197" s="69">
        <v>43101</v>
      </c>
      <c r="D197" s="69">
        <v>43132</v>
      </c>
      <c r="E197" s="69">
        <v>43160</v>
      </c>
      <c r="F197" s="69">
        <v>43191</v>
      </c>
      <c r="G197" s="69">
        <v>43221</v>
      </c>
      <c r="H197" s="69">
        <v>43252</v>
      </c>
      <c r="I197" s="69">
        <v>43282</v>
      </c>
      <c r="J197" s="69">
        <v>43313</v>
      </c>
      <c r="K197" s="69">
        <v>43344</v>
      </c>
      <c r="L197" s="69">
        <v>43374</v>
      </c>
      <c r="M197" s="69">
        <v>43405</v>
      </c>
      <c r="N197" s="69">
        <v>43435</v>
      </c>
      <c r="O197" s="70" t="s">
        <v>82</v>
      </c>
    </row>
    <row r="198" spans="2:15" ht="15" customHeight="1">
      <c r="B198" s="71" t="s">
        <v>83</v>
      </c>
      <c r="C198" s="72">
        <v>50</v>
      </c>
      <c r="D198" s="72">
        <v>105</v>
      </c>
      <c r="E198" s="72">
        <v>136</v>
      </c>
      <c r="F198" s="72">
        <v>115</v>
      </c>
      <c r="G198" s="72">
        <v>88</v>
      </c>
      <c r="H198" s="72">
        <v>84</v>
      </c>
      <c r="I198" s="86">
        <v>129</v>
      </c>
      <c r="J198" s="72">
        <v>142</v>
      </c>
      <c r="K198" s="72">
        <v>101</v>
      </c>
      <c r="L198" s="86">
        <v>60</v>
      </c>
      <c r="M198" s="72">
        <v>104</v>
      </c>
      <c r="N198" s="72">
        <v>99</v>
      </c>
      <c r="O198" s="73">
        <f>SUM(C198:N198)</f>
        <v>1213</v>
      </c>
    </row>
    <row r="199" spans="2:15" ht="15" customHeight="1">
      <c r="B199" s="68" t="s">
        <v>84</v>
      </c>
      <c r="C199" s="74">
        <v>19</v>
      </c>
      <c r="D199" s="74">
        <v>23</v>
      </c>
      <c r="E199" s="74">
        <v>21</v>
      </c>
      <c r="F199" s="74">
        <v>12</v>
      </c>
      <c r="G199" s="74">
        <v>10</v>
      </c>
      <c r="H199" s="74">
        <v>10</v>
      </c>
      <c r="I199" s="87">
        <v>18</v>
      </c>
      <c r="J199" s="74">
        <v>36</v>
      </c>
      <c r="K199" s="74">
        <v>24</v>
      </c>
      <c r="L199" s="87">
        <v>11</v>
      </c>
      <c r="M199" s="74">
        <v>18</v>
      </c>
      <c r="N199" s="74">
        <v>14</v>
      </c>
      <c r="O199" s="81">
        <f t="shared" si="28" ref="O199:O208">SUM(C199:N199)</f>
        <v>216</v>
      </c>
    </row>
    <row r="200" spans="2:15" ht="15" customHeight="1">
      <c r="B200" s="71" t="s">
        <v>85</v>
      </c>
      <c r="C200" s="72">
        <v>151</v>
      </c>
      <c r="D200" s="72">
        <v>235</v>
      </c>
      <c r="E200" s="72">
        <v>263</v>
      </c>
      <c r="F200" s="72">
        <v>198</v>
      </c>
      <c r="G200" s="72">
        <v>128</v>
      </c>
      <c r="H200" s="72">
        <v>115</v>
      </c>
      <c r="I200" s="86">
        <v>290</v>
      </c>
      <c r="J200" s="72">
        <v>321</v>
      </c>
      <c r="K200" s="72">
        <v>276</v>
      </c>
      <c r="L200" s="86">
        <v>213</v>
      </c>
      <c r="M200" s="72">
        <v>366</v>
      </c>
      <c r="N200" s="72">
        <v>293</v>
      </c>
      <c r="O200" s="73">
        <f t="shared" si="28"/>
        <v>2849</v>
      </c>
    </row>
    <row r="201" spans="2:15" ht="15" customHeight="1">
      <c r="B201" s="68" t="s">
        <v>86</v>
      </c>
      <c r="C201" s="74">
        <v>17</v>
      </c>
      <c r="D201" s="74">
        <v>19</v>
      </c>
      <c r="E201" s="74">
        <v>11</v>
      </c>
      <c r="F201" s="74">
        <v>8</v>
      </c>
      <c r="G201" s="74">
        <v>13</v>
      </c>
      <c r="H201" s="74">
        <v>14</v>
      </c>
      <c r="I201" s="87">
        <v>32</v>
      </c>
      <c r="J201" s="74">
        <v>38</v>
      </c>
      <c r="K201" s="74">
        <v>49</v>
      </c>
      <c r="L201" s="87">
        <v>21</v>
      </c>
      <c r="M201" s="74">
        <v>53</v>
      </c>
      <c r="N201" s="74">
        <v>34</v>
      </c>
      <c r="O201" s="81">
        <f t="shared" si="28"/>
        <v>309</v>
      </c>
    </row>
    <row r="202" spans="2:15" ht="15" customHeight="1">
      <c r="B202" s="71" t="s">
        <v>87</v>
      </c>
      <c r="C202" s="72">
        <v>11</v>
      </c>
      <c r="D202" s="72">
        <v>21</v>
      </c>
      <c r="E202" s="72">
        <v>22</v>
      </c>
      <c r="F202" s="72">
        <v>16</v>
      </c>
      <c r="G202" s="72">
        <v>13</v>
      </c>
      <c r="H202" s="72">
        <v>12</v>
      </c>
      <c r="I202" s="86">
        <v>11</v>
      </c>
      <c r="J202" s="72">
        <v>20</v>
      </c>
      <c r="K202" s="72">
        <v>20</v>
      </c>
      <c r="L202" s="86">
        <v>19</v>
      </c>
      <c r="M202" s="72">
        <v>0</v>
      </c>
      <c r="N202" s="72">
        <v>0</v>
      </c>
      <c r="O202" s="73">
        <f t="shared" si="28"/>
        <v>165</v>
      </c>
    </row>
    <row r="203" spans="2:15" ht="15" customHeight="1">
      <c r="B203" s="68" t="s">
        <v>88</v>
      </c>
      <c r="C203" s="74">
        <v>38</v>
      </c>
      <c r="D203" s="74">
        <v>88</v>
      </c>
      <c r="E203" s="74">
        <v>57</v>
      </c>
      <c r="F203" s="74">
        <v>57</v>
      </c>
      <c r="G203" s="74">
        <v>50</v>
      </c>
      <c r="H203" s="74">
        <v>27</v>
      </c>
      <c r="I203" s="87">
        <v>53</v>
      </c>
      <c r="J203" s="74">
        <v>58</v>
      </c>
      <c r="K203" s="74">
        <v>57</v>
      </c>
      <c r="L203" s="87">
        <v>5</v>
      </c>
      <c r="M203" s="74">
        <v>0</v>
      </c>
      <c r="N203" s="74">
        <v>0</v>
      </c>
      <c r="O203" s="81">
        <f t="shared" si="28"/>
        <v>490</v>
      </c>
    </row>
    <row r="204" spans="2:15" ht="15" customHeight="1">
      <c r="B204" s="71" t="s">
        <v>89</v>
      </c>
      <c r="C204" s="72">
        <v>161</v>
      </c>
      <c r="D204" s="72">
        <v>314</v>
      </c>
      <c r="E204" s="72">
        <v>293</v>
      </c>
      <c r="F204" s="72">
        <v>316</v>
      </c>
      <c r="G204" s="72">
        <v>314</v>
      </c>
      <c r="H204" s="72">
        <v>367</v>
      </c>
      <c r="I204" s="86">
        <v>389</v>
      </c>
      <c r="J204" s="72">
        <v>492</v>
      </c>
      <c r="K204" s="72">
        <v>467</v>
      </c>
      <c r="L204" s="86">
        <v>169</v>
      </c>
      <c r="M204" s="72">
        <v>0</v>
      </c>
      <c r="N204" s="72">
        <v>0</v>
      </c>
      <c r="O204" s="73">
        <f t="shared" si="28"/>
        <v>3282</v>
      </c>
    </row>
    <row r="205" spans="2:15" ht="15" customHeight="1">
      <c r="B205" s="68" t="s">
        <v>90</v>
      </c>
      <c r="C205" s="74">
        <v>3</v>
      </c>
      <c r="D205" s="74">
        <v>19</v>
      </c>
      <c r="E205" s="74">
        <v>7</v>
      </c>
      <c r="F205" s="74">
        <v>12</v>
      </c>
      <c r="G205" s="74">
        <v>8</v>
      </c>
      <c r="H205" s="74">
        <v>4</v>
      </c>
      <c r="I205" s="87">
        <v>12</v>
      </c>
      <c r="J205" s="74">
        <v>14</v>
      </c>
      <c r="K205" s="74">
        <v>19</v>
      </c>
      <c r="L205" s="87">
        <v>7</v>
      </c>
      <c r="M205" s="74">
        <v>7</v>
      </c>
      <c r="N205" s="74">
        <v>22</v>
      </c>
      <c r="O205" s="81">
        <f t="shared" si="28"/>
        <v>134</v>
      </c>
    </row>
    <row r="206" spans="2:15" ht="15" customHeight="1">
      <c r="B206" s="71" t="s">
        <v>91</v>
      </c>
      <c r="C206" s="72">
        <v>167</v>
      </c>
      <c r="D206" s="72">
        <v>269</v>
      </c>
      <c r="E206" s="72">
        <v>289</v>
      </c>
      <c r="F206" s="71">
        <v>246</v>
      </c>
      <c r="G206" s="72">
        <v>222</v>
      </c>
      <c r="H206" s="72">
        <v>111</v>
      </c>
      <c r="I206" s="86">
        <v>216</v>
      </c>
      <c r="J206" s="72">
        <v>308</v>
      </c>
      <c r="K206" s="72">
        <v>242</v>
      </c>
      <c r="L206" s="86">
        <v>159</v>
      </c>
      <c r="M206" s="72">
        <v>257</v>
      </c>
      <c r="N206" s="72">
        <v>214</v>
      </c>
      <c r="O206" s="73">
        <f t="shared" si="28"/>
        <v>2700</v>
      </c>
    </row>
    <row r="207" spans="2:15" ht="15" customHeight="1">
      <c r="B207" s="82" t="s">
        <v>92</v>
      </c>
      <c r="C207" s="83">
        <v>713</v>
      </c>
      <c r="D207" s="83">
        <v>1350</v>
      </c>
      <c r="E207" s="83">
        <v>1427</v>
      </c>
      <c r="F207" s="83">
        <v>1368</v>
      </c>
      <c r="G207" s="83">
        <v>1092</v>
      </c>
      <c r="H207" s="83">
        <v>679</v>
      </c>
      <c r="I207" s="83">
        <v>1048</v>
      </c>
      <c r="J207" s="83">
        <v>1302</v>
      </c>
      <c r="K207" s="83">
        <v>956</v>
      </c>
      <c r="L207" s="83">
        <v>615</v>
      </c>
      <c r="M207" s="83">
        <v>898</v>
      </c>
      <c r="N207" s="83">
        <v>1110</v>
      </c>
      <c r="O207" s="88">
        <f t="shared" si="28"/>
        <v>12558</v>
      </c>
    </row>
    <row r="208" spans="2:15" ht="15" customHeight="1">
      <c r="B208" s="80" t="s">
        <v>93</v>
      </c>
      <c r="C208" s="81">
        <f t="shared" si="29" ref="C208:N208">SUM(C198:C207)</f>
        <v>1330</v>
      </c>
      <c r="D208" s="81">
        <f t="shared" si="29"/>
        <v>2443</v>
      </c>
      <c r="E208" s="81">
        <f t="shared" si="29"/>
        <v>2526</v>
      </c>
      <c r="F208" s="81">
        <f t="shared" si="29"/>
        <v>2348</v>
      </c>
      <c r="G208" s="81">
        <f t="shared" si="29"/>
        <v>1938</v>
      </c>
      <c r="H208" s="81">
        <f t="shared" si="29"/>
        <v>1423</v>
      </c>
      <c r="I208" s="81">
        <f t="shared" si="29"/>
        <v>2198</v>
      </c>
      <c r="J208" s="81">
        <f t="shared" si="29"/>
        <v>2731</v>
      </c>
      <c r="K208" s="81">
        <f t="shared" si="29"/>
        <v>2211</v>
      </c>
      <c r="L208" s="81">
        <f t="shared" si="29"/>
        <v>1279</v>
      </c>
      <c r="M208" s="81">
        <f t="shared" si="29"/>
        <v>1703</v>
      </c>
      <c r="N208" s="81">
        <f t="shared" si="29"/>
        <v>1786</v>
      </c>
      <c r="O208" s="81">
        <f t="shared" si="28"/>
        <v>23916</v>
      </c>
    </row>
    <row r="209" spans="2:15" ht="15" customHeight="1">
      <c r="B209" s="80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</row>
    <row r="210" spans="2:15" ht="15" customHeight="1">
      <c r="B210" s="80"/>
      <c r="C210" s="69">
        <v>43466</v>
      </c>
      <c r="D210" s="69">
        <v>43497</v>
      </c>
      <c r="E210" s="69">
        <v>43525</v>
      </c>
      <c r="F210" s="69">
        <v>43556</v>
      </c>
      <c r="G210" s="69">
        <v>43586</v>
      </c>
      <c r="H210" s="69">
        <v>43617</v>
      </c>
      <c r="I210" s="69">
        <v>43647</v>
      </c>
      <c r="J210" s="69">
        <v>43678</v>
      </c>
      <c r="K210" s="69">
        <v>43709</v>
      </c>
      <c r="L210" s="69">
        <v>43739</v>
      </c>
      <c r="M210" s="69">
        <v>43770</v>
      </c>
      <c r="N210" s="69">
        <v>43800</v>
      </c>
      <c r="O210" s="70" t="s">
        <v>82</v>
      </c>
    </row>
    <row r="211" spans="2:15" ht="15" customHeight="1">
      <c r="B211" s="71" t="s">
        <v>83</v>
      </c>
      <c r="C211" s="72">
        <v>131</v>
      </c>
      <c r="D211" s="72"/>
      <c r="E211" s="72"/>
      <c r="F211" s="72"/>
      <c r="G211" s="72"/>
      <c r="H211" s="72"/>
      <c r="I211" s="86"/>
      <c r="J211" s="72"/>
      <c r="K211" s="72"/>
      <c r="L211" s="86"/>
      <c r="M211" s="72"/>
      <c r="N211" s="72"/>
      <c r="O211" s="73">
        <f>SUM(C211:N211)</f>
        <v>131</v>
      </c>
    </row>
    <row r="212" spans="2:15" ht="15" customHeight="1">
      <c r="B212" s="68" t="s">
        <v>84</v>
      </c>
      <c r="C212" s="74">
        <v>44</v>
      </c>
      <c r="D212" s="74"/>
      <c r="E212" s="74"/>
      <c r="F212" s="74"/>
      <c r="G212" s="74"/>
      <c r="H212" s="74"/>
      <c r="I212" s="87"/>
      <c r="J212" s="74"/>
      <c r="K212" s="74"/>
      <c r="L212" s="87"/>
      <c r="M212" s="74"/>
      <c r="N212" s="74"/>
      <c r="O212" s="81">
        <f t="shared" si="30" ref="O212:O221">SUM(C212:N212)</f>
        <v>44</v>
      </c>
    </row>
    <row r="213" spans="2:15" ht="15" customHeight="1">
      <c r="B213" s="71" t="s">
        <v>85</v>
      </c>
      <c r="C213" s="72">
        <v>350</v>
      </c>
      <c r="D213" s="72"/>
      <c r="E213" s="72"/>
      <c r="F213" s="72"/>
      <c r="G213" s="72"/>
      <c r="H213" s="72"/>
      <c r="I213" s="86"/>
      <c r="J213" s="72"/>
      <c r="K213" s="72"/>
      <c r="L213" s="86"/>
      <c r="M213" s="72"/>
      <c r="N213" s="72"/>
      <c r="O213" s="73">
        <f t="shared" si="30"/>
        <v>350</v>
      </c>
    </row>
    <row r="214" spans="2:15" ht="15" customHeight="1">
      <c r="B214" s="68" t="s">
        <v>86</v>
      </c>
      <c r="C214" s="74">
        <v>54</v>
      </c>
      <c r="D214" s="74"/>
      <c r="E214" s="74"/>
      <c r="F214" s="74"/>
      <c r="G214" s="74"/>
      <c r="H214" s="74"/>
      <c r="I214" s="87"/>
      <c r="J214" s="74"/>
      <c r="K214" s="74"/>
      <c r="L214" s="87"/>
      <c r="M214" s="74"/>
      <c r="N214" s="74"/>
      <c r="O214" s="81">
        <f t="shared" si="30"/>
        <v>54</v>
      </c>
    </row>
    <row r="215" spans="2:15" ht="15" customHeight="1">
      <c r="B215" s="71" t="s">
        <v>87</v>
      </c>
      <c r="C215" s="72">
        <v>16</v>
      </c>
      <c r="D215" s="72"/>
      <c r="E215" s="72"/>
      <c r="F215" s="72"/>
      <c r="G215" s="72"/>
      <c r="H215" s="72"/>
      <c r="I215" s="86"/>
      <c r="J215" s="72"/>
      <c r="K215" s="72"/>
      <c r="L215" s="86"/>
      <c r="M215" s="72"/>
      <c r="N215" s="72"/>
      <c r="O215" s="73">
        <f t="shared" si="30"/>
        <v>16</v>
      </c>
    </row>
    <row r="216" spans="2:15" ht="15" customHeight="1">
      <c r="B216" s="68" t="s">
        <v>88</v>
      </c>
      <c r="C216" s="74">
        <v>98</v>
      </c>
      <c r="D216" s="74"/>
      <c r="E216" s="74"/>
      <c r="F216" s="74"/>
      <c r="G216" s="74"/>
      <c r="H216" s="74"/>
      <c r="I216" s="87"/>
      <c r="J216" s="74"/>
      <c r="K216" s="74"/>
      <c r="L216" s="87"/>
      <c r="M216" s="74"/>
      <c r="N216" s="74"/>
      <c r="O216" s="81">
        <f t="shared" si="30"/>
        <v>98</v>
      </c>
    </row>
    <row r="217" spans="2:15" ht="15" customHeight="1">
      <c r="B217" s="71" t="s">
        <v>89</v>
      </c>
      <c r="C217" s="72">
        <v>286</v>
      </c>
      <c r="D217" s="72"/>
      <c r="E217" s="72"/>
      <c r="F217" s="72"/>
      <c r="G217" s="72"/>
      <c r="H217" s="72"/>
      <c r="I217" s="86"/>
      <c r="J217" s="72"/>
      <c r="K217" s="72"/>
      <c r="L217" s="86"/>
      <c r="M217" s="72"/>
      <c r="N217" s="72"/>
      <c r="O217" s="73">
        <f t="shared" si="30"/>
        <v>286</v>
      </c>
    </row>
    <row r="218" spans="2:15" ht="15" customHeight="1">
      <c r="B218" s="68" t="s">
        <v>90</v>
      </c>
      <c r="C218" s="74">
        <v>8</v>
      </c>
      <c r="D218" s="74"/>
      <c r="E218" s="74"/>
      <c r="F218" s="74"/>
      <c r="G218" s="74"/>
      <c r="H218" s="74"/>
      <c r="I218" s="87"/>
      <c r="J218" s="74"/>
      <c r="K218" s="74"/>
      <c r="L218" s="87"/>
      <c r="M218" s="74"/>
      <c r="N218" s="74"/>
      <c r="O218" s="81">
        <f t="shared" si="30"/>
        <v>8</v>
      </c>
    </row>
    <row r="219" spans="2:15" ht="15" customHeight="1">
      <c r="B219" s="71" t="s">
        <v>91</v>
      </c>
      <c r="C219" s="72">
        <v>211</v>
      </c>
      <c r="D219" s="72"/>
      <c r="E219" s="72"/>
      <c r="F219" s="71"/>
      <c r="G219" s="72"/>
      <c r="H219" s="72"/>
      <c r="I219" s="86"/>
      <c r="J219" s="72"/>
      <c r="K219" s="72"/>
      <c r="L219" s="86"/>
      <c r="M219" s="72"/>
      <c r="N219" s="72"/>
      <c r="O219" s="73">
        <f t="shared" si="30"/>
        <v>211</v>
      </c>
    </row>
    <row r="220" spans="2:15" ht="15" customHeight="1">
      <c r="B220" s="82" t="s">
        <v>92</v>
      </c>
      <c r="C220" s="83">
        <v>1227</v>
      </c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8">
        <f t="shared" si="30"/>
        <v>1227</v>
      </c>
    </row>
    <row r="221" spans="2:15" ht="15" customHeight="1">
      <c r="B221" s="80" t="s">
        <v>93</v>
      </c>
      <c r="C221" s="81">
        <f t="shared" si="31" ref="C221:N221">SUM(C211:C220)</f>
        <v>2425</v>
      </c>
      <c r="D221" s="81">
        <f t="shared" si="31"/>
        <v>0</v>
      </c>
      <c r="E221" s="81">
        <f t="shared" si="31"/>
        <v>0</v>
      </c>
      <c r="F221" s="81">
        <f t="shared" si="31"/>
        <v>0</v>
      </c>
      <c r="G221" s="81">
        <f t="shared" si="31"/>
        <v>0</v>
      </c>
      <c r="H221" s="81">
        <f t="shared" si="31"/>
        <v>0</v>
      </c>
      <c r="I221" s="81">
        <f t="shared" si="31"/>
        <v>0</v>
      </c>
      <c r="J221" s="81">
        <f t="shared" si="31"/>
        <v>0</v>
      </c>
      <c r="K221" s="81">
        <f t="shared" si="31"/>
        <v>0</v>
      </c>
      <c r="L221" s="81">
        <f t="shared" si="31"/>
        <v>0</v>
      </c>
      <c r="M221" s="81">
        <f t="shared" si="31"/>
        <v>0</v>
      </c>
      <c r="N221" s="81">
        <f t="shared" si="31"/>
        <v>0</v>
      </c>
      <c r="O221" s="81">
        <f t="shared" si="30"/>
        <v>2425</v>
      </c>
    </row>
    <row r="222" spans="2:15" ht="15" customHeight="1">
      <c r="B222" s="80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</row>
    <row r="223" spans="2:15" ht="15" customHeight="1">
      <c r="B223" s="80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</row>
    <row r="224" spans="2:15" ht="15" customHeight="1">
      <c r="B224" s="80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</row>
    <row r="225" ht="12.75">
      <c r="B225" s="13" t="s">
        <v>95</v>
      </c>
    </row>
  </sheetData>
  <pageMargins left="0.25" right="0.25" top="0.5" bottom="0.5" header="0.5" footer="0.5"/>
  <pageSetup orientation="landscape" scale="10" r:id="rId2"/>
  <headerFooter alignWithMargins="0">
    <oddFooter>&amp;CPage &amp;P of &amp;N</oddFooter>
  </headerFooter>
  <rowBreaks count="1" manualBreakCount="1">
    <brk id="115" min="1" max="14" man="1"/>
  </rowBreaks>
  <customProperties>
    <customPr name="_pios_id" r:id="rId3"/>
  </customProperties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29"/>
  <sheetViews>
    <sheetView workbookViewId="0" topLeftCell="A1"/>
  </sheetViews>
  <sheetFormatPr defaultColWidth="8.72727272727273" defaultRowHeight="15"/>
  <cols>
    <col min="1" max="1" width="71.2727272727273" bestFit="1" customWidth="1"/>
    <col min="2" max="2" width="14.1818181818182" customWidth="1"/>
    <col min="4" max="5" width="10.1818181818182" bestFit="1" customWidth="1"/>
    <col min="6" max="12" width="10.8181818181818" bestFit="1" customWidth="1"/>
    <col min="13" max="14" width="11.5454545454545" bestFit="1" customWidth="1"/>
    <col min="15" max="21" width="11.8181818181818" bestFit="1" customWidth="1"/>
    <col min="22" max="25" width="12.5454545454545" bestFit="1" customWidth="1"/>
    <col min="26" max="26" width="9.81818181818182" customWidth="1"/>
  </cols>
  <sheetData>
    <row r="1" s="242" customFormat="1" ht="15">
      <c r="A1" s="284" t="s">
        <v>256</v>
      </c>
    </row>
    <row r="2" s="242" customFormat="1" ht="15">
      <c r="A2" s="283" t="s">
        <v>243</v>
      </c>
    </row>
    <row r="3" s="242" customFormat="1" ht="15"/>
    <row r="4" s="242" customFormat="1" ht="15"/>
    <row r="5" s="242" customFormat="1" ht="15"/>
    <row r="6" s="242" customFormat="1" ht="15"/>
    <row r="7" spans="3:17" ht="15"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2" t="s">
        <v>11</v>
      </c>
      <c r="O7" s="194" t="s">
        <v>0</v>
      </c>
      <c r="P7" s="1" t="s">
        <v>1</v>
      </c>
      <c r="Q7" s="1" t="s">
        <v>2</v>
      </c>
    </row>
    <row r="8" spans="1:17" ht="15">
      <c r="A8" t="s">
        <v>12</v>
      </c>
      <c r="B8" s="193">
        <f>SUM(C8:N8)</f>
        <v>3637495.4882805585</v>
      </c>
      <c r="C8" s="3">
        <v>404727.53021701647</v>
      </c>
      <c r="D8" s="3">
        <v>305926.56073394307</v>
      </c>
      <c r="E8" s="3">
        <v>174825.27803798296</v>
      </c>
      <c r="F8" s="3">
        <v>319252.21384705772</v>
      </c>
      <c r="G8" s="3">
        <v>374630.40997862176</v>
      </c>
      <c r="H8" s="3">
        <v>228806.32100893205</v>
      </c>
      <c r="I8" s="3">
        <v>175736.90242606847</v>
      </c>
      <c r="J8" s="3">
        <v>139310.57231100238</v>
      </c>
      <c r="K8" s="3">
        <v>220216.09091582111</v>
      </c>
      <c r="L8" s="3">
        <v>367251.92169789685</v>
      </c>
      <c r="M8" s="3">
        <v>425907.76303631364</v>
      </c>
      <c r="N8" s="4">
        <v>500903.92406990228</v>
      </c>
      <c r="O8" s="197">
        <v>395827.75032219832</v>
      </c>
      <c r="P8" s="3">
        <v>299199.3705844346</v>
      </c>
      <c r="Q8" s="3">
        <v>170980.94727611422</v>
      </c>
    </row>
    <row r="9" spans="1:15" ht="15">
      <c r="A9" t="s">
        <v>155</v>
      </c>
      <c r="B9" s="193">
        <f>SUM(C9:N9)</f>
        <v>3859505.0300000003</v>
      </c>
      <c r="C9" s="196">
        <v>197443.75</v>
      </c>
      <c r="D9" s="196">
        <v>573503.59</v>
      </c>
      <c r="E9" s="196">
        <v>335437.65999999997</v>
      </c>
      <c r="F9" s="196">
        <v>344529.19</v>
      </c>
      <c r="G9" s="196">
        <v>442014.59</v>
      </c>
      <c r="H9" s="196">
        <v>318224.19</v>
      </c>
      <c r="I9" s="196">
        <v>233518.53</v>
      </c>
      <c r="J9" s="196">
        <v>103976.25</v>
      </c>
      <c r="K9" s="196">
        <v>164274.43</v>
      </c>
      <c r="L9" s="196">
        <v>264267.09999999998</v>
      </c>
      <c r="M9" s="196">
        <v>395178.49</v>
      </c>
      <c r="N9" s="196">
        <v>487137.26</v>
      </c>
      <c r="O9" s="198"/>
    </row>
    <row r="10" spans="1:15" ht="15">
      <c r="A10" t="s">
        <v>156</v>
      </c>
      <c r="B10" s="193">
        <f>SUM(C10:N10)</f>
        <v>3796036.35</v>
      </c>
      <c r="C10" s="196">
        <v>351522.37</v>
      </c>
      <c r="D10" s="196">
        <v>279309.33</v>
      </c>
      <c r="E10" s="196">
        <v>37565.60</v>
      </c>
      <c r="F10" s="196">
        <v>393489.26</v>
      </c>
      <c r="G10" s="196">
        <v>621017.72</v>
      </c>
      <c r="H10" s="196">
        <v>317352.24</v>
      </c>
      <c r="I10" s="196">
        <v>175788.79</v>
      </c>
      <c r="J10" s="196">
        <v>173813.21</v>
      </c>
      <c r="K10" s="196">
        <v>269130.11</v>
      </c>
      <c r="L10" s="196">
        <v>383668.04</v>
      </c>
      <c r="M10" s="3">
        <v>372052.78</v>
      </c>
      <c r="N10" s="199">
        <v>421326.90</v>
      </c>
      <c r="O10" s="31"/>
    </row>
    <row r="11" spans="1:15" ht="15">
      <c r="A11" t="s">
        <v>157</v>
      </c>
      <c r="B11" s="193">
        <f>AVERAGE(B9:B10)</f>
        <v>3827770.6900000004</v>
      </c>
      <c r="C11" s="193">
        <f t="shared" si="0" ref="C11:N11">AVERAGE(C9:C10)</f>
        <v>274483.06</v>
      </c>
      <c r="D11" s="193">
        <f t="shared" si="0"/>
        <v>426406.45999999996</v>
      </c>
      <c r="E11" s="193">
        <f t="shared" si="0"/>
        <v>186501.62999999998</v>
      </c>
      <c r="F11" s="193">
        <f t="shared" si="0"/>
        <v>369009.22499999998</v>
      </c>
      <c r="G11" s="193">
        <f t="shared" si="0"/>
        <v>531516.15500000003</v>
      </c>
      <c r="H11" s="193">
        <f t="shared" si="0"/>
        <v>317788.21499999997</v>
      </c>
      <c r="I11" s="193">
        <f t="shared" si="0"/>
        <v>204653.66</v>
      </c>
      <c r="J11" s="193">
        <f t="shared" si="0"/>
        <v>138894.72999999998</v>
      </c>
      <c r="K11" s="193">
        <f t="shared" si="0"/>
        <v>216702.27</v>
      </c>
      <c r="L11" s="193">
        <f t="shared" si="0"/>
        <v>323967.56999999995</v>
      </c>
      <c r="M11" s="193">
        <f t="shared" si="0"/>
        <v>383615.63500000001</v>
      </c>
      <c r="N11" s="193">
        <f t="shared" si="0"/>
        <v>454232.08</v>
      </c>
      <c r="O11" s="198"/>
    </row>
    <row r="13" ht="15.75" thickBot="1"/>
    <row r="14" spans="1:26" ht="15">
      <c r="A14" s="188" t="s">
        <v>151</v>
      </c>
      <c r="C14" s="268">
        <v>2020</v>
      </c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70"/>
      <c r="O14" s="141">
        <v>2021</v>
      </c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3"/>
    </row>
    <row r="15" spans="1:26" ht="15.75" thickBot="1">
      <c r="A15" t="s">
        <v>13</v>
      </c>
      <c r="B15" t="s">
        <v>153</v>
      </c>
      <c r="C15" s="186" t="s">
        <v>0</v>
      </c>
      <c r="D15" s="187" t="s">
        <v>1</v>
      </c>
      <c r="E15" s="9" t="s">
        <v>2</v>
      </c>
      <c r="F15" s="9" t="s">
        <v>3</v>
      </c>
      <c r="G15" s="9" t="s">
        <v>4</v>
      </c>
      <c r="H15" s="9" t="s">
        <v>5</v>
      </c>
      <c r="I15" s="9" t="s">
        <v>6</v>
      </c>
      <c r="J15" s="9" t="s">
        <v>7</v>
      </c>
      <c r="K15" s="9" t="s">
        <v>8</v>
      </c>
      <c r="L15" s="9" t="s">
        <v>9</v>
      </c>
      <c r="M15" s="9" t="s">
        <v>10</v>
      </c>
      <c r="N15" s="10" t="s">
        <v>11</v>
      </c>
      <c r="O15" s="8" t="s">
        <v>0</v>
      </c>
      <c r="P15" s="9" t="s">
        <v>1</v>
      </c>
      <c r="Q15" s="9" t="s">
        <v>2</v>
      </c>
      <c r="R15" s="9" t="s">
        <v>3</v>
      </c>
      <c r="S15" s="9" t="s">
        <v>4</v>
      </c>
      <c r="T15" s="9" t="s">
        <v>5</v>
      </c>
      <c r="U15" s="9" t="s">
        <v>6</v>
      </c>
      <c r="V15" s="9" t="s">
        <v>7</v>
      </c>
      <c r="W15" s="9" t="s">
        <v>8</v>
      </c>
      <c r="X15" s="9" t="s">
        <v>9</v>
      </c>
      <c r="Y15" s="9" t="s">
        <v>10</v>
      </c>
      <c r="Z15" s="10" t="s">
        <v>11</v>
      </c>
    </row>
    <row r="16" spans="1:17" ht="15.75" thickBot="1">
      <c r="A16" s="27" t="s">
        <v>42</v>
      </c>
      <c r="B16" s="29"/>
      <c r="C16" s="29"/>
      <c r="D16" s="29"/>
      <c r="E16" s="30"/>
      <c r="F16" s="30">
        <v>963039.92891919625</v>
      </c>
      <c r="G16" s="30">
        <v>1261138.9629148443</v>
      </c>
      <c r="H16" s="30">
        <v>975219.94981662754</v>
      </c>
      <c r="I16" s="30">
        <v>843780.52502629044</v>
      </c>
      <c r="J16" s="30">
        <v>759002.78969607002</v>
      </c>
      <c r="K16" s="30">
        <v>827398.56028610608</v>
      </c>
      <c r="L16" s="30">
        <v>1093468.1148156042</v>
      </c>
      <c r="M16" s="30">
        <v>1157639.5908418233</v>
      </c>
      <c r="N16" s="30">
        <v>1104701.163685865</v>
      </c>
      <c r="O16" s="30">
        <v>991042.5482198908</v>
      </c>
      <c r="P16" s="30">
        <v>608195.12782057538</v>
      </c>
      <c r="Q16" s="30">
        <v>406491.330441111</v>
      </c>
    </row>
    <row r="17" spans="1:25" ht="15">
      <c r="A17" s="33" t="s">
        <v>43</v>
      </c>
      <c r="B17" s="33"/>
      <c r="C17" s="190">
        <v>962120.67</v>
      </c>
      <c r="D17" s="190">
        <v>922716.47849871952</v>
      </c>
      <c r="E17" s="34">
        <v>963039.92891919625</v>
      </c>
      <c r="F17" s="34">
        <v>2224178.8918340406</v>
      </c>
      <c r="G17" s="34">
        <v>3199398.8416506681</v>
      </c>
      <c r="H17" s="34">
        <v>4043179.3666769583</v>
      </c>
      <c r="I17" s="34">
        <v>4802182.1563730286</v>
      </c>
      <c r="J17" s="34">
        <v>5629580.7166591343</v>
      </c>
      <c r="K17" s="34">
        <v>6723048.8314747382</v>
      </c>
      <c r="L17" s="34">
        <v>7880688.4223165615</v>
      </c>
      <c r="M17" s="34">
        <v>8985389.5860024262</v>
      </c>
      <c r="N17" s="34">
        <v>9976432.1342223175</v>
      </c>
      <c r="O17" s="34">
        <v>10584627.262042893</v>
      </c>
      <c r="P17" s="34">
        <v>10991118.592484005</v>
      </c>
      <c r="Q17" s="34">
        <v>10991118.592484005</v>
      </c>
      <c r="R17" s="34">
        <v>10991118.592484005</v>
      </c>
      <c r="S17" s="34">
        <v>10991118.592484005</v>
      </c>
      <c r="T17" s="34">
        <v>10991118.592484005</v>
      </c>
      <c r="U17" s="34">
        <v>10991118.592484005</v>
      </c>
      <c r="V17" s="34">
        <v>10991118.592484005</v>
      </c>
      <c r="W17" s="34">
        <v>10991118.592484005</v>
      </c>
      <c r="X17" s="34">
        <v>10991118.592484005</v>
      </c>
      <c r="Y17" s="34">
        <v>10991118.592484005</v>
      </c>
    </row>
    <row r="18" spans="1:25" ht="15">
      <c r="A18" s="33" t="s">
        <v>152</v>
      </c>
      <c r="B18" s="33"/>
      <c r="C18" s="36"/>
      <c r="D18" s="33"/>
      <c r="E18" s="31"/>
      <c r="F18" s="32"/>
      <c r="G18" s="32"/>
      <c r="H18" s="32"/>
      <c r="I18" s="32"/>
      <c r="J18" s="32"/>
      <c r="K18" s="32"/>
      <c r="L18" s="34">
        <v>-963039.92891919625</v>
      </c>
      <c r="M18" s="34">
        <v>-2224178.8918340406</v>
      </c>
      <c r="N18" s="34">
        <v>-3199398.8416506681</v>
      </c>
      <c r="O18" s="34">
        <v>-4043179.3666769583</v>
      </c>
      <c r="P18" s="34">
        <v>-4802182.1563730286</v>
      </c>
      <c r="Q18" s="34">
        <v>-5629580.7166591343</v>
      </c>
      <c r="R18" s="34">
        <v>-6723048.8314747382</v>
      </c>
      <c r="S18" s="34">
        <v>-7880688.4223165615</v>
      </c>
      <c r="T18" s="34">
        <v>-8985389.5860024262</v>
      </c>
      <c r="U18" s="34">
        <v>-9976432.1342223175</v>
      </c>
      <c r="V18" s="34">
        <v>-10584627.262042893</v>
      </c>
      <c r="W18" s="34">
        <v>-10991118.592484005</v>
      </c>
      <c r="X18" s="34">
        <v>-10991118.592484005</v>
      </c>
      <c r="Y18" s="34">
        <v>-10991118.592484005</v>
      </c>
    </row>
    <row r="19" spans="1:25" ht="15">
      <c r="A19" s="33" t="s">
        <v>149</v>
      </c>
      <c r="B19" s="192">
        <f>L19</f>
        <v>6917648.4933973653</v>
      </c>
      <c r="C19" s="190">
        <v>962120.67</v>
      </c>
      <c r="D19" s="190">
        <v>922716.47849871952</v>
      </c>
      <c r="E19" s="34">
        <v>963039.92891919625</v>
      </c>
      <c r="F19" s="34">
        <v>2224178.8918340406</v>
      </c>
      <c r="G19" s="34">
        <v>3199398.8416506681</v>
      </c>
      <c r="H19" s="34">
        <v>4043179.3666769583</v>
      </c>
      <c r="I19" s="34">
        <v>4802182.1563730286</v>
      </c>
      <c r="J19" s="34">
        <v>5629580.7166591343</v>
      </c>
      <c r="K19" s="34">
        <v>6723048.8314747382</v>
      </c>
      <c r="L19" s="191">
        <v>6917648.4933973653</v>
      </c>
      <c r="M19" s="34">
        <v>6761210.6941683851</v>
      </c>
      <c r="N19" s="34">
        <v>6777033.292571649</v>
      </c>
      <c r="O19" s="34">
        <v>6541447.8953659348</v>
      </c>
      <c r="P19" s="34">
        <v>6188936.4361109762</v>
      </c>
      <c r="Q19" s="34">
        <v>5361537.8758248705</v>
      </c>
      <c r="R19" s="34">
        <v>4268069.7610092666</v>
      </c>
      <c r="S19" s="34">
        <v>3110430.1701674433</v>
      </c>
      <c r="T19" s="34">
        <v>2005729.0064815786</v>
      </c>
      <c r="U19" s="34">
        <v>1014686.4582616873</v>
      </c>
      <c r="V19" s="34">
        <v>406491.3304411117</v>
      </c>
      <c r="W19" s="34">
        <v>0</v>
      </c>
      <c r="X19" s="34">
        <v>0</v>
      </c>
      <c r="Y19" s="34">
        <v>0</v>
      </c>
    </row>
    <row r="20" spans="1:25" ht="15">
      <c r="A20" s="33" t="s">
        <v>148</v>
      </c>
      <c r="B20" s="192">
        <f>L20</f>
        <v>5556460.971797362</v>
      </c>
      <c r="C20" s="190">
        <v>962120.67</v>
      </c>
      <c r="D20" s="190">
        <v>922716.47849871952</v>
      </c>
      <c r="E20" s="34">
        <v>773542.3076829412</v>
      </c>
      <c r="F20" s="34">
        <v>1786526.6236882571</v>
      </c>
      <c r="G20" s="34">
        <v>2569852.2863388364</v>
      </c>
      <c r="H20" s="34">
        <v>3247601.8945396869</v>
      </c>
      <c r="I20" s="34">
        <v>3857255.5047884374</v>
      </c>
      <c r="J20" s="34">
        <v>4521846.631778935</v>
      </c>
      <c r="K20" s="34">
        <v>5400152.7367619909</v>
      </c>
      <c r="L20" s="191">
        <v>5556460.971797362</v>
      </c>
      <c r="M20" s="34">
        <v>5430805.479651534</v>
      </c>
      <c r="N20" s="34">
        <v>5443514.661186859</v>
      </c>
      <c r="O20" s="34">
        <v>5254285.4648279594</v>
      </c>
      <c r="P20" s="34">
        <v>4971137.7785396148</v>
      </c>
      <c r="Q20" s="34">
        <v>4306546.6515491176</v>
      </c>
      <c r="R20" s="34">
        <v>3428240.5465660617</v>
      </c>
      <c r="S20" s="34">
        <v>2498390.003847749</v>
      </c>
      <c r="T20" s="34">
        <v>1611061.1799882613</v>
      </c>
      <c r="U20" s="34">
        <v>815026.33580235671</v>
      </c>
      <c r="V20" s="34">
        <v>326505.92396040633</v>
      </c>
      <c r="W20" s="34"/>
      <c r="X20" s="34"/>
      <c r="Y20" s="34"/>
    </row>
    <row r="21" spans="1:25" ht="15">
      <c r="A21" s="33" t="s">
        <v>158</v>
      </c>
      <c r="B21" s="192">
        <v>6237055</v>
      </c>
      <c r="C21" s="190">
        <f>AVERAGE(C19:C20)</f>
        <v>962120.67</v>
      </c>
      <c r="D21" s="190">
        <f t="shared" si="1" ref="D21:V21">AVERAGE(D19:D20)</f>
        <v>922716.47849871952</v>
      </c>
      <c r="E21" s="200">
        <f t="shared" si="1"/>
        <v>868291.11830106867</v>
      </c>
      <c r="F21" s="200">
        <f t="shared" si="1"/>
        <v>2005352.7577611487</v>
      </c>
      <c r="G21" s="200">
        <f t="shared" si="1"/>
        <v>2884625.5639947522</v>
      </c>
      <c r="H21" s="200">
        <f t="shared" si="1"/>
        <v>3645390.6306083226</v>
      </c>
      <c r="I21" s="200">
        <f t="shared" si="1"/>
        <v>4329718.8305807328</v>
      </c>
      <c r="J21" s="200">
        <f t="shared" si="1"/>
        <v>5075713.6742190346</v>
      </c>
      <c r="K21" s="200">
        <f t="shared" si="1"/>
        <v>6061600.7841183646</v>
      </c>
      <c r="L21" s="195">
        <f t="shared" si="1"/>
        <v>6237054.7325973641</v>
      </c>
      <c r="M21" s="200">
        <f t="shared" si="1"/>
        <v>6096008.0869099591</v>
      </c>
      <c r="N21" s="200">
        <f t="shared" si="1"/>
        <v>6110273.976879254</v>
      </c>
      <c r="O21" s="200">
        <f t="shared" si="1"/>
        <v>5897866.6800969467</v>
      </c>
      <c r="P21" s="200">
        <f t="shared" si="1"/>
        <v>5580037.107325295</v>
      </c>
      <c r="Q21" s="200">
        <f t="shared" si="1"/>
        <v>4834042.2636869941</v>
      </c>
      <c r="R21" s="200">
        <f t="shared" si="1"/>
        <v>3848155.1537876641</v>
      </c>
      <c r="S21" s="200">
        <f t="shared" si="1"/>
        <v>2804410.0870075962</v>
      </c>
      <c r="T21" s="200">
        <f t="shared" si="1"/>
        <v>1808395.0932349199</v>
      </c>
      <c r="U21" s="200">
        <f t="shared" si="1"/>
        <v>914856.39703202201</v>
      </c>
      <c r="V21" s="200">
        <f t="shared" si="1"/>
        <v>366498.62720075902</v>
      </c>
      <c r="W21" s="34"/>
      <c r="X21" s="34"/>
      <c r="Y21" s="34"/>
    </row>
    <row r="22" spans="1:25" ht="15">
      <c r="A22" s="33" t="s">
        <v>150</v>
      </c>
      <c r="B22" s="192">
        <f>B19-B20</f>
        <v>1361187.5216000034</v>
      </c>
      <c r="C22" s="189">
        <v>0</v>
      </c>
      <c r="D22" s="189">
        <v>0</v>
      </c>
      <c r="E22" s="34">
        <f>E19-E20</f>
        <v>189497.62123625504</v>
      </c>
      <c r="F22" s="34">
        <f t="shared" si="2" ref="F22:V22">F19-F20</f>
        <v>437652.26814578357</v>
      </c>
      <c r="G22" s="34">
        <f t="shared" si="2"/>
        <v>629546.55531183165</v>
      </c>
      <c r="H22" s="34">
        <f t="shared" si="2"/>
        <v>795577.47213727143</v>
      </c>
      <c r="I22" s="34">
        <f t="shared" si="2"/>
        <v>944926.65158459125</v>
      </c>
      <c r="J22" s="34">
        <f t="shared" si="2"/>
        <v>1107734.0848801993</v>
      </c>
      <c r="K22" s="34">
        <f t="shared" si="2"/>
        <v>1322896.0947127473</v>
      </c>
      <c r="L22" s="34">
        <f t="shared" si="2"/>
        <v>1361187.5216000034</v>
      </c>
      <c r="M22" s="34">
        <f t="shared" si="2"/>
        <v>1330405.2145168511</v>
      </c>
      <c r="N22" s="34">
        <f t="shared" si="2"/>
        <v>1333518.6313847899</v>
      </c>
      <c r="O22" s="34">
        <f t="shared" si="2"/>
        <v>1287162.4305379754</v>
      </c>
      <c r="P22" s="34">
        <f t="shared" si="2"/>
        <v>1217798.6575713614</v>
      </c>
      <c r="Q22" s="34">
        <f t="shared" si="2"/>
        <v>1054991.2242757529</v>
      </c>
      <c r="R22" s="34">
        <f t="shared" si="2"/>
        <v>839829.21444320492</v>
      </c>
      <c r="S22" s="34">
        <f t="shared" si="2"/>
        <v>612040.16631969437</v>
      </c>
      <c r="T22" s="34">
        <f t="shared" si="2"/>
        <v>394667.82649331726</v>
      </c>
      <c r="U22" s="34">
        <f t="shared" si="2"/>
        <v>199660.1224593306</v>
      </c>
      <c r="V22" s="34">
        <f t="shared" si="2"/>
        <v>79985.406480705366</v>
      </c>
      <c r="W22" s="34"/>
      <c r="X22" s="34"/>
      <c r="Y22" s="34"/>
    </row>
    <row r="23" spans="1:25" ht="15">
      <c r="A23" s="201" t="s">
        <v>159</v>
      </c>
      <c r="B23" s="192">
        <f>B21-B11</f>
        <v>2409284.3099999996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5">
      <c r="A24" s="33"/>
      <c r="B24" s="192"/>
      <c r="C24" s="189"/>
      <c r="D24" s="189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6" spans="1:25" ht="15">
      <c r="A26" s="33" t="s">
        <v>46</v>
      </c>
      <c r="B26" s="33"/>
      <c r="C26" s="31"/>
      <c r="D26" s="31"/>
      <c r="E26" s="34">
        <v>306719.09308413148</v>
      </c>
      <c r="F26" s="34">
        <v>635037.25177881017</v>
      </c>
      <c r="G26" s="34">
        <v>693530.73570796475</v>
      </c>
      <c r="H26" s="34">
        <v>1134536.7525578367</v>
      </c>
      <c r="I26" s="34">
        <v>1567062.4861358285</v>
      </c>
      <c r="J26" s="34">
        <v>2683455.0828396329</v>
      </c>
      <c r="K26" s="34">
        <v>2095183.1236774048</v>
      </c>
      <c r="L26" s="34">
        <v>2896471.7374241669</v>
      </c>
      <c r="M26" s="34">
        <v>2015657.3840612487</v>
      </c>
      <c r="N26" s="34">
        <v>1634752.398209828</v>
      </c>
      <c r="O26" s="34">
        <v>2103510.8903061054</v>
      </c>
      <c r="P26" s="34">
        <v>1141256.9623698453</v>
      </c>
      <c r="Q26" s="34">
        <v>1707599.0158111143</v>
      </c>
      <c r="R26" s="34">
        <v>1218599.5026670748</v>
      </c>
      <c r="S26" s="34">
        <v>674245.07885722746</v>
      </c>
      <c r="T26" s="34">
        <v>562817.78945536457</v>
      </c>
      <c r="U26" s="34">
        <v>331115.52876471158</v>
      </c>
      <c r="V26" s="34">
        <v>193762.42773720817</v>
      </c>
      <c r="W26" s="34"/>
      <c r="X26" s="34"/>
      <c r="Y26" s="34"/>
    </row>
    <row r="27" spans="1:22" ht="15">
      <c r="A27" s="33" t="s">
        <v>47</v>
      </c>
      <c r="B27" s="33"/>
      <c r="E27" s="17">
        <v>656320.83583506476</v>
      </c>
      <c r="F27" s="17">
        <v>1589141.6400552304</v>
      </c>
      <c r="G27" s="17">
        <v>2505868.1059427033</v>
      </c>
      <c r="H27" s="17">
        <v>2908642.6141191218</v>
      </c>
      <c r="I27" s="17">
        <v>3235119.6702372003</v>
      </c>
      <c r="J27" s="17">
        <v>2946125.6338195014</v>
      </c>
      <c r="K27" s="17">
        <v>4627865.7077973336</v>
      </c>
      <c r="L27" s="17">
        <v>4021176.7559731985</v>
      </c>
      <c r="M27" s="17">
        <v>4745553.3101071361</v>
      </c>
      <c r="N27" s="17">
        <v>5142280.894361821</v>
      </c>
      <c r="O27" s="17">
        <v>4437937.005059829</v>
      </c>
      <c r="P27" s="17">
        <v>5047679.4737411309</v>
      </c>
      <c r="Q27" s="17">
        <v>3653938.860013756</v>
      </c>
      <c r="R27" s="17">
        <v>3049470.2583421916</v>
      </c>
      <c r="S27" s="17">
        <v>2436185.0913102161</v>
      </c>
      <c r="T27" s="17">
        <v>1442911.2170262141</v>
      </c>
      <c r="U27" s="17">
        <v>683570.92949697573</v>
      </c>
      <c r="V27" s="17">
        <v>212728.90270390353</v>
      </c>
    </row>
    <row r="29" spans="1:14" ht="15">
      <c r="A29" t="s">
        <v>154</v>
      </c>
      <c r="B29" s="151">
        <f>K29</f>
        <v>1325929.5385594952</v>
      </c>
      <c r="C29" s="151">
        <v>922716.47849871952</v>
      </c>
      <c r="D29" s="151">
        <v>1026264.8743238028</v>
      </c>
      <c r="E29" s="151">
        <v>1016915.3659492959</v>
      </c>
      <c r="F29" s="151">
        <v>994034.68902870617</v>
      </c>
      <c r="G29" s="151">
        <v>1005937.9173699577</v>
      </c>
      <c r="H29" s="151">
        <v>1124168.3896672924</v>
      </c>
      <c r="I29" s="151">
        <v>1268716.1200841365</v>
      </c>
      <c r="J29" s="151">
        <v>1308184.1741412985</v>
      </c>
      <c r="K29" s="195">
        <v>1325929.5385594952</v>
      </c>
      <c r="L29" s="151">
        <v>1248533.3274455876</v>
      </c>
      <c r="M29" s="151">
        <v>1137294.6751662425</v>
      </c>
      <c r="N29" s="151">
        <v>1038217.5217317372</v>
      </c>
    </row>
  </sheetData>
  <mergeCells count="1">
    <mergeCell ref="C14:N14"/>
  </mergeCells>
  <pageMargins left="0.7" right="0.7" top="0.75" bottom="0.75" header="0.3" footer="0.3"/>
  <pageSetup orientation="portrait" r:id="rId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2"/>
  <sheetViews>
    <sheetView workbookViewId="0" topLeftCell="A1">
      <selection pane="topLeft" activeCell="A1" sqref="A1"/>
    </sheetView>
  </sheetViews>
  <sheetFormatPr defaultColWidth="8.72727272727273" defaultRowHeight="15"/>
  <cols>
    <col min="1" max="1" width="12.5454545454545" customWidth="1"/>
    <col min="2" max="5" width="15.7272727272727" customWidth="1"/>
    <col min="8" max="8" width="10.1818181818182" bestFit="1" customWidth="1"/>
  </cols>
  <sheetData>
    <row r="1" s="242" customFormat="1" ht="15">
      <c r="A1" s="282" t="s">
        <v>259</v>
      </c>
    </row>
    <row r="2" s="242" customFormat="1" ht="15">
      <c r="A2" s="281" t="s">
        <v>243</v>
      </c>
    </row>
    <row r="3" s="242" customFormat="1" ht="15"/>
    <row r="4" s="242" customFormat="1" ht="15"/>
    <row r="5" s="242" customFormat="1" ht="15"/>
    <row r="6" s="242" customFormat="1" ht="15"/>
    <row r="7" ht="15">
      <c r="A7" t="s">
        <v>123</v>
      </c>
    </row>
    <row r="9" spans="1:5" ht="15">
      <c r="A9" s="1" t="s">
        <v>124</v>
      </c>
      <c r="B9" s="1" t="s">
        <v>125</v>
      </c>
      <c r="C9" s="1" t="s">
        <v>126</v>
      </c>
      <c r="D9" s="1" t="s">
        <v>127</v>
      </c>
      <c r="E9" s="1" t="s">
        <v>128</v>
      </c>
    </row>
    <row r="10" spans="1:8" ht="15">
      <c r="A10" t="s">
        <v>129</v>
      </c>
      <c r="B10" s="151">
        <v>962120.67</v>
      </c>
      <c r="C10" s="3">
        <v>365323.33871573588</v>
      </c>
      <c r="D10" s="3">
        <v>404727.53021701647</v>
      </c>
      <c r="E10" s="151">
        <f>B10+C10-D10</f>
        <v>922716.47849871952</v>
      </c>
      <c r="H10" s="151">
        <v>922716.47849871952</v>
      </c>
    </row>
    <row r="11" spans="1:8" ht="15">
      <c r="A11" t="s">
        <v>130</v>
      </c>
      <c r="B11" s="151">
        <f>E10</f>
        <v>922716.47849871952</v>
      </c>
      <c r="C11" s="3">
        <v>409474.95655902621</v>
      </c>
      <c r="D11" s="3">
        <v>305926.56073394307</v>
      </c>
      <c r="E11" s="151">
        <f t="shared" si="0" ref="E11:E21">B11+C11-D11</f>
        <v>1026264.8743238028</v>
      </c>
      <c r="H11" s="151">
        <v>1026264.8743238028</v>
      </c>
    </row>
    <row r="12" spans="1:8" ht="15">
      <c r="A12" t="s">
        <v>131</v>
      </c>
      <c r="B12" s="151">
        <f t="shared" si="1" ref="B12:B21">E11</f>
        <v>1026264.8743238028</v>
      </c>
      <c r="C12" s="3">
        <v>165475.76966347604</v>
      </c>
      <c r="D12" s="3">
        <v>174825.27803798296</v>
      </c>
      <c r="E12" s="151">
        <f t="shared" si="0"/>
        <v>1016915.3659492959</v>
      </c>
      <c r="H12" s="151">
        <v>1016915.3659492959</v>
      </c>
    </row>
    <row r="13" spans="1:8" ht="15">
      <c r="A13" t="s">
        <v>132</v>
      </c>
      <c r="B13" s="151">
        <f t="shared" si="1"/>
        <v>1016915.3659492959</v>
      </c>
      <c r="C13" s="3">
        <v>296371.53692646784</v>
      </c>
      <c r="D13" s="3">
        <v>319252.21384705772</v>
      </c>
      <c r="E13" s="151">
        <f t="shared" si="0"/>
        <v>994034.68902870617</v>
      </c>
      <c r="H13" s="151">
        <v>994034.68902870617</v>
      </c>
    </row>
    <row r="14" spans="1:8" ht="15">
      <c r="A14" t="s">
        <v>4</v>
      </c>
      <c r="B14" s="151">
        <f t="shared" si="1"/>
        <v>994034.68902870617</v>
      </c>
      <c r="C14" s="3">
        <v>386533.63831987331</v>
      </c>
      <c r="D14" s="3">
        <v>374630.40997862176</v>
      </c>
      <c r="E14" s="151">
        <f t="shared" si="0"/>
        <v>1005937.9173699577</v>
      </c>
      <c r="H14" s="151">
        <v>1005937.9173699577</v>
      </c>
    </row>
    <row r="15" spans="1:8" ht="15">
      <c r="A15" t="s">
        <v>133</v>
      </c>
      <c r="B15" s="151">
        <f t="shared" si="1"/>
        <v>1005937.9173699577</v>
      </c>
      <c r="C15" s="3">
        <v>347036.79330626666</v>
      </c>
      <c r="D15" s="3">
        <v>228806.32100893205</v>
      </c>
      <c r="E15" s="151">
        <f t="shared" si="0"/>
        <v>1124168.3896672924</v>
      </c>
      <c r="H15" s="151">
        <v>1124168.3896672924</v>
      </c>
    </row>
    <row r="16" spans="1:8" ht="15">
      <c r="A16" t="s">
        <v>134</v>
      </c>
      <c r="B16" s="151">
        <f t="shared" si="1"/>
        <v>1124168.3896672924</v>
      </c>
      <c r="C16" s="3">
        <v>320284.63284291246</v>
      </c>
      <c r="D16" s="3">
        <v>175736.90242606847</v>
      </c>
      <c r="E16" s="151">
        <f t="shared" si="0"/>
        <v>1268716.1200841365</v>
      </c>
      <c r="H16" s="151">
        <v>1268716.1200841365</v>
      </c>
    </row>
    <row r="17" spans="1:8" ht="15">
      <c r="A17" t="s">
        <v>135</v>
      </c>
      <c r="B17" s="151">
        <f t="shared" si="1"/>
        <v>1268716.1200841365</v>
      </c>
      <c r="C17" s="3">
        <v>178778.62636816426</v>
      </c>
      <c r="D17" s="3">
        <v>139310.57231100238</v>
      </c>
      <c r="E17" s="151">
        <f t="shared" si="0"/>
        <v>1308184.1741412985</v>
      </c>
      <c r="H17" s="151">
        <v>1308184.1741412985</v>
      </c>
    </row>
    <row r="18" spans="1:8" ht="15">
      <c r="A18" t="s">
        <v>136</v>
      </c>
      <c r="B18" s="151">
        <f t="shared" si="1"/>
        <v>1308184.1741412985</v>
      </c>
      <c r="C18" s="3">
        <v>237961.45533401769</v>
      </c>
      <c r="D18" s="3">
        <v>220216.09091582111</v>
      </c>
      <c r="E18" s="151">
        <f t="shared" si="0"/>
        <v>1325929.5385594952</v>
      </c>
      <c r="H18" s="151">
        <v>1325929.5385594952</v>
      </c>
    </row>
    <row r="19" spans="1:8" ht="15">
      <c r="A19" t="s">
        <v>137</v>
      </c>
      <c r="B19" s="151">
        <f t="shared" si="1"/>
        <v>1325929.5385594952</v>
      </c>
      <c r="C19" s="3">
        <v>289855.71058398939</v>
      </c>
      <c r="D19" s="3">
        <v>367251.92169789685</v>
      </c>
      <c r="E19" s="151">
        <f t="shared" si="0"/>
        <v>1248533.3274455876</v>
      </c>
      <c r="H19" s="151">
        <v>1248533.3274455876</v>
      </c>
    </row>
    <row r="20" spans="1:8" ht="15">
      <c r="A20" t="s">
        <v>138</v>
      </c>
      <c r="B20" s="151">
        <f t="shared" si="1"/>
        <v>1248533.3274455876</v>
      </c>
      <c r="C20" s="3">
        <v>314669.11075696873</v>
      </c>
      <c r="D20" s="3">
        <v>425907.76303631364</v>
      </c>
      <c r="E20" s="151">
        <f t="shared" si="0"/>
        <v>1137294.6751662425</v>
      </c>
      <c r="H20" s="151">
        <v>1137294.6751662425</v>
      </c>
    </row>
    <row r="21" spans="1:8" ht="15">
      <c r="A21" t="s">
        <v>139</v>
      </c>
      <c r="B21" s="151">
        <f t="shared" si="1"/>
        <v>1137294.6751662425</v>
      </c>
      <c r="C21" s="3">
        <v>401826.77063539688</v>
      </c>
      <c r="D21" s="3">
        <v>500903.92406990228</v>
      </c>
      <c r="E21" s="151">
        <f t="shared" si="0"/>
        <v>1038217.5217317372</v>
      </c>
      <c r="H21" s="151">
        <v>1038217.5217317372</v>
      </c>
    </row>
    <row r="22" spans="2:5" ht="15">
      <c r="B22" s="151"/>
      <c r="C22" s="151"/>
      <c r="D22" s="151"/>
      <c r="E22" s="151"/>
    </row>
  </sheetData>
  <pageMargins left="0.7" right="0.7" top="0.75" bottom="0.75" header="0.3" footer="0.3"/>
  <pageSetup orientation="portrait" r:id="rId2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G116"/>
  <sheetViews>
    <sheetView tabSelected="1" workbookViewId="0" topLeftCell="A1">
      <pane ySplit="8" topLeftCell="A9" activePane="bottomLeft" state="frozen"/>
      <selection pane="topLeft" activeCell="A2" sqref="A1:A2"/>
      <selection pane="bottomLeft" activeCell="F1" sqref="F1"/>
    </sheetView>
  </sheetViews>
  <sheetFormatPr defaultColWidth="9.140625" defaultRowHeight="15"/>
  <cols>
    <col min="1" max="1" width="7.54545454545455" customWidth="1"/>
    <col min="2" max="2" width="9.18181818181818" style="160"/>
    <col min="3" max="3" width="15.8181818181818" customWidth="1"/>
    <col min="4" max="4" width="15.5454545454545" customWidth="1"/>
    <col min="5" max="5" width="15" customWidth="1"/>
    <col min="6" max="6" width="12.8181818181818" customWidth="1"/>
    <col min="7" max="7" width="15.5454545454545" customWidth="1"/>
    <col min="8" max="8" width="1.72727272727273" customWidth="1"/>
    <col min="10" max="10" width="9.81818181818182" bestFit="1" customWidth="1"/>
    <col min="11" max="11" width="10.8181818181818" bestFit="1" customWidth="1"/>
  </cols>
  <sheetData>
    <row r="1" spans="1:2" s="242" customFormat="1" ht="15">
      <c r="A1" s="276" t="s">
        <v>257</v>
      </c>
      <c r="B1" s="160"/>
    </row>
    <row r="2" spans="1:2" s="242" customFormat="1" ht="15">
      <c r="A2" s="280" t="s">
        <v>243</v>
      </c>
      <c r="B2" s="160"/>
    </row>
    <row r="3" s="242" customFormat="1" ht="15">
      <c r="B3" s="160"/>
    </row>
    <row r="4" s="242" customFormat="1" ht="15">
      <c r="B4" s="160"/>
    </row>
    <row r="5" s="242" customFormat="1" ht="15">
      <c r="B5" s="160"/>
    </row>
    <row r="6" spans="1:7" ht="21.75" customHeight="1">
      <c r="A6" s="274" t="s">
        <v>140</v>
      </c>
      <c r="B6" s="274"/>
      <c r="C6" s="274"/>
      <c r="D6" s="274"/>
      <c r="E6" s="274"/>
      <c r="F6" s="274"/>
      <c r="G6" s="274"/>
    </row>
    <row r="7" spans="1:7" ht="25.5" customHeight="1">
      <c r="A7" s="275" t="s">
        <v>141</v>
      </c>
      <c r="B7" s="275"/>
      <c r="C7" s="275"/>
      <c r="D7" s="275"/>
      <c r="E7" s="275"/>
      <c r="F7" s="275"/>
      <c r="G7" s="275"/>
    </row>
    <row r="8" spans="1:7" ht="45.75" customHeight="1">
      <c r="A8" s="152" t="s">
        <v>124</v>
      </c>
      <c r="B8" s="152" t="s">
        <v>142</v>
      </c>
      <c r="C8" s="152" t="s">
        <v>143</v>
      </c>
      <c r="D8" s="153" t="s">
        <v>144</v>
      </c>
      <c r="E8" s="153" t="s">
        <v>26</v>
      </c>
      <c r="F8" s="153" t="s">
        <v>145</v>
      </c>
      <c r="G8" s="153" t="s">
        <v>146</v>
      </c>
    </row>
    <row r="9" spans="1:11" s="154" customFormat="1" ht="15" hidden="1">
      <c r="A9" s="154" t="s">
        <v>0</v>
      </c>
      <c r="B9" s="155">
        <v>2011</v>
      </c>
      <c r="C9" s="156">
        <v>2014080.44</v>
      </c>
      <c r="D9" s="157">
        <v>643175.76</v>
      </c>
      <c r="E9" s="157">
        <v>419381.35</v>
      </c>
      <c r="F9" s="158">
        <f t="shared" si="0" ref="F9:F72">D9-E9</f>
        <v>223794.41000000003</v>
      </c>
      <c r="G9" s="158">
        <f t="shared" si="1" ref="G9:G72">C9+F9</f>
        <v>2237874.85</v>
      </c>
      <c r="H9" s="158"/>
      <c r="K9" s="159"/>
    </row>
    <row r="10" spans="1:11" s="154" customFormat="1" ht="15" hidden="1">
      <c r="A10" s="154" t="s">
        <v>1</v>
      </c>
      <c r="B10" s="155">
        <v>2011</v>
      </c>
      <c r="C10" s="156">
        <f t="shared" si="2" ref="C10:C73">G9</f>
        <v>2237874.85</v>
      </c>
      <c r="D10" s="157">
        <v>-84048.79</v>
      </c>
      <c r="E10" s="157">
        <v>165501.17000000001</v>
      </c>
      <c r="F10" s="158">
        <f t="shared" si="0"/>
        <v>-249549.96000000002</v>
      </c>
      <c r="G10" s="158">
        <f t="shared" si="1"/>
        <v>1988324.8900000001</v>
      </c>
      <c r="H10" s="158"/>
      <c r="K10" s="159"/>
    </row>
    <row r="11" spans="1:11" s="154" customFormat="1" ht="15" hidden="1">
      <c r="A11" s="154" t="s">
        <v>2</v>
      </c>
      <c r="B11" s="155">
        <v>2011</v>
      </c>
      <c r="C11" s="156">
        <f t="shared" si="2"/>
        <v>1988324.8900000001</v>
      </c>
      <c r="D11" s="157">
        <v>-383676.94</v>
      </c>
      <c r="E11" s="157">
        <v>86696.60</v>
      </c>
      <c r="F11" s="158">
        <f t="shared" si="0"/>
        <v>-470373.54000000004</v>
      </c>
      <c r="G11" s="158">
        <f t="shared" si="1"/>
        <v>1517951.35</v>
      </c>
      <c r="H11" s="158"/>
      <c r="K11" s="159"/>
    </row>
    <row r="12" spans="1:11" ht="15" hidden="1">
      <c r="A12" t="s">
        <v>3</v>
      </c>
      <c r="B12" s="160">
        <v>2011</v>
      </c>
      <c r="C12" s="161">
        <f t="shared" si="2"/>
        <v>1517951.35</v>
      </c>
      <c r="D12" s="162">
        <v>257119.12</v>
      </c>
      <c r="E12" s="162">
        <v>236618.47</v>
      </c>
      <c r="F12" s="163">
        <f t="shared" si="0"/>
        <v>20500.649999999994</v>
      </c>
      <c r="G12" s="163">
        <f t="shared" si="1"/>
        <v>1538452</v>
      </c>
      <c r="H12" s="163"/>
      <c r="K12" s="164"/>
    </row>
    <row r="13" spans="1:11" ht="15" hidden="1">
      <c r="A13" t="s">
        <v>4</v>
      </c>
      <c r="B13" s="160">
        <v>2011</v>
      </c>
      <c r="C13" s="161">
        <f t="shared" si="2"/>
        <v>1538452</v>
      </c>
      <c r="D13" s="162">
        <v>464419.44</v>
      </c>
      <c r="E13" s="162">
        <v>363730.14</v>
      </c>
      <c r="F13" s="163">
        <f t="shared" si="0"/>
        <v>100689.29999999999</v>
      </c>
      <c r="G13" s="163">
        <f t="shared" si="1"/>
        <v>1639141.30</v>
      </c>
      <c r="H13" s="163"/>
      <c r="K13" s="164"/>
    </row>
    <row r="14" spans="1:11" ht="15" hidden="1">
      <c r="A14" t="s">
        <v>5</v>
      </c>
      <c r="B14" s="160">
        <v>2011</v>
      </c>
      <c r="C14" s="161">
        <f t="shared" si="2"/>
        <v>1639141.30</v>
      </c>
      <c r="D14" s="162">
        <v>235780.81</v>
      </c>
      <c r="E14" s="162">
        <v>214528.43</v>
      </c>
      <c r="F14" s="163">
        <f t="shared" si="0"/>
        <v>21252.380000000005</v>
      </c>
      <c r="G14" s="163">
        <f t="shared" si="1"/>
        <v>1660393.6800000002</v>
      </c>
      <c r="H14" s="163"/>
      <c r="K14" s="164"/>
    </row>
    <row r="15" spans="1:11" s="154" customFormat="1" ht="15" hidden="1">
      <c r="A15" s="154" t="s">
        <v>6</v>
      </c>
      <c r="B15" s="155">
        <v>2011</v>
      </c>
      <c r="C15" s="156">
        <f t="shared" si="2"/>
        <v>1660393.6800000002</v>
      </c>
      <c r="D15" s="157">
        <v>254105.96</v>
      </c>
      <c r="E15" s="157">
        <v>188653.50</v>
      </c>
      <c r="F15" s="158">
        <f t="shared" si="0"/>
        <v>65452.459999999992</v>
      </c>
      <c r="G15" s="158">
        <f t="shared" si="1"/>
        <v>1725846.1400000001</v>
      </c>
      <c r="H15" s="158"/>
      <c r="K15" s="159"/>
    </row>
    <row r="16" spans="1:11" s="154" customFormat="1" ht="15" hidden="1">
      <c r="A16" s="154" t="s">
        <v>7</v>
      </c>
      <c r="B16" s="155">
        <v>2011</v>
      </c>
      <c r="C16" s="156">
        <f t="shared" si="2"/>
        <v>1725846.1400000001</v>
      </c>
      <c r="D16" s="157">
        <v>162619.85999999999</v>
      </c>
      <c r="E16" s="157">
        <v>135994.45000000001</v>
      </c>
      <c r="F16" s="158">
        <f t="shared" si="0"/>
        <v>26625.409999999974</v>
      </c>
      <c r="G16" s="158">
        <f t="shared" si="1"/>
        <v>1752471.55</v>
      </c>
      <c r="H16" s="158"/>
      <c r="K16" s="159"/>
    </row>
    <row r="17" spans="1:11" s="154" customFormat="1" ht="15" hidden="1">
      <c r="A17" s="154" t="s">
        <v>8</v>
      </c>
      <c r="B17" s="155">
        <v>2011</v>
      </c>
      <c r="C17" s="156">
        <f t="shared" si="2"/>
        <v>1752471.55</v>
      </c>
      <c r="D17" s="157">
        <v>294711.02</v>
      </c>
      <c r="E17" s="157">
        <v>184679.47</v>
      </c>
      <c r="F17" s="158">
        <f t="shared" si="0"/>
        <v>110031.55000000002</v>
      </c>
      <c r="G17" s="158">
        <f t="shared" si="1"/>
        <v>1862503.10</v>
      </c>
      <c r="H17" s="158"/>
      <c r="K17" s="159"/>
    </row>
    <row r="18" spans="1:11" ht="15" hidden="1">
      <c r="A18" t="s">
        <v>9</v>
      </c>
      <c r="B18" s="160">
        <v>2011</v>
      </c>
      <c r="C18" s="161">
        <f t="shared" si="2"/>
        <v>1862503.10</v>
      </c>
      <c r="D18" s="162">
        <v>515044.36</v>
      </c>
      <c r="E18" s="162">
        <v>455143.34</v>
      </c>
      <c r="F18" s="163">
        <f t="shared" si="0"/>
        <v>59901.01999999996</v>
      </c>
      <c r="G18" s="163">
        <f t="shared" si="1"/>
        <v>1922404.12</v>
      </c>
      <c r="H18" s="163"/>
      <c r="K18" s="164"/>
    </row>
    <row r="19" spans="1:11" ht="15" hidden="1">
      <c r="A19" t="s">
        <v>10</v>
      </c>
      <c r="B19" s="160">
        <v>2011</v>
      </c>
      <c r="C19" s="161">
        <f t="shared" si="2"/>
        <v>1922404.12</v>
      </c>
      <c r="D19" s="162">
        <v>432523.84</v>
      </c>
      <c r="E19" s="162">
        <v>423844.96</v>
      </c>
      <c r="F19" s="163">
        <f t="shared" si="0"/>
        <v>8678.8800000000047</v>
      </c>
      <c r="G19" s="163">
        <f t="shared" si="1"/>
        <v>1931083</v>
      </c>
      <c r="H19" s="163"/>
      <c r="K19" s="164"/>
    </row>
    <row r="20" spans="1:11" ht="15" hidden="1">
      <c r="A20" t="s">
        <v>11</v>
      </c>
      <c r="B20" s="160">
        <v>2011</v>
      </c>
      <c r="C20" s="161">
        <f t="shared" si="2"/>
        <v>1931083</v>
      </c>
      <c r="D20" s="162">
        <v>540806</v>
      </c>
      <c r="E20" s="162">
        <v>509557.77</v>
      </c>
      <c r="F20" s="163">
        <f t="shared" si="0"/>
        <v>31248.229999999981</v>
      </c>
      <c r="G20" s="163">
        <f t="shared" si="1"/>
        <v>1962331.23</v>
      </c>
      <c r="H20" s="163"/>
      <c r="K20" s="164"/>
    </row>
    <row r="21" spans="1:11" s="154" customFormat="1" ht="15" hidden="1">
      <c r="A21" s="154" t="s">
        <v>0</v>
      </c>
      <c r="B21" s="155">
        <v>2012</v>
      </c>
      <c r="C21" s="156">
        <f t="shared" si="2"/>
        <v>1962331.23</v>
      </c>
      <c r="D21" s="157">
        <v>526843.07999999996</v>
      </c>
      <c r="E21" s="157">
        <v>491142.25</v>
      </c>
      <c r="F21" s="158">
        <f t="shared" si="0"/>
        <v>35700.829999999958</v>
      </c>
      <c r="G21" s="158">
        <f t="shared" si="1"/>
        <v>1998032.06</v>
      </c>
      <c r="H21" s="158"/>
      <c r="K21" s="159"/>
    </row>
    <row r="22" spans="1:11" s="154" customFormat="1" ht="15" hidden="1">
      <c r="A22" s="154" t="s">
        <v>1</v>
      </c>
      <c r="B22" s="155">
        <v>2012</v>
      </c>
      <c r="C22" s="156">
        <f t="shared" si="2"/>
        <v>1998032.06</v>
      </c>
      <c r="D22" s="157">
        <v>-48990.85</v>
      </c>
      <c r="E22" s="157">
        <v>199478.50</v>
      </c>
      <c r="F22" s="158">
        <f t="shared" si="0"/>
        <v>-248469.35</v>
      </c>
      <c r="G22" s="158">
        <f t="shared" si="1"/>
        <v>1749562.71</v>
      </c>
      <c r="H22" s="158"/>
      <c r="K22" s="159"/>
    </row>
    <row r="23" spans="1:11" s="154" customFormat="1" ht="15" hidden="1">
      <c r="A23" s="154" t="s">
        <v>2</v>
      </c>
      <c r="B23" s="155">
        <v>2012</v>
      </c>
      <c r="C23" s="156">
        <f t="shared" si="2"/>
        <v>1749562.71</v>
      </c>
      <c r="D23" s="157">
        <v>-203407.27</v>
      </c>
      <c r="E23" s="157">
        <v>112657.18</v>
      </c>
      <c r="F23" s="158">
        <f t="shared" si="0"/>
        <v>-316064.44999999995</v>
      </c>
      <c r="G23" s="158">
        <f t="shared" si="1"/>
        <v>1433498.26</v>
      </c>
      <c r="H23" s="158"/>
      <c r="K23" s="159"/>
    </row>
    <row r="24" spans="1:11" ht="15" hidden="1">
      <c r="A24" t="s">
        <v>3</v>
      </c>
      <c r="B24" s="160">
        <v>2012</v>
      </c>
      <c r="C24" s="161">
        <f t="shared" si="2"/>
        <v>1433498.26</v>
      </c>
      <c r="D24" s="162">
        <v>253467.42</v>
      </c>
      <c r="E24" s="162">
        <v>280766.71000000002</v>
      </c>
      <c r="F24" s="163">
        <f t="shared" si="0"/>
        <v>-27299.290000000008</v>
      </c>
      <c r="G24" s="163">
        <f t="shared" si="1"/>
        <v>1406198.97</v>
      </c>
      <c r="H24" s="163"/>
      <c r="K24" s="164"/>
    </row>
    <row r="25" spans="1:11" ht="15" hidden="1">
      <c r="A25" t="s">
        <v>4</v>
      </c>
      <c r="B25" s="160">
        <v>2012</v>
      </c>
      <c r="C25" s="161">
        <f t="shared" si="2"/>
        <v>1406198.97</v>
      </c>
      <c r="D25" s="162">
        <v>290609.43</v>
      </c>
      <c r="E25" s="162">
        <v>202320.29</v>
      </c>
      <c r="F25" s="163">
        <f t="shared" si="0"/>
        <v>88289.139999999985</v>
      </c>
      <c r="G25" s="163">
        <f t="shared" si="1"/>
        <v>1494488.1099999999</v>
      </c>
      <c r="H25" s="163"/>
      <c r="K25" s="164"/>
    </row>
    <row r="26" spans="1:11" ht="15" hidden="1">
      <c r="A26" t="s">
        <v>5</v>
      </c>
      <c r="B26" s="160">
        <v>2012</v>
      </c>
      <c r="C26" s="161">
        <f t="shared" si="2"/>
        <v>1494488.1099999999</v>
      </c>
      <c r="D26" s="162">
        <v>125273.34</v>
      </c>
      <c r="E26" s="162">
        <v>156569.04</v>
      </c>
      <c r="F26" s="163">
        <f t="shared" si="0"/>
        <v>-31295.700000000012</v>
      </c>
      <c r="G26" s="163">
        <f t="shared" si="1"/>
        <v>1463192.41</v>
      </c>
      <c r="H26" s="163"/>
      <c r="K26" s="164"/>
    </row>
    <row r="27" spans="1:11" s="154" customFormat="1" ht="15" hidden="1">
      <c r="A27" s="154" t="s">
        <v>6</v>
      </c>
      <c r="B27" s="155">
        <v>2012</v>
      </c>
      <c r="C27" s="156">
        <f t="shared" si="2"/>
        <v>1463192.41</v>
      </c>
      <c r="D27" s="157">
        <v>175227.64</v>
      </c>
      <c r="E27" s="157">
        <v>127395.63</v>
      </c>
      <c r="F27" s="158">
        <f t="shared" si="0"/>
        <v>47832.010000000009</v>
      </c>
      <c r="G27" s="158">
        <f t="shared" si="1"/>
        <v>1511024.42</v>
      </c>
      <c r="H27" s="158"/>
      <c r="K27" s="159"/>
    </row>
    <row r="28" spans="1:11" s="154" customFormat="1" ht="15" hidden="1">
      <c r="A28" s="154" t="s">
        <v>7</v>
      </c>
      <c r="B28" s="155">
        <v>2012</v>
      </c>
      <c r="C28" s="156">
        <f t="shared" si="2"/>
        <v>1511024.42</v>
      </c>
      <c r="D28" s="157">
        <v>147552.54</v>
      </c>
      <c r="E28" s="157">
        <v>162016.81</v>
      </c>
      <c r="F28" s="158">
        <f t="shared" si="0"/>
        <v>-14464.26999999999</v>
      </c>
      <c r="G28" s="158">
        <f t="shared" si="1"/>
        <v>1496560.15</v>
      </c>
      <c r="H28" s="158"/>
      <c r="K28" s="159"/>
    </row>
    <row r="29" spans="1:11" s="154" customFormat="1" ht="15" hidden="1">
      <c r="A29" s="154" t="s">
        <v>8</v>
      </c>
      <c r="B29" s="155">
        <v>2012</v>
      </c>
      <c r="C29" s="156">
        <f t="shared" si="2"/>
        <v>1496560.15</v>
      </c>
      <c r="D29" s="157">
        <v>512914.67</v>
      </c>
      <c r="E29" s="157">
        <v>264469.59000000003</v>
      </c>
      <c r="F29" s="158">
        <f t="shared" si="0"/>
        <v>248445.07999999996</v>
      </c>
      <c r="G29" s="158">
        <f t="shared" si="1"/>
        <v>1745005.23</v>
      </c>
      <c r="H29" s="158"/>
      <c r="K29" s="159"/>
    </row>
    <row r="30" spans="1:11" ht="15" hidden="1">
      <c r="A30" t="s">
        <v>9</v>
      </c>
      <c r="B30" s="160">
        <v>2012</v>
      </c>
      <c r="C30" s="161">
        <f t="shared" si="2"/>
        <v>1745005.23</v>
      </c>
      <c r="D30" s="162">
        <v>53223.33</v>
      </c>
      <c r="E30" s="162">
        <v>283245.08</v>
      </c>
      <c r="F30" s="163">
        <f t="shared" si="0"/>
        <v>-230021.75</v>
      </c>
      <c r="G30" s="163">
        <f t="shared" si="1"/>
        <v>1514983.48</v>
      </c>
      <c r="H30" s="163"/>
      <c r="K30" s="164"/>
    </row>
    <row r="31" spans="1:11" ht="15" hidden="1">
      <c r="A31" t="s">
        <v>10</v>
      </c>
      <c r="B31" s="160">
        <v>2012</v>
      </c>
      <c r="C31" s="161">
        <f t="shared" si="2"/>
        <v>1514983.48</v>
      </c>
      <c r="D31" s="162">
        <v>151604.53</v>
      </c>
      <c r="E31" s="162">
        <v>384724.63</v>
      </c>
      <c r="F31" s="163">
        <f t="shared" si="0"/>
        <v>-233120.10</v>
      </c>
      <c r="G31" s="163">
        <f t="shared" si="1"/>
        <v>1281863.3799999999</v>
      </c>
      <c r="H31" s="163"/>
      <c r="K31" s="164"/>
    </row>
    <row r="32" spans="1:11" ht="15" hidden="1">
      <c r="A32" t="s">
        <v>11</v>
      </c>
      <c r="B32" s="160">
        <v>2012</v>
      </c>
      <c r="C32" s="161">
        <f t="shared" si="2"/>
        <v>1281863.3799999999</v>
      </c>
      <c r="D32" s="162">
        <v>627089.48</v>
      </c>
      <c r="E32" s="162">
        <v>418951.75</v>
      </c>
      <c r="F32" s="163">
        <f t="shared" si="0"/>
        <v>208137.72999999998</v>
      </c>
      <c r="G32" s="163">
        <f t="shared" si="1"/>
        <v>1490001.1099999999</v>
      </c>
      <c r="H32" s="163"/>
      <c r="K32" s="164"/>
    </row>
    <row r="33" spans="1:11" s="154" customFormat="1" ht="15" hidden="1">
      <c r="A33" s="154" t="s">
        <v>0</v>
      </c>
      <c r="B33" s="155">
        <v>2013</v>
      </c>
      <c r="C33" s="156">
        <f t="shared" si="2"/>
        <v>1490001.1099999999</v>
      </c>
      <c r="D33" s="157">
        <v>388316.05</v>
      </c>
      <c r="E33" s="157">
        <v>378567.38</v>
      </c>
      <c r="F33" s="158">
        <f t="shared" si="0"/>
        <v>9748.6699999999837</v>
      </c>
      <c r="G33" s="158">
        <f t="shared" si="1"/>
        <v>1499749.7799999998</v>
      </c>
      <c r="H33" s="158"/>
      <c r="K33" s="159"/>
    </row>
    <row r="34" spans="1:11" s="154" customFormat="1" ht="15" hidden="1">
      <c r="A34" s="154" t="s">
        <v>1</v>
      </c>
      <c r="B34" s="155">
        <v>2013</v>
      </c>
      <c r="C34" s="156">
        <f t="shared" si="2"/>
        <v>1499749.7799999998</v>
      </c>
      <c r="D34" s="157">
        <v>-63423.33</v>
      </c>
      <c r="E34" s="157">
        <v>145145.92000000001</v>
      </c>
      <c r="F34" s="158">
        <f t="shared" si="0"/>
        <v>-208569.25</v>
      </c>
      <c r="G34" s="158">
        <f t="shared" si="1"/>
        <v>1291180.5299999998</v>
      </c>
      <c r="H34" s="158"/>
      <c r="K34" s="159"/>
    </row>
    <row r="35" spans="1:11" s="154" customFormat="1" ht="15" hidden="1">
      <c r="A35" s="154" t="s">
        <v>2</v>
      </c>
      <c r="B35" s="155">
        <v>2013</v>
      </c>
      <c r="C35" s="156">
        <f t="shared" si="2"/>
        <v>1291180.5299999998</v>
      </c>
      <c r="D35" s="157">
        <v>48334.69</v>
      </c>
      <c r="E35" s="157">
        <v>78191.039999999994</v>
      </c>
      <c r="F35" s="158">
        <f t="shared" si="0"/>
        <v>-29856.349999999991</v>
      </c>
      <c r="G35" s="158">
        <f t="shared" si="1"/>
        <v>1261324.1799999997</v>
      </c>
      <c r="H35" s="158"/>
      <c r="K35" s="159"/>
    </row>
    <row r="36" spans="1:11" ht="15" hidden="1">
      <c r="A36" t="s">
        <v>3</v>
      </c>
      <c r="B36" s="160">
        <v>2013</v>
      </c>
      <c r="C36" s="161">
        <f t="shared" si="2"/>
        <v>1261324.1799999997</v>
      </c>
      <c r="D36" s="162">
        <v>-71627.399999999994</v>
      </c>
      <c r="E36" s="162">
        <v>106940.73</v>
      </c>
      <c r="F36" s="163">
        <f t="shared" si="0"/>
        <v>-178568.13</v>
      </c>
      <c r="G36" s="163">
        <f t="shared" si="1"/>
        <v>1082756.0499999998</v>
      </c>
      <c r="H36" s="163"/>
      <c r="K36" s="164"/>
    </row>
    <row r="37" spans="1:11" ht="15" hidden="1">
      <c r="A37" t="s">
        <v>4</v>
      </c>
      <c r="B37" s="160">
        <v>2013</v>
      </c>
      <c r="C37" s="161">
        <f t="shared" si="2"/>
        <v>1082756.0499999998</v>
      </c>
      <c r="D37" s="162">
        <v>187314.64</v>
      </c>
      <c r="E37" s="162">
        <v>163828.91</v>
      </c>
      <c r="F37" s="163">
        <f t="shared" si="0"/>
        <v>23485.73000000001</v>
      </c>
      <c r="G37" s="163">
        <f t="shared" si="1"/>
        <v>1106241.7799999998</v>
      </c>
      <c r="H37" s="163"/>
      <c r="K37" s="164"/>
    </row>
    <row r="38" spans="1:11" ht="15" hidden="1">
      <c r="A38" t="s">
        <v>5</v>
      </c>
      <c r="B38" s="160">
        <v>2013</v>
      </c>
      <c r="C38" s="161">
        <f t="shared" si="2"/>
        <v>1106241.7799999998</v>
      </c>
      <c r="D38" s="162">
        <v>251199.22</v>
      </c>
      <c r="E38" s="162">
        <v>111726.70</v>
      </c>
      <c r="F38" s="163">
        <f t="shared" si="0"/>
        <v>139472.52000000002</v>
      </c>
      <c r="G38" s="163">
        <f t="shared" si="1"/>
        <v>1245714.2999999998</v>
      </c>
      <c r="H38" s="163"/>
      <c r="K38" s="164"/>
    </row>
    <row r="39" spans="1:11" s="154" customFormat="1" ht="15" hidden="1">
      <c r="A39" s="154" t="s">
        <v>6</v>
      </c>
      <c r="B39" s="155">
        <v>2013</v>
      </c>
      <c r="C39" s="156">
        <f t="shared" si="2"/>
        <v>1245714.2999999998</v>
      </c>
      <c r="D39" s="157">
        <v>101163.01</v>
      </c>
      <c r="E39" s="157">
        <v>96512.76</v>
      </c>
      <c r="F39" s="158">
        <f t="shared" si="0"/>
        <v>4650.25</v>
      </c>
      <c r="G39" s="158">
        <f t="shared" si="1"/>
        <v>1250364.5499999998</v>
      </c>
      <c r="H39" s="158"/>
      <c r="K39" s="159"/>
    </row>
    <row r="40" spans="1:11" s="154" customFormat="1" ht="15" hidden="1">
      <c r="A40" s="154" t="s">
        <v>7</v>
      </c>
      <c r="B40" s="155">
        <v>2013</v>
      </c>
      <c r="C40" s="156">
        <f t="shared" si="2"/>
        <v>1250364.5499999998</v>
      </c>
      <c r="D40" s="157">
        <v>102198</v>
      </c>
      <c r="E40" s="157">
        <v>116820.93</v>
      </c>
      <c r="F40" s="158">
        <f t="shared" si="0"/>
        <v>-14622.929999999993</v>
      </c>
      <c r="G40" s="158">
        <f t="shared" si="1"/>
        <v>1235741.6199999999</v>
      </c>
      <c r="H40" s="158"/>
      <c r="K40" s="159"/>
    </row>
    <row r="41" spans="1:11" s="154" customFormat="1" ht="15" hidden="1">
      <c r="A41" s="154" t="s">
        <v>8</v>
      </c>
      <c r="B41" s="155">
        <v>2013</v>
      </c>
      <c r="C41" s="156">
        <f t="shared" si="2"/>
        <v>1235741.6199999999</v>
      </c>
      <c r="D41" s="157">
        <v>13364.36</v>
      </c>
      <c r="E41" s="157">
        <v>77028.13</v>
      </c>
      <c r="F41" s="158">
        <f t="shared" si="0"/>
        <v>-63663.770000000004</v>
      </c>
      <c r="G41" s="158">
        <f t="shared" si="1"/>
        <v>1172077.8499999999</v>
      </c>
      <c r="H41" s="158"/>
      <c r="K41" s="159"/>
    </row>
    <row r="42" spans="1:11" ht="15" hidden="1">
      <c r="A42" t="s">
        <v>9</v>
      </c>
      <c r="B42" s="160">
        <v>2013</v>
      </c>
      <c r="C42" s="161">
        <f t="shared" si="2"/>
        <v>1172077.8499999999</v>
      </c>
      <c r="D42" s="162">
        <v>132698.89000000001</v>
      </c>
      <c r="E42" s="162">
        <v>214261.23</v>
      </c>
      <c r="F42" s="163">
        <f t="shared" si="0"/>
        <v>-81562.34</v>
      </c>
      <c r="G42" s="163">
        <f t="shared" si="1"/>
        <v>1090515.5099999998</v>
      </c>
      <c r="H42" s="163"/>
      <c r="K42" s="164"/>
    </row>
    <row r="43" spans="1:11" ht="15" hidden="1">
      <c r="A43" t="s">
        <v>10</v>
      </c>
      <c r="B43" s="160">
        <v>2013</v>
      </c>
      <c r="C43" s="161">
        <f t="shared" si="2"/>
        <v>1090515.5099999998</v>
      </c>
      <c r="D43" s="162">
        <v>295548.31</v>
      </c>
      <c r="E43" s="162">
        <v>344943.40</v>
      </c>
      <c r="F43" s="163">
        <f t="shared" si="0"/>
        <v>-49395.090000000026</v>
      </c>
      <c r="G43" s="163">
        <f t="shared" si="1"/>
        <v>1041120.4199999997</v>
      </c>
      <c r="H43" s="163"/>
      <c r="K43" s="164"/>
    </row>
    <row r="44" spans="1:11" ht="15" hidden="1">
      <c r="A44" t="s">
        <v>11</v>
      </c>
      <c r="B44" s="160">
        <v>2013</v>
      </c>
      <c r="C44" s="161">
        <f t="shared" si="2"/>
        <v>1041120.4199999997</v>
      </c>
      <c r="D44" s="162">
        <v>514575.50</v>
      </c>
      <c r="E44" s="162">
        <v>424550.02</v>
      </c>
      <c r="F44" s="163">
        <f t="shared" si="0"/>
        <v>90025.479999999981</v>
      </c>
      <c r="G44" s="163">
        <f t="shared" si="1"/>
        <v>1131145.8999999997</v>
      </c>
      <c r="H44" s="163"/>
      <c r="K44" s="164"/>
    </row>
    <row r="45" spans="1:11" s="154" customFormat="1" ht="15" hidden="1">
      <c r="A45" s="154" t="s">
        <v>0</v>
      </c>
      <c r="B45" s="155">
        <v>2014</v>
      </c>
      <c r="C45" s="156">
        <f t="shared" si="2"/>
        <v>1131145.8999999997</v>
      </c>
      <c r="D45" s="157">
        <v>428381.19</v>
      </c>
      <c r="E45" s="157">
        <v>279415.02</v>
      </c>
      <c r="F45" s="158">
        <f t="shared" si="0"/>
        <v>148966.16999999998</v>
      </c>
      <c r="G45" s="158">
        <f t="shared" si="1"/>
        <v>1280112.0699999996</v>
      </c>
      <c r="H45" s="158"/>
      <c r="K45" s="159"/>
    </row>
    <row r="46" spans="1:11" s="154" customFormat="1" ht="15" hidden="1">
      <c r="A46" s="154" t="s">
        <v>1</v>
      </c>
      <c r="B46" s="155">
        <v>2014</v>
      </c>
      <c r="C46" s="156">
        <f t="shared" si="2"/>
        <v>1280112.0699999996</v>
      </c>
      <c r="D46" s="165">
        <v>-18207.669999999998</v>
      </c>
      <c r="E46" s="166">
        <v>45797.12</v>
      </c>
      <c r="F46" s="158">
        <f t="shared" si="0"/>
        <v>-64004.79</v>
      </c>
      <c r="G46" s="158">
        <f t="shared" si="1"/>
        <v>1216107.2799999996</v>
      </c>
      <c r="H46" s="158"/>
      <c r="K46" s="159"/>
    </row>
    <row r="47" spans="1:11" s="154" customFormat="1" ht="15" hidden="1">
      <c r="A47" s="154" t="s">
        <v>2</v>
      </c>
      <c r="B47" s="155">
        <v>2014</v>
      </c>
      <c r="C47" s="156">
        <f t="shared" si="2"/>
        <v>1216107.2799999996</v>
      </c>
      <c r="D47" s="167">
        <v>-111474.08</v>
      </c>
      <c r="E47" s="168">
        <v>109757.21</v>
      </c>
      <c r="F47" s="158">
        <f t="shared" si="0"/>
        <v>-221231.29</v>
      </c>
      <c r="G47" s="158">
        <f t="shared" si="1"/>
        <v>994875.98999999952</v>
      </c>
      <c r="H47" s="158"/>
      <c r="K47" s="159"/>
    </row>
    <row r="48" spans="1:11" ht="15" hidden="1">
      <c r="A48" t="s">
        <v>3</v>
      </c>
      <c r="B48" s="160">
        <v>2014</v>
      </c>
      <c r="C48" s="161">
        <f t="shared" si="2"/>
        <v>994875.98999999952</v>
      </c>
      <c r="D48" s="169">
        <v>124262.80</v>
      </c>
      <c r="E48" s="169">
        <v>138296.72</v>
      </c>
      <c r="F48" s="163">
        <f t="shared" si="0"/>
        <v>-14033.919999999998</v>
      </c>
      <c r="G48" s="163">
        <f t="shared" si="1"/>
        <v>980842.06999999948</v>
      </c>
      <c r="H48" s="163"/>
      <c r="K48" s="164"/>
    </row>
    <row r="49" spans="1:11" ht="15" hidden="1">
      <c r="A49" t="s">
        <v>4</v>
      </c>
      <c r="B49" s="160">
        <v>2014</v>
      </c>
      <c r="C49" s="161">
        <f t="shared" si="2"/>
        <v>980842.06999999948</v>
      </c>
      <c r="D49" s="170">
        <v>671418.46</v>
      </c>
      <c r="E49" s="170">
        <v>434917.50</v>
      </c>
      <c r="F49" s="163">
        <f t="shared" si="0"/>
        <v>236500.95999999996</v>
      </c>
      <c r="G49" s="163">
        <f t="shared" si="1"/>
        <v>1217343.0299999993</v>
      </c>
      <c r="H49" s="163"/>
      <c r="K49" s="164"/>
    </row>
    <row r="50" spans="1:11" ht="15" hidden="1">
      <c r="A50" t="s">
        <v>5</v>
      </c>
      <c r="B50" s="160">
        <v>2014</v>
      </c>
      <c r="C50" s="161">
        <f t="shared" si="2"/>
        <v>1217343.0299999993</v>
      </c>
      <c r="D50" s="170">
        <v>415238.67</v>
      </c>
      <c r="E50" s="170">
        <v>337445.83</v>
      </c>
      <c r="F50" s="163">
        <f t="shared" si="0"/>
        <v>77792.839999999967</v>
      </c>
      <c r="G50" s="163">
        <f t="shared" si="1"/>
        <v>1295135.8699999992</v>
      </c>
      <c r="H50" s="163"/>
      <c r="K50" s="164"/>
    </row>
    <row r="51" spans="1:11" s="154" customFormat="1" ht="15" hidden="1">
      <c r="A51" s="154" t="s">
        <v>6</v>
      </c>
      <c r="B51" s="155">
        <v>2014</v>
      </c>
      <c r="C51" s="156">
        <f t="shared" si="2"/>
        <v>1295135.8699999992</v>
      </c>
      <c r="D51" s="166">
        <v>350952.26</v>
      </c>
      <c r="E51" s="166">
        <v>213538.22</v>
      </c>
      <c r="F51" s="158">
        <f t="shared" si="0"/>
        <v>137414.04</v>
      </c>
      <c r="G51" s="158">
        <f t="shared" si="1"/>
        <v>1432549.9099999992</v>
      </c>
      <c r="H51" s="158"/>
      <c r="K51" s="159"/>
    </row>
    <row r="52" spans="1:11" s="154" customFormat="1" ht="15" hidden="1">
      <c r="A52" s="154" t="s">
        <v>7</v>
      </c>
      <c r="B52" s="155">
        <v>2014</v>
      </c>
      <c r="C52" s="156">
        <f t="shared" si="2"/>
        <v>1432549.9099999992</v>
      </c>
      <c r="D52" s="166">
        <v>201762.02</v>
      </c>
      <c r="E52" s="166">
        <v>157320.60999999999</v>
      </c>
      <c r="F52" s="158">
        <f t="shared" si="0"/>
        <v>44441.41</v>
      </c>
      <c r="G52" s="158">
        <f t="shared" si="1"/>
        <v>1476991.3199999991</v>
      </c>
      <c r="H52" s="158"/>
      <c r="K52" s="159"/>
    </row>
    <row r="53" spans="1:11" s="154" customFormat="1" ht="15" hidden="1">
      <c r="A53" s="154" t="s">
        <v>8</v>
      </c>
      <c r="B53" s="155">
        <v>2014</v>
      </c>
      <c r="C53" s="156">
        <f t="shared" si="2"/>
        <v>1476991.3199999991</v>
      </c>
      <c r="D53" s="166">
        <v>453243.28</v>
      </c>
      <c r="E53" s="166">
        <v>235378.16</v>
      </c>
      <c r="F53" s="158">
        <f t="shared" si="0"/>
        <v>217865.12000000002</v>
      </c>
      <c r="G53" s="158">
        <f t="shared" si="1"/>
        <v>1694856.4399999993</v>
      </c>
      <c r="H53" s="158"/>
      <c r="K53" s="159"/>
    </row>
    <row r="54" spans="1:11" ht="15" hidden="1">
      <c r="A54" t="s">
        <v>9</v>
      </c>
      <c r="B54" s="160">
        <v>2014</v>
      </c>
      <c r="C54" s="161">
        <f t="shared" si="2"/>
        <v>1694856.4399999993</v>
      </c>
      <c r="D54" s="170">
        <v>350357.87</v>
      </c>
      <c r="E54" s="170">
        <v>460077.84</v>
      </c>
      <c r="F54" s="163">
        <f t="shared" si="0"/>
        <v>-109719.97000000003</v>
      </c>
      <c r="G54" s="163">
        <f t="shared" si="1"/>
        <v>1585136.4699999993</v>
      </c>
      <c r="H54" s="163"/>
      <c r="K54" s="164"/>
    </row>
    <row r="55" spans="1:11" ht="15" hidden="1">
      <c r="A55" t="s">
        <v>10</v>
      </c>
      <c r="B55" s="160">
        <v>2014</v>
      </c>
      <c r="C55" s="161">
        <f t="shared" si="2"/>
        <v>1585136.4699999993</v>
      </c>
      <c r="D55" s="170">
        <v>462622.14</v>
      </c>
      <c r="E55" s="170">
        <v>449050.29</v>
      </c>
      <c r="F55" s="163">
        <f t="shared" si="0"/>
        <v>13571.850000000035</v>
      </c>
      <c r="G55" s="163">
        <f t="shared" si="1"/>
        <v>1598708.3199999994</v>
      </c>
      <c r="H55" s="163"/>
      <c r="K55" s="164"/>
    </row>
    <row r="56" spans="1:11" ht="15" hidden="1">
      <c r="A56" t="s">
        <v>11</v>
      </c>
      <c r="B56" s="160">
        <v>2014</v>
      </c>
      <c r="C56" s="161">
        <f t="shared" si="2"/>
        <v>1598708.3199999994</v>
      </c>
      <c r="D56" s="170">
        <v>975183.75</v>
      </c>
      <c r="E56" s="170">
        <v>486948.40</v>
      </c>
      <c r="F56" s="163">
        <f t="shared" si="0"/>
        <v>488235.35</v>
      </c>
      <c r="G56" s="163">
        <f t="shared" si="1"/>
        <v>2086943.6699999995</v>
      </c>
      <c r="H56" s="163"/>
      <c r="K56" s="164"/>
    </row>
    <row r="57" spans="1:11" s="154" customFormat="1" ht="15">
      <c r="A57" s="154" t="s">
        <v>0</v>
      </c>
      <c r="B57" s="155">
        <v>2015</v>
      </c>
      <c r="C57" s="156">
        <f t="shared" si="2"/>
        <v>2086943.6699999995</v>
      </c>
      <c r="D57" s="166">
        <v>249614.13</v>
      </c>
      <c r="E57" s="166">
        <v>331399.28999999998</v>
      </c>
      <c r="F57" s="158">
        <f t="shared" si="0"/>
        <v>-81785.159999999974</v>
      </c>
      <c r="G57" s="158">
        <f t="shared" si="1"/>
        <v>2005158.5099999995</v>
      </c>
      <c r="H57" s="158"/>
      <c r="K57" s="159"/>
    </row>
    <row r="58" spans="1:11" s="154" customFormat="1" ht="15">
      <c r="A58" s="154" t="s">
        <v>1</v>
      </c>
      <c r="B58" s="155">
        <v>2015</v>
      </c>
      <c r="C58" s="156">
        <f t="shared" si="2"/>
        <v>2005158.5099999995</v>
      </c>
      <c r="D58" s="166">
        <v>-53240.99</v>
      </c>
      <c r="E58" s="166">
        <v>87699.66</v>
      </c>
      <c r="F58" s="158">
        <f t="shared" si="0"/>
        <v>-140940.65</v>
      </c>
      <c r="G58" s="158">
        <f t="shared" si="1"/>
        <v>1864217.8599999996</v>
      </c>
      <c r="H58" s="158"/>
      <c r="K58" s="159"/>
    </row>
    <row r="59" spans="1:11" s="154" customFormat="1" ht="15">
      <c r="A59" s="154" t="s">
        <v>2</v>
      </c>
      <c r="B59" s="155">
        <v>2015</v>
      </c>
      <c r="C59" s="156">
        <f t="shared" si="2"/>
        <v>1864217.8599999996</v>
      </c>
      <c r="D59" s="166">
        <v>-111772.71</v>
      </c>
      <c r="E59" s="166">
        <v>183035.40</v>
      </c>
      <c r="F59" s="158">
        <f t="shared" si="0"/>
        <v>-294808.11</v>
      </c>
      <c r="G59" s="158">
        <f t="shared" si="1"/>
        <v>1569409.7499999995</v>
      </c>
      <c r="H59" s="158"/>
      <c r="K59" s="159"/>
    </row>
    <row r="60" spans="1:11" ht="15">
      <c r="A60" t="s">
        <v>3</v>
      </c>
      <c r="B60" s="160">
        <v>2015</v>
      </c>
      <c r="C60" s="161">
        <f t="shared" si="2"/>
        <v>1569409.7499999995</v>
      </c>
      <c r="D60" s="170">
        <v>202077.35</v>
      </c>
      <c r="E60" s="170">
        <v>248741.81</v>
      </c>
      <c r="F60" s="163">
        <f t="shared" si="0"/>
        <v>-46664.459999999992</v>
      </c>
      <c r="G60" s="163">
        <f t="shared" si="1"/>
        <v>1522745.2899999996</v>
      </c>
      <c r="H60" s="163"/>
      <c r="K60" s="164"/>
    </row>
    <row r="61" spans="1:11" ht="15">
      <c r="A61" t="s">
        <v>4</v>
      </c>
      <c r="B61" s="160">
        <v>2015</v>
      </c>
      <c r="C61" s="161">
        <f t="shared" si="2"/>
        <v>1522745.2899999996</v>
      </c>
      <c r="D61" s="170">
        <v>367396.90</v>
      </c>
      <c r="E61" s="170">
        <v>276255.92</v>
      </c>
      <c r="F61" s="163">
        <f t="shared" si="0"/>
        <v>91140.98000000004</v>
      </c>
      <c r="G61" s="163">
        <f t="shared" si="1"/>
        <v>1613886.2699999996</v>
      </c>
      <c r="H61" s="163"/>
      <c r="K61" s="164"/>
    </row>
    <row r="62" spans="1:11" ht="15">
      <c r="A62" t="s">
        <v>5</v>
      </c>
      <c r="B62" s="160">
        <v>2015</v>
      </c>
      <c r="C62" s="161">
        <f t="shared" si="2"/>
        <v>1613886.2699999996</v>
      </c>
      <c r="D62" s="170">
        <v>273026.88</v>
      </c>
      <c r="E62" s="170">
        <v>241654.47</v>
      </c>
      <c r="F62" s="163">
        <f t="shared" si="0"/>
        <v>31372.410000000003</v>
      </c>
      <c r="G62" s="163">
        <f t="shared" si="1"/>
        <v>1645258.6799999995</v>
      </c>
      <c r="H62" s="163"/>
      <c r="K62" s="164"/>
    </row>
    <row r="63" spans="1:11" s="154" customFormat="1" ht="15">
      <c r="A63" s="154" t="s">
        <v>6</v>
      </c>
      <c r="B63" s="155">
        <v>2015</v>
      </c>
      <c r="C63" s="156">
        <f t="shared" si="2"/>
        <v>1645258.6799999995</v>
      </c>
      <c r="D63" s="166">
        <v>241475.51</v>
      </c>
      <c r="E63" s="166">
        <v>164135.89000000001</v>
      </c>
      <c r="F63" s="158">
        <f t="shared" si="0"/>
        <v>77339.62</v>
      </c>
      <c r="G63" s="158">
        <f t="shared" si="1"/>
        <v>1722598.2999999994</v>
      </c>
      <c r="H63" s="158"/>
      <c r="K63" s="159"/>
    </row>
    <row r="64" spans="1:8" s="154" customFormat="1" ht="15">
      <c r="A64" s="154" t="s">
        <v>7</v>
      </c>
      <c r="B64" s="155">
        <v>2015</v>
      </c>
      <c r="C64" s="156">
        <f t="shared" si="2"/>
        <v>1722598.2999999994</v>
      </c>
      <c r="D64" s="166">
        <v>492590.84</v>
      </c>
      <c r="E64" s="166">
        <v>171072.93</v>
      </c>
      <c r="F64" s="158">
        <f t="shared" si="0"/>
        <v>321517.91000000003</v>
      </c>
      <c r="G64" s="158">
        <f t="shared" si="1"/>
        <v>2044116.2099999995</v>
      </c>
      <c r="H64" s="158"/>
    </row>
    <row r="65" spans="1:8" s="154" customFormat="1" ht="15">
      <c r="A65" s="154" t="s">
        <v>8</v>
      </c>
      <c r="B65" s="155">
        <v>2015</v>
      </c>
      <c r="C65" s="156">
        <f t="shared" si="2"/>
        <v>2044116.2099999995</v>
      </c>
      <c r="D65" s="166">
        <v>59846.45775077492</v>
      </c>
      <c r="E65" s="166">
        <v>245350.01</v>
      </c>
      <c r="F65" s="158">
        <f t="shared" si="0"/>
        <v>-185503.55224922509</v>
      </c>
      <c r="G65" s="158">
        <f t="shared" si="1"/>
        <v>1858612.6577507744</v>
      </c>
      <c r="H65" s="158"/>
    </row>
    <row r="66" spans="1:8" ht="15">
      <c r="A66" t="s">
        <v>9</v>
      </c>
      <c r="B66" s="160">
        <v>2015</v>
      </c>
      <c r="C66" s="161">
        <f t="shared" si="2"/>
        <v>1858612.6577507744</v>
      </c>
      <c r="D66" s="170">
        <v>-587855.66</v>
      </c>
      <c r="E66" s="170">
        <v>317020.33</v>
      </c>
      <c r="F66" s="163">
        <f t="shared" si="0"/>
        <v>-904875.99</v>
      </c>
      <c r="G66" s="163">
        <f t="shared" si="1"/>
        <v>953736.66775077442</v>
      </c>
      <c r="H66" s="163"/>
    </row>
    <row r="67" spans="1:8" ht="15">
      <c r="A67" t="s">
        <v>10</v>
      </c>
      <c r="B67" s="160">
        <v>2015</v>
      </c>
      <c r="C67" s="161">
        <f t="shared" si="2"/>
        <v>953736.66775077442</v>
      </c>
      <c r="D67" s="170">
        <v>464941.04</v>
      </c>
      <c r="E67" s="170">
        <v>560653.04</v>
      </c>
      <c r="F67" s="163">
        <f t="shared" si="0"/>
        <v>-95712.000000000058</v>
      </c>
      <c r="G67" s="163">
        <f t="shared" si="1"/>
        <v>858024.66775077442</v>
      </c>
      <c r="H67" s="163"/>
    </row>
    <row r="68" spans="1:8" ht="15">
      <c r="A68" t="s">
        <v>11</v>
      </c>
      <c r="B68" s="160">
        <v>2015</v>
      </c>
      <c r="C68" s="161">
        <f t="shared" si="2"/>
        <v>858024.66775077442</v>
      </c>
      <c r="D68" s="170">
        <v>442453.02</v>
      </c>
      <c r="E68" s="170">
        <v>525722.02</v>
      </c>
      <c r="F68" s="163">
        <f t="shared" si="0"/>
        <v>-83269</v>
      </c>
      <c r="G68" s="163">
        <f t="shared" si="1"/>
        <v>774755.66775077442</v>
      </c>
      <c r="H68" s="163"/>
    </row>
    <row r="69" spans="1:11" s="154" customFormat="1" ht="15">
      <c r="A69" s="154" t="s">
        <v>0</v>
      </c>
      <c r="B69" s="155">
        <v>2016</v>
      </c>
      <c r="C69" s="156">
        <f t="shared" si="2"/>
        <v>774755.66775077442</v>
      </c>
      <c r="D69" s="166">
        <v>476824.79</v>
      </c>
      <c r="E69" s="166">
        <v>438194.13</v>
      </c>
      <c r="F69" s="158">
        <f t="shared" si="0"/>
        <v>38630.659999999974</v>
      </c>
      <c r="G69" s="158">
        <f t="shared" si="1"/>
        <v>813386.32775077433</v>
      </c>
      <c r="H69" s="158"/>
      <c r="K69" s="159"/>
    </row>
    <row r="70" spans="1:11" s="154" customFormat="1" ht="15">
      <c r="A70" s="154" t="s">
        <v>1</v>
      </c>
      <c r="B70" s="155">
        <v>2016</v>
      </c>
      <c r="C70" s="156">
        <f t="shared" si="2"/>
        <v>813386.32775077433</v>
      </c>
      <c r="D70" s="166">
        <v>127653.15</v>
      </c>
      <c r="E70" s="166">
        <v>128651.81</v>
      </c>
      <c r="F70" s="158">
        <f t="shared" si="0"/>
        <v>-998.66000000000349</v>
      </c>
      <c r="G70" s="158">
        <f t="shared" si="1"/>
        <v>812387.6677507743</v>
      </c>
      <c r="H70" s="158"/>
      <c r="K70" s="159"/>
    </row>
    <row r="71" spans="1:11" s="154" customFormat="1" ht="15">
      <c r="A71" s="154" t="s">
        <v>2</v>
      </c>
      <c r="B71" s="155">
        <v>2016</v>
      </c>
      <c r="C71" s="156">
        <f t="shared" si="2"/>
        <v>812387.6677507743</v>
      </c>
      <c r="D71" s="166">
        <v>109886.02333333332</v>
      </c>
      <c r="E71" s="166">
        <v>138624.35999999999</v>
      </c>
      <c r="F71" s="158">
        <f t="shared" si="0"/>
        <v>-28738.33666666667</v>
      </c>
      <c r="G71" s="158">
        <f t="shared" si="1"/>
        <v>783649.33108410763</v>
      </c>
      <c r="H71" s="158"/>
      <c r="K71" s="159"/>
    </row>
    <row r="72" spans="1:7" ht="15">
      <c r="A72" t="s">
        <v>3</v>
      </c>
      <c r="B72" s="160">
        <v>2016</v>
      </c>
      <c r="C72" s="161">
        <f t="shared" si="2"/>
        <v>783649.33108410763</v>
      </c>
      <c r="D72" s="170">
        <v>142090.07999999999</v>
      </c>
      <c r="E72" s="170">
        <v>199401.41</v>
      </c>
      <c r="F72" s="163">
        <f t="shared" si="0"/>
        <v>-57311.330000000016</v>
      </c>
      <c r="G72" s="163">
        <f t="shared" si="1"/>
        <v>726338.00108410767</v>
      </c>
    </row>
    <row r="73" spans="1:7" ht="15">
      <c r="A73" t="s">
        <v>4</v>
      </c>
      <c r="B73" s="160">
        <v>2016</v>
      </c>
      <c r="C73" s="161">
        <f t="shared" si="2"/>
        <v>726338.00108410767</v>
      </c>
      <c r="D73" s="170">
        <v>232917.48</v>
      </c>
      <c r="E73" s="170">
        <v>221972.48</v>
      </c>
      <c r="F73" s="163">
        <f t="shared" si="3" ref="F73:F116">D73-E73</f>
        <v>10945</v>
      </c>
      <c r="G73" s="163">
        <f t="shared" si="4" ref="G73:G80">C73+F73</f>
        <v>737283.00108410767</v>
      </c>
    </row>
    <row r="74" spans="1:7" ht="15">
      <c r="A74" t="s">
        <v>5</v>
      </c>
      <c r="B74" s="160">
        <v>2016</v>
      </c>
      <c r="C74" s="161">
        <f t="shared" si="5" ref="C74:C86">G73</f>
        <v>737283.00108410767</v>
      </c>
      <c r="D74" s="170">
        <v>310075.86</v>
      </c>
      <c r="E74" s="170">
        <v>152261.19</v>
      </c>
      <c r="F74" s="163">
        <f t="shared" si="3"/>
        <v>157814.66999999998</v>
      </c>
      <c r="G74" s="163">
        <f t="shared" si="4"/>
        <v>895097.6710841076</v>
      </c>
    </row>
    <row r="75" spans="1:11" s="154" customFormat="1" ht="15">
      <c r="A75" s="154" t="s">
        <v>6</v>
      </c>
      <c r="B75" s="155">
        <v>2016</v>
      </c>
      <c r="C75" s="156">
        <f t="shared" si="5"/>
        <v>895097.6710841076</v>
      </c>
      <c r="D75" s="166">
        <v>308285.95999999996</v>
      </c>
      <c r="E75" s="166">
        <v>154761.63</v>
      </c>
      <c r="F75" s="158">
        <f t="shared" si="3"/>
        <v>153524.32999999996</v>
      </c>
      <c r="G75" s="158">
        <f t="shared" si="4"/>
        <v>1048622.0010841074</v>
      </c>
      <c r="H75" s="158"/>
      <c r="K75" s="159"/>
    </row>
    <row r="76" spans="1:11" s="154" customFormat="1" ht="15">
      <c r="A76" s="154" t="s">
        <v>7</v>
      </c>
      <c r="B76" s="155">
        <v>2016</v>
      </c>
      <c r="C76" s="156">
        <f t="shared" si="5"/>
        <v>1048622.0010841074</v>
      </c>
      <c r="D76" s="166">
        <v>159704.49</v>
      </c>
      <c r="E76" s="166">
        <v>145697.49</v>
      </c>
      <c r="F76" s="158">
        <f t="shared" si="3"/>
        <v>14007</v>
      </c>
      <c r="G76" s="158">
        <f t="shared" si="4"/>
        <v>1062629.0010841074</v>
      </c>
      <c r="H76" s="158"/>
      <c r="K76" s="159"/>
    </row>
    <row r="77" spans="1:11" s="154" customFormat="1" ht="15">
      <c r="A77" s="154" t="s">
        <v>8</v>
      </c>
      <c r="B77" s="155">
        <v>2016</v>
      </c>
      <c r="C77" s="156">
        <f t="shared" si="5"/>
        <v>1062629.0010841074</v>
      </c>
      <c r="D77" s="166">
        <v>123962.65</v>
      </c>
      <c r="E77" s="166">
        <v>151653.32</v>
      </c>
      <c r="F77" s="158">
        <f t="shared" si="3"/>
        <v>-27690.670000000013</v>
      </c>
      <c r="G77" s="158">
        <f t="shared" si="4"/>
        <v>1034938.3310841074</v>
      </c>
      <c r="H77" s="158"/>
      <c r="K77" s="159"/>
    </row>
    <row r="78" spans="1:7" ht="15">
      <c r="A78" t="s">
        <v>9</v>
      </c>
      <c r="B78" s="160">
        <v>2016</v>
      </c>
      <c r="C78" s="161">
        <f t="shared" si="5"/>
        <v>1034938.3310841074</v>
      </c>
      <c r="D78" s="170">
        <v>291607.20</v>
      </c>
      <c r="E78" s="170">
        <v>369130.20</v>
      </c>
      <c r="F78" s="163">
        <f t="shared" si="3"/>
        <v>-77523</v>
      </c>
      <c r="G78" s="163">
        <f t="shared" si="4"/>
        <v>957415.3310841074</v>
      </c>
    </row>
    <row r="79" spans="1:7" ht="15">
      <c r="A79" t="s">
        <v>10</v>
      </c>
      <c r="B79" s="160">
        <v>2016</v>
      </c>
      <c r="C79" s="161">
        <f t="shared" si="5"/>
        <v>957415.3310841074</v>
      </c>
      <c r="D79" s="170">
        <v>281787.6133333334</v>
      </c>
      <c r="E79" s="170">
        <v>422393.61</v>
      </c>
      <c r="F79" s="163">
        <f t="shared" si="3"/>
        <v>-140605.99666666659</v>
      </c>
      <c r="G79" s="163">
        <f t="shared" si="4"/>
        <v>816809.33441744081</v>
      </c>
    </row>
    <row r="80" spans="1:7" ht="15">
      <c r="A80" t="s">
        <v>11</v>
      </c>
      <c r="B80" s="160">
        <v>2016</v>
      </c>
      <c r="C80" s="161">
        <f t="shared" si="5"/>
        <v>816809.33441744081</v>
      </c>
      <c r="D80" s="170">
        <v>380785.46</v>
      </c>
      <c r="E80" s="170">
        <v>465139.79</v>
      </c>
      <c r="F80" s="163">
        <f t="shared" si="3"/>
        <v>-84354.329999999958</v>
      </c>
      <c r="G80" s="163">
        <f t="shared" si="4"/>
        <v>732455.00441744085</v>
      </c>
    </row>
    <row r="81" spans="1:11" s="154" customFormat="1" ht="15">
      <c r="A81" s="154" t="s">
        <v>0</v>
      </c>
      <c r="B81" s="155">
        <v>2017</v>
      </c>
      <c r="C81" s="156">
        <f t="shared" si="5"/>
        <v>732455.00441744085</v>
      </c>
      <c r="D81" s="166">
        <v>403242.40</v>
      </c>
      <c r="E81" s="166">
        <v>440106.73</v>
      </c>
      <c r="F81" s="158">
        <f t="shared" si="3"/>
        <v>-36864.329999999958</v>
      </c>
      <c r="G81" s="158">
        <f>C81+F81</f>
        <v>695590.6744174409</v>
      </c>
      <c r="H81" s="158"/>
      <c r="K81" s="159"/>
    </row>
    <row r="82" spans="1:11" s="154" customFormat="1" ht="15">
      <c r="A82" s="154" t="s">
        <v>1</v>
      </c>
      <c r="B82" s="155">
        <v>2017</v>
      </c>
      <c r="C82" s="156">
        <f t="shared" si="5"/>
        <v>695590.6744174409</v>
      </c>
      <c r="D82" s="166">
        <v>189305.43</v>
      </c>
      <c r="E82" s="166">
        <v>202579.77</v>
      </c>
      <c r="F82" s="158">
        <f t="shared" si="3"/>
        <v>-13274.339999999997</v>
      </c>
      <c r="G82" s="158">
        <f t="shared" si="6" ref="G82:G86">C82+F82</f>
        <v>682316.33441744093</v>
      </c>
      <c r="H82" s="158"/>
      <c r="K82" s="159"/>
    </row>
    <row r="83" spans="1:33" ht="15">
      <c r="A83" s="154" t="s">
        <v>2</v>
      </c>
      <c r="B83" s="155">
        <v>2017</v>
      </c>
      <c r="C83" s="156">
        <f t="shared" si="5"/>
        <v>682316.33441744093</v>
      </c>
      <c r="D83" s="166">
        <v>113952.99</v>
      </c>
      <c r="E83" s="166">
        <v>139576.65</v>
      </c>
      <c r="F83" s="158">
        <f t="shared" si="3"/>
        <v>-25623.659999999989</v>
      </c>
      <c r="G83" s="158">
        <f t="shared" si="6"/>
        <v>656692.6744174409</v>
      </c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</row>
    <row r="84" spans="1:7" ht="15">
      <c r="A84" t="s">
        <v>3</v>
      </c>
      <c r="B84" s="160">
        <v>2017</v>
      </c>
      <c r="C84" s="161">
        <f t="shared" si="5"/>
        <v>656692.6744174409</v>
      </c>
      <c r="D84" s="170">
        <v>275354.68</v>
      </c>
      <c r="E84" s="170">
        <v>260134.35</v>
      </c>
      <c r="F84" s="163">
        <f t="shared" si="3"/>
        <v>15220.329999999987</v>
      </c>
      <c r="G84" s="163">
        <f t="shared" si="6"/>
        <v>671913.00441744085</v>
      </c>
    </row>
    <row r="85" spans="1:7" ht="15">
      <c r="A85" s="36" t="s">
        <v>4</v>
      </c>
      <c r="B85" s="160">
        <v>2017</v>
      </c>
      <c r="C85" s="161">
        <f t="shared" si="5"/>
        <v>671913.00441744085</v>
      </c>
      <c r="D85" s="170">
        <v>200810.87</v>
      </c>
      <c r="E85" s="170">
        <v>169479.87</v>
      </c>
      <c r="F85" s="163">
        <f t="shared" si="3"/>
        <v>31331</v>
      </c>
      <c r="G85" s="163">
        <f t="shared" si="6"/>
        <v>703244.00441744085</v>
      </c>
    </row>
    <row r="86" spans="1:7" ht="15">
      <c r="A86" s="36" t="s">
        <v>133</v>
      </c>
      <c r="B86" s="160">
        <v>2017</v>
      </c>
      <c r="C86" s="161">
        <f t="shared" si="5"/>
        <v>703244.00441744085</v>
      </c>
      <c r="D86" s="170">
        <v>171436.83</v>
      </c>
      <c r="E86" s="170">
        <v>98457.83</v>
      </c>
      <c r="F86" s="163">
        <f t="shared" si="3"/>
        <v>72978.999999999985</v>
      </c>
      <c r="G86" s="163">
        <f t="shared" si="6"/>
        <v>776223.00441744085</v>
      </c>
    </row>
    <row r="87" spans="1:11" s="154" customFormat="1" ht="15">
      <c r="A87" s="154" t="s">
        <v>6</v>
      </c>
      <c r="B87" s="155">
        <v>2017</v>
      </c>
      <c r="C87" s="156">
        <f t="shared" si="7" ref="C87:C106">+G86</f>
        <v>776223.00441744085</v>
      </c>
      <c r="D87" s="166">
        <v>215443.62</v>
      </c>
      <c r="E87" s="166">
        <v>98584.95</v>
      </c>
      <c r="F87" s="158">
        <f t="shared" si="3"/>
        <v>116858.67</v>
      </c>
      <c r="G87" s="158">
        <f t="shared" si="8" ref="G87:G116">+C87+F87</f>
        <v>893081.6744174409</v>
      </c>
      <c r="H87" s="158"/>
      <c r="K87" s="159"/>
    </row>
    <row r="88" spans="1:11" s="154" customFormat="1" ht="15">
      <c r="A88" s="154" t="s">
        <v>7</v>
      </c>
      <c r="B88" s="155">
        <v>2017</v>
      </c>
      <c r="C88" s="156">
        <f t="shared" si="7"/>
        <v>893081.6744174409</v>
      </c>
      <c r="D88" s="166">
        <v>137103.09</v>
      </c>
      <c r="E88" s="166">
        <v>90223.76</v>
      </c>
      <c r="F88" s="158">
        <f t="shared" si="3"/>
        <v>46879.33</v>
      </c>
      <c r="G88" s="158">
        <f t="shared" si="8"/>
        <v>939961.00441744085</v>
      </c>
      <c r="H88" s="158"/>
      <c r="K88" s="159"/>
    </row>
    <row r="89" spans="1:7" s="154" customFormat="1" ht="15">
      <c r="A89" s="154" t="s">
        <v>8</v>
      </c>
      <c r="B89" s="155">
        <v>2017</v>
      </c>
      <c r="C89" s="156">
        <f t="shared" si="7"/>
        <v>939961.00441744085</v>
      </c>
      <c r="D89" s="166">
        <v>276763.33</v>
      </c>
      <c r="E89" s="166">
        <v>221825.66</v>
      </c>
      <c r="F89" s="158">
        <f t="shared" si="3"/>
        <v>54937.670000000013</v>
      </c>
      <c r="G89" s="158">
        <f t="shared" si="8"/>
        <v>994898.6744174409</v>
      </c>
    </row>
    <row r="90" spans="1:7" ht="15">
      <c r="A90" t="s">
        <v>9</v>
      </c>
      <c r="B90" s="160">
        <v>2017</v>
      </c>
      <c r="C90" s="161">
        <f t="shared" si="7"/>
        <v>994898.6744174409</v>
      </c>
      <c r="D90" s="170">
        <v>236918.52</v>
      </c>
      <c r="E90" s="170">
        <v>315233.52</v>
      </c>
      <c r="F90" s="163">
        <f t="shared" si="3"/>
        <v>-78315.000000000029</v>
      </c>
      <c r="G90" s="171">
        <f t="shared" si="8"/>
        <v>916583.6744174409</v>
      </c>
    </row>
    <row r="91" spans="1:7" ht="15">
      <c r="A91" s="36" t="s">
        <v>10</v>
      </c>
      <c r="B91" s="160">
        <v>2017</v>
      </c>
      <c r="C91" s="161">
        <f t="shared" si="7"/>
        <v>916583.6744174409</v>
      </c>
      <c r="D91" s="170">
        <v>238963.93</v>
      </c>
      <c r="E91" s="170">
        <v>360243.27</v>
      </c>
      <c r="F91" s="163">
        <f t="shared" si="3"/>
        <v>-121279.34000000003</v>
      </c>
      <c r="G91" s="171">
        <f t="shared" si="8"/>
        <v>795304.33441744093</v>
      </c>
    </row>
    <row r="92" spans="1:7" ht="15">
      <c r="A92" s="36" t="s">
        <v>11</v>
      </c>
      <c r="B92" s="160">
        <v>2017</v>
      </c>
      <c r="C92" s="161">
        <v>795304.33441744093</v>
      </c>
      <c r="D92" s="170">
        <v>399543.92</v>
      </c>
      <c r="E92" s="170">
        <v>449481.92</v>
      </c>
      <c r="F92" s="163">
        <f t="shared" si="3"/>
        <v>-49938</v>
      </c>
      <c r="G92" s="171">
        <f>+C92+F92</f>
        <v>745366.33441744093</v>
      </c>
    </row>
    <row r="93" spans="1:11" s="154" customFormat="1" ht="15">
      <c r="A93" s="154" t="s">
        <v>0</v>
      </c>
      <c r="B93" s="155">
        <v>2018</v>
      </c>
      <c r="C93" s="156">
        <f t="shared" si="7"/>
        <v>745366.33441744093</v>
      </c>
      <c r="D93" s="166">
        <v>379874.71</v>
      </c>
      <c r="E93" s="166">
        <v>351522.37</v>
      </c>
      <c r="F93" s="158">
        <f t="shared" si="3"/>
        <v>28352.340000000026</v>
      </c>
      <c r="G93" s="158">
        <f t="shared" si="8"/>
        <v>773718.67441744101</v>
      </c>
      <c r="H93" s="158"/>
      <c r="K93" s="159"/>
    </row>
    <row r="94" spans="1:11" s="154" customFormat="1" ht="15">
      <c r="A94" s="154" t="s">
        <v>1</v>
      </c>
      <c r="B94" s="155">
        <v>2018</v>
      </c>
      <c r="C94" s="156">
        <f t="shared" si="7"/>
        <v>773718.67441744101</v>
      </c>
      <c r="D94" s="166">
        <v>327888.99</v>
      </c>
      <c r="E94" s="166">
        <v>279309.33</v>
      </c>
      <c r="F94" s="158">
        <f t="shared" si="3"/>
        <v>48579.659999999974</v>
      </c>
      <c r="G94" s="158">
        <f t="shared" si="8"/>
        <v>822298.33441744093</v>
      </c>
      <c r="H94" s="158"/>
      <c r="K94" s="159"/>
    </row>
    <row r="95" spans="1:32" ht="15">
      <c r="A95" s="154" t="s">
        <v>2</v>
      </c>
      <c r="B95" s="155">
        <v>2018</v>
      </c>
      <c r="C95" s="156">
        <f t="shared" si="7"/>
        <v>822298.33441744093</v>
      </c>
      <c r="D95" s="166">
        <v>-16538.40</v>
      </c>
      <c r="E95" s="166">
        <v>37565.60</v>
      </c>
      <c r="F95" s="158">
        <f t="shared" si="3"/>
        <v>-54104</v>
      </c>
      <c r="G95" s="158">
        <f t="shared" si="8"/>
        <v>768194.33441744093</v>
      </c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</row>
    <row r="96" spans="1:7" ht="15">
      <c r="A96" t="s">
        <v>3</v>
      </c>
      <c r="B96" s="172">
        <v>2018</v>
      </c>
      <c r="C96" s="173">
        <f t="shared" si="7"/>
        <v>768194.33441744093</v>
      </c>
      <c r="D96" s="170">
        <v>384748.93</v>
      </c>
      <c r="E96" s="170">
        <v>393489.26</v>
      </c>
      <c r="F96" s="163">
        <f t="shared" si="3"/>
        <v>-8740.3300000000163</v>
      </c>
      <c r="G96" s="163">
        <f t="shared" si="8"/>
        <v>759454.00441744085</v>
      </c>
    </row>
    <row r="97" spans="1:7" ht="15">
      <c r="A97" s="36" t="s">
        <v>4</v>
      </c>
      <c r="B97" s="172">
        <v>2018</v>
      </c>
      <c r="C97" s="173">
        <f t="shared" si="7"/>
        <v>759454.00441744085</v>
      </c>
      <c r="D97" s="170">
        <v>727949.05</v>
      </c>
      <c r="E97" s="170">
        <v>621017.72</v>
      </c>
      <c r="F97" s="163">
        <f t="shared" si="3"/>
        <v>106931.33000000008</v>
      </c>
      <c r="G97" s="163">
        <f t="shared" si="8"/>
        <v>866385.33441744093</v>
      </c>
    </row>
    <row r="98" spans="1:7" ht="15">
      <c r="A98" s="36" t="s">
        <v>133</v>
      </c>
      <c r="B98" s="172">
        <v>2018</v>
      </c>
      <c r="C98" s="173">
        <f t="shared" si="7"/>
        <v>866385.33441744093</v>
      </c>
      <c r="D98" s="170">
        <v>390274.24</v>
      </c>
      <c r="E98" s="170">
        <v>317352.24</v>
      </c>
      <c r="F98" s="163">
        <f t="shared" si="3"/>
        <v>72922</v>
      </c>
      <c r="G98" s="163">
        <f t="shared" si="8"/>
        <v>939307.33441744093</v>
      </c>
    </row>
    <row r="99" spans="1:11" s="154" customFormat="1" ht="15">
      <c r="A99" s="154" t="s">
        <v>6</v>
      </c>
      <c r="B99" s="155">
        <v>2018</v>
      </c>
      <c r="C99" s="156">
        <f t="shared" si="7"/>
        <v>939307.33441744093</v>
      </c>
      <c r="D99" s="166">
        <v>298285.78999999998</v>
      </c>
      <c r="E99" s="166">
        <v>175788.79</v>
      </c>
      <c r="F99" s="166">
        <f t="shared" si="3"/>
        <v>122496.99999999997</v>
      </c>
      <c r="G99" s="166">
        <f t="shared" si="8"/>
        <v>1061804.3344174409</v>
      </c>
      <c r="H99" s="158"/>
      <c r="K99" s="159"/>
    </row>
    <row r="100" spans="1:11" s="154" customFormat="1" ht="15">
      <c r="A100" s="154" t="s">
        <v>7</v>
      </c>
      <c r="B100" s="155">
        <v>2018</v>
      </c>
      <c r="C100" s="156">
        <f t="shared" si="7"/>
        <v>1061804.3344174409</v>
      </c>
      <c r="D100" s="166">
        <v>236440.88</v>
      </c>
      <c r="E100" s="166">
        <v>173813.21</v>
      </c>
      <c r="F100" s="166">
        <f t="shared" si="3"/>
        <v>62627.670000000013</v>
      </c>
      <c r="G100" s="166">
        <f t="shared" si="8"/>
        <v>1124432.0044174409</v>
      </c>
      <c r="H100" s="158"/>
      <c r="K100" s="159"/>
    </row>
    <row r="101" spans="1:7" s="154" customFormat="1" ht="15">
      <c r="A101" s="154" t="s">
        <v>8</v>
      </c>
      <c r="B101" s="155">
        <v>2018</v>
      </c>
      <c r="C101" s="156">
        <f t="shared" si="7"/>
        <v>1124432.0044174409</v>
      </c>
      <c r="D101" s="166">
        <v>308877.11</v>
      </c>
      <c r="E101" s="166">
        <v>269130.11</v>
      </c>
      <c r="F101" s="166">
        <f t="shared" si="3"/>
        <v>39747</v>
      </c>
      <c r="G101" s="166">
        <f t="shared" si="8"/>
        <v>1164179.0044174409</v>
      </c>
    </row>
    <row r="102" spans="1:7" ht="15">
      <c r="A102" t="s">
        <v>9</v>
      </c>
      <c r="B102" s="172">
        <v>2018</v>
      </c>
      <c r="C102" s="173">
        <f t="shared" si="7"/>
        <v>1164179.0044174409</v>
      </c>
      <c r="D102" s="170">
        <v>334882.37</v>
      </c>
      <c r="E102" s="170">
        <v>383668.04</v>
      </c>
      <c r="F102" s="174">
        <f t="shared" si="3"/>
        <v>-48785.669999999984</v>
      </c>
      <c r="G102" s="174">
        <f t="shared" si="8"/>
        <v>1115393.3344174409</v>
      </c>
    </row>
    <row r="103" spans="1:7" ht="15">
      <c r="A103" s="36" t="s">
        <v>10</v>
      </c>
      <c r="B103" s="172">
        <v>2018</v>
      </c>
      <c r="C103" s="173">
        <f t="shared" si="7"/>
        <v>1115393.3344174409</v>
      </c>
      <c r="D103" s="170">
        <v>324245.78000000003</v>
      </c>
      <c r="E103" s="170">
        <v>372052.78</v>
      </c>
      <c r="F103" s="174">
        <f t="shared" si="3"/>
        <v>-47807</v>
      </c>
      <c r="G103" s="174">
        <f t="shared" si="8"/>
        <v>1067586.3344174409</v>
      </c>
    </row>
    <row r="104" spans="1:7" ht="15">
      <c r="A104" s="36" t="s">
        <v>11</v>
      </c>
      <c r="B104" s="172">
        <v>2018</v>
      </c>
      <c r="C104" s="173">
        <f t="shared" si="7"/>
        <v>1067586.3344174409</v>
      </c>
      <c r="D104" s="170">
        <v>352940.90</v>
      </c>
      <c r="E104" s="170">
        <v>421326.90</v>
      </c>
      <c r="F104" s="163">
        <f t="shared" si="3"/>
        <v>-68386</v>
      </c>
      <c r="G104" s="171">
        <f t="shared" si="8"/>
        <v>999200.33441744093</v>
      </c>
    </row>
    <row r="105" spans="1:7" ht="15">
      <c r="A105" s="154" t="s">
        <v>0</v>
      </c>
      <c r="B105" s="155">
        <v>2019</v>
      </c>
      <c r="C105" s="156">
        <f t="shared" si="7"/>
        <v>999200.33441744093</v>
      </c>
      <c r="D105" s="166">
        <v>98148.42</v>
      </c>
      <c r="E105" s="166">
        <v>197443.75</v>
      </c>
      <c r="F105" s="158">
        <f t="shared" si="3"/>
        <v>-99295.33</v>
      </c>
      <c r="G105" s="158">
        <f t="shared" si="8"/>
        <v>899905.00441744097</v>
      </c>
    </row>
    <row r="106" spans="1:7" ht="15">
      <c r="A106" s="154" t="s">
        <v>1</v>
      </c>
      <c r="B106" s="155">
        <v>2019</v>
      </c>
      <c r="C106" s="156">
        <f t="shared" si="7"/>
        <v>899905.00441744097</v>
      </c>
      <c r="D106" s="166">
        <v>619880.92000000004</v>
      </c>
      <c r="E106" s="166">
        <v>573503.59</v>
      </c>
      <c r="F106" s="158">
        <f t="shared" si="3"/>
        <v>46377.330000000075</v>
      </c>
      <c r="G106" s="158">
        <f t="shared" si="8"/>
        <v>946282.33441744104</v>
      </c>
    </row>
    <row r="107" spans="1:7" ht="15">
      <c r="A107" s="154" t="s">
        <v>2</v>
      </c>
      <c r="B107" s="155">
        <v>2019</v>
      </c>
      <c r="C107" s="175">
        <v>946282.33441744104</v>
      </c>
      <c r="D107" s="175">
        <v>390670.33</v>
      </c>
      <c r="E107" s="175">
        <v>335437.65999999997</v>
      </c>
      <c r="F107" s="158">
        <f t="shared" si="3"/>
        <v>55232.670000000042</v>
      </c>
      <c r="G107" s="158">
        <f t="shared" si="8"/>
        <v>1001515.0044174411</v>
      </c>
    </row>
    <row r="108" spans="1:7" ht="15">
      <c r="A108" t="s">
        <v>3</v>
      </c>
      <c r="B108" s="172">
        <v>2019</v>
      </c>
      <c r="C108" s="176">
        <v>1001515.0044174411</v>
      </c>
      <c r="D108" s="176">
        <v>263948.19</v>
      </c>
      <c r="E108" s="176">
        <v>344529.19</v>
      </c>
      <c r="F108" s="171">
        <f t="shared" si="3"/>
        <v>-80581</v>
      </c>
      <c r="G108" s="171">
        <f t="shared" si="8"/>
        <v>920934.00441744109</v>
      </c>
    </row>
    <row r="109" spans="1:7" ht="15">
      <c r="A109" s="36" t="s">
        <v>4</v>
      </c>
      <c r="B109" s="172">
        <v>2019</v>
      </c>
      <c r="C109" s="176">
        <v>920934.00441744109</v>
      </c>
      <c r="D109" s="176">
        <v>445007.59</v>
      </c>
      <c r="E109" s="176">
        <v>442014.59</v>
      </c>
      <c r="F109" s="171">
        <f t="shared" si="3"/>
        <v>2993</v>
      </c>
      <c r="G109" s="171">
        <f t="shared" si="8"/>
        <v>923927.00441744109</v>
      </c>
    </row>
    <row r="110" spans="1:10" ht="15">
      <c r="A110" s="36" t="s">
        <v>133</v>
      </c>
      <c r="B110" s="172">
        <v>2019</v>
      </c>
      <c r="C110" s="176">
        <v>923927.00441744109</v>
      </c>
      <c r="D110" s="176">
        <v>504091.52</v>
      </c>
      <c r="E110" s="176">
        <v>318224.19</v>
      </c>
      <c r="F110" s="171">
        <f t="shared" si="3"/>
        <v>185867.33000000002</v>
      </c>
      <c r="G110" s="171">
        <f t="shared" si="8"/>
        <v>1109794.3344174412</v>
      </c>
      <c r="J110" s="163"/>
    </row>
    <row r="111" spans="1:11" ht="15">
      <c r="A111" s="154" t="s">
        <v>6</v>
      </c>
      <c r="B111" s="155">
        <v>2019</v>
      </c>
      <c r="C111" s="156">
        <v>1109794.3344174412</v>
      </c>
      <c r="D111" s="166">
        <v>422809.53</v>
      </c>
      <c r="E111" s="166">
        <v>233518.53</v>
      </c>
      <c r="F111" s="166">
        <f t="shared" si="3"/>
        <v>189291.00000000003</v>
      </c>
      <c r="G111" s="166">
        <f t="shared" si="8"/>
        <v>1299085.3344174412</v>
      </c>
      <c r="K111" s="163"/>
    </row>
    <row r="112" spans="1:10" ht="15">
      <c r="A112" s="154" t="s">
        <v>7</v>
      </c>
      <c r="B112" s="155">
        <v>2019</v>
      </c>
      <c r="C112" s="156">
        <v>1299085.3344174412</v>
      </c>
      <c r="D112" s="166">
        <v>117444.59</v>
      </c>
      <c r="E112" s="166">
        <v>103976.25</v>
      </c>
      <c r="F112" s="166">
        <f t="shared" si="3"/>
        <v>13468.339999999997</v>
      </c>
      <c r="G112" s="166">
        <f t="shared" si="8"/>
        <v>1312553.6744174413</v>
      </c>
      <c r="J112" s="163"/>
    </row>
    <row r="113" spans="1:7" ht="15">
      <c r="A113" s="154" t="s">
        <v>8</v>
      </c>
      <c r="B113" s="155">
        <v>2019</v>
      </c>
      <c r="C113" s="156">
        <v>1312553.6744174413</v>
      </c>
      <c r="D113" s="166">
        <v>150554.76</v>
      </c>
      <c r="E113" s="166">
        <v>164274.43</v>
      </c>
      <c r="F113" s="166">
        <f t="shared" si="3"/>
        <v>-13719.669999999984</v>
      </c>
      <c r="G113" s="166">
        <f t="shared" si="8"/>
        <v>1298834.0044174413</v>
      </c>
    </row>
    <row r="114" spans="1:7" ht="15">
      <c r="A114" t="s">
        <v>9</v>
      </c>
      <c r="B114" s="172">
        <v>2019</v>
      </c>
      <c r="C114" s="156">
        <v>1298834</v>
      </c>
      <c r="D114" s="166">
        <v>170885.77</v>
      </c>
      <c r="E114" s="174">
        <v>264267.09999999998</v>
      </c>
      <c r="F114" s="174">
        <f t="shared" si="3"/>
        <v>-93381.329999999987</v>
      </c>
      <c r="G114" s="174">
        <f t="shared" si="8"/>
        <v>1205452.67</v>
      </c>
    </row>
    <row r="115" spans="1:7" ht="15">
      <c r="A115" s="36" t="s">
        <v>10</v>
      </c>
      <c r="B115" s="172">
        <v>2019</v>
      </c>
      <c r="C115" s="156">
        <v>1205452.67</v>
      </c>
      <c r="D115" s="166">
        <v>255728.82</v>
      </c>
      <c r="E115" s="174">
        <v>395178.49</v>
      </c>
      <c r="F115" s="174">
        <f>D115-E115</f>
        <v>-139449.66999999998</v>
      </c>
      <c r="G115" s="174">
        <f>+C115+F115</f>
        <v>1066003</v>
      </c>
    </row>
    <row r="116" spans="1:7" ht="15">
      <c r="A116" s="36" t="s">
        <v>11</v>
      </c>
      <c r="B116" s="172">
        <v>2019</v>
      </c>
      <c r="C116" s="156">
        <v>1066003</v>
      </c>
      <c r="D116" s="166">
        <v>383254.93</v>
      </c>
      <c r="E116" s="174">
        <v>487137.26</v>
      </c>
      <c r="F116" s="174">
        <f t="shared" si="3"/>
        <v>-103882.33000000002</v>
      </c>
      <c r="G116" s="177">
        <f t="shared" si="8"/>
        <v>962120.66999999993</v>
      </c>
    </row>
  </sheetData>
  <mergeCells count="2">
    <mergeCell ref="A6:G6"/>
    <mergeCell ref="A7:G7"/>
  </mergeCells>
  <printOptions horizontalCentered="1"/>
  <pageMargins left="0.25" right="0.25" top="0.75" bottom="0.75" header="0.3" footer="0.3"/>
  <pageSetup fitToHeight="0" horizontalDpi="200" verticalDpi="200" orientation="portrait" r:id="rId2"/>
  <rowBreaks count="1" manualBreakCount="1">
    <brk id="68" max="6" man="1"/>
  </row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A63"/>
  <sheetViews>
    <sheetView workbookViewId="0" topLeftCell="A1">
      <pane ySplit="7" topLeftCell="A8" activePane="bottomLeft" state="frozen"/>
      <selection pane="topLeft" activeCell="A2" sqref="A1:A2"/>
      <selection pane="bottomLeft" activeCell="A1" sqref="A1"/>
    </sheetView>
  </sheetViews>
  <sheetFormatPr defaultColWidth="8.72727272727273" defaultRowHeight="15"/>
  <cols>
    <col min="2" max="2" width="31.8181818181818" bestFit="1" customWidth="1"/>
    <col min="3" max="3" width="21.2727272727273" customWidth="1"/>
    <col min="4" max="5" width="13.5454545454545" bestFit="1" customWidth="1"/>
    <col min="6" max="12" width="13.7272727272727" bestFit="1" customWidth="1"/>
    <col min="13" max="14" width="14.2727272727273" bestFit="1" customWidth="1"/>
    <col min="15" max="15" width="13.7272727272727" bestFit="1" customWidth="1"/>
    <col min="16" max="16" width="14.8181818181818" bestFit="1" customWidth="1"/>
    <col min="17" max="19" width="13.5454545454545" bestFit="1" customWidth="1"/>
    <col min="20" max="22" width="11.5454545454545" bestFit="1" customWidth="1"/>
    <col min="23" max="26" width="12.5454545454545" bestFit="1" customWidth="1"/>
    <col min="27" max="27" width="10.2727272727273" customWidth="1"/>
  </cols>
  <sheetData>
    <row r="1" s="242" customFormat="1" ht="15">
      <c r="A1" s="276" t="s">
        <v>245</v>
      </c>
    </row>
    <row r="2" s="242" customFormat="1" ht="15">
      <c r="A2" s="292" t="s">
        <v>243</v>
      </c>
    </row>
    <row r="3" s="242" customFormat="1" ht="15"/>
    <row r="4" s="242" customFormat="1" ht="15"/>
    <row r="5" s="242" customFormat="1" ht="15"/>
    <row r="6" spans="1:18" ht="18.75">
      <c r="A6" s="210" t="s">
        <v>174</v>
      </c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1" t="s">
        <v>5</v>
      </c>
      <c r="J6" s="1" t="s">
        <v>6</v>
      </c>
      <c r="K6" s="1" t="s">
        <v>7</v>
      </c>
      <c r="L6" s="1" t="s">
        <v>8</v>
      </c>
      <c r="M6" s="1" t="s">
        <v>9</v>
      </c>
      <c r="N6" s="1" t="s">
        <v>10</v>
      </c>
      <c r="O6" s="2" t="s">
        <v>11</v>
      </c>
      <c r="P6" s="194" t="s">
        <v>0</v>
      </c>
      <c r="Q6" s="1" t="s">
        <v>1</v>
      </c>
      <c r="R6" s="1" t="s">
        <v>2</v>
      </c>
    </row>
    <row r="7" spans="1:18" ht="15">
      <c r="A7" t="s">
        <v>12</v>
      </c>
      <c r="D7" s="3">
        <v>404727.53021701647</v>
      </c>
      <c r="E7" s="3">
        <v>305926.56073394307</v>
      </c>
      <c r="F7" s="3">
        <v>174825.27803798296</v>
      </c>
      <c r="G7" s="3">
        <v>319252.21384705772</v>
      </c>
      <c r="H7" s="3">
        <v>374630.40997862176</v>
      </c>
      <c r="I7" s="3">
        <v>228806.32100893205</v>
      </c>
      <c r="J7" s="3">
        <v>175736.90242606847</v>
      </c>
      <c r="K7" s="3">
        <v>139310.57231100238</v>
      </c>
      <c r="L7" s="3">
        <v>220216.09091582111</v>
      </c>
      <c r="M7" s="3">
        <v>367251.92169789685</v>
      </c>
      <c r="N7" s="3">
        <v>425907.76303631364</v>
      </c>
      <c r="O7" s="4">
        <v>500903.92406990228</v>
      </c>
      <c r="P7" s="217">
        <v>395827.75032219832</v>
      </c>
      <c r="Q7" s="3">
        <v>299199.3705844346</v>
      </c>
      <c r="R7" s="3">
        <v>170980.94727611422</v>
      </c>
    </row>
    <row r="8" spans="1:16" ht="15">
      <c r="A8" s="236" t="s">
        <v>217</v>
      </c>
      <c r="C8" t="s">
        <v>214</v>
      </c>
      <c r="D8" s="243">
        <v>412000</v>
      </c>
      <c r="P8" s="198"/>
    </row>
    <row r="9" ht="15.75" thickBot="1">
      <c r="P9" s="198"/>
    </row>
    <row r="10" spans="4:27" ht="15">
      <c r="D10" s="268">
        <v>2020</v>
      </c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05">
        <v>2021</v>
      </c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7"/>
    </row>
    <row r="11" spans="2:27" ht="15.75" thickBot="1">
      <c r="B11" t="s">
        <v>13</v>
      </c>
      <c r="D11" s="8" t="s">
        <v>0</v>
      </c>
      <c r="E11" s="9" t="s">
        <v>1</v>
      </c>
      <c r="F11" s="9" t="s">
        <v>2</v>
      </c>
      <c r="G11" s="9" t="s">
        <v>3</v>
      </c>
      <c r="H11" s="9" t="s">
        <v>4</v>
      </c>
      <c r="I11" s="9" t="s">
        <v>5</v>
      </c>
      <c r="J11" s="9" t="s">
        <v>6</v>
      </c>
      <c r="K11" s="9" t="s">
        <v>7</v>
      </c>
      <c r="L11" s="9" t="s">
        <v>8</v>
      </c>
      <c r="M11" s="9" t="s">
        <v>9</v>
      </c>
      <c r="N11" s="9" t="s">
        <v>10</v>
      </c>
      <c r="O11" s="9" t="s">
        <v>11</v>
      </c>
      <c r="P11" s="8" t="s">
        <v>0</v>
      </c>
      <c r="Q11" s="9" t="s">
        <v>1</v>
      </c>
      <c r="R11" s="9" t="s">
        <v>2</v>
      </c>
      <c r="S11" s="9" t="s">
        <v>3</v>
      </c>
      <c r="T11" s="9" t="s">
        <v>4</v>
      </c>
      <c r="U11" s="9" t="s">
        <v>5</v>
      </c>
      <c r="V11" s="9" t="s">
        <v>6</v>
      </c>
      <c r="W11" s="9" t="s">
        <v>7</v>
      </c>
      <c r="X11" s="9" t="s">
        <v>8</v>
      </c>
      <c r="Y11" s="9" t="s">
        <v>9</v>
      </c>
      <c r="Z11" s="9" t="s">
        <v>10</v>
      </c>
      <c r="AA11" s="10" t="s">
        <v>11</v>
      </c>
    </row>
    <row r="12" spans="1:16" ht="15">
      <c r="A12" t="s">
        <v>14</v>
      </c>
      <c r="B12" t="s">
        <v>15</v>
      </c>
      <c r="D12" t="s">
        <v>16</v>
      </c>
      <c r="E12" t="s">
        <v>17</v>
      </c>
      <c r="F12" t="s">
        <v>18</v>
      </c>
      <c r="G12" t="s">
        <v>18</v>
      </c>
      <c r="H12" t="s">
        <v>18</v>
      </c>
      <c r="I12" t="s">
        <v>18</v>
      </c>
      <c r="J12" t="s">
        <v>18</v>
      </c>
      <c r="K12" t="s">
        <v>18</v>
      </c>
      <c r="L12" t="s">
        <v>18</v>
      </c>
      <c r="M12" t="s">
        <v>18</v>
      </c>
      <c r="N12" t="s">
        <v>18</v>
      </c>
      <c r="O12" t="s">
        <v>18</v>
      </c>
      <c r="P12" s="198"/>
    </row>
    <row r="13" spans="2:16" ht="15">
      <c r="B13" t="s">
        <v>19</v>
      </c>
      <c r="D13" t="s">
        <v>20</v>
      </c>
      <c r="E13" t="s">
        <v>17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  <c r="M13" t="s">
        <v>18</v>
      </c>
      <c r="N13" t="s">
        <v>18</v>
      </c>
      <c r="O13" t="s">
        <v>18</v>
      </c>
      <c r="P13" s="198"/>
    </row>
    <row r="14" ht="15">
      <c r="P14" s="198"/>
    </row>
    <row r="15" spans="1:16" ht="15">
      <c r="A15" t="s">
        <v>21</v>
      </c>
      <c r="B15" t="s">
        <v>15</v>
      </c>
      <c r="D15" t="s">
        <v>22</v>
      </c>
      <c r="E15" t="s">
        <v>22</v>
      </c>
      <c r="F15" s="11" t="s">
        <v>16</v>
      </c>
      <c r="G15" s="12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98"/>
    </row>
    <row r="16" spans="2:16" ht="15">
      <c r="B16" t="s">
        <v>23</v>
      </c>
      <c r="D16" t="s">
        <v>22</v>
      </c>
      <c r="E16" t="s">
        <v>22</v>
      </c>
      <c r="F16" s="11" t="s">
        <v>16</v>
      </c>
      <c r="G16" s="12" t="s">
        <v>16</v>
      </c>
      <c r="H16" s="12" t="s">
        <v>16</v>
      </c>
      <c r="I16" s="12" t="s">
        <v>16</v>
      </c>
      <c r="J16" s="12" t="s">
        <v>16</v>
      </c>
      <c r="K16" s="12" t="s">
        <v>16</v>
      </c>
      <c r="L16" s="12" t="s">
        <v>16</v>
      </c>
      <c r="M16" s="12" t="s">
        <v>16</v>
      </c>
      <c r="N16" s="12" t="s">
        <v>16</v>
      </c>
      <c r="O16" s="12" t="s">
        <v>16</v>
      </c>
      <c r="P16" s="198"/>
    </row>
    <row r="17" spans="2:18" ht="15">
      <c r="B17" t="s">
        <v>24</v>
      </c>
      <c r="D17" s="13" t="s">
        <v>22</v>
      </c>
      <c r="E17" s="13" t="s">
        <v>22</v>
      </c>
      <c r="F17" s="13" t="s">
        <v>22</v>
      </c>
      <c r="G17" s="13" t="s">
        <v>22</v>
      </c>
      <c r="H17" s="13" t="s">
        <v>22</v>
      </c>
      <c r="I17" s="13" t="s">
        <v>22</v>
      </c>
      <c r="J17" s="13" t="s">
        <v>22</v>
      </c>
      <c r="K17" s="13" t="s">
        <v>22</v>
      </c>
      <c r="L17" s="11" t="s">
        <v>16</v>
      </c>
      <c r="M17" s="12" t="s">
        <v>16</v>
      </c>
      <c r="N17" s="12" t="s">
        <v>16</v>
      </c>
      <c r="O17" s="12" t="s">
        <v>16</v>
      </c>
      <c r="P17" s="218" t="s">
        <v>16</v>
      </c>
      <c r="Q17" s="12" t="s">
        <v>16</v>
      </c>
      <c r="R17" s="12" t="s">
        <v>16</v>
      </c>
    </row>
    <row r="18" spans="1:16" ht="15">
      <c r="A18" s="14"/>
      <c r="P18" s="198"/>
    </row>
    <row r="19" spans="2:16" ht="15">
      <c r="B19" s="15" t="s">
        <v>26</v>
      </c>
      <c r="D19" s="16">
        <f>D20/$C$20</f>
        <v>0.12885503407365848</v>
      </c>
      <c r="E19" s="16">
        <f t="shared" si="0" ref="E19:O19">E20/$C$20</f>
        <v>0.11645647466334119</v>
      </c>
      <c r="F19" s="16">
        <f t="shared" si="0"/>
        <v>0.097441063671361197</v>
      </c>
      <c r="G19" s="16">
        <f t="shared" si="0"/>
        <v>0.06799092009988475</v>
      </c>
      <c r="H19" s="16">
        <f t="shared" si="0"/>
        <v>0.063534714435379114</v>
      </c>
      <c r="I19" s="16">
        <f t="shared" si="0"/>
        <v>0.048585545906572276</v>
      </c>
      <c r="J19" s="16">
        <f t="shared" si="0"/>
        <v>0.048036846093920726</v>
      </c>
      <c r="K19" s="16">
        <f t="shared" si="0"/>
        <v>0.053478097939496601</v>
      </c>
      <c r="L19" s="16">
        <f t="shared" si="0"/>
        <v>0.066732887219844259</v>
      </c>
      <c r="M19" s="16">
        <f t="shared" si="0"/>
        <v>0.087860720067002934</v>
      </c>
      <c r="N19" s="16">
        <f t="shared" si="0"/>
        <v>0.10403152619958545</v>
      </c>
      <c r="O19" s="16">
        <f t="shared" si="0"/>
        <v>0.11699616962995298</v>
      </c>
      <c r="P19" s="198"/>
    </row>
    <row r="20" spans="2:16" ht="15">
      <c r="B20" t="s">
        <v>27</v>
      </c>
      <c r="C20" s="17">
        <f>SUM(D20:O20)</f>
        <v>14471033.628139529</v>
      </c>
      <c r="D20" s="17">
        <v>1864665.5312349768</v>
      </c>
      <c r="E20" s="17">
        <v>1685245.5610677896</v>
      </c>
      <c r="F20" s="17">
        <v>1410072.9091499529</v>
      </c>
      <c r="G20" s="17">
        <v>983898.89117358008</v>
      </c>
      <c r="H20" s="17">
        <v>919412.98914861318</v>
      </c>
      <c r="I20" s="17">
        <v>703083.06865552429</v>
      </c>
      <c r="J20" s="17">
        <v>695142.81521488982</v>
      </c>
      <c r="K20" s="17">
        <v>773883.3536513946</v>
      </c>
      <c r="L20" s="17">
        <v>965693.85506120895</v>
      </c>
      <c r="M20" s="17">
        <v>1271435.4346821529</v>
      </c>
      <c r="N20" s="17">
        <v>1505443.7140208795</v>
      </c>
      <c r="O20" s="17">
        <v>1693055.5050785663</v>
      </c>
      <c r="P20" s="198"/>
    </row>
    <row r="21" spans="2:16" ht="15">
      <c r="B21" t="s">
        <v>28</v>
      </c>
      <c r="C21" s="18">
        <v>6592661</v>
      </c>
      <c r="D21" s="17">
        <f>D22*$C$21</f>
        <v>809014.32507746201</v>
      </c>
      <c r="E21" s="17">
        <f t="shared" si="1" ref="E21:O21">E22*$C$21</f>
        <v>579233.45506721467</v>
      </c>
      <c r="F21" s="17">
        <f t="shared" si="1"/>
        <v>464561.52050412691</v>
      </c>
      <c r="G21" s="17">
        <f t="shared" si="1"/>
        <v>550308.5308109693</v>
      </c>
      <c r="H21" s="17">
        <f t="shared" si="1"/>
        <v>480433.8906342265</v>
      </c>
      <c r="I21" s="17">
        <f t="shared" si="1"/>
        <v>398048.95910882764</v>
      </c>
      <c r="J21" s="17">
        <f t="shared" si="1"/>
        <v>370892.5384730947</v>
      </c>
      <c r="K21" s="17">
        <f t="shared" si="1"/>
        <v>361429.89985527145</v>
      </c>
      <c r="L21" s="17">
        <f t="shared" si="1"/>
        <v>429817.4339148603</v>
      </c>
      <c r="M21" s="17">
        <f t="shared" si="1"/>
        <v>624838.92275177385</v>
      </c>
      <c r="N21" s="17">
        <f t="shared" si="1"/>
        <v>735009.26402655442</v>
      </c>
      <c r="O21" s="17">
        <f t="shared" si="1"/>
        <v>789072.25977561786</v>
      </c>
      <c r="P21" s="198"/>
    </row>
    <row r="22" spans="2:16" ht="15.75" thickBot="1">
      <c r="B22" t="s">
        <v>29</v>
      </c>
      <c r="C22" s="19"/>
      <c r="D22" s="20">
        <v>0.12271438271700334</v>
      </c>
      <c r="E22" s="20">
        <v>0.087860342745852499</v>
      </c>
      <c r="F22" s="20">
        <v>0.070466465741849449</v>
      </c>
      <c r="G22" s="20">
        <v>0.083472899760956815</v>
      </c>
      <c r="H22" s="20">
        <v>0.072874047464935102</v>
      </c>
      <c r="I22" s="20">
        <v>0.060377586396271193</v>
      </c>
      <c r="J22" s="20">
        <v>0.056258396795026269</v>
      </c>
      <c r="K22" s="20">
        <v>0.054823067628575389</v>
      </c>
      <c r="L22" s="20">
        <v>0.06519634998900449</v>
      </c>
      <c r="M22" s="20">
        <v>0.094777954266384065</v>
      </c>
      <c r="N22" s="20">
        <v>0.11148901240736547</v>
      </c>
      <c r="O22" s="20">
        <v>0.11968949408677587</v>
      </c>
      <c r="P22" s="198"/>
    </row>
    <row r="23" spans="3:16" ht="15.75" thickTop="1">
      <c r="C23" s="17"/>
      <c r="P23" s="198"/>
    </row>
    <row r="24" spans="1:18" ht="15">
      <c r="A24" s="14">
        <v>0.30</v>
      </c>
      <c r="B24" t="s">
        <v>15</v>
      </c>
      <c r="C24" s="17">
        <f>SUM(D24:O24)</f>
        <v>1977798.2999999998</v>
      </c>
      <c r="D24" s="17">
        <f>D$21*$A24</f>
        <v>242704.29752323858</v>
      </c>
      <c r="E24" s="17">
        <f t="shared" si="2" ref="E24:O25">E$21*$A24</f>
        <v>173770.0365201644</v>
      </c>
      <c r="F24" s="17">
        <f t="shared" si="2"/>
        <v>139368.45615123806</v>
      </c>
      <c r="G24" s="17">
        <f t="shared" si="2"/>
        <v>165092.55924329077</v>
      </c>
      <c r="H24" s="17">
        <f t="shared" si="2"/>
        <v>144130.16719026794</v>
      </c>
      <c r="I24" s="17">
        <f t="shared" si="2"/>
        <v>119414.68773264828</v>
      </c>
      <c r="J24" s="17">
        <f t="shared" si="2"/>
        <v>111267.76154192841</v>
      </c>
      <c r="K24" s="17">
        <f t="shared" si="2"/>
        <v>108428.96995658144</v>
      </c>
      <c r="L24" s="17">
        <f t="shared" si="2"/>
        <v>128945.23017445809</v>
      </c>
      <c r="M24" s="17">
        <f t="shared" si="2"/>
        <v>187451.67682553214</v>
      </c>
      <c r="N24" s="17">
        <f t="shared" si="2"/>
        <v>220502.77920796632</v>
      </c>
      <c r="O24" s="17">
        <f t="shared" si="2"/>
        <v>236721.67793268536</v>
      </c>
      <c r="P24" s="219">
        <f>D24</f>
        <v>242704.29752323858</v>
      </c>
      <c r="Q24" s="17">
        <f t="shared" si="3" ref="Q24:R25">E24</f>
        <v>173770.0365201644</v>
      </c>
      <c r="R24" s="17">
        <f t="shared" si="3"/>
        <v>139368.45615123806</v>
      </c>
    </row>
    <row r="25" spans="1:18" ht="15">
      <c r="A25" s="14">
        <v>0.70</v>
      </c>
      <c r="B25" t="s">
        <v>19</v>
      </c>
      <c r="C25" s="17">
        <f>SUM(D25:O25)</f>
        <v>4614862.6999999993</v>
      </c>
      <c r="D25" s="17">
        <f t="shared" si="4" ref="D25">D$21*$A25</f>
        <v>566310.02755422331</v>
      </c>
      <c r="E25" s="17">
        <f t="shared" si="2"/>
        <v>405463.41854705027</v>
      </c>
      <c r="F25" s="17">
        <f t="shared" si="2"/>
        <v>325193.06435288879</v>
      </c>
      <c r="G25" s="21">
        <f t="shared" si="2"/>
        <v>385215.9715676785</v>
      </c>
      <c r="H25" s="22">
        <f t="shared" si="2"/>
        <v>336303.7234439585</v>
      </c>
      <c r="I25" s="22">
        <f t="shared" si="2"/>
        <v>278634.2713761793</v>
      </c>
      <c r="J25" s="22">
        <f t="shared" si="2"/>
        <v>259624.77693116627</v>
      </c>
      <c r="K25" s="22">
        <f t="shared" si="2"/>
        <v>253000.92989869</v>
      </c>
      <c r="L25" s="22">
        <f t="shared" si="2"/>
        <v>300872.20374040218</v>
      </c>
      <c r="M25" s="22">
        <f t="shared" si="2"/>
        <v>437387.24592624168</v>
      </c>
      <c r="N25" s="22">
        <f t="shared" si="2"/>
        <v>514506.48481858807</v>
      </c>
      <c r="O25" s="17">
        <f t="shared" si="2"/>
        <v>552350.5818429325</v>
      </c>
      <c r="P25" s="219">
        <f t="shared" si="5" ref="P25">D25</f>
        <v>566310.02755422331</v>
      </c>
      <c r="Q25" s="17">
        <f t="shared" si="3"/>
        <v>405463.41854705027</v>
      </c>
      <c r="R25" s="17">
        <f t="shared" si="3"/>
        <v>325193.06435288879</v>
      </c>
    </row>
    <row r="26" spans="2:18" ht="15.75" thickBot="1">
      <c r="B26" t="s">
        <v>30</v>
      </c>
      <c r="F26" s="226" t="s">
        <v>0</v>
      </c>
      <c r="G26" s="8" t="s">
        <v>184</v>
      </c>
      <c r="H26" s="9" t="s">
        <v>1</v>
      </c>
      <c r="I26" s="9" t="s">
        <v>2</v>
      </c>
      <c r="J26" s="9" t="s">
        <v>3</v>
      </c>
      <c r="K26" s="9" t="s">
        <v>4</v>
      </c>
      <c r="L26" s="9" t="s">
        <v>5</v>
      </c>
      <c r="M26" s="9" t="s">
        <v>6</v>
      </c>
      <c r="N26" s="9" t="s">
        <v>7</v>
      </c>
      <c r="O26" s="9" t="s">
        <v>8</v>
      </c>
      <c r="P26" s="8" t="s">
        <v>9</v>
      </c>
      <c r="Q26" s="9" t="s">
        <v>10</v>
      </c>
      <c r="R26" s="10" t="s">
        <v>11</v>
      </c>
    </row>
    <row r="27" spans="2:18" ht="15">
      <c r="B27" t="s">
        <v>32</v>
      </c>
      <c r="G27" s="2" t="s">
        <v>4</v>
      </c>
      <c r="H27" s="2" t="s">
        <v>160</v>
      </c>
      <c r="I27" s="2" t="s">
        <v>5</v>
      </c>
      <c r="J27" s="23" t="s">
        <v>161</v>
      </c>
      <c r="K27" s="2" t="s">
        <v>6</v>
      </c>
      <c r="L27" s="23" t="s">
        <v>162</v>
      </c>
      <c r="M27" s="2" t="s">
        <v>7</v>
      </c>
      <c r="N27" s="23" t="s">
        <v>34</v>
      </c>
      <c r="O27" s="24" t="s">
        <v>8</v>
      </c>
      <c r="P27" s="220"/>
      <c r="Q27" s="2"/>
      <c r="R27" s="2"/>
    </row>
    <row r="28" spans="2:18" ht="15">
      <c r="B28" t="s">
        <v>39</v>
      </c>
      <c r="D28">
        <v>2020</v>
      </c>
      <c r="G28" s="25">
        <v>4</v>
      </c>
      <c r="H28" s="25">
        <v>3</v>
      </c>
      <c r="I28" s="25">
        <v>2</v>
      </c>
      <c r="J28" s="25">
        <v>1</v>
      </c>
      <c r="K28" s="25">
        <f t="shared" si="6" ref="K28:L28">J28-0.5</f>
        <v>0.50</v>
      </c>
      <c r="L28" s="25">
        <f t="shared" si="6"/>
        <v>0</v>
      </c>
      <c r="M28" s="25">
        <v>0</v>
      </c>
      <c r="N28" s="25">
        <v>0</v>
      </c>
      <c r="O28" s="25">
        <v>0</v>
      </c>
      <c r="P28" s="220">
        <v>0</v>
      </c>
      <c r="Q28" s="25">
        <v>0</v>
      </c>
      <c r="R28" s="25">
        <v>0</v>
      </c>
    </row>
    <row r="29" spans="2:18" ht="15">
      <c r="B29" t="s">
        <v>40</v>
      </c>
      <c r="C29" s="17">
        <f>SUM(G29:R29)</f>
        <v>1361368.4490500514</v>
      </c>
      <c r="D29" s="17">
        <f>SUM(G29:N29)</f>
        <v>1361368.4490500514</v>
      </c>
      <c r="G29" s="17">
        <f>G25/2/2*G28</f>
        <v>385215.9715676785</v>
      </c>
      <c r="H29" s="17">
        <f t="shared" si="7" ref="H29:R29">H25/2*H28</f>
        <v>504455.58516593778</v>
      </c>
      <c r="I29" s="17">
        <f t="shared" si="7"/>
        <v>278634.2713761793</v>
      </c>
      <c r="J29" s="17">
        <f t="shared" si="7"/>
        <v>129812.38846558314</v>
      </c>
      <c r="K29" s="17">
        <f t="shared" si="7"/>
        <v>63250.232474672499</v>
      </c>
      <c r="L29" s="17">
        <f t="shared" si="7"/>
        <v>0</v>
      </c>
      <c r="M29" s="17">
        <f t="shared" si="7"/>
        <v>0</v>
      </c>
      <c r="N29" s="17">
        <f t="shared" si="7"/>
        <v>0</v>
      </c>
      <c r="O29" s="17">
        <f t="shared" si="7"/>
        <v>0</v>
      </c>
      <c r="P29" s="219">
        <f t="shared" si="7"/>
        <v>0</v>
      </c>
      <c r="Q29" s="17">
        <f t="shared" si="7"/>
        <v>0</v>
      </c>
      <c r="R29" s="17">
        <f t="shared" si="7"/>
        <v>0</v>
      </c>
    </row>
    <row r="30" spans="2:18" ht="15.75" thickBot="1">
      <c r="B30" t="s">
        <v>41</v>
      </c>
      <c r="C30" s="26"/>
      <c r="G30" s="9" t="s">
        <v>9</v>
      </c>
      <c r="H30" s="9" t="s">
        <v>10</v>
      </c>
      <c r="I30" s="9" t="s">
        <v>11</v>
      </c>
      <c r="J30" s="9" t="s">
        <v>0</v>
      </c>
      <c r="K30" s="9" t="s">
        <v>1</v>
      </c>
      <c r="L30" s="9" t="s">
        <v>2</v>
      </c>
      <c r="M30" s="9" t="s">
        <v>3</v>
      </c>
      <c r="N30" s="9" t="s">
        <v>4</v>
      </c>
      <c r="O30" s="9" t="s">
        <v>5</v>
      </c>
      <c r="P30" s="8" t="s">
        <v>6</v>
      </c>
      <c r="Q30" s="9" t="s">
        <v>7</v>
      </c>
      <c r="R30" s="9" t="s">
        <v>8</v>
      </c>
    </row>
    <row r="31" spans="2:18" ht="15.75" thickBot="1">
      <c r="B31" s="27" t="s">
        <v>42</v>
      </c>
      <c r="C31" s="30">
        <f>SUM(G31:R31)</f>
        <v>5976231.1490500504</v>
      </c>
      <c r="D31" s="29"/>
      <c r="E31" s="29"/>
      <c r="F31" s="30"/>
      <c r="G31" s="30">
        <f t="shared" si="8" ref="G31:R31">G29+G25</f>
        <v>770431.943135357</v>
      </c>
      <c r="H31" s="30">
        <f t="shared" si="8"/>
        <v>840759.30860989634</v>
      </c>
      <c r="I31" s="30">
        <f t="shared" si="8"/>
        <v>557268.5427523586</v>
      </c>
      <c r="J31" s="30">
        <f t="shared" si="8"/>
        <v>389437.16539674939</v>
      </c>
      <c r="K31" s="30">
        <f t="shared" si="8"/>
        <v>316251.16237336252</v>
      </c>
      <c r="L31" s="30">
        <f t="shared" si="8"/>
        <v>300872.20374040218</v>
      </c>
      <c r="M31" s="30">
        <f t="shared" si="8"/>
        <v>437387.24592624168</v>
      </c>
      <c r="N31" s="30">
        <f t="shared" si="8"/>
        <v>514506.48481858807</v>
      </c>
      <c r="O31" s="30">
        <f t="shared" si="8"/>
        <v>552350.5818429325</v>
      </c>
      <c r="P31" s="221">
        <f t="shared" si="8"/>
        <v>566310.02755422331</v>
      </c>
      <c r="Q31" s="30">
        <f t="shared" si="8"/>
        <v>405463.41854705027</v>
      </c>
      <c r="R31" s="30">
        <f t="shared" si="8"/>
        <v>325193.06435288879</v>
      </c>
    </row>
    <row r="32" spans="2:27" ht="15">
      <c r="B32" s="31"/>
      <c r="C32" s="32"/>
      <c r="D32" s="1" t="s">
        <v>0</v>
      </c>
      <c r="E32" s="1" t="s">
        <v>1</v>
      </c>
      <c r="F32" s="1" t="s">
        <v>2</v>
      </c>
      <c r="G32" s="1" t="s">
        <v>3</v>
      </c>
      <c r="H32" s="1" t="s">
        <v>4</v>
      </c>
      <c r="I32" s="1" t="s">
        <v>5</v>
      </c>
      <c r="J32" s="1" t="s">
        <v>6</v>
      </c>
      <c r="K32" s="1" t="s">
        <v>7</v>
      </c>
      <c r="L32" s="1" t="s">
        <v>8</v>
      </c>
      <c r="M32" s="1" t="s">
        <v>9</v>
      </c>
      <c r="N32" s="1" t="s">
        <v>10</v>
      </c>
      <c r="O32" s="1" t="s">
        <v>11</v>
      </c>
      <c r="P32" s="194" t="s">
        <v>0</v>
      </c>
      <c r="Q32" s="1" t="s">
        <v>1</v>
      </c>
      <c r="R32" s="1" t="s">
        <v>2</v>
      </c>
      <c r="S32" s="1" t="s">
        <v>3</v>
      </c>
      <c r="T32" s="1" t="s">
        <v>4</v>
      </c>
      <c r="U32" s="1" t="s">
        <v>5</v>
      </c>
      <c r="V32" s="1" t="s">
        <v>6</v>
      </c>
      <c r="W32" s="1" t="s">
        <v>7</v>
      </c>
      <c r="X32" s="1" t="s">
        <v>8</v>
      </c>
      <c r="Y32" s="1" t="s">
        <v>9</v>
      </c>
      <c r="Z32" s="1" t="s">
        <v>10</v>
      </c>
      <c r="AA32" s="1" t="s">
        <v>11</v>
      </c>
    </row>
    <row r="33" spans="2:26" ht="15">
      <c r="B33" s="33" t="s">
        <v>43</v>
      </c>
      <c r="C33" s="32"/>
      <c r="D33" s="31"/>
      <c r="E33" s="31"/>
      <c r="F33" s="34">
        <f>G31</f>
        <v>770431.943135357</v>
      </c>
      <c r="G33" s="34">
        <f t="shared" si="9" ref="G33:Z33">F33+H31</f>
        <v>1611191.2517452533</v>
      </c>
      <c r="H33" s="34">
        <f t="shared" si="9"/>
        <v>2168459.7944976119</v>
      </c>
      <c r="I33" s="34">
        <f t="shared" si="9"/>
        <v>2557896.9598943614</v>
      </c>
      <c r="J33" s="34">
        <f t="shared" si="9"/>
        <v>2874148.122267724</v>
      </c>
      <c r="K33" s="34">
        <f t="shared" si="9"/>
        <v>3175020.3260081261</v>
      </c>
      <c r="L33" s="34">
        <f t="shared" si="9"/>
        <v>3612407.571934368</v>
      </c>
      <c r="M33" s="34">
        <f t="shared" si="9"/>
        <v>4126914.056752956</v>
      </c>
      <c r="N33" s="34">
        <f t="shared" si="9"/>
        <v>4679264.6385958884</v>
      </c>
      <c r="O33" s="34">
        <f t="shared" si="9"/>
        <v>5245574.6661501117</v>
      </c>
      <c r="P33" s="219">
        <f t="shared" si="9"/>
        <v>5651038.0846971618</v>
      </c>
      <c r="Q33" s="34">
        <f t="shared" si="9"/>
        <v>5976231.1490500504</v>
      </c>
      <c r="R33" s="34">
        <f t="shared" si="9"/>
        <v>5976231.1490500504</v>
      </c>
      <c r="S33" s="34">
        <f t="shared" si="9"/>
        <v>5976231.1490500504</v>
      </c>
      <c r="T33" s="34">
        <f t="shared" si="9"/>
        <v>5976231.1490500504</v>
      </c>
      <c r="U33" s="34">
        <f t="shared" si="9"/>
        <v>5976231.1490500504</v>
      </c>
      <c r="V33" s="34">
        <f t="shared" si="9"/>
        <v>5976231.1490500504</v>
      </c>
      <c r="W33" s="34">
        <f t="shared" si="9"/>
        <v>5976231.1490500504</v>
      </c>
      <c r="X33" s="34">
        <f t="shared" si="9"/>
        <v>5976231.1490500504</v>
      </c>
      <c r="Y33" s="34">
        <f t="shared" si="9"/>
        <v>5976231.1490500504</v>
      </c>
      <c r="Z33" s="34">
        <f t="shared" si="9"/>
        <v>5976231.1490500504</v>
      </c>
    </row>
    <row r="34" spans="2:27" ht="15">
      <c r="B34" s="33" t="s">
        <v>44</v>
      </c>
      <c r="C34" s="32"/>
      <c r="D34" s="31"/>
      <c r="E34" s="31"/>
      <c r="F34" s="31"/>
      <c r="G34" s="32"/>
      <c r="H34" s="32"/>
      <c r="I34" s="32"/>
      <c r="J34" s="32"/>
      <c r="K34" s="34">
        <f>-G31</f>
        <v>-770431.943135357</v>
      </c>
      <c r="L34" s="34">
        <f t="shared" si="10" ref="L34:AA34">K34-H31</f>
        <v>-1611191.2517452533</v>
      </c>
      <c r="M34" s="34">
        <f t="shared" si="10"/>
        <v>-2168459.7944976119</v>
      </c>
      <c r="N34" s="34">
        <f t="shared" si="10"/>
        <v>-2557896.9598943614</v>
      </c>
      <c r="O34" s="34">
        <f t="shared" si="10"/>
        <v>-2874148.122267724</v>
      </c>
      <c r="P34" s="219">
        <f t="shared" si="10"/>
        <v>-3175020.3260081261</v>
      </c>
      <c r="Q34" s="34">
        <f t="shared" si="10"/>
        <v>-3612407.571934368</v>
      </c>
      <c r="R34" s="34">
        <f t="shared" si="10"/>
        <v>-4126914.056752956</v>
      </c>
      <c r="S34" s="34">
        <f t="shared" si="10"/>
        <v>-4679264.6385958884</v>
      </c>
      <c r="T34" s="34">
        <f t="shared" si="10"/>
        <v>-5245574.6661501117</v>
      </c>
      <c r="U34" s="34">
        <f t="shared" si="10"/>
        <v>-5651038.0846971618</v>
      </c>
      <c r="V34" s="34">
        <f t="shared" si="10"/>
        <v>-5976231.1490500504</v>
      </c>
      <c r="W34" s="34">
        <f t="shared" si="10"/>
        <v>-5976231.1490500504</v>
      </c>
      <c r="X34" s="34">
        <f t="shared" si="10"/>
        <v>-5976231.1490500504</v>
      </c>
      <c r="Y34" s="34">
        <f t="shared" si="10"/>
        <v>-5976231.1490500504</v>
      </c>
      <c r="Z34" s="34">
        <f t="shared" si="10"/>
        <v>-5976231.1490500504</v>
      </c>
      <c r="AA34" s="34">
        <f t="shared" si="10"/>
        <v>-5976231.1490500504</v>
      </c>
    </row>
    <row r="35" spans="2:26" ht="15">
      <c r="B35" s="208" t="s">
        <v>45</v>
      </c>
      <c r="C35" s="212"/>
      <c r="D35" s="208"/>
      <c r="E35" s="208"/>
      <c r="F35" s="185">
        <f>F33+F34</f>
        <v>770431.943135357</v>
      </c>
      <c r="G35" s="185">
        <f t="shared" si="11" ref="G35:I35">G33+G34</f>
        <v>1611191.2517452533</v>
      </c>
      <c r="H35" s="185">
        <f t="shared" si="11"/>
        <v>2168459.7944976119</v>
      </c>
      <c r="I35" s="185">
        <f t="shared" si="11"/>
        <v>2557896.9598943614</v>
      </c>
      <c r="J35" s="213">
        <f>J33+J34</f>
        <v>2874148.122267724</v>
      </c>
      <c r="K35" s="185">
        <f t="shared" si="12" ref="K35:Y35">K33+K34</f>
        <v>2404588.3828727691</v>
      </c>
      <c r="L35" s="185">
        <f t="shared" si="12"/>
        <v>2001216.3201891147</v>
      </c>
      <c r="M35" s="185">
        <f t="shared" si="12"/>
        <v>1958454.2622553441</v>
      </c>
      <c r="N35" s="185">
        <f t="shared" si="12"/>
        <v>2121367.678701527</v>
      </c>
      <c r="O35" s="185">
        <f t="shared" si="12"/>
        <v>2371426.5438823877</v>
      </c>
      <c r="P35" s="222">
        <f t="shared" si="12"/>
        <v>2476017.7586890357</v>
      </c>
      <c r="Q35" s="185">
        <f t="shared" si="12"/>
        <v>2363823.5771156824</v>
      </c>
      <c r="R35" s="185">
        <f t="shared" si="12"/>
        <v>1849317.0922970944</v>
      </c>
      <c r="S35" s="185">
        <f t="shared" si="12"/>
        <v>1296966.510454162</v>
      </c>
      <c r="T35" s="185">
        <f t="shared" si="12"/>
        <v>730656.48289993871</v>
      </c>
      <c r="U35" s="185">
        <f t="shared" si="12"/>
        <v>325193.06435288861</v>
      </c>
      <c r="V35" s="192">
        <f t="shared" si="12"/>
        <v>0</v>
      </c>
      <c r="W35" s="192">
        <f t="shared" si="12"/>
        <v>0</v>
      </c>
      <c r="X35" s="192">
        <f t="shared" si="12"/>
        <v>0</v>
      </c>
      <c r="Y35" s="192">
        <f t="shared" si="12"/>
        <v>0</v>
      </c>
      <c r="Z35" s="34">
        <f>Z33+AA34</f>
        <v>0</v>
      </c>
    </row>
    <row r="36" ht="15">
      <c r="P36" s="198"/>
    </row>
    <row r="37" ht="15">
      <c r="P37" s="198"/>
    </row>
    <row r="38" spans="2:26" ht="15">
      <c r="B38" s="33" t="s">
        <v>199</v>
      </c>
      <c r="C38" s="17">
        <f>SUM(G38:O38)</f>
        <v>1399947.5747185804</v>
      </c>
      <c r="D38" s="31"/>
      <c r="E38" s="31"/>
      <c r="F38" s="34"/>
      <c r="G38" s="34">
        <f>G45*G31</f>
        <v>219970.15871679792</v>
      </c>
      <c r="H38" s="34">
        <f t="shared" si="13" ref="H38:U38">H45*H31</f>
        <v>182250.61979228133</v>
      </c>
      <c r="I38" s="34">
        <f t="shared" si="13"/>
        <v>156372.39544891397</v>
      </c>
      <c r="J38" s="34">
        <f t="shared" si="13"/>
        <v>127082.30398766128</v>
      </c>
      <c r="K38" s="34">
        <f t="shared" si="13"/>
        <v>150747.60125801506</v>
      </c>
      <c r="L38" s="34">
        <f t="shared" si="13"/>
        <v>93764.358918428756</v>
      </c>
      <c r="M38" s="34">
        <f t="shared" si="13"/>
        <v>183137.34751691151</v>
      </c>
      <c r="N38" s="34">
        <f t="shared" si="13"/>
        <v>153385.07290809121</v>
      </c>
      <c r="O38" s="34">
        <f t="shared" si="13"/>
        <v>133237.71617147938</v>
      </c>
      <c r="P38" s="219">
        <f t="shared" si="13"/>
        <v>182106.36686317597</v>
      </c>
      <c r="Q38" s="34">
        <f t="shared" si="13"/>
        <v>74768.573595801296</v>
      </c>
      <c r="R38" s="34">
        <f t="shared" si="13"/>
        <v>103570.90996996094</v>
      </c>
      <c r="S38" s="34">
        <f t="shared" si="13"/>
        <v>0</v>
      </c>
      <c r="T38" s="34">
        <f t="shared" si="13"/>
        <v>0</v>
      </c>
      <c r="U38" s="34">
        <f t="shared" si="13"/>
        <v>0</v>
      </c>
      <c r="V38" s="34">
        <f>V35*V45</f>
        <v>0</v>
      </c>
      <c r="W38" s="34">
        <f>W35*W45</f>
        <v>0</v>
      </c>
      <c r="X38" s="34"/>
      <c r="Y38" s="34"/>
      <c r="Z38" s="34"/>
    </row>
    <row r="39" spans="2:23" ht="15">
      <c r="B39" s="211" t="s">
        <v>201</v>
      </c>
      <c r="C39" s="214"/>
      <c r="D39" s="214"/>
      <c r="E39" s="214"/>
      <c r="F39" s="215">
        <f t="shared" si="14" ref="F39:W39">F35-F38</f>
        <v>770431.943135357</v>
      </c>
      <c r="G39" s="215">
        <f t="shared" si="14"/>
        <v>1391221.0930284555</v>
      </c>
      <c r="H39" s="215">
        <f t="shared" si="14"/>
        <v>1986209.1747053305</v>
      </c>
      <c r="I39" s="215">
        <f t="shared" si="14"/>
        <v>2401524.5644454476</v>
      </c>
      <c r="J39" s="216">
        <f t="shared" si="14"/>
        <v>2747065.8182800626</v>
      </c>
      <c r="K39" s="215">
        <f t="shared" si="14"/>
        <v>2253840.7816147539</v>
      </c>
      <c r="L39" s="215">
        <f t="shared" si="14"/>
        <v>1907451.961270686</v>
      </c>
      <c r="M39" s="215">
        <f t="shared" si="14"/>
        <v>1775316.9147384325</v>
      </c>
      <c r="N39" s="215">
        <f t="shared" si="14"/>
        <v>1967982.6057934358</v>
      </c>
      <c r="O39" s="215">
        <f t="shared" si="14"/>
        <v>2238188.8277109084</v>
      </c>
      <c r="P39" s="223">
        <f t="shared" si="14"/>
        <v>2293911.3918258599</v>
      </c>
      <c r="Q39" s="215">
        <f t="shared" si="14"/>
        <v>2289055.0035198811</v>
      </c>
      <c r="R39" s="215">
        <f t="shared" si="14"/>
        <v>1745746.1823271334</v>
      </c>
      <c r="S39" s="215">
        <f t="shared" si="14"/>
        <v>1296966.510454162</v>
      </c>
      <c r="T39" s="215">
        <f t="shared" si="14"/>
        <v>730656.48289993871</v>
      </c>
      <c r="U39" s="17">
        <f t="shared" si="14"/>
        <v>325193.06435288861</v>
      </c>
      <c r="V39" s="17">
        <f t="shared" si="14"/>
        <v>0</v>
      </c>
      <c r="W39" s="17">
        <f t="shared" si="14"/>
        <v>0</v>
      </c>
    </row>
    <row r="41" ht="15">
      <c r="B41" t="s">
        <v>181</v>
      </c>
    </row>
    <row r="42" ht="15">
      <c r="B42" t="s">
        <v>182</v>
      </c>
    </row>
    <row r="43" ht="15">
      <c r="B43" t="s">
        <v>183</v>
      </c>
    </row>
    <row r="45" spans="2:27" ht="15">
      <c r="B45" t="s">
        <v>200</v>
      </c>
      <c r="D45" s="234">
        <v>0.32129999999999997</v>
      </c>
      <c r="E45" s="234">
        <v>0.18410000000000001</v>
      </c>
      <c r="F45" s="35">
        <f>0.455*0.7</f>
        <v>0.31850000000000001</v>
      </c>
      <c r="G45" s="35">
        <v>0.28551536664173777</v>
      </c>
      <c r="H45" s="35">
        <v>0.21676907757775862</v>
      </c>
      <c r="I45" s="35">
        <v>0.28060510050789539</v>
      </c>
      <c r="J45" s="35">
        <v>0.3263229996505157</v>
      </c>
      <c r="K45" s="35">
        <v>0.47667050494519336</v>
      </c>
      <c r="L45" s="35">
        <v>0.31164181254620082</v>
      </c>
      <c r="M45" s="35">
        <v>0.4187075622863376</v>
      </c>
      <c r="N45" s="35">
        <v>0.29812077677149956</v>
      </c>
      <c r="O45" s="35">
        <v>0.24121947283359091</v>
      </c>
      <c r="P45" s="35">
        <v>0.32156655895650649</v>
      </c>
      <c r="Q45" s="35">
        <v>0.18440276033712053</v>
      </c>
      <c r="R45" s="35">
        <v>0.31849052554690771</v>
      </c>
      <c r="S45" s="35">
        <v>0.28551536664173777</v>
      </c>
      <c r="T45" s="35">
        <v>0.21676907757775862</v>
      </c>
      <c r="U45" s="35">
        <v>0.28060510050789539</v>
      </c>
      <c r="V45" s="35">
        <v>0.3263229996505157</v>
      </c>
      <c r="W45" s="35">
        <v>0.47667050494519336</v>
      </c>
      <c r="X45" s="35">
        <v>0.31164181254620082</v>
      </c>
      <c r="Y45" s="35">
        <v>0.4187075622863376</v>
      </c>
      <c r="Z45" s="35">
        <v>0.29812077677149956</v>
      </c>
      <c r="AA45" s="35">
        <v>0.24121947283359091</v>
      </c>
    </row>
    <row r="46" spans="2:18" ht="15">
      <c r="B46" t="s">
        <v>240</v>
      </c>
      <c r="C46" s="245">
        <f>SUM(F46:R46)</f>
        <v>370031.93720571476</v>
      </c>
      <c r="F46" s="245">
        <f>F45*F29</f>
        <v>0</v>
      </c>
      <c r="G46" s="245">
        <f t="shared" si="15" ref="G46:R46">G45*G29</f>
        <v>109985.07935839896</v>
      </c>
      <c r="H46" s="245">
        <f t="shared" si="15"/>
        <v>109350.37187536879</v>
      </c>
      <c r="I46" s="245">
        <f t="shared" si="15"/>
        <v>78186.197724456986</v>
      </c>
      <c r="J46" s="245">
        <f t="shared" si="15"/>
        <v>42360.767995887094</v>
      </c>
      <c r="K46" s="245">
        <f t="shared" si="15"/>
        <v>30149.520251603008</v>
      </c>
      <c r="L46" s="245">
        <f t="shared" si="15"/>
        <v>0</v>
      </c>
      <c r="M46" s="245">
        <f t="shared" si="15"/>
        <v>0</v>
      </c>
      <c r="N46" s="245">
        <f t="shared" si="15"/>
        <v>0</v>
      </c>
      <c r="O46" s="245">
        <f t="shared" si="15"/>
        <v>0</v>
      </c>
      <c r="P46" s="245">
        <f t="shared" si="15"/>
        <v>0</v>
      </c>
      <c r="Q46" s="245">
        <f t="shared" si="15"/>
        <v>0</v>
      </c>
      <c r="R46" s="245">
        <f t="shared" si="15"/>
        <v>0</v>
      </c>
    </row>
    <row r="47" spans="1:2" ht="15">
      <c r="A47" t="s">
        <v>163</v>
      </c>
      <c r="B47" t="s">
        <v>164</v>
      </c>
    </row>
    <row r="48" spans="1:2" ht="15">
      <c r="A48" t="s">
        <v>166</v>
      </c>
      <c r="B48" t="s">
        <v>168</v>
      </c>
    </row>
    <row r="49" spans="1:2" ht="15">
      <c r="A49" t="s">
        <v>167</v>
      </c>
      <c r="B49" t="s">
        <v>169</v>
      </c>
    </row>
    <row r="50" spans="1:2" ht="15">
      <c r="A50" t="s">
        <v>176</v>
      </c>
      <c r="B50" t="s">
        <v>177</v>
      </c>
    </row>
    <row r="51" spans="1:2" ht="15">
      <c r="A51" t="s">
        <v>170</v>
      </c>
      <c r="B51" t="s">
        <v>171</v>
      </c>
    </row>
    <row r="52" spans="1:2" ht="15">
      <c r="A52" t="s">
        <v>172</v>
      </c>
      <c r="B52" t="s">
        <v>173</v>
      </c>
    </row>
    <row r="54" ht="15">
      <c r="B54" t="s">
        <v>203</v>
      </c>
    </row>
    <row r="56" spans="2:3" ht="15">
      <c r="B56" t="s">
        <v>204</v>
      </c>
      <c r="C56" t="s">
        <v>205</v>
      </c>
    </row>
    <row r="57" spans="2:3" ht="15">
      <c r="B57" t="s">
        <v>206</v>
      </c>
      <c r="C57" t="s">
        <v>207</v>
      </c>
    </row>
    <row r="58" spans="2:3" ht="15">
      <c r="B58" t="s">
        <v>208</v>
      </c>
      <c r="C58" t="s">
        <v>207</v>
      </c>
    </row>
    <row r="60" ht="15">
      <c r="B60" s="15" t="s">
        <v>209</v>
      </c>
    </row>
    <row r="61" ht="15">
      <c r="B61" t="s">
        <v>210</v>
      </c>
    </row>
    <row r="62" ht="15">
      <c r="B62" s="242" t="s">
        <v>212</v>
      </c>
    </row>
    <row r="63" ht="15">
      <c r="B63" t="s">
        <v>213</v>
      </c>
    </row>
  </sheetData>
  <mergeCells count="1">
    <mergeCell ref="D10:O10"/>
  </mergeCells>
  <pageMargins left="0.25" right="0.25" top="0.75" bottom="0.75" header="0.3" footer="0.3"/>
  <pageSetup orientation="landscape" paperSize="17" scale="10" r:id="rId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workbookViewId="0" topLeftCell="A1">
      <selection pane="topLeft" activeCell="A1" sqref="A1"/>
    </sheetView>
  </sheetViews>
  <sheetFormatPr defaultColWidth="8.72727272727273" defaultRowHeight="15"/>
  <cols>
    <col min="1" max="1" width="43" bestFit="1" customWidth="1"/>
    <col min="2" max="2" width="4.45454545454545" customWidth="1"/>
    <col min="3" max="5" width="14.8181818181818" customWidth="1"/>
    <col min="6" max="6" width="14.8181818181818" style="242" customWidth="1"/>
    <col min="7" max="7" width="3.18181818181818" customWidth="1"/>
    <col min="8" max="8" width="47.4545454545455" customWidth="1"/>
  </cols>
  <sheetData>
    <row r="1" s="242" customFormat="1" ht="15">
      <c r="A1" s="291" t="s">
        <v>246</v>
      </c>
    </row>
    <row r="2" s="242" customFormat="1" ht="15">
      <c r="A2" s="290" t="s">
        <v>243</v>
      </c>
    </row>
    <row r="3" s="242" customFormat="1" ht="15"/>
    <row r="4" s="242" customFormat="1" ht="15"/>
    <row r="5" s="242" customFormat="1" ht="15"/>
    <row r="6" s="242" customFormat="1" ht="15"/>
    <row r="7" ht="18.75">
      <c r="A7" s="209" t="s">
        <v>189</v>
      </c>
    </row>
    <row r="8" ht="15">
      <c r="F8" s="248" t="s">
        <v>188</v>
      </c>
    </row>
    <row r="9" spans="3:8" ht="15">
      <c r="C9" s="230" t="s">
        <v>186</v>
      </c>
      <c r="D9" s="230" t="s">
        <v>187</v>
      </c>
      <c r="E9" s="230" t="s">
        <v>188</v>
      </c>
      <c r="F9" s="247" t="s">
        <v>215</v>
      </c>
      <c r="G9" s="231"/>
      <c r="H9" s="232" t="s">
        <v>196</v>
      </c>
    </row>
    <row r="10" spans="1:6" ht="15">
      <c r="A10" t="s">
        <v>190</v>
      </c>
      <c r="C10" s="151">
        <v>4614863</v>
      </c>
      <c r="D10" s="151">
        <v>4614863</v>
      </c>
      <c r="E10" s="151">
        <v>4614863</v>
      </c>
      <c r="F10" s="245">
        <v>4614863</v>
      </c>
    </row>
    <row r="11" spans="1:6" ht="15">
      <c r="A11" t="s">
        <v>191</v>
      </c>
      <c r="C11" s="151">
        <f>'CO Gross 6m'!C30</f>
        <v>6376255.8924840055</v>
      </c>
      <c r="D11" s="151">
        <f>'CO Gross 5m'!C30</f>
        <v>4246426.8014641479</v>
      </c>
      <c r="E11" s="151">
        <f>'CO Gross 4m'!C30</f>
        <v>2542205.1926945923</v>
      </c>
      <c r="F11" s="245">
        <f>'CO Gross 4m add''l resources'!C29</f>
        <v>1361368.4490500514</v>
      </c>
    </row>
    <row r="12" spans="1:6" ht="15">
      <c r="A12" t="s">
        <v>193</v>
      </c>
      <c r="C12" s="151"/>
      <c r="D12" s="151">
        <f>D11-C11</f>
        <v>-2129829.0910198577</v>
      </c>
      <c r="E12" s="151">
        <f>E11-C11</f>
        <v>-3834050.6997894133</v>
      </c>
      <c r="F12" s="245">
        <f>F11-C11</f>
        <v>-5014887.4434339544</v>
      </c>
    </row>
    <row r="13" spans="1:6" ht="15">
      <c r="A13" t="s">
        <v>194</v>
      </c>
      <c r="C13" s="151"/>
      <c r="D13" s="229">
        <f>D12/C11</f>
        <v>-0.33402503395925309</v>
      </c>
      <c r="E13" s="229">
        <f>E12/C11</f>
        <v>-0.60130125961675884</v>
      </c>
      <c r="F13" s="246">
        <f>F12/C11</f>
        <v>-0.78649406924606635</v>
      </c>
    </row>
    <row r="14" spans="1:6" ht="15">
      <c r="A14" t="s">
        <v>192</v>
      </c>
      <c r="C14" s="151">
        <f>SUM(C10:C11)</f>
        <v>10991118.892484006</v>
      </c>
      <c r="D14" s="151">
        <f>SUM(D10:D11)</f>
        <v>8861289.8014641479</v>
      </c>
      <c r="E14" s="151">
        <f>SUM(E10:E11)</f>
        <v>7157068.1926945923</v>
      </c>
      <c r="F14" s="245">
        <f>'CO Gross 4m add''l resources'!C31</f>
        <v>5976231.1490500504</v>
      </c>
    </row>
    <row r="15" spans="1:6" ht="15">
      <c r="A15" t="s">
        <v>195</v>
      </c>
      <c r="C15" s="151">
        <f>'CO Gross 6m'!M36</f>
        <v>6917648.4933973653</v>
      </c>
      <c r="D15" s="151">
        <f>'CO Gross 5m'!L36</f>
        <v>4827097.3268972244</v>
      </c>
      <c r="E15" s="151">
        <f>'CO Gross 4m'!J36</f>
        <v>3482010.4689391949</v>
      </c>
      <c r="F15" s="245">
        <f>'CO Gross 4m add''l resources'!J35</f>
        <v>2874148.122267724</v>
      </c>
    </row>
    <row r="16" spans="1:6" ht="15">
      <c r="A16" t="s">
        <v>194</v>
      </c>
      <c r="D16" s="229">
        <f>D15/$C$15-1</f>
        <v>-0.30220546309855045</v>
      </c>
      <c r="E16" s="229">
        <f>E15/$C$15-1</f>
        <v>-0.49664825088140241</v>
      </c>
      <c r="F16" s="246">
        <f>F15/$C$15-1</f>
        <v>-0.58451949025583039</v>
      </c>
    </row>
    <row r="18" spans="1:8" ht="15">
      <c r="A18" t="s">
        <v>198</v>
      </c>
      <c r="C18" s="17">
        <f>'CO Gross 6m'!C38</f>
        <v>2786416.7573166429</v>
      </c>
      <c r="D18" s="17">
        <f>'CO Gross 5m'!C38</f>
        <v>2298955.2083998099</v>
      </c>
      <c r="E18" s="17">
        <f>'CO Gross 4m'!C39</f>
        <v>1811493.6594829769</v>
      </c>
      <c r="F18" s="244">
        <f>'CO Gross 4m add''l resources'!C38</f>
        <v>1399947.5747185804</v>
      </c>
      <c r="H18" s="233" t="s">
        <v>197</v>
      </c>
    </row>
    <row r="19" spans="1:6" ht="15">
      <c r="A19" t="s">
        <v>202</v>
      </c>
      <c r="C19" s="17">
        <f>'CO Gross 6m'!O39</f>
        <v>6510557.8602286903</v>
      </c>
      <c r="D19" s="17">
        <f>'CO Gross 5m'!L39</f>
        <v>4616127.5193307595</v>
      </c>
      <c r="E19" s="17">
        <f>'CO Gross 4m'!J40</f>
        <v>3291387.0129577029</v>
      </c>
      <c r="F19" s="244">
        <f>'CO Gross 4m add''l resources'!J39</f>
        <v>2747065.8182800626</v>
      </c>
    </row>
    <row r="37" ht="15">
      <c r="A37" s="238"/>
    </row>
    <row r="38" ht="15">
      <c r="A38" s="239"/>
    </row>
    <row r="39" ht="15">
      <c r="A39" s="237"/>
    </row>
    <row r="40" ht="15">
      <c r="A40" s="239"/>
    </row>
    <row r="41" ht="15">
      <c r="A41" s="240"/>
    </row>
    <row r="42" ht="15">
      <c r="A42" s="238"/>
    </row>
    <row r="43" ht="15">
      <c r="A43" s="239"/>
    </row>
    <row r="44" ht="15">
      <c r="A44" s="240"/>
    </row>
    <row r="45" ht="15">
      <c r="A45" s="241"/>
    </row>
  </sheetData>
  <pageMargins left="0.7" right="0.7" top="0.75" bottom="0.75" header="0.3" footer="0.3"/>
  <pageSetup orientation="landscape" scale="1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64"/>
  <sheetViews>
    <sheetView workbookViewId="0" topLeftCell="A1">
      <pane ySplit="8" topLeftCell="A9" activePane="bottomLeft" state="frozen"/>
      <selection pane="topLeft" activeCell="A2" sqref="A1:A2"/>
      <selection pane="bottomLeft" activeCell="A2" sqref="A2"/>
    </sheetView>
  </sheetViews>
  <sheetFormatPr defaultColWidth="8.72727272727273" defaultRowHeight="15"/>
  <cols>
    <col min="2" max="2" width="31.8181818181818" bestFit="1" customWidth="1"/>
    <col min="3" max="3" width="21.2727272727273" customWidth="1"/>
    <col min="4" max="4" width="14.5454545454545" bestFit="1" customWidth="1"/>
    <col min="5" max="5" width="13.5454545454545" bestFit="1" customWidth="1"/>
    <col min="6" max="12" width="13.7272727272727" bestFit="1" customWidth="1"/>
    <col min="13" max="14" width="14.2727272727273" bestFit="1" customWidth="1"/>
    <col min="15" max="15" width="13.7272727272727" bestFit="1" customWidth="1"/>
    <col min="16" max="16" width="14.8181818181818" bestFit="1" customWidth="1"/>
    <col min="17" max="19" width="13.5454545454545" bestFit="1" customWidth="1"/>
    <col min="20" max="22" width="11.5454545454545" bestFit="1" customWidth="1"/>
    <col min="23" max="26" width="12.5454545454545" bestFit="1" customWidth="1"/>
    <col min="27" max="27" width="10.2727272727273" customWidth="1"/>
  </cols>
  <sheetData>
    <row r="1" s="242" customFormat="1" ht="15">
      <c r="A1" s="276" t="s">
        <v>247</v>
      </c>
    </row>
    <row r="2" s="242" customFormat="1" ht="15">
      <c r="A2" s="289" t="s">
        <v>243</v>
      </c>
    </row>
    <row r="3" s="242" customFormat="1" ht="15"/>
    <row r="4" s="242" customFormat="1" ht="15"/>
    <row r="5" s="242" customFormat="1" ht="15"/>
    <row r="6" s="242" customFormat="1" ht="15"/>
    <row r="7" spans="1:18" ht="18.75">
      <c r="A7" s="210" t="s">
        <v>175</v>
      </c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2" t="s">
        <v>11</v>
      </c>
      <c r="P7" s="194" t="s">
        <v>0</v>
      </c>
      <c r="Q7" s="1" t="s">
        <v>1</v>
      </c>
      <c r="R7" s="1" t="s">
        <v>2</v>
      </c>
    </row>
    <row r="8" spans="1:18" ht="15">
      <c r="A8" t="s">
        <v>12</v>
      </c>
      <c r="D8" s="3">
        <v>404727.53021701647</v>
      </c>
      <c r="E8" s="3">
        <v>305926.56073394307</v>
      </c>
      <c r="F8" s="3">
        <v>174825.27803798296</v>
      </c>
      <c r="G8" s="3">
        <v>319252.21384705772</v>
      </c>
      <c r="H8" s="3">
        <v>374630.40997862176</v>
      </c>
      <c r="I8" s="3">
        <v>228806.32100893205</v>
      </c>
      <c r="J8" s="3">
        <v>175736.90242606847</v>
      </c>
      <c r="K8" s="3">
        <v>139310.57231100238</v>
      </c>
      <c r="L8" s="3">
        <v>220216.09091582111</v>
      </c>
      <c r="M8" s="3">
        <v>367251.92169789685</v>
      </c>
      <c r="N8" s="3">
        <v>425907.76303631364</v>
      </c>
      <c r="O8" s="4">
        <v>500903.92406990228</v>
      </c>
      <c r="P8" s="217">
        <v>395827.75032219832</v>
      </c>
      <c r="Q8" s="3">
        <v>299199.3705844346</v>
      </c>
      <c r="R8" s="3">
        <v>170980.94727611422</v>
      </c>
    </row>
    <row r="9" ht="15">
      <c r="P9" s="198"/>
    </row>
    <row r="10" ht="15.75" thickBot="1">
      <c r="P10" s="198"/>
    </row>
    <row r="11" spans="4:27" ht="15">
      <c r="D11" s="268">
        <v>2020</v>
      </c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02">
        <v>2021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7"/>
    </row>
    <row r="12" spans="2:27" ht="15.75" thickBot="1">
      <c r="B12" t="s">
        <v>13</v>
      </c>
      <c r="D12" s="8" t="s">
        <v>0</v>
      </c>
      <c r="E12" s="9" t="s">
        <v>1</v>
      </c>
      <c r="F12" s="9" t="s">
        <v>2</v>
      </c>
      <c r="G12" s="9" t="s">
        <v>3</v>
      </c>
      <c r="H12" s="9" t="s">
        <v>4</v>
      </c>
      <c r="I12" s="9" t="s">
        <v>5</v>
      </c>
      <c r="J12" s="9" t="s">
        <v>6</v>
      </c>
      <c r="K12" s="9" t="s">
        <v>7</v>
      </c>
      <c r="L12" s="9" t="s">
        <v>8</v>
      </c>
      <c r="M12" s="9" t="s">
        <v>9</v>
      </c>
      <c r="N12" s="9" t="s">
        <v>10</v>
      </c>
      <c r="O12" s="9" t="s">
        <v>11</v>
      </c>
      <c r="P12" s="8" t="s">
        <v>0</v>
      </c>
      <c r="Q12" s="9" t="s">
        <v>1</v>
      </c>
      <c r="R12" s="9" t="s">
        <v>2</v>
      </c>
      <c r="S12" s="9" t="s">
        <v>3</v>
      </c>
      <c r="T12" s="9" t="s">
        <v>4</v>
      </c>
      <c r="U12" s="9" t="s">
        <v>5</v>
      </c>
      <c r="V12" s="9" t="s">
        <v>6</v>
      </c>
      <c r="W12" s="9" t="s">
        <v>7</v>
      </c>
      <c r="X12" s="9" t="s">
        <v>8</v>
      </c>
      <c r="Y12" s="9" t="s">
        <v>9</v>
      </c>
      <c r="Z12" s="9" t="s">
        <v>10</v>
      </c>
      <c r="AA12" s="10" t="s">
        <v>11</v>
      </c>
    </row>
    <row r="13" spans="1:16" ht="15">
      <c r="A13" t="s">
        <v>14</v>
      </c>
      <c r="B13" t="s">
        <v>15</v>
      </c>
      <c r="D13" t="s">
        <v>16</v>
      </c>
      <c r="E13" t="s">
        <v>17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  <c r="M13" t="s">
        <v>18</v>
      </c>
      <c r="N13" t="s">
        <v>18</v>
      </c>
      <c r="O13" t="s">
        <v>18</v>
      </c>
      <c r="P13" s="198"/>
    </row>
    <row r="14" spans="2:16" ht="15">
      <c r="B14" t="s">
        <v>19</v>
      </c>
      <c r="D14" t="s">
        <v>20</v>
      </c>
      <c r="E14" t="s">
        <v>17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  <c r="M14" t="s">
        <v>18</v>
      </c>
      <c r="N14" t="s">
        <v>18</v>
      </c>
      <c r="O14" t="s">
        <v>18</v>
      </c>
      <c r="P14" s="198"/>
    </row>
    <row r="15" ht="15">
      <c r="P15" s="198"/>
    </row>
    <row r="16" spans="1:16" ht="15">
      <c r="A16" t="s">
        <v>21</v>
      </c>
      <c r="B16" t="s">
        <v>15</v>
      </c>
      <c r="D16" t="s">
        <v>22</v>
      </c>
      <c r="E16" t="s">
        <v>22</v>
      </c>
      <c r="F16" s="11" t="s">
        <v>16</v>
      </c>
      <c r="G16" s="12" t="s">
        <v>16</v>
      </c>
      <c r="H16" s="12" t="s">
        <v>16</v>
      </c>
      <c r="I16" s="12" t="s">
        <v>16</v>
      </c>
      <c r="J16" s="12" t="s">
        <v>16</v>
      </c>
      <c r="K16" s="12" t="s">
        <v>16</v>
      </c>
      <c r="L16" s="12" t="s">
        <v>16</v>
      </c>
      <c r="M16" s="12" t="s">
        <v>16</v>
      </c>
      <c r="N16" s="12" t="s">
        <v>16</v>
      </c>
      <c r="O16" s="12" t="s">
        <v>16</v>
      </c>
      <c r="P16" s="198"/>
    </row>
    <row r="17" spans="2:16" ht="15">
      <c r="B17" t="s">
        <v>23</v>
      </c>
      <c r="D17" t="s">
        <v>22</v>
      </c>
      <c r="E17" t="s">
        <v>22</v>
      </c>
      <c r="F17" s="11" t="s">
        <v>16</v>
      </c>
      <c r="G17" s="12" t="s">
        <v>16</v>
      </c>
      <c r="H17" s="12" t="s">
        <v>16</v>
      </c>
      <c r="I17" s="12" t="s">
        <v>16</v>
      </c>
      <c r="J17" s="12" t="s">
        <v>16</v>
      </c>
      <c r="K17" s="12" t="s">
        <v>16</v>
      </c>
      <c r="L17" s="12" t="s">
        <v>16</v>
      </c>
      <c r="M17" s="12" t="s">
        <v>16</v>
      </c>
      <c r="N17" s="12" t="s">
        <v>16</v>
      </c>
      <c r="O17" s="12" t="s">
        <v>16</v>
      </c>
      <c r="P17" s="198"/>
    </row>
    <row r="18" spans="2:18" ht="15">
      <c r="B18" t="s">
        <v>24</v>
      </c>
      <c r="D18" s="13" t="s">
        <v>22</v>
      </c>
      <c r="E18" s="13" t="s">
        <v>22</v>
      </c>
      <c r="F18" s="13" t="s">
        <v>22</v>
      </c>
      <c r="G18" s="13" t="s">
        <v>22</v>
      </c>
      <c r="H18" s="13" t="s">
        <v>22</v>
      </c>
      <c r="I18" s="13" t="s">
        <v>22</v>
      </c>
      <c r="J18" s="13" t="s">
        <v>22</v>
      </c>
      <c r="K18" s="13" t="s">
        <v>22</v>
      </c>
      <c r="L18" s="11" t="s">
        <v>16</v>
      </c>
      <c r="M18" s="12" t="s">
        <v>16</v>
      </c>
      <c r="N18" s="12" t="s">
        <v>16</v>
      </c>
      <c r="O18" s="12" t="s">
        <v>16</v>
      </c>
      <c r="P18" s="218" t="s">
        <v>16</v>
      </c>
      <c r="Q18" s="12" t="s">
        <v>16</v>
      </c>
      <c r="R18" s="12" t="s">
        <v>16</v>
      </c>
    </row>
    <row r="19" spans="1:16" ht="15">
      <c r="A19" s="14" t="s">
        <v>25</v>
      </c>
      <c r="P19" s="198"/>
    </row>
    <row r="20" spans="2:16" ht="15">
      <c r="B20" s="15" t="s">
        <v>26</v>
      </c>
      <c r="D20" s="16">
        <f>D21/$C$21</f>
        <v>0.12885503407365848</v>
      </c>
      <c r="E20" s="16">
        <f t="shared" si="0" ref="E20:O20">E21/$C$21</f>
        <v>0.11645647466334119</v>
      </c>
      <c r="F20" s="16">
        <f t="shared" si="0"/>
        <v>0.097441063671361197</v>
      </c>
      <c r="G20" s="16">
        <f t="shared" si="0"/>
        <v>0.06799092009988475</v>
      </c>
      <c r="H20" s="16">
        <f t="shared" si="0"/>
        <v>0.063534714435379114</v>
      </c>
      <c r="I20" s="16">
        <f t="shared" si="0"/>
        <v>0.048585545906572276</v>
      </c>
      <c r="J20" s="16">
        <f t="shared" si="0"/>
        <v>0.048036846093920726</v>
      </c>
      <c r="K20" s="16">
        <f t="shared" si="0"/>
        <v>0.053478097939496601</v>
      </c>
      <c r="L20" s="16">
        <f t="shared" si="0"/>
        <v>0.066732887219844259</v>
      </c>
      <c r="M20" s="16">
        <f t="shared" si="0"/>
        <v>0.087860720067002934</v>
      </c>
      <c r="N20" s="16">
        <f t="shared" si="0"/>
        <v>0.10403152619958545</v>
      </c>
      <c r="O20" s="16">
        <f t="shared" si="0"/>
        <v>0.11699616962995298</v>
      </c>
      <c r="P20" s="198"/>
    </row>
    <row r="21" spans="2:16" ht="15">
      <c r="B21" t="s">
        <v>27</v>
      </c>
      <c r="C21" s="17">
        <f>SUM(D21:O21)</f>
        <v>14471033.628139529</v>
      </c>
      <c r="D21" s="17">
        <v>1864665.5312349768</v>
      </c>
      <c r="E21" s="17">
        <v>1685245.5610677896</v>
      </c>
      <c r="F21" s="17">
        <v>1410072.9091499529</v>
      </c>
      <c r="G21" s="17">
        <v>983898.89117358008</v>
      </c>
      <c r="H21" s="17">
        <v>919412.98914861318</v>
      </c>
      <c r="I21" s="17">
        <v>703083.06865552429</v>
      </c>
      <c r="J21" s="17">
        <v>695142.81521488982</v>
      </c>
      <c r="K21" s="17">
        <v>773883.3536513946</v>
      </c>
      <c r="L21" s="17">
        <v>965693.85506120895</v>
      </c>
      <c r="M21" s="17">
        <v>1271435.4346821529</v>
      </c>
      <c r="N21" s="17">
        <v>1505443.7140208795</v>
      </c>
      <c r="O21" s="17">
        <v>1693055.5050785663</v>
      </c>
      <c r="P21" s="198"/>
    </row>
    <row r="22" spans="2:16" ht="15">
      <c r="B22" t="s">
        <v>28</v>
      </c>
      <c r="C22" s="18">
        <v>6592661</v>
      </c>
      <c r="D22" s="17">
        <f>D23*$C$22</f>
        <v>809014.32507746201</v>
      </c>
      <c r="E22" s="17">
        <f t="shared" si="1" ref="E22:O22">E23*$C$22</f>
        <v>579233.45506721467</v>
      </c>
      <c r="F22" s="17">
        <f t="shared" si="1"/>
        <v>464561.52050412691</v>
      </c>
      <c r="G22" s="17">
        <f t="shared" si="1"/>
        <v>550308.5308109693</v>
      </c>
      <c r="H22" s="17">
        <f t="shared" si="1"/>
        <v>480433.8906342265</v>
      </c>
      <c r="I22" s="17">
        <f t="shared" si="1"/>
        <v>398048.95910882764</v>
      </c>
      <c r="J22" s="17">
        <f t="shared" si="1"/>
        <v>370892.5384730947</v>
      </c>
      <c r="K22" s="17">
        <f t="shared" si="1"/>
        <v>361429.89985527145</v>
      </c>
      <c r="L22" s="17">
        <f t="shared" si="1"/>
        <v>429817.4339148603</v>
      </c>
      <c r="M22" s="17">
        <f t="shared" si="1"/>
        <v>624838.92275177385</v>
      </c>
      <c r="N22" s="17">
        <f t="shared" si="1"/>
        <v>735009.26402655442</v>
      </c>
      <c r="O22" s="17">
        <f t="shared" si="1"/>
        <v>789072.25977561786</v>
      </c>
      <c r="P22" s="198"/>
    </row>
    <row r="23" spans="2:16" ht="15.75" thickBot="1">
      <c r="B23" t="s">
        <v>29</v>
      </c>
      <c r="C23" s="19"/>
      <c r="D23" s="20">
        <v>0.12271438271700334</v>
      </c>
      <c r="E23" s="20">
        <v>0.087860342745852499</v>
      </c>
      <c r="F23" s="20">
        <v>0.070466465741849449</v>
      </c>
      <c r="G23" s="20">
        <v>0.083472899760956815</v>
      </c>
      <c r="H23" s="20">
        <v>0.072874047464935102</v>
      </c>
      <c r="I23" s="20">
        <v>0.060377586396271193</v>
      </c>
      <c r="J23" s="20">
        <v>0.056258396795026269</v>
      </c>
      <c r="K23" s="20">
        <v>0.054823067628575389</v>
      </c>
      <c r="L23" s="20">
        <v>0.06519634998900449</v>
      </c>
      <c r="M23" s="20">
        <v>0.094777954266384065</v>
      </c>
      <c r="N23" s="20">
        <v>0.11148901240736547</v>
      </c>
      <c r="O23" s="20">
        <v>0.11968949408677587</v>
      </c>
      <c r="P23" s="198"/>
    </row>
    <row r="24" spans="3:16" ht="15.75" thickTop="1">
      <c r="C24" s="17"/>
      <c r="P24" s="198"/>
    </row>
    <row r="25" spans="1:18" ht="15">
      <c r="A25" s="14">
        <v>0.30</v>
      </c>
      <c r="B25" s="227" t="s">
        <v>15</v>
      </c>
      <c r="C25" s="228">
        <f>SUM(D25:O25)</f>
        <v>1977798.2999999998</v>
      </c>
      <c r="D25" s="228">
        <f>D$22*$A25</f>
        <v>242704.29752323858</v>
      </c>
      <c r="E25" s="228">
        <f t="shared" si="2" ref="E25:O26">E$22*$A25</f>
        <v>173770.0365201644</v>
      </c>
      <c r="F25" s="228">
        <f t="shared" si="2"/>
        <v>139368.45615123806</v>
      </c>
      <c r="G25" s="228">
        <f t="shared" si="2"/>
        <v>165092.55924329077</v>
      </c>
      <c r="H25" s="228">
        <f t="shared" si="2"/>
        <v>144130.16719026794</v>
      </c>
      <c r="I25" s="228">
        <f t="shared" si="2"/>
        <v>119414.68773264828</v>
      </c>
      <c r="J25" s="228">
        <f t="shared" si="2"/>
        <v>111267.76154192841</v>
      </c>
      <c r="K25" s="228">
        <f t="shared" si="2"/>
        <v>108428.96995658144</v>
      </c>
      <c r="L25" s="228">
        <f t="shared" si="2"/>
        <v>128945.23017445809</v>
      </c>
      <c r="M25" s="228">
        <f t="shared" si="2"/>
        <v>187451.67682553214</v>
      </c>
      <c r="N25" s="228">
        <f t="shared" si="2"/>
        <v>220502.77920796632</v>
      </c>
      <c r="O25" s="228">
        <f t="shared" si="2"/>
        <v>236721.67793268536</v>
      </c>
      <c r="P25" s="219">
        <f>D25</f>
        <v>242704.29752323858</v>
      </c>
      <c r="Q25" s="17">
        <f t="shared" si="3" ref="Q25:R26">E25</f>
        <v>173770.0365201644</v>
      </c>
      <c r="R25" s="17">
        <f t="shared" si="3"/>
        <v>139368.45615123806</v>
      </c>
    </row>
    <row r="26" spans="1:18" ht="15">
      <c r="A26" s="14">
        <v>0.70</v>
      </c>
      <c r="B26" t="s">
        <v>19</v>
      </c>
      <c r="C26" s="17">
        <f>SUM(D26:O26)</f>
        <v>4614862.6999999993</v>
      </c>
      <c r="D26" s="17">
        <f t="shared" si="4" ref="D26">D$22*$A26</f>
        <v>566310.02755422331</v>
      </c>
      <c r="E26" s="17">
        <f t="shared" si="2"/>
        <v>405463.41854705027</v>
      </c>
      <c r="F26" s="17">
        <f t="shared" si="2"/>
        <v>325193.06435288879</v>
      </c>
      <c r="G26" s="21">
        <f t="shared" si="2"/>
        <v>385215.9715676785</v>
      </c>
      <c r="H26" s="22">
        <f t="shared" si="2"/>
        <v>336303.7234439585</v>
      </c>
      <c r="I26" s="22">
        <f t="shared" si="2"/>
        <v>278634.2713761793</v>
      </c>
      <c r="J26" s="22">
        <f t="shared" si="2"/>
        <v>259624.77693116627</v>
      </c>
      <c r="K26" s="22">
        <f t="shared" si="2"/>
        <v>253000.92989869</v>
      </c>
      <c r="L26" s="22">
        <f t="shared" si="2"/>
        <v>300872.20374040218</v>
      </c>
      <c r="M26" s="22">
        <f t="shared" si="2"/>
        <v>437387.24592624168</v>
      </c>
      <c r="N26" s="22">
        <f t="shared" si="2"/>
        <v>514506.48481858807</v>
      </c>
      <c r="O26" s="17">
        <f t="shared" si="2"/>
        <v>552350.5818429325</v>
      </c>
      <c r="P26" s="219">
        <f t="shared" si="5" ref="P26">D26</f>
        <v>566310.02755422331</v>
      </c>
      <c r="Q26" s="17">
        <f t="shared" si="3"/>
        <v>405463.41854705027</v>
      </c>
      <c r="R26" s="17">
        <f t="shared" si="3"/>
        <v>325193.06435288879</v>
      </c>
    </row>
    <row r="27" spans="2:18" ht="15.75" thickBot="1">
      <c r="B27" t="s">
        <v>30</v>
      </c>
      <c r="G27" s="8" t="s">
        <v>31</v>
      </c>
      <c r="H27" s="9" t="s">
        <v>1</v>
      </c>
      <c r="I27" s="9" t="s">
        <v>2</v>
      </c>
      <c r="J27" s="9" t="s">
        <v>3</v>
      </c>
      <c r="K27" s="9" t="s">
        <v>4</v>
      </c>
      <c r="L27" s="9" t="s">
        <v>5</v>
      </c>
      <c r="M27" s="9" t="s">
        <v>6</v>
      </c>
      <c r="N27" s="9" t="s">
        <v>7</v>
      </c>
      <c r="O27" s="9" t="s">
        <v>8</v>
      </c>
      <c r="P27" s="8" t="s">
        <v>9</v>
      </c>
      <c r="Q27" s="9" t="s">
        <v>10</v>
      </c>
      <c r="R27" s="10" t="s">
        <v>11</v>
      </c>
    </row>
    <row r="28" spans="2:18" ht="15">
      <c r="B28" t="s">
        <v>32</v>
      </c>
      <c r="G28" s="2" t="s">
        <v>6</v>
      </c>
      <c r="H28" s="2" t="s">
        <v>33</v>
      </c>
      <c r="I28" s="2" t="s">
        <v>7</v>
      </c>
      <c r="J28" s="23" t="s">
        <v>34</v>
      </c>
      <c r="K28" s="2" t="s">
        <v>8</v>
      </c>
      <c r="L28" s="23" t="s">
        <v>35</v>
      </c>
      <c r="M28" s="2" t="s">
        <v>9</v>
      </c>
      <c r="N28" s="23" t="s">
        <v>36</v>
      </c>
      <c r="O28" s="24" t="s">
        <v>10</v>
      </c>
      <c r="P28" s="220" t="s">
        <v>37</v>
      </c>
      <c r="Q28" s="2" t="s">
        <v>11</v>
      </c>
      <c r="R28" s="2" t="s">
        <v>38</v>
      </c>
    </row>
    <row r="29" spans="2:18" ht="15">
      <c r="B29" t="s">
        <v>39</v>
      </c>
      <c r="D29">
        <v>2020</v>
      </c>
      <c r="G29" s="25">
        <v>6</v>
      </c>
      <c r="H29" s="25">
        <f>G29-0.5</f>
        <v>5.50</v>
      </c>
      <c r="I29" s="25">
        <f t="shared" si="6" ref="I29:R29">H29-0.5</f>
        <v>5</v>
      </c>
      <c r="J29" s="25">
        <f t="shared" si="6"/>
        <v>4.50</v>
      </c>
      <c r="K29" s="25">
        <f t="shared" si="6"/>
        <v>4</v>
      </c>
      <c r="L29" s="25">
        <f t="shared" si="6"/>
        <v>3.50</v>
      </c>
      <c r="M29" s="25">
        <f t="shared" si="6"/>
        <v>3</v>
      </c>
      <c r="N29" s="25">
        <f t="shared" si="6"/>
        <v>2.50</v>
      </c>
      <c r="O29" s="25">
        <f t="shared" si="6"/>
        <v>2</v>
      </c>
      <c r="P29" s="220">
        <f t="shared" si="6"/>
        <v>1.50</v>
      </c>
      <c r="Q29" s="25">
        <f t="shared" si="6"/>
        <v>1</v>
      </c>
      <c r="R29" s="25">
        <f t="shared" si="6"/>
        <v>0.50</v>
      </c>
    </row>
    <row r="30" spans="2:18" ht="15">
      <c r="B30" t="s">
        <v>40</v>
      </c>
      <c r="C30" s="17">
        <f>SUM(G30:R30)</f>
        <v>6376255.8924840055</v>
      </c>
      <c r="D30" s="17">
        <f>SUM(G30:O30)</f>
        <v>5667493.3964565899</v>
      </c>
      <c r="G30" s="17">
        <f>G26/2/2*G29</f>
        <v>577823.95735151775</v>
      </c>
      <c r="H30" s="17">
        <f t="shared" si="7" ref="H30:R30">H26/2*H29</f>
        <v>924835.23947088583</v>
      </c>
      <c r="I30" s="17">
        <f t="shared" si="7"/>
        <v>696585.67844044825</v>
      </c>
      <c r="J30" s="17">
        <f t="shared" si="7"/>
        <v>584155.74809512415</v>
      </c>
      <c r="K30" s="17">
        <f t="shared" si="7"/>
        <v>506001.85979737999</v>
      </c>
      <c r="L30" s="17">
        <f t="shared" si="7"/>
        <v>526526.35654570383</v>
      </c>
      <c r="M30" s="17">
        <f t="shared" si="7"/>
        <v>656080.86888936255</v>
      </c>
      <c r="N30" s="17">
        <f t="shared" si="7"/>
        <v>643133.10602323513</v>
      </c>
      <c r="O30" s="17">
        <f t="shared" si="7"/>
        <v>552350.5818429325</v>
      </c>
      <c r="P30" s="219">
        <f t="shared" si="7"/>
        <v>424732.52066566749</v>
      </c>
      <c r="Q30" s="17">
        <f t="shared" si="7"/>
        <v>202731.70927352514</v>
      </c>
      <c r="R30" s="17">
        <f t="shared" si="7"/>
        <v>81298.266088222197</v>
      </c>
    </row>
    <row r="31" spans="2:18" ht="15.75" thickBot="1">
      <c r="B31" t="s">
        <v>41</v>
      </c>
      <c r="C31" s="26"/>
      <c r="G31" s="9" t="s">
        <v>9</v>
      </c>
      <c r="H31" s="9" t="s">
        <v>10</v>
      </c>
      <c r="I31" s="9" t="s">
        <v>11</v>
      </c>
      <c r="J31" s="9" t="s">
        <v>0</v>
      </c>
      <c r="K31" s="9" t="s">
        <v>1</v>
      </c>
      <c r="L31" s="9" t="s">
        <v>2</v>
      </c>
      <c r="M31" s="9" t="s">
        <v>3</v>
      </c>
      <c r="N31" s="9" t="s">
        <v>4</v>
      </c>
      <c r="O31" s="9" t="s">
        <v>5</v>
      </c>
      <c r="P31" s="8" t="s">
        <v>6</v>
      </c>
      <c r="Q31" s="9" t="s">
        <v>7</v>
      </c>
      <c r="R31" s="9" t="s">
        <v>8</v>
      </c>
    </row>
    <row r="32" spans="2:18" ht="15.75" thickBot="1">
      <c r="B32" s="27" t="s">
        <v>42</v>
      </c>
      <c r="C32" s="30">
        <f>SUM(G32:R32)</f>
        <v>10991118.592484005</v>
      </c>
      <c r="D32" s="30">
        <f>SUM(G32:O32)</f>
        <v>8985389.5860024262</v>
      </c>
      <c r="E32" s="29"/>
      <c r="F32" s="30"/>
      <c r="G32" s="30">
        <f t="shared" si="8" ref="G32:R32">G30+G26</f>
        <v>963039.92891919625</v>
      </c>
      <c r="H32" s="30">
        <f t="shared" si="8"/>
        <v>1261138.9629148443</v>
      </c>
      <c r="I32" s="30">
        <f t="shared" si="8"/>
        <v>975219.94981662754</v>
      </c>
      <c r="J32" s="30">
        <f t="shared" si="8"/>
        <v>843780.52502629044</v>
      </c>
      <c r="K32" s="30">
        <f t="shared" si="8"/>
        <v>759002.78969607002</v>
      </c>
      <c r="L32" s="30">
        <f t="shared" si="8"/>
        <v>827398.56028610608</v>
      </c>
      <c r="M32" s="30">
        <f t="shared" si="8"/>
        <v>1093468.1148156042</v>
      </c>
      <c r="N32" s="30">
        <f t="shared" si="8"/>
        <v>1157639.5908418233</v>
      </c>
      <c r="O32" s="30">
        <f t="shared" si="8"/>
        <v>1104701.163685865</v>
      </c>
      <c r="P32" s="221">
        <f t="shared" si="8"/>
        <v>991042.5482198908</v>
      </c>
      <c r="Q32" s="30">
        <f t="shared" si="8"/>
        <v>608195.12782057538</v>
      </c>
      <c r="R32" s="30">
        <f t="shared" si="8"/>
        <v>406491.330441111</v>
      </c>
    </row>
    <row r="33" spans="2:27" ht="15">
      <c r="B33" s="31"/>
      <c r="C33" s="32"/>
      <c r="D33" s="1" t="s">
        <v>0</v>
      </c>
      <c r="E33" s="1" t="s">
        <v>1</v>
      </c>
      <c r="F33" s="1" t="s">
        <v>2</v>
      </c>
      <c r="G33" s="1" t="s">
        <v>3</v>
      </c>
      <c r="H33" s="1" t="s">
        <v>4</v>
      </c>
      <c r="I33" s="1" t="s">
        <v>5</v>
      </c>
      <c r="J33" s="1" t="s">
        <v>6</v>
      </c>
      <c r="K33" s="1" t="s">
        <v>7</v>
      </c>
      <c r="L33" s="1" t="s">
        <v>8</v>
      </c>
      <c r="M33" s="1" t="s">
        <v>9</v>
      </c>
      <c r="N33" s="1" t="s">
        <v>10</v>
      </c>
      <c r="O33" s="1" t="s">
        <v>11</v>
      </c>
      <c r="P33" s="194" t="s">
        <v>0</v>
      </c>
      <c r="Q33" s="1" t="s">
        <v>1</v>
      </c>
      <c r="R33" s="1" t="s">
        <v>2</v>
      </c>
      <c r="S33" s="1" t="s">
        <v>3</v>
      </c>
      <c r="T33" s="1" t="s">
        <v>4</v>
      </c>
      <c r="U33" s="1" t="s">
        <v>5</v>
      </c>
      <c r="V33" s="1" t="s">
        <v>6</v>
      </c>
      <c r="W33" s="1" t="s">
        <v>7</v>
      </c>
      <c r="X33" s="1" t="s">
        <v>8</v>
      </c>
      <c r="Y33" s="1" t="s">
        <v>9</v>
      </c>
      <c r="Z33" s="1" t="s">
        <v>10</v>
      </c>
      <c r="AA33" s="1" t="s">
        <v>11</v>
      </c>
    </row>
    <row r="34" spans="2:26" ht="15">
      <c r="B34" s="33" t="s">
        <v>43</v>
      </c>
      <c r="C34" s="32"/>
      <c r="D34" s="31"/>
      <c r="E34" s="31"/>
      <c r="F34" s="34">
        <f>G32</f>
        <v>963039.92891919625</v>
      </c>
      <c r="G34" s="34">
        <f t="shared" si="9" ref="G34:Z34">F34+H32</f>
        <v>2224178.8918340406</v>
      </c>
      <c r="H34" s="34">
        <f t="shared" si="9"/>
        <v>3199398.8416506681</v>
      </c>
      <c r="I34" s="34">
        <f t="shared" si="9"/>
        <v>4043179.3666769583</v>
      </c>
      <c r="J34" s="34">
        <f t="shared" si="9"/>
        <v>4802182.1563730286</v>
      </c>
      <c r="K34" s="34">
        <f t="shared" si="9"/>
        <v>5629580.7166591343</v>
      </c>
      <c r="L34" s="34">
        <f t="shared" si="9"/>
        <v>6723048.8314747382</v>
      </c>
      <c r="M34" s="34">
        <f t="shared" si="9"/>
        <v>7880688.4223165615</v>
      </c>
      <c r="N34" s="34">
        <f t="shared" si="9"/>
        <v>8985389.5860024262</v>
      </c>
      <c r="O34" s="34">
        <f t="shared" si="9"/>
        <v>9976432.1342223175</v>
      </c>
      <c r="P34" s="219">
        <f t="shared" si="9"/>
        <v>10584627.262042893</v>
      </c>
      <c r="Q34" s="34">
        <f t="shared" si="9"/>
        <v>10991118.592484005</v>
      </c>
      <c r="R34" s="34">
        <f t="shared" si="9"/>
        <v>10991118.592484005</v>
      </c>
      <c r="S34" s="34">
        <f t="shared" si="9"/>
        <v>10991118.592484005</v>
      </c>
      <c r="T34" s="34">
        <f t="shared" si="9"/>
        <v>10991118.592484005</v>
      </c>
      <c r="U34" s="34">
        <f t="shared" si="9"/>
        <v>10991118.592484005</v>
      </c>
      <c r="V34" s="34">
        <f t="shared" si="9"/>
        <v>10991118.592484005</v>
      </c>
      <c r="W34" s="34">
        <f t="shared" si="9"/>
        <v>10991118.592484005</v>
      </c>
      <c r="X34" s="34">
        <f t="shared" si="9"/>
        <v>10991118.592484005</v>
      </c>
      <c r="Y34" s="34">
        <f t="shared" si="9"/>
        <v>10991118.592484005</v>
      </c>
      <c r="Z34" s="34">
        <f t="shared" si="9"/>
        <v>10991118.592484005</v>
      </c>
    </row>
    <row r="35" spans="2:26" ht="15">
      <c r="B35" s="33" t="s">
        <v>44</v>
      </c>
      <c r="C35" s="32"/>
      <c r="D35" s="31"/>
      <c r="E35" s="31"/>
      <c r="F35" s="31"/>
      <c r="G35" s="32"/>
      <c r="H35" s="32"/>
      <c r="I35" s="32"/>
      <c r="J35" s="32"/>
      <c r="K35" s="32"/>
      <c r="L35" s="32"/>
      <c r="M35" s="34">
        <f>-G32</f>
        <v>-963039.92891919625</v>
      </c>
      <c r="N35" s="34">
        <f>M35-H32</f>
        <v>-2224178.8918340406</v>
      </c>
      <c r="O35" s="34">
        <f>N35-I32</f>
        <v>-3199398.8416506681</v>
      </c>
      <c r="P35" s="219">
        <f>O35-J32</f>
        <v>-4043179.3666769583</v>
      </c>
      <c r="Q35" s="34">
        <f>P35-K32</f>
        <v>-4802182.1563730286</v>
      </c>
      <c r="R35" s="34">
        <f>Q35-L32</f>
        <v>-5629580.7166591343</v>
      </c>
      <c r="S35" s="34">
        <f t="shared" si="10" ref="S35:Z35">R35-M32</f>
        <v>-6723048.8314747382</v>
      </c>
      <c r="T35" s="34">
        <f t="shared" si="10"/>
        <v>-7880688.4223165615</v>
      </c>
      <c r="U35" s="34">
        <f t="shared" si="10"/>
        <v>-8985389.5860024262</v>
      </c>
      <c r="V35" s="34">
        <f t="shared" si="10"/>
        <v>-9976432.1342223175</v>
      </c>
      <c r="W35" s="34">
        <f t="shared" si="10"/>
        <v>-10584627.262042893</v>
      </c>
      <c r="X35" s="34">
        <f t="shared" si="10"/>
        <v>-10991118.592484005</v>
      </c>
      <c r="Y35" s="34">
        <f t="shared" si="10"/>
        <v>-10991118.592484005</v>
      </c>
      <c r="Z35" s="34">
        <f t="shared" si="10"/>
        <v>-10991118.592484005</v>
      </c>
    </row>
    <row r="36" spans="2:26" ht="15">
      <c r="B36" s="208" t="s">
        <v>45</v>
      </c>
      <c r="C36" s="212"/>
      <c r="D36" s="208"/>
      <c r="E36" s="208"/>
      <c r="F36" s="185">
        <f>F34+F35</f>
        <v>963039.92891919625</v>
      </c>
      <c r="G36" s="185">
        <f t="shared" si="11" ref="G36:Z36">G34+G35</f>
        <v>2224178.8918340406</v>
      </c>
      <c r="H36" s="185">
        <f t="shared" si="11"/>
        <v>3199398.8416506681</v>
      </c>
      <c r="I36" s="185">
        <f t="shared" si="11"/>
        <v>4043179.3666769583</v>
      </c>
      <c r="J36" s="185">
        <f t="shared" si="11"/>
        <v>4802182.1563730286</v>
      </c>
      <c r="K36" s="185">
        <f t="shared" si="11"/>
        <v>5629580.7166591343</v>
      </c>
      <c r="L36" s="185">
        <f t="shared" si="11"/>
        <v>6723048.8314747382</v>
      </c>
      <c r="M36" s="213">
        <f t="shared" si="11"/>
        <v>6917648.4933973653</v>
      </c>
      <c r="N36" s="185">
        <f t="shared" si="11"/>
        <v>6761210.6941683851</v>
      </c>
      <c r="O36" s="185">
        <f t="shared" si="11"/>
        <v>6777033.292571649</v>
      </c>
      <c r="P36" s="222">
        <f t="shared" si="11"/>
        <v>6541447.8953659348</v>
      </c>
      <c r="Q36" s="185">
        <f t="shared" si="11"/>
        <v>6188936.4361109762</v>
      </c>
      <c r="R36" s="185">
        <f t="shared" si="11"/>
        <v>5361537.8758248705</v>
      </c>
      <c r="S36" s="185">
        <f t="shared" si="11"/>
        <v>4268069.7610092666</v>
      </c>
      <c r="T36" s="185">
        <f t="shared" si="11"/>
        <v>3110430.1701674433</v>
      </c>
      <c r="U36" s="185">
        <f t="shared" si="11"/>
        <v>2005729.0064815786</v>
      </c>
      <c r="V36" s="185">
        <f t="shared" si="11"/>
        <v>1014686.4582616873</v>
      </c>
      <c r="W36" s="185">
        <f t="shared" si="11"/>
        <v>406491.3304411117</v>
      </c>
      <c r="X36" s="185">
        <f t="shared" si="11"/>
        <v>0</v>
      </c>
      <c r="Y36" s="185">
        <f t="shared" si="11"/>
        <v>0</v>
      </c>
      <c r="Z36" s="185">
        <f t="shared" si="11"/>
        <v>0</v>
      </c>
    </row>
    <row r="37" ht="15">
      <c r="P37" s="198"/>
    </row>
    <row r="38" spans="2:26" ht="15">
      <c r="B38" s="33" t="s">
        <v>199</v>
      </c>
      <c r="C38" s="17">
        <f>SUM(G38:O38)</f>
        <v>2786416.7573166429</v>
      </c>
      <c r="D38" s="32"/>
      <c r="E38" s="31"/>
      <c r="F38" s="34"/>
      <c r="G38" s="34">
        <f>G41*G32</f>
        <v>274962.6983959974</v>
      </c>
      <c r="H38" s="34">
        <f t="shared" si="12" ref="H38:W38">H41*H32</f>
        <v>273375.92968842195</v>
      </c>
      <c r="I38" s="34">
        <f t="shared" si="12"/>
        <v>273651.6920355995</v>
      </c>
      <c r="J38" s="34">
        <f t="shared" si="12"/>
        <v>275344.99197326612</v>
      </c>
      <c r="K38" s="34">
        <f t="shared" si="12"/>
        <v>361794.24301923608</v>
      </c>
      <c r="L38" s="34">
        <f t="shared" si="12"/>
        <v>257851.98702567912</v>
      </c>
      <c r="M38" s="34">
        <f t="shared" si="12"/>
        <v>457843.36879227875</v>
      </c>
      <c r="N38" s="34">
        <f t="shared" si="12"/>
        <v>345116.41404320527</v>
      </c>
      <c r="O38" s="34">
        <f t="shared" si="12"/>
        <v>266475.43234295875</v>
      </c>
      <c r="P38" s="219">
        <f t="shared" si="12"/>
        <v>318686.14201055793</v>
      </c>
      <c r="Q38" s="34">
        <f t="shared" si="12"/>
        <v>112152.86039370195</v>
      </c>
      <c r="R38" s="34">
        <f t="shared" si="12"/>
        <v>129463.63746245117</v>
      </c>
      <c r="S38" s="34">
        <f t="shared" si="12"/>
        <v>0</v>
      </c>
      <c r="T38" s="34">
        <f t="shared" si="12"/>
        <v>0</v>
      </c>
      <c r="U38" s="34">
        <f t="shared" si="12"/>
        <v>0</v>
      </c>
      <c r="V38" s="34">
        <f t="shared" si="12"/>
        <v>0</v>
      </c>
      <c r="W38" s="34">
        <f t="shared" si="12"/>
        <v>0</v>
      </c>
      <c r="X38" s="34"/>
      <c r="Y38" s="34"/>
      <c r="Z38" s="34"/>
    </row>
    <row r="39" spans="2:23" ht="15">
      <c r="B39" s="211" t="s">
        <v>201</v>
      </c>
      <c r="C39" s="214"/>
      <c r="D39" s="214"/>
      <c r="E39" s="214"/>
      <c r="F39" s="215">
        <f>F36-F38</f>
        <v>963039.92891919625</v>
      </c>
      <c r="G39" s="215">
        <f t="shared" si="13" ref="G39:W39">G36-G38</f>
        <v>1949216.1934380434</v>
      </c>
      <c r="H39" s="215">
        <f t="shared" si="13"/>
        <v>2926022.9119622461</v>
      </c>
      <c r="I39" s="215">
        <f t="shared" si="13"/>
        <v>3769527.6746413587</v>
      </c>
      <c r="J39" s="215">
        <f t="shared" si="13"/>
        <v>4526837.1643997626</v>
      </c>
      <c r="K39" s="215">
        <f t="shared" si="13"/>
        <v>5267786.473639898</v>
      </c>
      <c r="L39" s="215">
        <f t="shared" si="13"/>
        <v>6465196.8444490591</v>
      </c>
      <c r="M39" s="215">
        <f t="shared" si="13"/>
        <v>6459805.1246050866</v>
      </c>
      <c r="N39" s="215">
        <f t="shared" si="13"/>
        <v>6416094.2801251803</v>
      </c>
      <c r="O39" s="216">
        <f t="shared" si="13"/>
        <v>6510557.8602286903</v>
      </c>
      <c r="P39" s="223">
        <f t="shared" si="13"/>
        <v>6222761.7533553764</v>
      </c>
      <c r="Q39" s="215">
        <f t="shared" si="13"/>
        <v>6076783.5757172741</v>
      </c>
      <c r="R39" s="215">
        <f t="shared" si="13"/>
        <v>5232074.2383624194</v>
      </c>
      <c r="S39" s="215">
        <f t="shared" si="13"/>
        <v>4268069.7610092666</v>
      </c>
      <c r="T39" s="215">
        <f t="shared" si="13"/>
        <v>3110430.1701674433</v>
      </c>
      <c r="U39" s="215">
        <f t="shared" si="13"/>
        <v>2005729.0064815786</v>
      </c>
      <c r="V39" s="215">
        <f t="shared" si="13"/>
        <v>1014686.4582616873</v>
      </c>
      <c r="W39" s="215">
        <f t="shared" si="13"/>
        <v>406491.3304411117</v>
      </c>
    </row>
    <row r="40" ht="15">
      <c r="P40" s="198"/>
    </row>
    <row r="41" spans="2:27" ht="15">
      <c r="B41" t="s">
        <v>200</v>
      </c>
      <c r="D41" s="234">
        <v>0.32129999999999997</v>
      </c>
      <c r="E41" s="234">
        <v>0.18410000000000001</v>
      </c>
      <c r="F41" s="35">
        <f>0.455*0.7</f>
        <v>0.31850000000000001</v>
      </c>
      <c r="G41" s="35">
        <v>0.28551536664173777</v>
      </c>
      <c r="H41" s="35">
        <v>0.21676907757775862</v>
      </c>
      <c r="I41" s="35">
        <v>0.28060510050789539</v>
      </c>
      <c r="J41" s="35">
        <v>0.3263229996505157</v>
      </c>
      <c r="K41" s="35">
        <v>0.47667050494519336</v>
      </c>
      <c r="L41" s="35">
        <v>0.31164181254620082</v>
      </c>
      <c r="M41" s="35">
        <v>0.4187075622863376</v>
      </c>
      <c r="N41" s="35">
        <v>0.29812077677149956</v>
      </c>
      <c r="O41" s="35">
        <v>0.24121947283359091</v>
      </c>
      <c r="P41" s="224">
        <v>0.32156655895650649</v>
      </c>
      <c r="Q41" s="35">
        <v>0.18440276033712053</v>
      </c>
      <c r="R41" s="35">
        <v>0.31849052554690771</v>
      </c>
      <c r="S41" s="35">
        <v>0.28551536664173777</v>
      </c>
      <c r="T41" s="35">
        <v>0.21676907757775862</v>
      </c>
      <c r="U41" s="35">
        <v>0.28060510050789539</v>
      </c>
      <c r="V41" s="35">
        <v>0.3263229996505157</v>
      </c>
      <c r="W41" s="35">
        <v>0.47667050494519336</v>
      </c>
      <c r="X41" s="35">
        <v>0.31164181254620082</v>
      </c>
      <c r="Y41" s="35">
        <v>0.4187075622863376</v>
      </c>
      <c r="Z41" s="35">
        <v>0.29812077677149956</v>
      </c>
      <c r="AA41" s="35">
        <v>0.24121947283359091</v>
      </c>
    </row>
    <row r="42" ht="15">
      <c r="B42" t="s">
        <v>185</v>
      </c>
    </row>
    <row r="43" spans="2:7" ht="15">
      <c r="B43" s="227" t="s">
        <v>181</v>
      </c>
      <c r="C43" s="227"/>
      <c r="D43" s="227"/>
      <c r="E43" s="227"/>
      <c r="F43" s="227"/>
      <c r="G43" s="227"/>
    </row>
    <row r="44" ht="15">
      <c r="B44" t="s">
        <v>182</v>
      </c>
    </row>
    <row r="45" ht="15">
      <c r="B45" t="s">
        <v>183</v>
      </c>
    </row>
    <row r="47" spans="2:4" ht="15">
      <c r="B47" t="s">
        <v>49</v>
      </c>
      <c r="D47" t="s">
        <v>50</v>
      </c>
    </row>
    <row r="48" spans="2:4" ht="15">
      <c r="B48" t="s">
        <v>51</v>
      </c>
      <c r="D48" t="s">
        <v>52</v>
      </c>
    </row>
    <row r="50" ht="15">
      <c r="B50" t="s">
        <v>53</v>
      </c>
    </row>
    <row r="51" ht="15">
      <c r="B51" t="s">
        <v>54</v>
      </c>
    </row>
    <row r="53" ht="15">
      <c r="B53" t="s">
        <v>55</v>
      </c>
    </row>
    <row r="55" spans="2:15" ht="15">
      <c r="B55" s="36" t="s">
        <v>56</v>
      </c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</row>
    <row r="61" ht="15.75" thickBot="1"/>
    <row r="62" spans="2:27" ht="15">
      <c r="B62" s="25" t="s">
        <v>57</v>
      </c>
      <c r="C62" s="25"/>
      <c r="D62" s="268">
        <v>2020</v>
      </c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70"/>
      <c r="P62" s="5">
        <v>2021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4:27" ht="15.75" thickBot="1">
      <c r="D63" s="8" t="s">
        <v>0</v>
      </c>
      <c r="E63" s="9" t="s">
        <v>1</v>
      </c>
      <c r="F63" s="9" t="s">
        <v>2</v>
      </c>
      <c r="G63" s="9" t="s">
        <v>3</v>
      </c>
      <c r="H63" s="9" t="s">
        <v>4</v>
      </c>
      <c r="I63" s="9" t="s">
        <v>5</v>
      </c>
      <c r="J63" s="9" t="s">
        <v>6</v>
      </c>
      <c r="K63" s="9" t="s">
        <v>7</v>
      </c>
      <c r="L63" s="9" t="s">
        <v>8</v>
      </c>
      <c r="M63" s="9" t="s">
        <v>9</v>
      </c>
      <c r="N63" s="9" t="s">
        <v>10</v>
      </c>
      <c r="O63" s="10" t="s">
        <v>11</v>
      </c>
      <c r="P63" s="8" t="s">
        <v>0</v>
      </c>
      <c r="Q63" s="9" t="s">
        <v>1</v>
      </c>
      <c r="R63" s="9" t="s">
        <v>2</v>
      </c>
      <c r="S63" s="9" t="s">
        <v>3</v>
      </c>
      <c r="T63" s="9" t="s">
        <v>4</v>
      </c>
      <c r="U63" s="9" t="s">
        <v>5</v>
      </c>
      <c r="V63" s="9" t="s">
        <v>6</v>
      </c>
      <c r="W63" s="9" t="s">
        <v>7</v>
      </c>
      <c r="X63" s="9" t="s">
        <v>8</v>
      </c>
      <c r="Y63" s="9" t="s">
        <v>9</v>
      </c>
      <c r="Z63" s="9" t="s">
        <v>10</v>
      </c>
      <c r="AA63" s="10" t="s">
        <v>11</v>
      </c>
    </row>
    <row r="64" spans="3:23" ht="15">
      <c r="C64" t="s">
        <v>58</v>
      </c>
      <c r="F64" s="34">
        <v>963039.92891919625</v>
      </c>
      <c r="G64" s="34">
        <v>2224178.8918340406</v>
      </c>
      <c r="H64" s="34">
        <v>3199398.8416506681</v>
      </c>
      <c r="I64" s="34">
        <v>4043179.3666769583</v>
      </c>
      <c r="J64" s="34">
        <v>4802182.1563730286</v>
      </c>
      <c r="K64" s="34">
        <v>5629580.7166591343</v>
      </c>
      <c r="L64" s="34">
        <v>6723048.8314747382</v>
      </c>
      <c r="M64" s="34">
        <v>6917648.4933973653</v>
      </c>
      <c r="N64" s="34">
        <v>6761210.6941683851</v>
      </c>
      <c r="O64" s="34">
        <v>6777033.292571649</v>
      </c>
      <c r="P64" s="34">
        <v>6541447.8953659348</v>
      </c>
      <c r="Q64" s="34">
        <v>6188936.4361109762</v>
      </c>
      <c r="R64" s="34">
        <v>5361537.8758248705</v>
      </c>
      <c r="S64" s="34">
        <v>4268069.7610092666</v>
      </c>
      <c r="T64" s="34">
        <v>3110430.1701674433</v>
      </c>
      <c r="U64" s="34">
        <v>2005729.0064815786</v>
      </c>
      <c r="V64" s="34">
        <v>1014686.4582616873</v>
      </c>
      <c r="W64" s="34">
        <v>406491.3304411117</v>
      </c>
    </row>
  </sheetData>
  <mergeCells count="2">
    <mergeCell ref="D11:O11"/>
    <mergeCell ref="D62:O62"/>
  </mergeCells>
  <pageMargins left="0.25" right="0.25" top="0.75" bottom="0.75" header="0.3" footer="0.3"/>
  <pageSetup orientation="landscape" paperSize="17" scale="10" r:id="rId3"/>
  <customProperties>
    <customPr name="_pios_id" r:id="rId4"/>
  </customProperties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65"/>
  <sheetViews>
    <sheetView workbookViewId="0" topLeftCell="A1">
      <pane ySplit="8" topLeftCell="A9" activePane="bottomLeft" state="frozen"/>
      <selection pane="topLeft" activeCell="A2" sqref="A1:A2"/>
      <selection pane="bottomLeft" activeCell="A2" sqref="A1:A2"/>
    </sheetView>
  </sheetViews>
  <sheetFormatPr defaultColWidth="8.72727272727273" defaultRowHeight="15"/>
  <cols>
    <col min="2" max="2" width="32.1818181818182" customWidth="1"/>
    <col min="3" max="3" width="21.2727272727273" customWidth="1"/>
    <col min="4" max="5" width="13.5454545454545" bestFit="1" customWidth="1"/>
    <col min="6" max="12" width="13.7272727272727" bestFit="1" customWidth="1"/>
    <col min="13" max="14" width="14.2727272727273" bestFit="1" customWidth="1"/>
    <col min="15" max="15" width="13.7272727272727" bestFit="1" customWidth="1"/>
    <col min="16" max="16" width="14.8181818181818" bestFit="1" customWidth="1"/>
    <col min="17" max="19" width="13.5454545454545" bestFit="1" customWidth="1"/>
    <col min="20" max="22" width="11.5454545454545" bestFit="1" customWidth="1"/>
    <col min="23" max="26" width="12.5454545454545" bestFit="1" customWidth="1"/>
    <col min="27" max="27" width="10.2727272727273" customWidth="1"/>
  </cols>
  <sheetData>
    <row r="1" s="242" customFormat="1" ht="15">
      <c r="A1" s="276" t="s">
        <v>248</v>
      </c>
    </row>
    <row r="2" s="242" customFormat="1" ht="15">
      <c r="A2" s="276" t="s">
        <v>243</v>
      </c>
    </row>
    <row r="3" s="242" customFormat="1" ht="15"/>
    <row r="4" s="242" customFormat="1" ht="15"/>
    <row r="5" s="242" customFormat="1" ht="15"/>
    <row r="6" s="242" customFormat="1" ht="15"/>
    <row r="7" spans="1:18" ht="18.75">
      <c r="A7" s="210" t="s">
        <v>178</v>
      </c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2" t="s">
        <v>11</v>
      </c>
      <c r="P7" s="194" t="s">
        <v>0</v>
      </c>
      <c r="Q7" s="1" t="s">
        <v>1</v>
      </c>
      <c r="R7" s="1" t="s">
        <v>2</v>
      </c>
    </row>
    <row r="8" spans="1:18" ht="15">
      <c r="A8" t="s">
        <v>12</v>
      </c>
      <c r="D8" s="3">
        <v>404727.53021701647</v>
      </c>
      <c r="E8" s="3">
        <v>305926.56073394307</v>
      </c>
      <c r="F8" s="3">
        <v>174825.27803798296</v>
      </c>
      <c r="G8" s="3">
        <v>319252.21384705772</v>
      </c>
      <c r="H8" s="3">
        <v>374630.40997862176</v>
      </c>
      <c r="I8" s="3">
        <v>228806.32100893205</v>
      </c>
      <c r="J8" s="3">
        <v>175736.90242606847</v>
      </c>
      <c r="K8" s="3">
        <v>139310.57231100238</v>
      </c>
      <c r="L8" s="3">
        <v>220216.09091582111</v>
      </c>
      <c r="M8" s="3">
        <v>367251.92169789685</v>
      </c>
      <c r="N8" s="3">
        <v>425907.76303631364</v>
      </c>
      <c r="O8" s="4">
        <v>500903.92406990228</v>
      </c>
      <c r="P8" s="217">
        <v>395827.75032219832</v>
      </c>
      <c r="Q8" s="3">
        <v>299199.3705844346</v>
      </c>
      <c r="R8" s="3">
        <v>170980.94727611422</v>
      </c>
    </row>
    <row r="9" ht="15">
      <c r="P9" s="198"/>
    </row>
    <row r="10" ht="15.75" thickBot="1">
      <c r="P10" s="198"/>
    </row>
    <row r="11" spans="4:27" ht="15">
      <c r="D11" s="268">
        <v>2020</v>
      </c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02">
        <v>2021</v>
      </c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4"/>
    </row>
    <row r="12" spans="2:27" ht="15.75" thickBot="1">
      <c r="B12" t="s">
        <v>13</v>
      </c>
      <c r="D12" s="8" t="s">
        <v>0</v>
      </c>
      <c r="E12" s="9" t="s">
        <v>1</v>
      </c>
      <c r="F12" s="9" t="s">
        <v>2</v>
      </c>
      <c r="G12" s="9" t="s">
        <v>3</v>
      </c>
      <c r="H12" s="9" t="s">
        <v>4</v>
      </c>
      <c r="I12" s="9" t="s">
        <v>5</v>
      </c>
      <c r="J12" s="9" t="s">
        <v>6</v>
      </c>
      <c r="K12" s="9" t="s">
        <v>7</v>
      </c>
      <c r="L12" s="9" t="s">
        <v>8</v>
      </c>
      <c r="M12" s="9" t="s">
        <v>9</v>
      </c>
      <c r="N12" s="9" t="s">
        <v>10</v>
      </c>
      <c r="O12" s="9" t="s">
        <v>11</v>
      </c>
      <c r="P12" s="8" t="s">
        <v>0</v>
      </c>
      <c r="Q12" s="9" t="s">
        <v>1</v>
      </c>
      <c r="R12" s="9" t="s">
        <v>2</v>
      </c>
      <c r="S12" s="9" t="s">
        <v>3</v>
      </c>
      <c r="T12" s="9" t="s">
        <v>4</v>
      </c>
      <c r="U12" s="9" t="s">
        <v>5</v>
      </c>
      <c r="V12" s="9" t="s">
        <v>6</v>
      </c>
      <c r="W12" s="9" t="s">
        <v>7</v>
      </c>
      <c r="X12" s="9" t="s">
        <v>8</v>
      </c>
      <c r="Y12" s="9" t="s">
        <v>9</v>
      </c>
      <c r="Z12" s="9" t="s">
        <v>10</v>
      </c>
      <c r="AA12" s="10" t="s">
        <v>11</v>
      </c>
    </row>
    <row r="13" spans="1:16" ht="15">
      <c r="A13" t="s">
        <v>14</v>
      </c>
      <c r="B13" t="s">
        <v>15</v>
      </c>
      <c r="D13" t="s">
        <v>16</v>
      </c>
      <c r="E13" t="s">
        <v>17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  <c r="M13" t="s">
        <v>18</v>
      </c>
      <c r="N13" t="s">
        <v>18</v>
      </c>
      <c r="O13" t="s">
        <v>18</v>
      </c>
      <c r="P13" s="198"/>
    </row>
    <row r="14" spans="2:16" ht="15">
      <c r="B14" t="s">
        <v>19</v>
      </c>
      <c r="D14" t="s">
        <v>20</v>
      </c>
      <c r="E14" t="s">
        <v>17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  <c r="M14" t="s">
        <v>18</v>
      </c>
      <c r="N14" t="s">
        <v>18</v>
      </c>
      <c r="O14" t="s">
        <v>18</v>
      </c>
      <c r="P14" s="198"/>
    </row>
    <row r="15" ht="15">
      <c r="P15" s="198"/>
    </row>
    <row r="16" spans="1:16" ht="15">
      <c r="A16" t="s">
        <v>21</v>
      </c>
      <c r="B16" t="s">
        <v>15</v>
      </c>
      <c r="D16" t="s">
        <v>22</v>
      </c>
      <c r="E16" t="s">
        <v>22</v>
      </c>
      <c r="F16" s="11" t="s">
        <v>16</v>
      </c>
      <c r="G16" s="12" t="s">
        <v>16</v>
      </c>
      <c r="H16" s="12" t="s">
        <v>16</v>
      </c>
      <c r="I16" s="12" t="s">
        <v>16</v>
      </c>
      <c r="J16" s="12" t="s">
        <v>16</v>
      </c>
      <c r="K16" s="12" t="s">
        <v>16</v>
      </c>
      <c r="L16" s="12" t="s">
        <v>16</v>
      </c>
      <c r="M16" s="12" t="s">
        <v>16</v>
      </c>
      <c r="N16" s="12" t="s">
        <v>16</v>
      </c>
      <c r="O16" s="12" t="s">
        <v>16</v>
      </c>
      <c r="P16" s="198"/>
    </row>
    <row r="17" spans="2:16" ht="15">
      <c r="B17" t="s">
        <v>23</v>
      </c>
      <c r="D17" t="s">
        <v>22</v>
      </c>
      <c r="E17" t="s">
        <v>22</v>
      </c>
      <c r="F17" s="11" t="s">
        <v>16</v>
      </c>
      <c r="G17" s="12" t="s">
        <v>16</v>
      </c>
      <c r="H17" s="12" t="s">
        <v>16</v>
      </c>
      <c r="I17" s="12" t="s">
        <v>16</v>
      </c>
      <c r="J17" s="12" t="s">
        <v>16</v>
      </c>
      <c r="K17" s="12" t="s">
        <v>16</v>
      </c>
      <c r="L17" s="12" t="s">
        <v>16</v>
      </c>
      <c r="M17" s="12" t="s">
        <v>16</v>
      </c>
      <c r="N17" s="12" t="s">
        <v>16</v>
      </c>
      <c r="O17" s="12" t="s">
        <v>16</v>
      </c>
      <c r="P17" s="198"/>
    </row>
    <row r="18" spans="2:18" ht="15">
      <c r="B18" t="s">
        <v>24</v>
      </c>
      <c r="D18" s="13" t="s">
        <v>22</v>
      </c>
      <c r="E18" s="13" t="s">
        <v>22</v>
      </c>
      <c r="F18" s="13" t="s">
        <v>22</v>
      </c>
      <c r="G18" s="13" t="s">
        <v>22</v>
      </c>
      <c r="H18" s="13" t="s">
        <v>22</v>
      </c>
      <c r="I18" s="13" t="s">
        <v>22</v>
      </c>
      <c r="J18" s="13" t="s">
        <v>22</v>
      </c>
      <c r="K18" s="13" t="s">
        <v>22</v>
      </c>
      <c r="L18" s="11" t="s">
        <v>16</v>
      </c>
      <c r="M18" s="12" t="s">
        <v>16</v>
      </c>
      <c r="N18" s="12" t="s">
        <v>16</v>
      </c>
      <c r="O18" s="12" t="s">
        <v>16</v>
      </c>
      <c r="P18" s="218" t="s">
        <v>16</v>
      </c>
      <c r="Q18" s="12" t="s">
        <v>16</v>
      </c>
      <c r="R18" s="12" t="s">
        <v>16</v>
      </c>
    </row>
    <row r="19" spans="1:16" ht="15">
      <c r="A19" s="14" t="s">
        <v>25</v>
      </c>
      <c r="P19" s="198"/>
    </row>
    <row r="20" spans="2:16" ht="15">
      <c r="B20" s="15" t="s">
        <v>26</v>
      </c>
      <c r="D20" s="16">
        <f>D21/$C$21</f>
        <v>0.12885503407365848</v>
      </c>
      <c r="E20" s="16">
        <f t="shared" si="0" ref="E20:O20">E21/$C$21</f>
        <v>0.11645647466334119</v>
      </c>
      <c r="F20" s="16">
        <f t="shared" si="0"/>
        <v>0.097441063671361197</v>
      </c>
      <c r="G20" s="16">
        <f t="shared" si="0"/>
        <v>0.06799092009988475</v>
      </c>
      <c r="H20" s="16">
        <f t="shared" si="0"/>
        <v>0.063534714435379114</v>
      </c>
      <c r="I20" s="16">
        <f t="shared" si="0"/>
        <v>0.048585545906572276</v>
      </c>
      <c r="J20" s="16">
        <f t="shared" si="0"/>
        <v>0.048036846093920726</v>
      </c>
      <c r="K20" s="16">
        <f t="shared" si="0"/>
        <v>0.053478097939496601</v>
      </c>
      <c r="L20" s="16">
        <f t="shared" si="0"/>
        <v>0.066732887219844259</v>
      </c>
      <c r="M20" s="16">
        <f t="shared" si="0"/>
        <v>0.087860720067002934</v>
      </c>
      <c r="N20" s="16">
        <f t="shared" si="0"/>
        <v>0.10403152619958545</v>
      </c>
      <c r="O20" s="16">
        <f t="shared" si="0"/>
        <v>0.11699616962995298</v>
      </c>
      <c r="P20" s="198"/>
    </row>
    <row r="21" spans="2:16" ht="15">
      <c r="B21" t="s">
        <v>27</v>
      </c>
      <c r="C21" s="17">
        <f>SUM(D21:O21)</f>
        <v>14471033.628139529</v>
      </c>
      <c r="D21" s="17">
        <v>1864665.5312349768</v>
      </c>
      <c r="E21" s="17">
        <v>1685245.5610677896</v>
      </c>
      <c r="F21" s="17">
        <v>1410072.9091499529</v>
      </c>
      <c r="G21" s="17">
        <v>983898.89117358008</v>
      </c>
      <c r="H21" s="17">
        <v>919412.98914861318</v>
      </c>
      <c r="I21" s="17">
        <v>703083.06865552429</v>
      </c>
      <c r="J21" s="17">
        <v>695142.81521488982</v>
      </c>
      <c r="K21" s="17">
        <v>773883.3536513946</v>
      </c>
      <c r="L21" s="17">
        <v>965693.85506120895</v>
      </c>
      <c r="M21" s="17">
        <v>1271435.4346821529</v>
      </c>
      <c r="N21" s="17">
        <v>1505443.7140208795</v>
      </c>
      <c r="O21" s="17">
        <v>1693055.5050785663</v>
      </c>
      <c r="P21" s="198"/>
    </row>
    <row r="22" spans="2:16" ht="15">
      <c r="B22" t="s">
        <v>28</v>
      </c>
      <c r="C22" s="18">
        <v>6592661</v>
      </c>
      <c r="D22" s="17">
        <f>D23*$C$22</f>
        <v>809014.32507746201</v>
      </c>
      <c r="E22" s="17">
        <f t="shared" si="1" ref="E22:O22">E23*$C$22</f>
        <v>579233.45506721467</v>
      </c>
      <c r="F22" s="17">
        <f t="shared" si="1"/>
        <v>464561.52050412691</v>
      </c>
      <c r="G22" s="17">
        <f t="shared" si="1"/>
        <v>550308.5308109693</v>
      </c>
      <c r="H22" s="17">
        <f t="shared" si="1"/>
        <v>480433.8906342265</v>
      </c>
      <c r="I22" s="17">
        <f t="shared" si="1"/>
        <v>398048.95910882764</v>
      </c>
      <c r="J22" s="17">
        <f t="shared" si="1"/>
        <v>370892.5384730947</v>
      </c>
      <c r="K22" s="17">
        <f t="shared" si="1"/>
        <v>361429.89985527145</v>
      </c>
      <c r="L22" s="17">
        <f t="shared" si="1"/>
        <v>429817.4339148603</v>
      </c>
      <c r="M22" s="17">
        <f t="shared" si="1"/>
        <v>624838.92275177385</v>
      </c>
      <c r="N22" s="17">
        <f t="shared" si="1"/>
        <v>735009.26402655442</v>
      </c>
      <c r="O22" s="17">
        <f t="shared" si="1"/>
        <v>789072.25977561786</v>
      </c>
      <c r="P22" s="198"/>
    </row>
    <row r="23" spans="2:16" ht="15.75" thickBot="1">
      <c r="B23" t="s">
        <v>29</v>
      </c>
      <c r="C23" s="19"/>
      <c r="D23" s="20">
        <v>0.12271438271700334</v>
      </c>
      <c r="E23" s="20">
        <v>0.087860342745852499</v>
      </c>
      <c r="F23" s="20">
        <v>0.070466465741849449</v>
      </c>
      <c r="G23" s="20">
        <v>0.083472899760956815</v>
      </c>
      <c r="H23" s="20">
        <v>0.072874047464935102</v>
      </c>
      <c r="I23" s="20">
        <v>0.060377586396271193</v>
      </c>
      <c r="J23" s="20">
        <v>0.056258396795026269</v>
      </c>
      <c r="K23" s="20">
        <v>0.054823067628575389</v>
      </c>
      <c r="L23" s="20">
        <v>0.06519634998900449</v>
      </c>
      <c r="M23" s="20">
        <v>0.094777954266384065</v>
      </c>
      <c r="N23" s="20">
        <v>0.11148901240736547</v>
      </c>
      <c r="O23" s="20">
        <v>0.11968949408677587</v>
      </c>
      <c r="P23" s="198"/>
    </row>
    <row r="24" spans="3:16" ht="15.75" thickTop="1">
      <c r="C24" s="17"/>
      <c r="P24" s="198"/>
    </row>
    <row r="25" spans="1:18" ht="15">
      <c r="A25" s="14">
        <v>0.30</v>
      </c>
      <c r="B25" t="s">
        <v>15</v>
      </c>
      <c r="C25" s="17">
        <f>SUM(D25:O25)</f>
        <v>1977798.2999999998</v>
      </c>
      <c r="D25" s="17">
        <f>D$22*$A25</f>
        <v>242704.29752323858</v>
      </c>
      <c r="E25" s="17">
        <f t="shared" si="2" ref="E25:O26">E$22*$A25</f>
        <v>173770.0365201644</v>
      </c>
      <c r="F25" s="17">
        <f t="shared" si="2"/>
        <v>139368.45615123806</v>
      </c>
      <c r="G25" s="17">
        <f t="shared" si="2"/>
        <v>165092.55924329077</v>
      </c>
      <c r="H25" s="17">
        <f t="shared" si="2"/>
        <v>144130.16719026794</v>
      </c>
      <c r="I25" s="17">
        <f t="shared" si="2"/>
        <v>119414.68773264828</v>
      </c>
      <c r="J25" s="17">
        <f t="shared" si="2"/>
        <v>111267.76154192841</v>
      </c>
      <c r="K25" s="17">
        <f t="shared" si="2"/>
        <v>108428.96995658144</v>
      </c>
      <c r="L25" s="17">
        <f t="shared" si="2"/>
        <v>128945.23017445809</v>
      </c>
      <c r="M25" s="17">
        <f t="shared" si="2"/>
        <v>187451.67682553214</v>
      </c>
      <c r="N25" s="17">
        <f t="shared" si="2"/>
        <v>220502.77920796632</v>
      </c>
      <c r="O25" s="17">
        <f t="shared" si="2"/>
        <v>236721.67793268536</v>
      </c>
      <c r="P25" s="219">
        <f>D25</f>
        <v>242704.29752323858</v>
      </c>
      <c r="Q25" s="17">
        <f t="shared" si="3" ref="Q25:R26">E25</f>
        <v>173770.0365201644</v>
      </c>
      <c r="R25" s="17">
        <f t="shared" si="3"/>
        <v>139368.45615123806</v>
      </c>
    </row>
    <row r="26" spans="1:18" ht="15">
      <c r="A26" s="14">
        <v>0.70</v>
      </c>
      <c r="B26" t="s">
        <v>19</v>
      </c>
      <c r="C26" s="17">
        <f>SUM(D26:O26)</f>
        <v>4614862.6999999993</v>
      </c>
      <c r="D26" s="17">
        <f t="shared" si="4" ref="D26">D$22*$A26</f>
        <v>566310.02755422331</v>
      </c>
      <c r="E26" s="17">
        <f t="shared" si="2"/>
        <v>405463.41854705027</v>
      </c>
      <c r="F26" s="17">
        <f t="shared" si="2"/>
        <v>325193.06435288879</v>
      </c>
      <c r="G26" s="21">
        <f t="shared" si="2"/>
        <v>385215.9715676785</v>
      </c>
      <c r="H26" s="22">
        <f t="shared" si="2"/>
        <v>336303.7234439585</v>
      </c>
      <c r="I26" s="22">
        <f t="shared" si="2"/>
        <v>278634.2713761793</v>
      </c>
      <c r="J26" s="22">
        <f t="shared" si="2"/>
        <v>259624.77693116627</v>
      </c>
      <c r="K26" s="22">
        <f t="shared" si="2"/>
        <v>253000.92989869</v>
      </c>
      <c r="L26" s="22">
        <f t="shared" si="2"/>
        <v>300872.20374040218</v>
      </c>
      <c r="M26" s="22">
        <f t="shared" si="2"/>
        <v>437387.24592624168</v>
      </c>
      <c r="N26" s="22">
        <f t="shared" si="2"/>
        <v>514506.48481858807</v>
      </c>
      <c r="O26" s="17">
        <f t="shared" si="2"/>
        <v>552350.5818429325</v>
      </c>
      <c r="P26" s="219">
        <f t="shared" si="5" ref="P26">D26</f>
        <v>566310.02755422331</v>
      </c>
      <c r="Q26" s="17">
        <f t="shared" si="3"/>
        <v>405463.41854705027</v>
      </c>
      <c r="R26" s="17">
        <f t="shared" si="3"/>
        <v>325193.06435288879</v>
      </c>
    </row>
    <row r="27" spans="2:18" ht="15.75" thickBot="1">
      <c r="B27" t="s">
        <v>30</v>
      </c>
      <c r="G27" s="8" t="s">
        <v>31</v>
      </c>
      <c r="H27" s="9" t="s">
        <v>1</v>
      </c>
      <c r="I27" s="9" t="s">
        <v>2</v>
      </c>
      <c r="J27" s="9" t="s">
        <v>3</v>
      </c>
      <c r="K27" s="9" t="s">
        <v>4</v>
      </c>
      <c r="L27" s="9" t="s">
        <v>5</v>
      </c>
      <c r="M27" s="9" t="s">
        <v>6</v>
      </c>
      <c r="N27" s="9" t="s">
        <v>7</v>
      </c>
      <c r="O27" s="9" t="s">
        <v>8</v>
      </c>
      <c r="P27" s="8" t="s">
        <v>9</v>
      </c>
      <c r="Q27" s="9" t="s">
        <v>10</v>
      </c>
      <c r="R27" s="10" t="s">
        <v>11</v>
      </c>
    </row>
    <row r="28" spans="2:18" ht="15">
      <c r="B28" t="s">
        <v>32</v>
      </c>
      <c r="G28" s="2" t="s">
        <v>5</v>
      </c>
      <c r="H28" s="2" t="s">
        <v>161</v>
      </c>
      <c r="I28" s="2" t="s">
        <v>6</v>
      </c>
      <c r="J28" s="23" t="s">
        <v>162</v>
      </c>
      <c r="K28" s="2" t="s">
        <v>7</v>
      </c>
      <c r="L28" s="23" t="s">
        <v>34</v>
      </c>
      <c r="M28" s="2" t="s">
        <v>8</v>
      </c>
      <c r="N28" s="23" t="s">
        <v>179</v>
      </c>
      <c r="O28" s="24" t="s">
        <v>9</v>
      </c>
      <c r="P28" s="220" t="s">
        <v>36</v>
      </c>
      <c r="Q28" s="2" t="s">
        <v>10</v>
      </c>
      <c r="R28" s="2" t="s">
        <v>180</v>
      </c>
    </row>
    <row r="29" spans="2:18" ht="15">
      <c r="B29" t="s">
        <v>39</v>
      </c>
      <c r="D29">
        <v>2020</v>
      </c>
      <c r="G29" s="25">
        <v>5</v>
      </c>
      <c r="H29" s="25">
        <f>G29-0.5</f>
        <v>4.50</v>
      </c>
      <c r="I29" s="25">
        <f t="shared" si="6" ref="I29:Q29">H29-0.5</f>
        <v>4</v>
      </c>
      <c r="J29" s="25">
        <f t="shared" si="6"/>
        <v>3.50</v>
      </c>
      <c r="K29" s="25">
        <f t="shared" si="6"/>
        <v>3</v>
      </c>
      <c r="L29" s="25">
        <f t="shared" si="6"/>
        <v>2.50</v>
      </c>
      <c r="M29" s="25">
        <f t="shared" si="6"/>
        <v>2</v>
      </c>
      <c r="N29" s="25">
        <f t="shared" si="6"/>
        <v>1.50</v>
      </c>
      <c r="O29" s="25">
        <f t="shared" si="6"/>
        <v>1</v>
      </c>
      <c r="P29" s="220">
        <f t="shared" si="6"/>
        <v>0.50</v>
      </c>
      <c r="Q29" s="25">
        <f t="shared" si="6"/>
        <v>0</v>
      </c>
      <c r="R29" s="25">
        <v>0</v>
      </c>
    </row>
    <row r="30" spans="2:18" ht="15">
      <c r="B30" t="s">
        <v>40</v>
      </c>
      <c r="C30" s="17">
        <f>SUM(G30:R30)</f>
        <v>4246426.8014641479</v>
      </c>
      <c r="D30" s="17">
        <f>SUM(G30:O30)</f>
        <v>4104849.294575592</v>
      </c>
      <c r="G30" s="17">
        <f>G26/2/2*G29</f>
        <v>481519.96445959812</v>
      </c>
      <c r="H30" s="17">
        <f t="shared" si="7" ref="H30:R30">H26/2*H29</f>
        <v>756683.37774890661</v>
      </c>
      <c r="I30" s="17">
        <f t="shared" si="7"/>
        <v>557268.5427523586</v>
      </c>
      <c r="J30" s="17">
        <f t="shared" si="7"/>
        <v>454343.359629541</v>
      </c>
      <c r="K30" s="17">
        <f t="shared" si="7"/>
        <v>379501.39484803501</v>
      </c>
      <c r="L30" s="17">
        <f t="shared" si="7"/>
        <v>376090.25467550271</v>
      </c>
      <c r="M30" s="17">
        <f t="shared" si="7"/>
        <v>437387.24592624168</v>
      </c>
      <c r="N30" s="17">
        <f t="shared" si="7"/>
        <v>385879.86361394107</v>
      </c>
      <c r="O30" s="17">
        <f t="shared" si="7"/>
        <v>276175.29092146625</v>
      </c>
      <c r="P30" s="219">
        <f t="shared" si="7"/>
        <v>141577.50688855583</v>
      </c>
      <c r="Q30" s="17">
        <f t="shared" si="7"/>
        <v>0</v>
      </c>
      <c r="R30" s="17">
        <f t="shared" si="7"/>
        <v>0</v>
      </c>
    </row>
    <row r="31" spans="2:18" ht="15.75" thickBot="1">
      <c r="B31" t="s">
        <v>41</v>
      </c>
      <c r="C31" s="26"/>
      <c r="G31" s="9" t="s">
        <v>9</v>
      </c>
      <c r="H31" s="9" t="s">
        <v>10</v>
      </c>
      <c r="I31" s="9" t="s">
        <v>11</v>
      </c>
      <c r="J31" s="9" t="s">
        <v>0</v>
      </c>
      <c r="K31" s="9" t="s">
        <v>1</v>
      </c>
      <c r="L31" s="9" t="s">
        <v>2</v>
      </c>
      <c r="M31" s="9" t="s">
        <v>3</v>
      </c>
      <c r="N31" s="9" t="s">
        <v>4</v>
      </c>
      <c r="O31" s="9" t="s">
        <v>5</v>
      </c>
      <c r="P31" s="8" t="s">
        <v>6</v>
      </c>
      <c r="Q31" s="9" t="s">
        <v>7</v>
      </c>
      <c r="R31" s="9" t="s">
        <v>8</v>
      </c>
    </row>
    <row r="32" spans="2:18" ht="15.75" thickBot="1">
      <c r="B32" s="27" t="s">
        <v>42</v>
      </c>
      <c r="C32" s="30">
        <f>SUM(G32:R32)</f>
        <v>8861289.5014641471</v>
      </c>
      <c r="D32" s="29"/>
      <c r="E32" s="29"/>
      <c r="F32" s="30"/>
      <c r="G32" s="30">
        <f t="shared" si="8" ref="G32:R32">G30+G26</f>
        <v>866735.93602727656</v>
      </c>
      <c r="H32" s="30">
        <f t="shared" si="8"/>
        <v>1092987.1011928651</v>
      </c>
      <c r="I32" s="30">
        <f t="shared" si="8"/>
        <v>835902.8141285379</v>
      </c>
      <c r="J32" s="30">
        <f t="shared" si="8"/>
        <v>713968.13656070724</v>
      </c>
      <c r="K32" s="30">
        <f t="shared" si="8"/>
        <v>632502.32474672503</v>
      </c>
      <c r="L32" s="30">
        <f t="shared" si="8"/>
        <v>676962.4584159049</v>
      </c>
      <c r="M32" s="30">
        <f t="shared" si="8"/>
        <v>874774.49185248336</v>
      </c>
      <c r="N32" s="30">
        <f t="shared" si="8"/>
        <v>900386.34843252914</v>
      </c>
      <c r="O32" s="30">
        <f t="shared" si="8"/>
        <v>828525.87276439881</v>
      </c>
      <c r="P32" s="221">
        <f t="shared" si="8"/>
        <v>707887.53444277914</v>
      </c>
      <c r="Q32" s="30">
        <f t="shared" si="8"/>
        <v>405463.41854705027</v>
      </c>
      <c r="R32" s="30">
        <f t="shared" si="8"/>
        <v>325193.06435288879</v>
      </c>
    </row>
    <row r="33" spans="2:27" ht="15">
      <c r="B33" s="31"/>
      <c r="C33" s="32"/>
      <c r="D33" s="1" t="s">
        <v>0</v>
      </c>
      <c r="E33" s="1" t="s">
        <v>1</v>
      </c>
      <c r="F33" s="1" t="s">
        <v>2</v>
      </c>
      <c r="G33" s="1" t="s">
        <v>3</v>
      </c>
      <c r="H33" s="1" t="s">
        <v>4</v>
      </c>
      <c r="I33" s="1" t="s">
        <v>5</v>
      </c>
      <c r="J33" s="1" t="s">
        <v>6</v>
      </c>
      <c r="K33" s="1" t="s">
        <v>7</v>
      </c>
      <c r="L33" s="1" t="s">
        <v>8</v>
      </c>
      <c r="M33" s="1" t="s">
        <v>9</v>
      </c>
      <c r="N33" s="1" t="s">
        <v>10</v>
      </c>
      <c r="O33" s="1" t="s">
        <v>11</v>
      </c>
      <c r="P33" s="194" t="s">
        <v>0</v>
      </c>
      <c r="Q33" s="1" t="s">
        <v>1</v>
      </c>
      <c r="R33" s="1" t="s">
        <v>2</v>
      </c>
      <c r="S33" s="1" t="s">
        <v>3</v>
      </c>
      <c r="T33" s="1" t="s">
        <v>4</v>
      </c>
      <c r="U33" s="1" t="s">
        <v>5</v>
      </c>
      <c r="V33" s="1" t="s">
        <v>6</v>
      </c>
      <c r="W33" s="1" t="s">
        <v>7</v>
      </c>
      <c r="X33" s="1" t="s">
        <v>8</v>
      </c>
      <c r="Y33" s="1" t="s">
        <v>9</v>
      </c>
      <c r="Z33" s="1" t="s">
        <v>10</v>
      </c>
      <c r="AA33" s="1" t="s">
        <v>11</v>
      </c>
    </row>
    <row r="34" spans="2:26" ht="15">
      <c r="B34" s="33" t="s">
        <v>43</v>
      </c>
      <c r="C34" s="32"/>
      <c r="D34" s="31"/>
      <c r="E34" s="31"/>
      <c r="F34" s="34">
        <f>G32</f>
        <v>866735.93602727656</v>
      </c>
      <c r="G34" s="34">
        <f t="shared" si="9" ref="G34:Z34">F34+H32</f>
        <v>1959723.0372201416</v>
      </c>
      <c r="H34" s="34">
        <f t="shared" si="9"/>
        <v>2795625.8513486795</v>
      </c>
      <c r="I34" s="34">
        <f t="shared" si="9"/>
        <v>3509593.9879093869</v>
      </c>
      <c r="J34" s="34">
        <f t="shared" si="9"/>
        <v>4142096.312656112</v>
      </c>
      <c r="K34" s="34">
        <f t="shared" si="9"/>
        <v>4819058.771072017</v>
      </c>
      <c r="L34" s="34">
        <f t="shared" si="9"/>
        <v>5693833.2629245007</v>
      </c>
      <c r="M34" s="34">
        <f t="shared" si="9"/>
        <v>6594219.6113570295</v>
      </c>
      <c r="N34" s="34">
        <f t="shared" si="9"/>
        <v>7422745.4841214288</v>
      </c>
      <c r="O34" s="34">
        <f t="shared" si="9"/>
        <v>8130633.0185642075</v>
      </c>
      <c r="P34" s="219">
        <f t="shared" si="9"/>
        <v>8536096.4371112585</v>
      </c>
      <c r="Q34" s="34">
        <f t="shared" si="9"/>
        <v>8861289.5014641471</v>
      </c>
      <c r="R34" s="34">
        <f t="shared" si="9"/>
        <v>8861289.5014641471</v>
      </c>
      <c r="S34" s="34">
        <f t="shared" si="9"/>
        <v>8861289.5014641471</v>
      </c>
      <c r="T34" s="34">
        <f t="shared" si="9"/>
        <v>8861289.5014641471</v>
      </c>
      <c r="U34" s="34">
        <f t="shared" si="9"/>
        <v>8861289.5014641471</v>
      </c>
      <c r="V34" s="34">
        <f t="shared" si="9"/>
        <v>8861289.5014641471</v>
      </c>
      <c r="W34" s="34">
        <f t="shared" si="9"/>
        <v>8861289.5014641471</v>
      </c>
      <c r="X34" s="34">
        <f t="shared" si="9"/>
        <v>8861289.5014641471</v>
      </c>
      <c r="Y34" s="34">
        <f t="shared" si="9"/>
        <v>8861289.5014641471</v>
      </c>
      <c r="Z34" s="34">
        <f t="shared" si="9"/>
        <v>8861289.5014641471</v>
      </c>
    </row>
    <row r="35" spans="2:26" ht="15">
      <c r="B35" s="33" t="s">
        <v>44</v>
      </c>
      <c r="C35" s="32"/>
      <c r="D35" s="31"/>
      <c r="E35" s="31"/>
      <c r="F35" s="31"/>
      <c r="G35" s="32"/>
      <c r="H35" s="32"/>
      <c r="I35" s="32"/>
      <c r="J35" s="32"/>
      <c r="K35" s="32"/>
      <c r="L35" s="34">
        <f>-G32</f>
        <v>-866735.93602727656</v>
      </c>
      <c r="M35" s="34">
        <f>L35-H32</f>
        <v>-1959723.0372201416</v>
      </c>
      <c r="N35" s="34">
        <f t="shared" si="10" ref="N35:W35">M35-I32</f>
        <v>-2795625.8513486795</v>
      </c>
      <c r="O35" s="34">
        <f t="shared" si="10"/>
        <v>-3509593.9879093869</v>
      </c>
      <c r="P35" s="219">
        <f t="shared" si="10"/>
        <v>-4142096.312656112</v>
      </c>
      <c r="Q35" s="34">
        <f t="shared" si="10"/>
        <v>-4819058.771072017</v>
      </c>
      <c r="R35" s="34">
        <f t="shared" si="10"/>
        <v>-5693833.2629245007</v>
      </c>
      <c r="S35" s="34">
        <f t="shared" si="10"/>
        <v>-6594219.6113570295</v>
      </c>
      <c r="T35" s="34">
        <f t="shared" si="10"/>
        <v>-7422745.4841214288</v>
      </c>
      <c r="U35" s="34">
        <f t="shared" si="10"/>
        <v>-8130633.0185642075</v>
      </c>
      <c r="V35" s="34">
        <f t="shared" si="10"/>
        <v>-8536096.4371112585</v>
      </c>
      <c r="W35" s="34">
        <f t="shared" si="10"/>
        <v>-8861289.5014641471</v>
      </c>
      <c r="X35" s="34">
        <f>W35-S32</f>
        <v>-8861289.5014641471</v>
      </c>
      <c r="Y35" s="34">
        <f t="shared" si="11" ref="Y35">X35-T32</f>
        <v>-8861289.5014641471</v>
      </c>
      <c r="Z35" s="34">
        <f t="shared" si="12" ref="Z35">Y35-U32</f>
        <v>-8861289.5014641471</v>
      </c>
    </row>
    <row r="36" spans="2:26" ht="15">
      <c r="B36" s="208" t="s">
        <v>45</v>
      </c>
      <c r="C36" s="212"/>
      <c r="D36" s="208"/>
      <c r="E36" s="208"/>
      <c r="F36" s="185">
        <f>F34+F35</f>
        <v>866735.93602727656</v>
      </c>
      <c r="G36" s="185">
        <f t="shared" si="13" ref="G36:Z36">G34+G35</f>
        <v>1959723.0372201416</v>
      </c>
      <c r="H36" s="185">
        <f t="shared" si="13"/>
        <v>2795625.8513486795</v>
      </c>
      <c r="I36" s="185">
        <f t="shared" si="13"/>
        <v>3509593.9879093869</v>
      </c>
      <c r="J36" s="185">
        <f t="shared" si="13"/>
        <v>4142096.312656112</v>
      </c>
      <c r="K36" s="185">
        <f t="shared" si="13"/>
        <v>4819058.771072017</v>
      </c>
      <c r="L36" s="213">
        <f t="shared" si="14" ref="L36:R36">L34+L35</f>
        <v>4827097.3268972244</v>
      </c>
      <c r="M36" s="225">
        <f t="shared" si="14"/>
        <v>4634496.5741368877</v>
      </c>
      <c r="N36" s="185">
        <f t="shared" si="14"/>
        <v>4627119.6327727493</v>
      </c>
      <c r="O36" s="185">
        <f t="shared" si="14"/>
        <v>4621039.0306548206</v>
      </c>
      <c r="P36" s="222">
        <f t="shared" si="14"/>
        <v>4394000.1244551465</v>
      </c>
      <c r="Q36" s="185">
        <f t="shared" si="14"/>
        <v>4042230.7303921301</v>
      </c>
      <c r="R36" s="185">
        <f t="shared" si="14"/>
        <v>3167456.2385396464</v>
      </c>
      <c r="S36" s="185">
        <f t="shared" si="13"/>
        <v>2267069.8901071176</v>
      </c>
      <c r="T36" s="185">
        <f t="shared" si="13"/>
        <v>1438544.0173427183</v>
      </c>
      <c r="U36" s="185">
        <f t="shared" si="13"/>
        <v>730656.48289993964</v>
      </c>
      <c r="V36" s="185">
        <f t="shared" si="13"/>
        <v>325193.06435288861</v>
      </c>
      <c r="W36" s="185">
        <f t="shared" si="13"/>
        <v>0</v>
      </c>
      <c r="X36" s="185">
        <f t="shared" si="13"/>
        <v>0</v>
      </c>
      <c r="Y36" s="185">
        <f t="shared" si="13"/>
        <v>0</v>
      </c>
      <c r="Z36" s="185">
        <f t="shared" si="13"/>
        <v>0</v>
      </c>
    </row>
    <row r="37" ht="15">
      <c r="P37" s="198"/>
    </row>
    <row r="38" spans="2:26" ht="15">
      <c r="B38" s="33" t="s">
        <v>199</v>
      </c>
      <c r="C38" s="17">
        <f>SUM(G38:O38)</f>
        <v>2298955.2083998099</v>
      </c>
      <c r="D38" s="31"/>
      <c r="E38" s="31"/>
      <c r="F38" s="34"/>
      <c r="G38" s="34">
        <f>G45*G32</f>
        <v>247466.42855639765</v>
      </c>
      <c r="H38" s="34">
        <f t="shared" si="15" ref="H38:V38">H45*H32</f>
        <v>236925.80572996568</v>
      </c>
      <c r="I38" s="34">
        <f t="shared" si="15"/>
        <v>234558.59317337099</v>
      </c>
      <c r="J38" s="34">
        <f t="shared" si="15"/>
        <v>232984.22397737901</v>
      </c>
      <c r="K38" s="34">
        <f t="shared" si="15"/>
        <v>301495.20251603011</v>
      </c>
      <c r="L38" s="34">
        <f t="shared" si="15"/>
        <v>210969.8075664647</v>
      </c>
      <c r="M38" s="34">
        <f t="shared" si="15"/>
        <v>366274.69503382302</v>
      </c>
      <c r="N38" s="34">
        <f t="shared" si="15"/>
        <v>268423.87758915965</v>
      </c>
      <c r="O38" s="34">
        <f t="shared" si="15"/>
        <v>199856.57425721909</v>
      </c>
      <c r="P38" s="219">
        <f t="shared" si="15"/>
        <v>227632.95857896996</v>
      </c>
      <c r="Q38" s="34">
        <f t="shared" si="15"/>
        <v>74768.573595801296</v>
      </c>
      <c r="R38" s="34">
        <f t="shared" si="15"/>
        <v>103570.90996996094</v>
      </c>
      <c r="S38" s="34">
        <f t="shared" si="15"/>
        <v>0</v>
      </c>
      <c r="T38" s="34">
        <f t="shared" si="15"/>
        <v>0</v>
      </c>
      <c r="U38" s="34">
        <f t="shared" si="15"/>
        <v>0</v>
      </c>
      <c r="V38" s="34">
        <f t="shared" si="15"/>
        <v>0</v>
      </c>
      <c r="W38" s="34">
        <f t="shared" si="16" ref="W38">W36*W45</f>
        <v>0</v>
      </c>
      <c r="X38" s="34"/>
      <c r="Y38" s="34"/>
      <c r="Z38" s="34"/>
    </row>
    <row r="39" spans="2:23" ht="15">
      <c r="B39" s="211" t="s">
        <v>201</v>
      </c>
      <c r="C39" s="214"/>
      <c r="D39" s="214"/>
      <c r="E39" s="214"/>
      <c r="F39" s="215">
        <f>F36-F38</f>
        <v>866735.93602727656</v>
      </c>
      <c r="G39" s="215">
        <f t="shared" si="17" ref="G39:W39">G36-G38</f>
        <v>1712256.6086637441</v>
      </c>
      <c r="H39" s="215">
        <f t="shared" si="17"/>
        <v>2558700.0456187138</v>
      </c>
      <c r="I39" s="215">
        <f t="shared" si="17"/>
        <v>3275035.3947360157</v>
      </c>
      <c r="J39" s="215">
        <f t="shared" si="17"/>
        <v>3909112.088678733</v>
      </c>
      <c r="K39" s="215">
        <f t="shared" si="17"/>
        <v>4517563.5685559865</v>
      </c>
      <c r="L39" s="216">
        <f t="shared" si="17"/>
        <v>4616127.5193307595</v>
      </c>
      <c r="M39" s="215">
        <f t="shared" si="17"/>
        <v>4268221.8791030645</v>
      </c>
      <c r="N39" s="215">
        <f t="shared" si="17"/>
        <v>4358695.7551835896</v>
      </c>
      <c r="O39" s="235">
        <f t="shared" si="17"/>
        <v>4421182.4563976014</v>
      </c>
      <c r="P39" s="223">
        <f t="shared" si="17"/>
        <v>4166367.1658761767</v>
      </c>
      <c r="Q39" s="215">
        <f t="shared" si="17"/>
        <v>3967462.1567963287</v>
      </c>
      <c r="R39" s="215">
        <f t="shared" si="17"/>
        <v>3063885.3285696856</v>
      </c>
      <c r="S39" s="215">
        <f t="shared" si="17"/>
        <v>2267069.8901071176</v>
      </c>
      <c r="T39" s="215">
        <f t="shared" si="17"/>
        <v>1438544.0173427183</v>
      </c>
      <c r="U39" s="215">
        <f t="shared" si="17"/>
        <v>730656.48289993964</v>
      </c>
      <c r="V39" s="215">
        <f t="shared" si="17"/>
        <v>325193.06435288861</v>
      </c>
      <c r="W39" s="215">
        <f t="shared" si="17"/>
        <v>0</v>
      </c>
    </row>
    <row r="41" ht="15">
      <c r="B41" t="s">
        <v>181</v>
      </c>
    </row>
    <row r="42" ht="15">
      <c r="B42" t="s">
        <v>182</v>
      </c>
    </row>
    <row r="43" ht="15">
      <c r="B43" t="s">
        <v>183</v>
      </c>
    </row>
    <row r="45" spans="2:27" ht="15">
      <c r="B45" t="s">
        <v>200</v>
      </c>
      <c r="D45" s="234">
        <v>0.32129999999999997</v>
      </c>
      <c r="E45" s="234">
        <v>0.18410000000000001</v>
      </c>
      <c r="F45" s="35">
        <f>0.455*0.7</f>
        <v>0.31850000000000001</v>
      </c>
      <c r="G45" s="35">
        <v>0.28551536664173777</v>
      </c>
      <c r="H45" s="35">
        <v>0.21676907757775862</v>
      </c>
      <c r="I45" s="35">
        <v>0.28060510050789539</v>
      </c>
      <c r="J45" s="35">
        <v>0.3263229996505157</v>
      </c>
      <c r="K45" s="35">
        <v>0.47667050494519336</v>
      </c>
      <c r="L45" s="35">
        <v>0.31164181254620082</v>
      </c>
      <c r="M45" s="35">
        <v>0.4187075622863376</v>
      </c>
      <c r="N45" s="35">
        <v>0.29812077677149956</v>
      </c>
      <c r="O45" s="35">
        <v>0.24121947283359091</v>
      </c>
      <c r="P45" s="35">
        <v>0.32156655895650649</v>
      </c>
      <c r="Q45" s="35">
        <v>0.18440276033712053</v>
      </c>
      <c r="R45" s="35">
        <v>0.31849052554690771</v>
      </c>
      <c r="S45" s="35">
        <v>0.28551536664173777</v>
      </c>
      <c r="T45" s="35">
        <v>0.21676907757775862</v>
      </c>
      <c r="U45" s="35">
        <v>0.28060510050789539</v>
      </c>
      <c r="V45" s="35">
        <v>0.3263229996505157</v>
      </c>
      <c r="W45" s="35">
        <v>0.47667050494519336</v>
      </c>
      <c r="X45" s="35">
        <v>0.31164181254620082</v>
      </c>
      <c r="Y45" s="35">
        <v>0.4187075622863376</v>
      </c>
      <c r="Z45" s="35">
        <v>0.29812077677149956</v>
      </c>
      <c r="AA45" s="35">
        <v>0.24121947283359091</v>
      </c>
    </row>
    <row r="48" spans="2:4" ht="15">
      <c r="B48" t="s">
        <v>49</v>
      </c>
      <c r="D48" t="s">
        <v>50</v>
      </c>
    </row>
    <row r="49" spans="2:4" ht="15">
      <c r="B49" t="s">
        <v>51</v>
      </c>
      <c r="D49" t="s">
        <v>52</v>
      </c>
    </row>
    <row r="51" ht="15">
      <c r="B51" t="s">
        <v>53</v>
      </c>
    </row>
    <row r="52" ht="15">
      <c r="B52" t="s">
        <v>54</v>
      </c>
    </row>
    <row r="54" ht="15">
      <c r="B54" t="s">
        <v>55</v>
      </c>
    </row>
    <row r="56" spans="2:15" ht="15">
      <c r="B56" s="36" t="s">
        <v>56</v>
      </c>
      <c r="C56" s="37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62" ht="15.75" thickBot="1"/>
    <row r="63" spans="2:27" ht="15">
      <c r="B63" s="25" t="s">
        <v>57</v>
      </c>
      <c r="C63" s="25"/>
      <c r="D63" s="268">
        <v>2020</v>
      </c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70"/>
      <c r="P63" s="202">
        <v>2021</v>
      </c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4"/>
    </row>
    <row r="64" spans="4:27" ht="15.75" thickBot="1">
      <c r="D64" s="8" t="s">
        <v>0</v>
      </c>
      <c r="E64" s="9" t="s">
        <v>1</v>
      </c>
      <c r="F64" s="9" t="s">
        <v>2</v>
      </c>
      <c r="G64" s="9" t="s">
        <v>3</v>
      </c>
      <c r="H64" s="9" t="s">
        <v>4</v>
      </c>
      <c r="I64" s="9" t="s">
        <v>5</v>
      </c>
      <c r="J64" s="9" t="s">
        <v>6</v>
      </c>
      <c r="K64" s="9" t="s">
        <v>7</v>
      </c>
      <c r="L64" s="9" t="s">
        <v>8</v>
      </c>
      <c r="M64" s="9" t="s">
        <v>9</v>
      </c>
      <c r="N64" s="9" t="s">
        <v>10</v>
      </c>
      <c r="O64" s="10" t="s">
        <v>11</v>
      </c>
      <c r="P64" s="8" t="s">
        <v>0</v>
      </c>
      <c r="Q64" s="9" t="s">
        <v>1</v>
      </c>
      <c r="R64" s="9" t="s">
        <v>2</v>
      </c>
      <c r="S64" s="9" t="s">
        <v>3</v>
      </c>
      <c r="T64" s="9" t="s">
        <v>4</v>
      </c>
      <c r="U64" s="9" t="s">
        <v>5</v>
      </c>
      <c r="V64" s="9" t="s">
        <v>6</v>
      </c>
      <c r="W64" s="9" t="s">
        <v>7</v>
      </c>
      <c r="X64" s="9" t="s">
        <v>8</v>
      </c>
      <c r="Y64" s="9" t="s">
        <v>9</v>
      </c>
      <c r="Z64" s="9" t="s">
        <v>10</v>
      </c>
      <c r="AA64" s="10" t="s">
        <v>11</v>
      </c>
    </row>
    <row r="65" spans="3:23" ht="15">
      <c r="C65" t="s">
        <v>58</v>
      </c>
      <c r="F65" s="34">
        <v>963039.92891919625</v>
      </c>
      <c r="G65" s="34">
        <v>2224178.8918340406</v>
      </c>
      <c r="H65" s="34">
        <v>3199398.8416506681</v>
      </c>
      <c r="I65" s="34">
        <v>4043179.3666769583</v>
      </c>
      <c r="J65" s="34">
        <v>4802182.1563730286</v>
      </c>
      <c r="K65" s="34">
        <v>5629580.7166591343</v>
      </c>
      <c r="L65" s="34">
        <v>6723048.8314747382</v>
      </c>
      <c r="M65" s="34">
        <v>6917648.4933973653</v>
      </c>
      <c r="N65" s="34">
        <v>6761210.6941683851</v>
      </c>
      <c r="O65" s="34">
        <v>6777033.292571649</v>
      </c>
      <c r="P65" s="34">
        <v>6541447.8953659348</v>
      </c>
      <c r="Q65" s="34">
        <v>6188936.4361109762</v>
      </c>
      <c r="R65" s="34">
        <v>5361537.8758248705</v>
      </c>
      <c r="S65" s="34">
        <v>4268069.7610092666</v>
      </c>
      <c r="T65" s="34">
        <v>3110430.1701674433</v>
      </c>
      <c r="U65" s="34">
        <v>2005729.0064815786</v>
      </c>
      <c r="V65" s="34">
        <v>1014686.4582616873</v>
      </c>
      <c r="W65" s="34">
        <v>406491.3304411117</v>
      </c>
    </row>
  </sheetData>
  <mergeCells count="2">
    <mergeCell ref="D11:O11"/>
    <mergeCell ref="D63:O63"/>
  </mergeCells>
  <pageMargins left="0.25" right="0.25" top="0.75" bottom="0.75" header="0.3" footer="0.3"/>
  <pageSetup orientation="landscape" paperSize="17" scale="10" r:id="rId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74"/>
  <sheetViews>
    <sheetView workbookViewId="0" topLeftCell="A1">
      <pane ySplit="8" topLeftCell="A9" activePane="bottomLeft" state="frozen"/>
      <selection pane="topLeft" activeCell="A2" sqref="A1:A2"/>
      <selection pane="bottomLeft" activeCell="A2" sqref="A1:A2"/>
    </sheetView>
  </sheetViews>
  <sheetFormatPr defaultColWidth="8.72727272727273" defaultRowHeight="15"/>
  <cols>
    <col min="2" max="2" width="31.8181818181818" bestFit="1" customWidth="1"/>
    <col min="3" max="3" width="21.2727272727273" customWidth="1"/>
    <col min="4" max="5" width="13.5454545454545" bestFit="1" customWidth="1"/>
    <col min="6" max="12" width="13.7272727272727" bestFit="1" customWidth="1"/>
    <col min="13" max="14" width="14.2727272727273" bestFit="1" customWidth="1"/>
    <col min="15" max="15" width="13.7272727272727" bestFit="1" customWidth="1"/>
    <col min="16" max="16" width="14.8181818181818" bestFit="1" customWidth="1"/>
    <col min="17" max="19" width="13.5454545454545" bestFit="1" customWidth="1"/>
    <col min="20" max="22" width="11.5454545454545" bestFit="1" customWidth="1"/>
    <col min="23" max="26" width="12.5454545454545" bestFit="1" customWidth="1"/>
    <col min="27" max="27" width="10.2727272727273" customWidth="1"/>
  </cols>
  <sheetData>
    <row r="1" s="242" customFormat="1" ht="15">
      <c r="A1" s="276" t="s">
        <v>249</v>
      </c>
    </row>
    <row r="2" s="242" customFormat="1" ht="15">
      <c r="A2" s="276" t="s">
        <v>243</v>
      </c>
    </row>
    <row r="3" s="242" customFormat="1" ht="15"/>
    <row r="4" s="242" customFormat="1" ht="15"/>
    <row r="5" s="242" customFormat="1" ht="15"/>
    <row r="6" s="242" customFormat="1" ht="15"/>
    <row r="7" spans="1:18" ht="18.75">
      <c r="A7" s="210" t="s">
        <v>174</v>
      </c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2" t="s">
        <v>11</v>
      </c>
      <c r="P7" s="194" t="s">
        <v>0</v>
      </c>
      <c r="Q7" s="1" t="s">
        <v>1</v>
      </c>
      <c r="R7" s="1" t="s">
        <v>2</v>
      </c>
    </row>
    <row r="8" spans="1:18" ht="15">
      <c r="A8" t="s">
        <v>12</v>
      </c>
      <c r="D8" s="3">
        <v>404727.53021701647</v>
      </c>
      <c r="E8" s="3">
        <v>305926.56073394307</v>
      </c>
      <c r="F8" s="3">
        <v>174825.27803798296</v>
      </c>
      <c r="G8" s="3">
        <v>319252.21384705772</v>
      </c>
      <c r="H8" s="3">
        <v>374630.40997862176</v>
      </c>
      <c r="I8" s="3">
        <v>228806.32100893205</v>
      </c>
      <c r="J8" s="3">
        <v>175736.90242606847</v>
      </c>
      <c r="K8" s="3">
        <v>139310.57231100238</v>
      </c>
      <c r="L8" s="3">
        <v>220216.09091582111</v>
      </c>
      <c r="M8" s="3">
        <v>367251.92169789685</v>
      </c>
      <c r="N8" s="3">
        <v>425907.76303631364</v>
      </c>
      <c r="O8" s="4">
        <v>500903.92406990228</v>
      </c>
      <c r="P8" s="217">
        <v>395827.75032219832</v>
      </c>
      <c r="Q8" s="3">
        <v>299199.3705844346</v>
      </c>
      <c r="R8" s="3">
        <v>170980.94727611422</v>
      </c>
    </row>
    <row r="9" ht="15">
      <c r="P9" s="198"/>
    </row>
    <row r="10" ht="15.75" thickBot="1">
      <c r="P10" s="198"/>
    </row>
    <row r="11" spans="4:27" ht="15">
      <c r="D11" s="268">
        <v>2020</v>
      </c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02">
        <v>2021</v>
      </c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4"/>
    </row>
    <row r="12" spans="2:27" ht="15.75" thickBot="1">
      <c r="B12" t="s">
        <v>13</v>
      </c>
      <c r="D12" s="8" t="s">
        <v>0</v>
      </c>
      <c r="E12" s="9" t="s">
        <v>1</v>
      </c>
      <c r="F12" s="9" t="s">
        <v>2</v>
      </c>
      <c r="G12" s="9" t="s">
        <v>3</v>
      </c>
      <c r="H12" s="9" t="s">
        <v>4</v>
      </c>
      <c r="I12" s="9" t="s">
        <v>5</v>
      </c>
      <c r="J12" s="9" t="s">
        <v>6</v>
      </c>
      <c r="K12" s="9" t="s">
        <v>7</v>
      </c>
      <c r="L12" s="9" t="s">
        <v>8</v>
      </c>
      <c r="M12" s="9" t="s">
        <v>9</v>
      </c>
      <c r="N12" s="9" t="s">
        <v>10</v>
      </c>
      <c r="O12" s="9" t="s">
        <v>11</v>
      </c>
      <c r="P12" s="8" t="s">
        <v>0</v>
      </c>
      <c r="Q12" s="9" t="s">
        <v>1</v>
      </c>
      <c r="R12" s="9" t="s">
        <v>2</v>
      </c>
      <c r="S12" s="9" t="s">
        <v>3</v>
      </c>
      <c r="T12" s="9" t="s">
        <v>4</v>
      </c>
      <c r="U12" s="9" t="s">
        <v>5</v>
      </c>
      <c r="V12" s="9" t="s">
        <v>6</v>
      </c>
      <c r="W12" s="9" t="s">
        <v>7</v>
      </c>
      <c r="X12" s="9" t="s">
        <v>8</v>
      </c>
      <c r="Y12" s="9" t="s">
        <v>9</v>
      </c>
      <c r="Z12" s="9" t="s">
        <v>10</v>
      </c>
      <c r="AA12" s="10" t="s">
        <v>11</v>
      </c>
    </row>
    <row r="13" spans="1:16" ht="15">
      <c r="A13" t="s">
        <v>14</v>
      </c>
      <c r="B13" t="s">
        <v>15</v>
      </c>
      <c r="D13" t="s">
        <v>16</v>
      </c>
      <c r="E13" t="s">
        <v>17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  <c r="M13" t="s">
        <v>18</v>
      </c>
      <c r="N13" t="s">
        <v>18</v>
      </c>
      <c r="O13" t="s">
        <v>18</v>
      </c>
      <c r="P13" s="198"/>
    </row>
    <row r="14" spans="2:16" ht="15">
      <c r="B14" t="s">
        <v>19</v>
      </c>
      <c r="D14" t="s">
        <v>20</v>
      </c>
      <c r="E14" t="s">
        <v>17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  <c r="M14" t="s">
        <v>18</v>
      </c>
      <c r="N14" t="s">
        <v>18</v>
      </c>
      <c r="O14" t="s">
        <v>18</v>
      </c>
      <c r="P14" s="198"/>
    </row>
    <row r="15" ht="15">
      <c r="P15" s="198"/>
    </row>
    <row r="16" spans="1:16" ht="15">
      <c r="A16" t="s">
        <v>21</v>
      </c>
      <c r="B16" t="s">
        <v>15</v>
      </c>
      <c r="D16" t="s">
        <v>22</v>
      </c>
      <c r="E16" t="s">
        <v>22</v>
      </c>
      <c r="F16" s="11" t="s">
        <v>16</v>
      </c>
      <c r="G16" s="12" t="s">
        <v>16</v>
      </c>
      <c r="H16" s="12" t="s">
        <v>16</v>
      </c>
      <c r="I16" s="12" t="s">
        <v>16</v>
      </c>
      <c r="J16" s="12" t="s">
        <v>16</v>
      </c>
      <c r="K16" s="12" t="s">
        <v>16</v>
      </c>
      <c r="L16" s="12" t="s">
        <v>16</v>
      </c>
      <c r="M16" s="12" t="s">
        <v>16</v>
      </c>
      <c r="N16" s="12" t="s">
        <v>16</v>
      </c>
      <c r="O16" s="12" t="s">
        <v>16</v>
      </c>
      <c r="P16" s="198"/>
    </row>
    <row r="17" spans="2:16" ht="15">
      <c r="B17" t="s">
        <v>23</v>
      </c>
      <c r="D17" t="s">
        <v>22</v>
      </c>
      <c r="E17" t="s">
        <v>22</v>
      </c>
      <c r="F17" s="11" t="s">
        <v>16</v>
      </c>
      <c r="G17" s="12" t="s">
        <v>16</v>
      </c>
      <c r="H17" s="12" t="s">
        <v>16</v>
      </c>
      <c r="I17" s="12" t="s">
        <v>16</v>
      </c>
      <c r="J17" s="12" t="s">
        <v>16</v>
      </c>
      <c r="K17" s="12" t="s">
        <v>16</v>
      </c>
      <c r="L17" s="12" t="s">
        <v>16</v>
      </c>
      <c r="M17" s="12" t="s">
        <v>16</v>
      </c>
      <c r="N17" s="12" t="s">
        <v>16</v>
      </c>
      <c r="O17" s="12" t="s">
        <v>16</v>
      </c>
      <c r="P17" s="198"/>
    </row>
    <row r="18" spans="2:18" ht="15">
      <c r="B18" t="s">
        <v>24</v>
      </c>
      <c r="D18" s="13" t="s">
        <v>22</v>
      </c>
      <c r="E18" s="13" t="s">
        <v>22</v>
      </c>
      <c r="F18" s="13" t="s">
        <v>22</v>
      </c>
      <c r="G18" s="13" t="s">
        <v>22</v>
      </c>
      <c r="H18" s="13" t="s">
        <v>22</v>
      </c>
      <c r="I18" s="13" t="s">
        <v>22</v>
      </c>
      <c r="J18" s="13" t="s">
        <v>22</v>
      </c>
      <c r="K18" s="13" t="s">
        <v>22</v>
      </c>
      <c r="L18" s="11" t="s">
        <v>16</v>
      </c>
      <c r="M18" s="12" t="s">
        <v>16</v>
      </c>
      <c r="N18" s="12" t="s">
        <v>16</v>
      </c>
      <c r="O18" s="12" t="s">
        <v>16</v>
      </c>
      <c r="P18" s="218" t="s">
        <v>16</v>
      </c>
      <c r="Q18" s="12" t="s">
        <v>16</v>
      </c>
      <c r="R18" s="12" t="s">
        <v>16</v>
      </c>
    </row>
    <row r="19" spans="1:16" ht="15">
      <c r="A19" s="14" t="s">
        <v>25</v>
      </c>
      <c r="P19" s="198"/>
    </row>
    <row r="20" spans="2:16" ht="15">
      <c r="B20" s="15" t="s">
        <v>26</v>
      </c>
      <c r="D20" s="16">
        <f>D21/$C$21</f>
        <v>0.12885503407365848</v>
      </c>
      <c r="E20" s="16">
        <f t="shared" si="0" ref="E20:O20">E21/$C$21</f>
        <v>0.11645647466334119</v>
      </c>
      <c r="F20" s="16">
        <f t="shared" si="0"/>
        <v>0.097441063671361197</v>
      </c>
      <c r="G20" s="16">
        <f t="shared" si="0"/>
        <v>0.06799092009988475</v>
      </c>
      <c r="H20" s="16">
        <f t="shared" si="0"/>
        <v>0.063534714435379114</v>
      </c>
      <c r="I20" s="16">
        <f t="shared" si="0"/>
        <v>0.048585545906572276</v>
      </c>
      <c r="J20" s="16">
        <f t="shared" si="0"/>
        <v>0.048036846093920726</v>
      </c>
      <c r="K20" s="16">
        <f t="shared" si="0"/>
        <v>0.053478097939496601</v>
      </c>
      <c r="L20" s="16">
        <f t="shared" si="0"/>
        <v>0.066732887219844259</v>
      </c>
      <c r="M20" s="16">
        <f t="shared" si="0"/>
        <v>0.087860720067002934</v>
      </c>
      <c r="N20" s="16">
        <f t="shared" si="0"/>
        <v>0.10403152619958545</v>
      </c>
      <c r="O20" s="16">
        <f t="shared" si="0"/>
        <v>0.11699616962995298</v>
      </c>
      <c r="P20" s="198"/>
    </row>
    <row r="21" spans="2:16" ht="15">
      <c r="B21" t="s">
        <v>27</v>
      </c>
      <c r="C21" s="17">
        <f>SUM(D21:O21)</f>
        <v>14471033.628139529</v>
      </c>
      <c r="D21" s="17">
        <v>1864665.5312349768</v>
      </c>
      <c r="E21" s="17">
        <v>1685245.5610677896</v>
      </c>
      <c r="F21" s="17">
        <v>1410072.9091499529</v>
      </c>
      <c r="G21" s="17">
        <v>983898.89117358008</v>
      </c>
      <c r="H21" s="17">
        <v>919412.98914861318</v>
      </c>
      <c r="I21" s="17">
        <v>703083.06865552429</v>
      </c>
      <c r="J21" s="17">
        <v>695142.81521488982</v>
      </c>
      <c r="K21" s="17">
        <v>773883.3536513946</v>
      </c>
      <c r="L21" s="17">
        <v>965693.85506120895</v>
      </c>
      <c r="M21" s="17">
        <v>1271435.4346821529</v>
      </c>
      <c r="N21" s="17">
        <v>1505443.7140208795</v>
      </c>
      <c r="O21" s="17">
        <v>1693055.5050785663</v>
      </c>
      <c r="P21" s="198"/>
    </row>
    <row r="22" spans="2:16" ht="15">
      <c r="B22" t="s">
        <v>28</v>
      </c>
      <c r="C22" s="18">
        <v>6592661</v>
      </c>
      <c r="D22" s="17">
        <f>D23*$C$22</f>
        <v>809014.32507746201</v>
      </c>
      <c r="E22" s="17">
        <f t="shared" si="1" ref="E22:O22">E23*$C$22</f>
        <v>579233.45506721467</v>
      </c>
      <c r="F22" s="17">
        <f t="shared" si="1"/>
        <v>464561.52050412691</v>
      </c>
      <c r="G22" s="17">
        <f t="shared" si="1"/>
        <v>550308.5308109693</v>
      </c>
      <c r="H22" s="17">
        <f t="shared" si="1"/>
        <v>480433.8906342265</v>
      </c>
      <c r="I22" s="17">
        <f t="shared" si="1"/>
        <v>398048.95910882764</v>
      </c>
      <c r="J22" s="17">
        <f t="shared" si="1"/>
        <v>370892.5384730947</v>
      </c>
      <c r="K22" s="17">
        <f t="shared" si="1"/>
        <v>361429.89985527145</v>
      </c>
      <c r="L22" s="17">
        <f t="shared" si="1"/>
        <v>429817.4339148603</v>
      </c>
      <c r="M22" s="17">
        <f t="shared" si="1"/>
        <v>624838.92275177385</v>
      </c>
      <c r="N22" s="17">
        <f t="shared" si="1"/>
        <v>735009.26402655442</v>
      </c>
      <c r="O22" s="17">
        <f t="shared" si="1"/>
        <v>789072.25977561786</v>
      </c>
      <c r="P22" s="198"/>
    </row>
    <row r="23" spans="2:16" ht="15.75" thickBot="1">
      <c r="B23" t="s">
        <v>29</v>
      </c>
      <c r="C23" s="19"/>
      <c r="D23" s="20">
        <v>0.12271438271700334</v>
      </c>
      <c r="E23" s="20">
        <v>0.087860342745852499</v>
      </c>
      <c r="F23" s="20">
        <v>0.070466465741849449</v>
      </c>
      <c r="G23" s="20">
        <v>0.083472899760956815</v>
      </c>
      <c r="H23" s="20">
        <v>0.072874047464935102</v>
      </c>
      <c r="I23" s="20">
        <v>0.060377586396271193</v>
      </c>
      <c r="J23" s="20">
        <v>0.056258396795026269</v>
      </c>
      <c r="K23" s="20">
        <v>0.054823067628575389</v>
      </c>
      <c r="L23" s="20">
        <v>0.06519634998900449</v>
      </c>
      <c r="M23" s="20">
        <v>0.094777954266384065</v>
      </c>
      <c r="N23" s="20">
        <v>0.11148901240736547</v>
      </c>
      <c r="O23" s="20">
        <v>0.11968949408677587</v>
      </c>
      <c r="P23" s="198"/>
    </row>
    <row r="24" spans="3:16" ht="15.75" thickTop="1">
      <c r="C24" s="17"/>
      <c r="P24" s="198"/>
    </row>
    <row r="25" spans="1:18" ht="15">
      <c r="A25" s="14">
        <v>0.30</v>
      </c>
      <c r="B25" t="s">
        <v>15</v>
      </c>
      <c r="C25" s="17">
        <f>SUM(D25:O25)</f>
        <v>1977798.2999999998</v>
      </c>
      <c r="D25" s="17">
        <f>D$22*$A25</f>
        <v>242704.29752323858</v>
      </c>
      <c r="E25" s="17">
        <f t="shared" si="2" ref="E25:O26">E$22*$A25</f>
        <v>173770.0365201644</v>
      </c>
      <c r="F25" s="17">
        <f t="shared" si="2"/>
        <v>139368.45615123806</v>
      </c>
      <c r="G25" s="17">
        <f t="shared" si="2"/>
        <v>165092.55924329077</v>
      </c>
      <c r="H25" s="17">
        <f t="shared" si="2"/>
        <v>144130.16719026794</v>
      </c>
      <c r="I25" s="17">
        <f t="shared" si="2"/>
        <v>119414.68773264828</v>
      </c>
      <c r="J25" s="17">
        <f t="shared" si="2"/>
        <v>111267.76154192841</v>
      </c>
      <c r="K25" s="17">
        <f t="shared" si="2"/>
        <v>108428.96995658144</v>
      </c>
      <c r="L25" s="17">
        <f t="shared" si="2"/>
        <v>128945.23017445809</v>
      </c>
      <c r="M25" s="17">
        <f t="shared" si="2"/>
        <v>187451.67682553214</v>
      </c>
      <c r="N25" s="17">
        <f t="shared" si="2"/>
        <v>220502.77920796632</v>
      </c>
      <c r="O25" s="17">
        <f t="shared" si="2"/>
        <v>236721.67793268536</v>
      </c>
      <c r="P25" s="219">
        <f>D25</f>
        <v>242704.29752323858</v>
      </c>
      <c r="Q25" s="17">
        <f t="shared" si="3" ref="Q25:R26">E25</f>
        <v>173770.0365201644</v>
      </c>
      <c r="R25" s="17">
        <f t="shared" si="3"/>
        <v>139368.45615123806</v>
      </c>
    </row>
    <row r="26" spans="1:18" ht="15">
      <c r="A26" s="14">
        <v>0.70</v>
      </c>
      <c r="B26" t="s">
        <v>19</v>
      </c>
      <c r="C26" s="17">
        <f>SUM(D26:O26)</f>
        <v>4614862.6999999993</v>
      </c>
      <c r="D26" s="17">
        <f t="shared" si="4" ref="D26">D$22*$A26</f>
        <v>566310.02755422331</v>
      </c>
      <c r="E26" s="17">
        <f t="shared" si="2"/>
        <v>405463.41854705027</v>
      </c>
      <c r="F26" s="17">
        <f t="shared" si="2"/>
        <v>325193.06435288879</v>
      </c>
      <c r="G26" s="21">
        <f t="shared" si="2"/>
        <v>385215.9715676785</v>
      </c>
      <c r="H26" s="22">
        <f t="shared" si="2"/>
        <v>336303.7234439585</v>
      </c>
      <c r="I26" s="22">
        <f t="shared" si="2"/>
        <v>278634.2713761793</v>
      </c>
      <c r="J26" s="22">
        <f t="shared" si="2"/>
        <v>259624.77693116627</v>
      </c>
      <c r="K26" s="22">
        <f t="shared" si="2"/>
        <v>253000.92989869</v>
      </c>
      <c r="L26" s="22">
        <f t="shared" si="2"/>
        <v>300872.20374040218</v>
      </c>
      <c r="M26" s="22">
        <f t="shared" si="2"/>
        <v>437387.24592624168</v>
      </c>
      <c r="N26" s="22">
        <f t="shared" si="2"/>
        <v>514506.48481858807</v>
      </c>
      <c r="O26" s="17">
        <f t="shared" si="2"/>
        <v>552350.5818429325</v>
      </c>
      <c r="P26" s="219">
        <f t="shared" si="5" ref="P26">D26</f>
        <v>566310.02755422331</v>
      </c>
      <c r="Q26" s="17">
        <f t="shared" si="3"/>
        <v>405463.41854705027</v>
      </c>
      <c r="R26" s="17">
        <f t="shared" si="3"/>
        <v>325193.06435288879</v>
      </c>
    </row>
    <row r="27" spans="2:18" ht="15.75" thickBot="1">
      <c r="B27" t="s">
        <v>30</v>
      </c>
      <c r="F27" s="226" t="s">
        <v>0</v>
      </c>
      <c r="G27" s="8" t="s">
        <v>184</v>
      </c>
      <c r="H27" s="9" t="s">
        <v>1</v>
      </c>
      <c r="I27" s="9" t="s">
        <v>2</v>
      </c>
      <c r="J27" s="9" t="s">
        <v>3</v>
      </c>
      <c r="K27" s="9" t="s">
        <v>4</v>
      </c>
      <c r="L27" s="9" t="s">
        <v>5</v>
      </c>
      <c r="M27" s="9" t="s">
        <v>6</v>
      </c>
      <c r="N27" s="9" t="s">
        <v>7</v>
      </c>
      <c r="O27" s="9" t="s">
        <v>8</v>
      </c>
      <c r="P27" s="8" t="s">
        <v>9</v>
      </c>
      <c r="Q27" s="9" t="s">
        <v>10</v>
      </c>
      <c r="R27" s="10" t="s">
        <v>11</v>
      </c>
    </row>
    <row r="28" spans="2:18" ht="15">
      <c r="B28" t="s">
        <v>32</v>
      </c>
      <c r="G28" s="2" t="s">
        <v>4</v>
      </c>
      <c r="H28" s="2" t="s">
        <v>160</v>
      </c>
      <c r="I28" s="2" t="s">
        <v>5</v>
      </c>
      <c r="J28" s="23" t="s">
        <v>161</v>
      </c>
      <c r="K28" s="2" t="s">
        <v>6</v>
      </c>
      <c r="L28" s="23" t="s">
        <v>162</v>
      </c>
      <c r="M28" s="2" t="s">
        <v>7</v>
      </c>
      <c r="N28" s="23" t="s">
        <v>34</v>
      </c>
      <c r="O28" s="24" t="s">
        <v>8</v>
      </c>
      <c r="P28" s="220"/>
      <c r="Q28" s="2"/>
      <c r="R28" s="2"/>
    </row>
    <row r="29" spans="2:18" ht="15">
      <c r="B29" t="s">
        <v>39</v>
      </c>
      <c r="D29">
        <v>2020</v>
      </c>
      <c r="G29" s="25">
        <v>4</v>
      </c>
      <c r="H29" s="25">
        <v>3.50</v>
      </c>
      <c r="I29" s="25">
        <f t="shared" si="6" ref="I29:O29">H29-0.5</f>
        <v>3</v>
      </c>
      <c r="J29" s="25">
        <f t="shared" si="6"/>
        <v>2.50</v>
      </c>
      <c r="K29" s="25">
        <f t="shared" si="6"/>
        <v>2</v>
      </c>
      <c r="L29" s="25">
        <f t="shared" si="6"/>
        <v>1.50</v>
      </c>
      <c r="M29" s="25">
        <f t="shared" si="6"/>
        <v>1</v>
      </c>
      <c r="N29" s="25">
        <f t="shared" si="6"/>
        <v>0.50</v>
      </c>
      <c r="O29" s="25">
        <f t="shared" si="6"/>
        <v>0</v>
      </c>
      <c r="P29" s="220">
        <v>0</v>
      </c>
      <c r="Q29" s="25">
        <v>0</v>
      </c>
      <c r="R29" s="25">
        <v>0</v>
      </c>
    </row>
    <row r="30" spans="2:18" ht="15">
      <c r="B30" t="s">
        <v>40</v>
      </c>
      <c r="C30" s="17">
        <f>SUM(G30:R30)</f>
        <v>2542205.1926945923</v>
      </c>
      <c r="D30" s="17">
        <f>SUM(G30:N30)</f>
        <v>2542205.1926945923</v>
      </c>
      <c r="G30" s="17">
        <f>G26/2/2*G29</f>
        <v>385215.9715676785</v>
      </c>
      <c r="H30" s="17">
        <f t="shared" si="7" ref="H30:R30">H26/2*H29</f>
        <v>588531.51602692739</v>
      </c>
      <c r="I30" s="17">
        <f t="shared" si="7"/>
        <v>417951.40706426895</v>
      </c>
      <c r="J30" s="17">
        <f t="shared" si="7"/>
        <v>324530.97116395785</v>
      </c>
      <c r="K30" s="17">
        <f t="shared" si="7"/>
        <v>253000.92989869</v>
      </c>
      <c r="L30" s="17">
        <f t="shared" si="7"/>
        <v>225654.15280530165</v>
      </c>
      <c r="M30" s="17">
        <f t="shared" si="7"/>
        <v>218693.62296312084</v>
      </c>
      <c r="N30" s="17">
        <f t="shared" si="7"/>
        <v>128626.62120464702</v>
      </c>
      <c r="O30" s="17">
        <f t="shared" si="7"/>
        <v>0</v>
      </c>
      <c r="P30" s="219">
        <f t="shared" si="7"/>
        <v>0</v>
      </c>
      <c r="Q30" s="17">
        <f t="shared" si="7"/>
        <v>0</v>
      </c>
      <c r="R30" s="17">
        <f t="shared" si="7"/>
        <v>0</v>
      </c>
    </row>
    <row r="31" spans="2:18" ht="15.75" thickBot="1">
      <c r="B31" t="s">
        <v>41</v>
      </c>
      <c r="C31" s="26"/>
      <c r="G31" s="9" t="s">
        <v>9</v>
      </c>
      <c r="H31" s="9" t="s">
        <v>10</v>
      </c>
      <c r="I31" s="9" t="s">
        <v>11</v>
      </c>
      <c r="J31" s="9" t="s">
        <v>0</v>
      </c>
      <c r="K31" s="9" t="s">
        <v>1</v>
      </c>
      <c r="L31" s="9" t="s">
        <v>2</v>
      </c>
      <c r="M31" s="9" t="s">
        <v>3</v>
      </c>
      <c r="N31" s="9" t="s">
        <v>4</v>
      </c>
      <c r="O31" s="9" t="s">
        <v>5</v>
      </c>
      <c r="P31" s="8" t="s">
        <v>6</v>
      </c>
      <c r="Q31" s="9" t="s">
        <v>7</v>
      </c>
      <c r="R31" s="9" t="s">
        <v>8</v>
      </c>
    </row>
    <row r="32" spans="2:18" ht="15.75" thickBot="1">
      <c r="B32" s="27" t="s">
        <v>42</v>
      </c>
      <c r="C32" s="30">
        <f>SUM(G32:R32)</f>
        <v>7157067.8926945915</v>
      </c>
      <c r="D32" s="29"/>
      <c r="E32" s="29"/>
      <c r="F32" s="30"/>
      <c r="G32" s="30">
        <f t="shared" si="8" ref="G32:R32">G30+G26</f>
        <v>770431.943135357</v>
      </c>
      <c r="H32" s="30">
        <f t="shared" si="8"/>
        <v>924835.23947088583</v>
      </c>
      <c r="I32" s="30">
        <f t="shared" si="8"/>
        <v>696585.67844044825</v>
      </c>
      <c r="J32" s="30">
        <f t="shared" si="8"/>
        <v>584155.74809512415</v>
      </c>
      <c r="K32" s="30">
        <f t="shared" si="8"/>
        <v>506001.85979737999</v>
      </c>
      <c r="L32" s="30">
        <f t="shared" si="8"/>
        <v>526526.35654570383</v>
      </c>
      <c r="M32" s="30">
        <f t="shared" si="8"/>
        <v>656080.86888936255</v>
      </c>
      <c r="N32" s="30">
        <f t="shared" si="8"/>
        <v>643133.10602323513</v>
      </c>
      <c r="O32" s="30">
        <f t="shared" si="8"/>
        <v>552350.5818429325</v>
      </c>
      <c r="P32" s="221">
        <f t="shared" si="8"/>
        <v>566310.02755422331</v>
      </c>
      <c r="Q32" s="30">
        <f t="shared" si="8"/>
        <v>405463.41854705027</v>
      </c>
      <c r="R32" s="30">
        <f t="shared" si="8"/>
        <v>325193.06435288879</v>
      </c>
    </row>
    <row r="33" spans="2:27" ht="15">
      <c r="B33" s="31"/>
      <c r="C33" s="32"/>
      <c r="D33" s="1" t="s">
        <v>0</v>
      </c>
      <c r="E33" s="1" t="s">
        <v>1</v>
      </c>
      <c r="F33" s="1" t="s">
        <v>2</v>
      </c>
      <c r="G33" s="1" t="s">
        <v>3</v>
      </c>
      <c r="H33" s="1" t="s">
        <v>4</v>
      </c>
      <c r="I33" s="1" t="s">
        <v>5</v>
      </c>
      <c r="J33" s="1" t="s">
        <v>6</v>
      </c>
      <c r="K33" s="1" t="s">
        <v>7</v>
      </c>
      <c r="L33" s="1" t="s">
        <v>8</v>
      </c>
      <c r="M33" s="1" t="s">
        <v>9</v>
      </c>
      <c r="N33" s="1" t="s">
        <v>10</v>
      </c>
      <c r="O33" s="1" t="s">
        <v>11</v>
      </c>
      <c r="P33" s="194" t="s">
        <v>0</v>
      </c>
      <c r="Q33" s="1" t="s">
        <v>1</v>
      </c>
      <c r="R33" s="1" t="s">
        <v>2</v>
      </c>
      <c r="S33" s="1" t="s">
        <v>3</v>
      </c>
      <c r="T33" s="1" t="s">
        <v>4</v>
      </c>
      <c r="U33" s="1" t="s">
        <v>5</v>
      </c>
      <c r="V33" s="1" t="s">
        <v>6</v>
      </c>
      <c r="W33" s="1" t="s">
        <v>7</v>
      </c>
      <c r="X33" s="1" t="s">
        <v>8</v>
      </c>
      <c r="Y33" s="1" t="s">
        <v>9</v>
      </c>
      <c r="Z33" s="1" t="s">
        <v>10</v>
      </c>
      <c r="AA33" s="1" t="s">
        <v>11</v>
      </c>
    </row>
    <row r="34" spans="2:26" ht="15">
      <c r="B34" s="33" t="s">
        <v>43</v>
      </c>
      <c r="C34" s="32"/>
      <c r="D34" s="31"/>
      <c r="E34" s="31"/>
      <c r="F34" s="34">
        <f>G32</f>
        <v>770431.943135357</v>
      </c>
      <c r="G34" s="34">
        <f t="shared" si="9" ref="G34:Z34">F34+H32</f>
        <v>1695267.1826062428</v>
      </c>
      <c r="H34" s="34">
        <f t="shared" si="9"/>
        <v>2391852.861046691</v>
      </c>
      <c r="I34" s="34">
        <f t="shared" si="9"/>
        <v>2976008.609141815</v>
      </c>
      <c r="J34" s="34">
        <f t="shared" si="9"/>
        <v>3482010.4689391949</v>
      </c>
      <c r="K34" s="34">
        <f t="shared" si="9"/>
        <v>4008536.8254848989</v>
      </c>
      <c r="L34" s="34">
        <f t="shared" si="9"/>
        <v>4664617.6943742614</v>
      </c>
      <c r="M34" s="34">
        <f t="shared" si="9"/>
        <v>5307750.8003974967</v>
      </c>
      <c r="N34" s="34">
        <f t="shared" si="9"/>
        <v>5860101.3822404295</v>
      </c>
      <c r="O34" s="34">
        <f t="shared" si="9"/>
        <v>6426411.4097946528</v>
      </c>
      <c r="P34" s="219">
        <f t="shared" si="9"/>
        <v>6831874.8283417029</v>
      </c>
      <c r="Q34" s="34">
        <f t="shared" si="9"/>
        <v>7157067.8926945915</v>
      </c>
      <c r="R34" s="34">
        <f t="shared" si="9"/>
        <v>7157067.8926945915</v>
      </c>
      <c r="S34" s="34">
        <f t="shared" si="9"/>
        <v>7157067.8926945915</v>
      </c>
      <c r="T34" s="34">
        <f t="shared" si="9"/>
        <v>7157067.8926945915</v>
      </c>
      <c r="U34" s="34">
        <f t="shared" si="9"/>
        <v>7157067.8926945915</v>
      </c>
      <c r="V34" s="34">
        <f t="shared" si="9"/>
        <v>7157067.8926945915</v>
      </c>
      <c r="W34" s="34">
        <f t="shared" si="9"/>
        <v>7157067.8926945915</v>
      </c>
      <c r="X34" s="34">
        <f t="shared" si="9"/>
        <v>7157067.8926945915</v>
      </c>
      <c r="Y34" s="34">
        <f t="shared" si="9"/>
        <v>7157067.8926945915</v>
      </c>
      <c r="Z34" s="34">
        <f t="shared" si="9"/>
        <v>7157067.8926945915</v>
      </c>
    </row>
    <row r="35" spans="2:27" ht="15">
      <c r="B35" s="33" t="s">
        <v>44</v>
      </c>
      <c r="C35" s="32"/>
      <c r="D35" s="31"/>
      <c r="E35" s="31"/>
      <c r="F35" s="31"/>
      <c r="G35" s="32"/>
      <c r="H35" s="32"/>
      <c r="I35" s="32"/>
      <c r="J35" s="32"/>
      <c r="K35" s="34">
        <f>-G32</f>
        <v>-770431.943135357</v>
      </c>
      <c r="L35" s="34">
        <f t="shared" si="10" ref="L35:AA35">K35-H32</f>
        <v>-1695267.1826062428</v>
      </c>
      <c r="M35" s="34">
        <f t="shared" si="10"/>
        <v>-2391852.861046691</v>
      </c>
      <c r="N35" s="34">
        <f t="shared" si="10"/>
        <v>-2976008.609141815</v>
      </c>
      <c r="O35" s="34">
        <f t="shared" si="10"/>
        <v>-3482010.4689391949</v>
      </c>
      <c r="P35" s="219">
        <f t="shared" si="10"/>
        <v>-4008536.8254848989</v>
      </c>
      <c r="Q35" s="34">
        <f t="shared" si="10"/>
        <v>-4664617.6943742614</v>
      </c>
      <c r="R35" s="34">
        <f t="shared" si="10"/>
        <v>-5307750.8003974967</v>
      </c>
      <c r="S35" s="34">
        <f t="shared" si="10"/>
        <v>-5860101.3822404295</v>
      </c>
      <c r="T35" s="34">
        <f t="shared" si="10"/>
        <v>-6426411.4097946528</v>
      </c>
      <c r="U35" s="34">
        <f t="shared" si="10"/>
        <v>-6831874.8283417029</v>
      </c>
      <c r="V35" s="34">
        <f t="shared" si="10"/>
        <v>-7157067.8926945915</v>
      </c>
      <c r="W35" s="34">
        <f t="shared" si="10"/>
        <v>-7157067.8926945915</v>
      </c>
      <c r="X35" s="34">
        <f t="shared" si="10"/>
        <v>-7157067.8926945915</v>
      </c>
      <c r="Y35" s="34">
        <f t="shared" si="10"/>
        <v>-7157067.8926945915</v>
      </c>
      <c r="Z35" s="34">
        <f t="shared" si="10"/>
        <v>-7157067.8926945915</v>
      </c>
      <c r="AA35" s="34">
        <f t="shared" si="10"/>
        <v>-7157067.8926945915</v>
      </c>
    </row>
    <row r="36" spans="2:26" ht="15">
      <c r="B36" s="208" t="s">
        <v>45</v>
      </c>
      <c r="C36" s="212"/>
      <c r="D36" s="208"/>
      <c r="E36" s="208"/>
      <c r="F36" s="185">
        <f>F34+F35</f>
        <v>770431.943135357</v>
      </c>
      <c r="G36" s="185">
        <f t="shared" si="11" ref="G36:I36">G34+G35</f>
        <v>1695267.1826062428</v>
      </c>
      <c r="H36" s="185">
        <f t="shared" si="11"/>
        <v>2391852.861046691</v>
      </c>
      <c r="I36" s="185">
        <f t="shared" si="11"/>
        <v>2976008.609141815</v>
      </c>
      <c r="J36" s="213">
        <f>J34+J35</f>
        <v>3482010.4689391949</v>
      </c>
      <c r="K36" s="185">
        <f t="shared" si="12" ref="K36:Y36">K34+K35</f>
        <v>3238104.8823495419</v>
      </c>
      <c r="L36" s="185">
        <f t="shared" si="12"/>
        <v>2969350.5117680188</v>
      </c>
      <c r="M36" s="185">
        <f t="shared" si="12"/>
        <v>2915897.9393508057</v>
      </c>
      <c r="N36" s="185">
        <f t="shared" si="12"/>
        <v>2884092.7730986145</v>
      </c>
      <c r="O36" s="185">
        <f t="shared" si="12"/>
        <v>2944400.9408554579</v>
      </c>
      <c r="P36" s="222">
        <f t="shared" si="12"/>
        <v>2823338.0028568041</v>
      </c>
      <c r="Q36" s="185">
        <f t="shared" si="12"/>
        <v>2492450.1983203301</v>
      </c>
      <c r="R36" s="185">
        <f t="shared" si="12"/>
        <v>1849317.0922970949</v>
      </c>
      <c r="S36" s="185">
        <f t="shared" si="12"/>
        <v>1296966.510454162</v>
      </c>
      <c r="T36" s="185">
        <f t="shared" si="12"/>
        <v>730656.48289993871</v>
      </c>
      <c r="U36" s="185">
        <f t="shared" si="12"/>
        <v>325193.06435288861</v>
      </c>
      <c r="V36" s="192">
        <f t="shared" si="12"/>
        <v>0</v>
      </c>
      <c r="W36" s="192">
        <f t="shared" si="12"/>
        <v>0</v>
      </c>
      <c r="X36" s="192">
        <f t="shared" si="12"/>
        <v>0</v>
      </c>
      <c r="Y36" s="192">
        <f t="shared" si="12"/>
        <v>0</v>
      </c>
      <c r="Z36" s="34">
        <f>Z34+AA35</f>
        <v>0</v>
      </c>
    </row>
    <row r="37" ht="15">
      <c r="P37" s="198"/>
    </row>
    <row r="38" ht="15">
      <c r="P38" s="198"/>
    </row>
    <row r="39" spans="2:26" ht="15">
      <c r="B39" s="33" t="s">
        <v>199</v>
      </c>
      <c r="C39" s="17">
        <f>SUM(G39:O39)</f>
        <v>1811493.6594829769</v>
      </c>
      <c r="D39" s="31"/>
      <c r="E39" s="31"/>
      <c r="F39" s="34"/>
      <c r="G39" s="34">
        <f>G46*G32</f>
        <v>219970.15871679792</v>
      </c>
      <c r="H39" s="34">
        <f t="shared" si="13" ref="H39:U39">H46*H32</f>
        <v>200475.68177150944</v>
      </c>
      <c r="I39" s="34">
        <f t="shared" si="13"/>
        <v>195465.49431114248</v>
      </c>
      <c r="J39" s="34">
        <f t="shared" si="13"/>
        <v>190623.45598149192</v>
      </c>
      <c r="K39" s="34">
        <f t="shared" si="13"/>
        <v>241196.16201282406</v>
      </c>
      <c r="L39" s="34">
        <f t="shared" si="13"/>
        <v>164087.62810725035</v>
      </c>
      <c r="M39" s="34">
        <f t="shared" si="13"/>
        <v>274706.02127536724</v>
      </c>
      <c r="N39" s="34">
        <f t="shared" si="13"/>
        <v>191731.34113511405</v>
      </c>
      <c r="O39" s="34">
        <f t="shared" si="13"/>
        <v>133237.71617147938</v>
      </c>
      <c r="P39" s="219">
        <f t="shared" si="13"/>
        <v>182106.36686317597</v>
      </c>
      <c r="Q39" s="34">
        <f t="shared" si="13"/>
        <v>74768.573595801296</v>
      </c>
      <c r="R39" s="34">
        <f t="shared" si="13"/>
        <v>103570.90996996094</v>
      </c>
      <c r="S39" s="34">
        <f t="shared" si="13"/>
        <v>0</v>
      </c>
      <c r="T39" s="34">
        <f t="shared" si="13"/>
        <v>0</v>
      </c>
      <c r="U39" s="34">
        <f t="shared" si="13"/>
        <v>0</v>
      </c>
      <c r="V39" s="34">
        <f>V36*V46</f>
        <v>0</v>
      </c>
      <c r="W39" s="34">
        <f>W36*W46</f>
        <v>0</v>
      </c>
      <c r="X39" s="34"/>
      <c r="Y39" s="34"/>
      <c r="Z39" s="34"/>
    </row>
    <row r="40" spans="2:23" ht="15">
      <c r="B40" s="211" t="s">
        <v>201</v>
      </c>
      <c r="C40" s="214"/>
      <c r="D40" s="214"/>
      <c r="E40" s="214"/>
      <c r="F40" s="215">
        <f t="shared" si="14" ref="F40:W40">F36-F39</f>
        <v>770431.943135357</v>
      </c>
      <c r="G40" s="215">
        <f t="shared" si="14"/>
        <v>1475297.023889445</v>
      </c>
      <c r="H40" s="215">
        <f t="shared" si="14"/>
        <v>2191377.1792751816</v>
      </c>
      <c r="I40" s="215">
        <f t="shared" si="14"/>
        <v>2780543.1148306727</v>
      </c>
      <c r="J40" s="216">
        <f t="shared" si="14"/>
        <v>3291387.0129577029</v>
      </c>
      <c r="K40" s="215">
        <f t="shared" si="14"/>
        <v>2996908.720336718</v>
      </c>
      <c r="L40" s="215">
        <f t="shared" si="14"/>
        <v>2805262.8836607686</v>
      </c>
      <c r="M40" s="215">
        <f t="shared" si="14"/>
        <v>2641191.9180754386</v>
      </c>
      <c r="N40" s="215">
        <f t="shared" si="14"/>
        <v>2692361.4319635006</v>
      </c>
      <c r="O40" s="215">
        <f t="shared" si="14"/>
        <v>2811163.2246839786</v>
      </c>
      <c r="P40" s="223">
        <f t="shared" si="14"/>
        <v>2641231.6359936283</v>
      </c>
      <c r="Q40" s="215">
        <f t="shared" si="14"/>
        <v>2417681.6247245288</v>
      </c>
      <c r="R40" s="215">
        <f t="shared" si="14"/>
        <v>1745746.1823271338</v>
      </c>
      <c r="S40" s="215">
        <f t="shared" si="14"/>
        <v>1296966.510454162</v>
      </c>
      <c r="T40" s="215">
        <f t="shared" si="14"/>
        <v>730656.48289993871</v>
      </c>
      <c r="U40" s="17">
        <f t="shared" si="14"/>
        <v>325193.06435288861</v>
      </c>
      <c r="V40" s="17">
        <f t="shared" si="14"/>
        <v>0</v>
      </c>
      <c r="W40" s="17">
        <f t="shared" si="14"/>
        <v>0</v>
      </c>
    </row>
    <row r="42" ht="15">
      <c r="B42" t="s">
        <v>181</v>
      </c>
    </row>
    <row r="43" ht="15">
      <c r="B43" t="s">
        <v>182</v>
      </c>
    </row>
    <row r="44" ht="15">
      <c r="B44" t="s">
        <v>183</v>
      </c>
    </row>
    <row r="46" spans="2:27" ht="15">
      <c r="B46" t="s">
        <v>200</v>
      </c>
      <c r="D46" s="234">
        <v>0.32129999999999997</v>
      </c>
      <c r="E46" s="234">
        <v>0.18410000000000001</v>
      </c>
      <c r="F46" s="35">
        <f>0.455*0.7</f>
        <v>0.31850000000000001</v>
      </c>
      <c r="G46" s="35">
        <v>0.28551536664173777</v>
      </c>
      <c r="H46" s="35">
        <v>0.21676907757775862</v>
      </c>
      <c r="I46" s="35">
        <v>0.28060510050789539</v>
      </c>
      <c r="J46" s="35">
        <v>0.3263229996505157</v>
      </c>
      <c r="K46" s="35">
        <v>0.47667050494519336</v>
      </c>
      <c r="L46" s="35">
        <v>0.31164181254620082</v>
      </c>
      <c r="M46" s="35">
        <v>0.4187075622863376</v>
      </c>
      <c r="N46" s="35">
        <v>0.29812077677149956</v>
      </c>
      <c r="O46" s="35">
        <v>0.24121947283359091</v>
      </c>
      <c r="P46" s="35">
        <v>0.32156655895650649</v>
      </c>
      <c r="Q46" s="35">
        <v>0.18440276033712053</v>
      </c>
      <c r="R46" s="35">
        <v>0.31849052554690771</v>
      </c>
      <c r="S46" s="35">
        <v>0.28551536664173777</v>
      </c>
      <c r="T46" s="35">
        <v>0.21676907757775862</v>
      </c>
      <c r="U46" s="35">
        <v>0.28060510050789539</v>
      </c>
      <c r="V46" s="35">
        <v>0.3263229996505157</v>
      </c>
      <c r="W46" s="35">
        <v>0.47667050494519336</v>
      </c>
      <c r="X46" s="35">
        <v>0.31164181254620082</v>
      </c>
      <c r="Y46" s="35">
        <v>0.4187075622863376</v>
      </c>
      <c r="Z46" s="35">
        <v>0.29812077677149956</v>
      </c>
      <c r="AA46" s="35">
        <v>0.24121947283359091</v>
      </c>
    </row>
    <row r="48" spans="1:2" ht="15">
      <c r="A48" t="s">
        <v>163</v>
      </c>
      <c r="B48" t="s">
        <v>164</v>
      </c>
    </row>
    <row r="49" spans="1:2" ht="15">
      <c r="A49" t="s">
        <v>166</v>
      </c>
      <c r="B49" t="s">
        <v>168</v>
      </c>
    </row>
    <row r="50" spans="1:2" ht="15">
      <c r="A50" t="s">
        <v>167</v>
      </c>
      <c r="B50" t="s">
        <v>169</v>
      </c>
    </row>
    <row r="51" spans="1:2" ht="15">
      <c r="A51" t="s">
        <v>176</v>
      </c>
      <c r="B51" t="s">
        <v>177</v>
      </c>
    </row>
    <row r="52" spans="1:2" ht="15">
      <c r="A52" t="s">
        <v>170</v>
      </c>
      <c r="B52" t="s">
        <v>171</v>
      </c>
    </row>
    <row r="53" spans="1:2" ht="15">
      <c r="A53" t="s">
        <v>172</v>
      </c>
      <c r="B53" t="s">
        <v>173</v>
      </c>
    </row>
    <row r="57" spans="2:4" ht="15">
      <c r="B57" t="s">
        <v>49</v>
      </c>
      <c r="D57" t="s">
        <v>50</v>
      </c>
    </row>
    <row r="58" spans="2:4" ht="15">
      <c r="B58" t="s">
        <v>51</v>
      </c>
      <c r="D58" t="s">
        <v>52</v>
      </c>
    </row>
    <row r="60" ht="15">
      <c r="B60" t="s">
        <v>165</v>
      </c>
    </row>
    <row r="61" ht="15">
      <c r="B61" t="s">
        <v>54</v>
      </c>
    </row>
    <row r="63" ht="15">
      <c r="B63" t="s">
        <v>55</v>
      </c>
    </row>
    <row r="65" spans="2:15" ht="15">
      <c r="B65" s="36" t="s">
        <v>56</v>
      </c>
      <c r="C65" s="37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</row>
    <row r="71" ht="15.75" thickBot="1"/>
    <row r="72" spans="2:27" ht="15">
      <c r="B72" s="25" t="s">
        <v>57</v>
      </c>
      <c r="C72" s="25"/>
      <c r="D72" s="268">
        <v>2020</v>
      </c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70"/>
      <c r="P72" s="202">
        <v>2021</v>
      </c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4"/>
    </row>
    <row r="73" spans="4:27" ht="15.75" thickBot="1">
      <c r="D73" s="8" t="s">
        <v>0</v>
      </c>
      <c r="E73" s="9" t="s">
        <v>1</v>
      </c>
      <c r="F73" s="9" t="s">
        <v>2</v>
      </c>
      <c r="G73" s="9" t="s">
        <v>3</v>
      </c>
      <c r="H73" s="9" t="s">
        <v>4</v>
      </c>
      <c r="I73" s="9" t="s">
        <v>5</v>
      </c>
      <c r="J73" s="9" t="s">
        <v>6</v>
      </c>
      <c r="K73" s="9" t="s">
        <v>7</v>
      </c>
      <c r="L73" s="9" t="s">
        <v>8</v>
      </c>
      <c r="M73" s="9" t="s">
        <v>9</v>
      </c>
      <c r="N73" s="9" t="s">
        <v>10</v>
      </c>
      <c r="O73" s="10" t="s">
        <v>11</v>
      </c>
      <c r="P73" s="8" t="s">
        <v>0</v>
      </c>
      <c r="Q73" s="9" t="s">
        <v>1</v>
      </c>
      <c r="R73" s="9" t="s">
        <v>2</v>
      </c>
      <c r="S73" s="9" t="s">
        <v>3</v>
      </c>
      <c r="T73" s="9" t="s">
        <v>4</v>
      </c>
      <c r="U73" s="9" t="s">
        <v>5</v>
      </c>
      <c r="V73" s="9" t="s">
        <v>6</v>
      </c>
      <c r="W73" s="9" t="s">
        <v>7</v>
      </c>
      <c r="X73" s="9" t="s">
        <v>8</v>
      </c>
      <c r="Y73" s="9" t="s">
        <v>9</v>
      </c>
      <c r="Z73" s="9" t="s">
        <v>10</v>
      </c>
      <c r="AA73" s="10" t="s">
        <v>11</v>
      </c>
    </row>
    <row r="74" spans="3:23" ht="15">
      <c r="C74" t="s">
        <v>58</v>
      </c>
      <c r="F74" s="34">
        <v>963039.92891919625</v>
      </c>
      <c r="G74" s="34">
        <v>2224178.8918340406</v>
      </c>
      <c r="H74" s="34">
        <v>3199398.8416506681</v>
      </c>
      <c r="I74" s="34">
        <v>4043179.3666769583</v>
      </c>
      <c r="J74" s="34">
        <v>4802182.1563730286</v>
      </c>
      <c r="K74" s="34">
        <v>5629580.7166591343</v>
      </c>
      <c r="L74" s="34">
        <v>6723048.8314747382</v>
      </c>
      <c r="M74" s="34">
        <v>6917648.4933973653</v>
      </c>
      <c r="N74" s="34">
        <v>6761210.6941683851</v>
      </c>
      <c r="O74" s="34">
        <v>6777033.292571649</v>
      </c>
      <c r="P74" s="34">
        <v>6541447.8953659348</v>
      </c>
      <c r="Q74" s="34">
        <v>6188936.4361109762</v>
      </c>
      <c r="R74" s="34">
        <v>5361537.8758248705</v>
      </c>
      <c r="S74" s="34">
        <v>4268069.7610092666</v>
      </c>
      <c r="T74" s="34">
        <v>3110430.1701674433</v>
      </c>
      <c r="U74" s="34">
        <v>2005729.0064815786</v>
      </c>
      <c r="V74" s="34">
        <v>1014686.4582616873</v>
      </c>
      <c r="W74" s="34">
        <v>406491.3304411117</v>
      </c>
    </row>
  </sheetData>
  <mergeCells count="2">
    <mergeCell ref="D11:O11"/>
    <mergeCell ref="D72:O72"/>
  </mergeCells>
  <pageMargins left="0.25" right="0.25" top="0.75" bottom="0.75" header="0.3" footer="0.3"/>
  <pageSetup orientation="landscape" paperSize="17" scale="10" r:id="rId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65"/>
  <sheetViews>
    <sheetView workbookViewId="0" topLeftCell="A1">
      <pane ySplit="9" topLeftCell="A10" activePane="bottomLeft" state="frozen"/>
      <selection pane="topLeft" activeCell="A2" sqref="A1:A2"/>
      <selection pane="bottomLeft" activeCell="A2" sqref="A2"/>
    </sheetView>
  </sheetViews>
  <sheetFormatPr defaultColWidth="8.72727272727273" defaultRowHeight="15"/>
  <cols>
    <col min="2" max="2" width="31.8181818181818" bestFit="1" customWidth="1"/>
    <col min="3" max="3" width="21.2727272727273" customWidth="1"/>
    <col min="4" max="5" width="13.5454545454545" bestFit="1" customWidth="1"/>
    <col min="6" max="12" width="13.7272727272727" bestFit="1" customWidth="1"/>
    <col min="13" max="14" width="14.2727272727273" bestFit="1" customWidth="1"/>
    <col min="15" max="15" width="13.7272727272727" bestFit="1" customWidth="1"/>
    <col min="16" max="16" width="14.8181818181818" bestFit="1" customWidth="1"/>
    <col min="17" max="19" width="13.5454545454545" bestFit="1" customWidth="1"/>
    <col min="20" max="22" width="11.5454545454545" bestFit="1" customWidth="1"/>
    <col min="23" max="26" width="12.5454545454545" bestFit="1" customWidth="1"/>
    <col min="27" max="27" width="10.2727272727273" customWidth="1"/>
  </cols>
  <sheetData>
    <row r="1" s="242" customFormat="1" ht="15">
      <c r="A1" s="276" t="s">
        <v>250</v>
      </c>
    </row>
    <row r="2" s="242" customFormat="1" ht="15">
      <c r="A2" s="288" t="s">
        <v>243</v>
      </c>
    </row>
    <row r="3" s="242" customFormat="1" ht="15"/>
    <row r="4" s="242" customFormat="1" ht="15"/>
    <row r="5" s="242" customFormat="1" ht="15"/>
    <row r="6" s="242" customFormat="1" ht="15"/>
    <row r="7" s="242" customFormat="1" ht="15"/>
    <row r="8" spans="1:18" ht="18.75">
      <c r="A8" s="210" t="s">
        <v>174</v>
      </c>
      <c r="D8" s="1" t="s">
        <v>0</v>
      </c>
      <c r="E8" s="1" t="s">
        <v>1</v>
      </c>
      <c r="F8" s="1" t="s">
        <v>2</v>
      </c>
      <c r="G8" s="1" t="s">
        <v>3</v>
      </c>
      <c r="H8" s="1" t="s">
        <v>4</v>
      </c>
      <c r="I8" s="1" t="s">
        <v>5</v>
      </c>
      <c r="J8" s="1" t="s">
        <v>6</v>
      </c>
      <c r="K8" s="1" t="s">
        <v>7</v>
      </c>
      <c r="L8" s="1" t="s">
        <v>8</v>
      </c>
      <c r="M8" s="1" t="s">
        <v>9</v>
      </c>
      <c r="N8" s="1" t="s">
        <v>10</v>
      </c>
      <c r="O8" s="2" t="s">
        <v>11</v>
      </c>
      <c r="P8" s="194" t="s">
        <v>0</v>
      </c>
      <c r="Q8" s="1" t="s">
        <v>1</v>
      </c>
      <c r="R8" s="1" t="s">
        <v>2</v>
      </c>
    </row>
    <row r="9" spans="1:18" ht="15">
      <c r="A9" t="s">
        <v>12</v>
      </c>
      <c r="D9" s="3">
        <v>404727.53021701647</v>
      </c>
      <c r="E9" s="3">
        <v>305926.56073394307</v>
      </c>
      <c r="F9" s="3">
        <v>174825.27803798296</v>
      </c>
      <c r="G9" s="3">
        <v>319252.21384705772</v>
      </c>
      <c r="H9" s="3">
        <v>374630.40997862176</v>
      </c>
      <c r="I9" s="3">
        <v>228806.32100893205</v>
      </c>
      <c r="J9" s="3">
        <v>175736.90242606847</v>
      </c>
      <c r="K9" s="3">
        <v>139310.57231100238</v>
      </c>
      <c r="L9" s="3">
        <v>220216.09091582111</v>
      </c>
      <c r="M9" s="3">
        <v>367251.92169789685</v>
      </c>
      <c r="N9" s="3">
        <v>425907.76303631364</v>
      </c>
      <c r="O9" s="4">
        <v>500903.92406990228</v>
      </c>
      <c r="P9" s="217">
        <v>395827.75032219832</v>
      </c>
      <c r="Q9" s="3">
        <v>299199.3705844346</v>
      </c>
      <c r="R9" s="3">
        <v>170980.94727611422</v>
      </c>
    </row>
    <row r="10" spans="1:16" ht="15">
      <c r="A10" s="236" t="s">
        <v>216</v>
      </c>
      <c r="P10" s="198"/>
    </row>
    <row r="11" ht="15.75" thickBot="1">
      <c r="P11" s="198"/>
    </row>
    <row r="12" spans="4:27" ht="15">
      <c r="D12" s="268">
        <v>2020</v>
      </c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02">
        <v>2021</v>
      </c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4"/>
    </row>
    <row r="13" spans="2:27" ht="15.75" thickBot="1">
      <c r="B13" t="s">
        <v>13</v>
      </c>
      <c r="D13" s="8" t="s">
        <v>0</v>
      </c>
      <c r="E13" s="9" t="s">
        <v>1</v>
      </c>
      <c r="F13" s="9" t="s">
        <v>2</v>
      </c>
      <c r="G13" s="9" t="s">
        <v>3</v>
      </c>
      <c r="H13" s="9" t="s">
        <v>4</v>
      </c>
      <c r="I13" s="9" t="s">
        <v>5</v>
      </c>
      <c r="J13" s="9" t="s">
        <v>6</v>
      </c>
      <c r="K13" s="9" t="s">
        <v>7</v>
      </c>
      <c r="L13" s="9" t="s">
        <v>8</v>
      </c>
      <c r="M13" s="9" t="s">
        <v>9</v>
      </c>
      <c r="N13" s="9" t="s">
        <v>10</v>
      </c>
      <c r="O13" s="9" t="s">
        <v>11</v>
      </c>
      <c r="P13" s="8" t="s">
        <v>0</v>
      </c>
      <c r="Q13" s="9" t="s">
        <v>1</v>
      </c>
      <c r="R13" s="9" t="s">
        <v>2</v>
      </c>
      <c r="S13" s="9" t="s">
        <v>3</v>
      </c>
      <c r="T13" s="9" t="s">
        <v>4</v>
      </c>
      <c r="U13" s="9" t="s">
        <v>5</v>
      </c>
      <c r="V13" s="9" t="s">
        <v>6</v>
      </c>
      <c r="W13" s="9" t="s">
        <v>7</v>
      </c>
      <c r="X13" s="9" t="s">
        <v>8</v>
      </c>
      <c r="Y13" s="9" t="s">
        <v>9</v>
      </c>
      <c r="Z13" s="9" t="s">
        <v>10</v>
      </c>
      <c r="AA13" s="10" t="s">
        <v>11</v>
      </c>
    </row>
    <row r="14" spans="1:16" ht="15">
      <c r="A14" t="s">
        <v>14</v>
      </c>
      <c r="B14" t="s">
        <v>15</v>
      </c>
      <c r="D14" t="s">
        <v>16</v>
      </c>
      <c r="E14" t="s">
        <v>17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  <c r="M14" t="s">
        <v>18</v>
      </c>
      <c r="N14" t="s">
        <v>18</v>
      </c>
      <c r="O14" t="s">
        <v>18</v>
      </c>
      <c r="P14" s="198"/>
    </row>
    <row r="15" spans="2:16" ht="15">
      <c r="B15" t="s">
        <v>19</v>
      </c>
      <c r="D15" t="s">
        <v>20</v>
      </c>
      <c r="E15" t="s">
        <v>17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  <c r="M15" t="s">
        <v>18</v>
      </c>
      <c r="N15" t="s">
        <v>18</v>
      </c>
      <c r="O15" t="s">
        <v>18</v>
      </c>
      <c r="P15" s="198"/>
    </row>
    <row r="16" ht="15">
      <c r="P16" s="198"/>
    </row>
    <row r="17" spans="1:16" ht="15">
      <c r="A17" t="s">
        <v>21</v>
      </c>
      <c r="B17" t="s">
        <v>15</v>
      </c>
      <c r="D17" t="s">
        <v>22</v>
      </c>
      <c r="E17" t="s">
        <v>22</v>
      </c>
      <c r="F17" s="11" t="s">
        <v>16</v>
      </c>
      <c r="G17" s="12" t="s">
        <v>16</v>
      </c>
      <c r="H17" s="12" t="s">
        <v>16</v>
      </c>
      <c r="I17" s="12" t="s">
        <v>16</v>
      </c>
      <c r="J17" s="12" t="s">
        <v>16</v>
      </c>
      <c r="K17" s="12" t="s">
        <v>16</v>
      </c>
      <c r="L17" s="12" t="s">
        <v>16</v>
      </c>
      <c r="M17" s="12" t="s">
        <v>16</v>
      </c>
      <c r="N17" s="12" t="s">
        <v>16</v>
      </c>
      <c r="O17" s="12" t="s">
        <v>16</v>
      </c>
      <c r="P17" s="198"/>
    </row>
    <row r="18" spans="2:16" ht="15">
      <c r="B18" t="s">
        <v>23</v>
      </c>
      <c r="D18" t="s">
        <v>22</v>
      </c>
      <c r="E18" t="s">
        <v>22</v>
      </c>
      <c r="F18" s="11" t="s">
        <v>16</v>
      </c>
      <c r="G18" s="12" t="s">
        <v>16</v>
      </c>
      <c r="H18" s="12" t="s">
        <v>16</v>
      </c>
      <c r="I18" s="12" t="s">
        <v>16</v>
      </c>
      <c r="J18" s="12" t="s">
        <v>16</v>
      </c>
      <c r="K18" s="12" t="s">
        <v>16</v>
      </c>
      <c r="L18" s="12" t="s">
        <v>16</v>
      </c>
      <c r="M18" s="12" t="s">
        <v>16</v>
      </c>
      <c r="N18" s="12" t="s">
        <v>16</v>
      </c>
      <c r="O18" s="12" t="s">
        <v>16</v>
      </c>
      <c r="P18" s="198"/>
    </row>
    <row r="19" spans="2:18" ht="15">
      <c r="B19" t="s">
        <v>24</v>
      </c>
      <c r="D19" s="13" t="s">
        <v>22</v>
      </c>
      <c r="E19" s="13" t="s">
        <v>22</v>
      </c>
      <c r="F19" s="13" t="s">
        <v>22</v>
      </c>
      <c r="G19" s="13" t="s">
        <v>22</v>
      </c>
      <c r="H19" s="13" t="s">
        <v>22</v>
      </c>
      <c r="I19" s="13" t="s">
        <v>22</v>
      </c>
      <c r="J19" s="13" t="s">
        <v>22</v>
      </c>
      <c r="K19" s="13" t="s">
        <v>22</v>
      </c>
      <c r="L19" s="11" t="s">
        <v>16</v>
      </c>
      <c r="M19" s="12" t="s">
        <v>16</v>
      </c>
      <c r="N19" s="12" t="s">
        <v>16</v>
      </c>
      <c r="O19" s="12" t="s">
        <v>16</v>
      </c>
      <c r="P19" s="218" t="s">
        <v>16</v>
      </c>
      <c r="Q19" s="12" t="s">
        <v>16</v>
      </c>
      <c r="R19" s="12" t="s">
        <v>16</v>
      </c>
    </row>
    <row r="20" spans="1:16" ht="15">
      <c r="A20" s="14"/>
      <c r="P20" s="198"/>
    </row>
    <row r="21" spans="2:16" ht="15">
      <c r="B21" s="15" t="s">
        <v>26</v>
      </c>
      <c r="D21" s="16">
        <f>D22/$C$22</f>
        <v>0.12885503407365848</v>
      </c>
      <c r="E21" s="16">
        <f t="shared" si="0" ref="E21:O21">E22/$C$22</f>
        <v>0.11645647466334119</v>
      </c>
      <c r="F21" s="16">
        <f t="shared" si="0"/>
        <v>0.097441063671361197</v>
      </c>
      <c r="G21" s="16">
        <f t="shared" si="0"/>
        <v>0.06799092009988475</v>
      </c>
      <c r="H21" s="16">
        <f t="shared" si="0"/>
        <v>0.063534714435379114</v>
      </c>
      <c r="I21" s="16">
        <f t="shared" si="0"/>
        <v>0.048585545906572276</v>
      </c>
      <c r="J21" s="16">
        <f t="shared" si="0"/>
        <v>0.048036846093920726</v>
      </c>
      <c r="K21" s="16">
        <f t="shared" si="0"/>
        <v>0.053478097939496601</v>
      </c>
      <c r="L21" s="16">
        <f t="shared" si="0"/>
        <v>0.066732887219844259</v>
      </c>
      <c r="M21" s="16">
        <f t="shared" si="0"/>
        <v>0.087860720067002934</v>
      </c>
      <c r="N21" s="16">
        <f t="shared" si="0"/>
        <v>0.10403152619958545</v>
      </c>
      <c r="O21" s="16">
        <f t="shared" si="0"/>
        <v>0.11699616962995298</v>
      </c>
      <c r="P21" s="198"/>
    </row>
    <row r="22" spans="2:16" ht="15">
      <c r="B22" t="s">
        <v>27</v>
      </c>
      <c r="C22" s="17">
        <f>SUM(D22:O22)</f>
        <v>14471033.628139529</v>
      </c>
      <c r="D22" s="17">
        <v>1864665.5312349768</v>
      </c>
      <c r="E22" s="17">
        <v>1685245.5610677896</v>
      </c>
      <c r="F22" s="17">
        <v>1410072.9091499529</v>
      </c>
      <c r="G22" s="17">
        <v>983898.89117358008</v>
      </c>
      <c r="H22" s="17">
        <v>919412.98914861318</v>
      </c>
      <c r="I22" s="17">
        <v>703083.06865552429</v>
      </c>
      <c r="J22" s="17">
        <v>695142.81521488982</v>
      </c>
      <c r="K22" s="17">
        <v>773883.3536513946</v>
      </c>
      <c r="L22" s="17">
        <v>965693.85506120895</v>
      </c>
      <c r="M22" s="17">
        <v>1271435.4346821529</v>
      </c>
      <c r="N22" s="17">
        <v>1505443.7140208795</v>
      </c>
      <c r="O22" s="17">
        <v>1693055.5050785663</v>
      </c>
      <c r="P22" s="198"/>
    </row>
    <row r="23" spans="2:16" ht="15">
      <c r="B23" t="s">
        <v>28</v>
      </c>
      <c r="C23" s="18">
        <v>6592661</v>
      </c>
      <c r="D23" s="17">
        <f>D24*$C$23</f>
        <v>809014.32507746201</v>
      </c>
      <c r="E23" s="17">
        <f t="shared" si="1" ref="E23:O23">E24*$C$23</f>
        <v>579233.45506721467</v>
      </c>
      <c r="F23" s="17">
        <f t="shared" si="1"/>
        <v>464561.52050412691</v>
      </c>
      <c r="G23" s="17">
        <f t="shared" si="1"/>
        <v>550308.5308109693</v>
      </c>
      <c r="H23" s="17">
        <f t="shared" si="1"/>
        <v>480433.8906342265</v>
      </c>
      <c r="I23" s="17">
        <f t="shared" si="1"/>
        <v>398048.95910882764</v>
      </c>
      <c r="J23" s="17">
        <f t="shared" si="1"/>
        <v>370892.5384730947</v>
      </c>
      <c r="K23" s="17">
        <f t="shared" si="1"/>
        <v>361429.89985527145</v>
      </c>
      <c r="L23" s="17">
        <f t="shared" si="1"/>
        <v>429817.4339148603</v>
      </c>
      <c r="M23" s="17">
        <f t="shared" si="1"/>
        <v>624838.92275177385</v>
      </c>
      <c r="N23" s="17">
        <f t="shared" si="1"/>
        <v>735009.26402655442</v>
      </c>
      <c r="O23" s="17">
        <f t="shared" si="1"/>
        <v>789072.25977561786</v>
      </c>
      <c r="P23" s="198"/>
    </row>
    <row r="24" spans="2:16" ht="15.75" thickBot="1">
      <c r="B24" t="s">
        <v>29</v>
      </c>
      <c r="C24" s="19"/>
      <c r="D24" s="20">
        <v>0.12271438271700334</v>
      </c>
      <c r="E24" s="20">
        <v>0.087860342745852499</v>
      </c>
      <c r="F24" s="20">
        <v>0.070466465741849449</v>
      </c>
      <c r="G24" s="20">
        <v>0.083472899760956815</v>
      </c>
      <c r="H24" s="20">
        <v>0.072874047464935102</v>
      </c>
      <c r="I24" s="20">
        <v>0.060377586396271193</v>
      </c>
      <c r="J24" s="20">
        <v>0.056258396795026269</v>
      </c>
      <c r="K24" s="20">
        <v>0.054823067628575389</v>
      </c>
      <c r="L24" s="20">
        <v>0.06519634998900449</v>
      </c>
      <c r="M24" s="20">
        <v>0.094777954266384065</v>
      </c>
      <c r="N24" s="20">
        <v>0.11148901240736547</v>
      </c>
      <c r="O24" s="20">
        <v>0.11968949408677587</v>
      </c>
      <c r="P24" s="198"/>
    </row>
    <row r="25" spans="3:16" ht="15.75" thickTop="1">
      <c r="C25" s="17"/>
      <c r="P25" s="198"/>
    </row>
    <row r="26" spans="1:18" ht="15">
      <c r="A26" s="14">
        <v>0.30</v>
      </c>
      <c r="B26" t="s">
        <v>15</v>
      </c>
      <c r="C26" s="17">
        <f>SUM(D26:O26)</f>
        <v>1977798.2999999998</v>
      </c>
      <c r="D26" s="17">
        <f>D$23*$A26</f>
        <v>242704.29752323858</v>
      </c>
      <c r="E26" s="17">
        <f t="shared" si="2" ref="E26:O27">E$23*$A26</f>
        <v>173770.0365201644</v>
      </c>
      <c r="F26" s="17">
        <f t="shared" si="2"/>
        <v>139368.45615123806</v>
      </c>
      <c r="G26" s="17">
        <f t="shared" si="2"/>
        <v>165092.55924329077</v>
      </c>
      <c r="H26" s="17">
        <f t="shared" si="2"/>
        <v>144130.16719026794</v>
      </c>
      <c r="I26" s="17">
        <f t="shared" si="2"/>
        <v>119414.68773264828</v>
      </c>
      <c r="J26" s="17">
        <f t="shared" si="2"/>
        <v>111267.76154192841</v>
      </c>
      <c r="K26" s="17">
        <f t="shared" si="2"/>
        <v>108428.96995658144</v>
      </c>
      <c r="L26" s="17">
        <f t="shared" si="2"/>
        <v>128945.23017445809</v>
      </c>
      <c r="M26" s="17">
        <f t="shared" si="2"/>
        <v>187451.67682553214</v>
      </c>
      <c r="N26" s="17">
        <f t="shared" si="2"/>
        <v>220502.77920796632</v>
      </c>
      <c r="O26" s="17">
        <f t="shared" si="2"/>
        <v>236721.67793268536</v>
      </c>
      <c r="P26" s="219">
        <f>D26</f>
        <v>242704.29752323858</v>
      </c>
      <c r="Q26" s="17">
        <f t="shared" si="3" ref="Q26:R27">E26</f>
        <v>173770.0365201644</v>
      </c>
      <c r="R26" s="17">
        <f t="shared" si="3"/>
        <v>139368.45615123806</v>
      </c>
    </row>
    <row r="27" spans="1:18" ht="15">
      <c r="A27" s="14">
        <v>0.70</v>
      </c>
      <c r="B27" t="s">
        <v>19</v>
      </c>
      <c r="C27" s="17">
        <f>SUM(D27:O27)</f>
        <v>4614862.6999999993</v>
      </c>
      <c r="D27" s="17">
        <f t="shared" si="4" ref="D27">D$23*$A27</f>
        <v>566310.02755422331</v>
      </c>
      <c r="E27" s="17">
        <f t="shared" si="2"/>
        <v>405463.41854705027</v>
      </c>
      <c r="F27" s="17">
        <f t="shared" si="2"/>
        <v>325193.06435288879</v>
      </c>
      <c r="G27" s="21">
        <f t="shared" si="2"/>
        <v>385215.9715676785</v>
      </c>
      <c r="H27" s="22">
        <f t="shared" si="2"/>
        <v>336303.7234439585</v>
      </c>
      <c r="I27" s="22">
        <f t="shared" si="2"/>
        <v>278634.2713761793</v>
      </c>
      <c r="J27" s="22">
        <f t="shared" si="2"/>
        <v>259624.77693116627</v>
      </c>
      <c r="K27" s="22">
        <f t="shared" si="2"/>
        <v>253000.92989869</v>
      </c>
      <c r="L27" s="22">
        <f t="shared" si="2"/>
        <v>300872.20374040218</v>
      </c>
      <c r="M27" s="22">
        <f t="shared" si="2"/>
        <v>437387.24592624168</v>
      </c>
      <c r="N27" s="22">
        <f t="shared" si="2"/>
        <v>514506.48481858807</v>
      </c>
      <c r="O27" s="17">
        <f t="shared" si="2"/>
        <v>552350.5818429325</v>
      </c>
      <c r="P27" s="219">
        <f t="shared" si="5" ref="P27">D27</f>
        <v>566310.02755422331</v>
      </c>
      <c r="Q27" s="17">
        <f t="shared" si="3"/>
        <v>405463.41854705027</v>
      </c>
      <c r="R27" s="17">
        <f t="shared" si="3"/>
        <v>325193.06435288879</v>
      </c>
    </row>
    <row r="28" spans="2:18" ht="15.75" thickBot="1">
      <c r="B28" t="s">
        <v>30</v>
      </c>
      <c r="F28" s="226" t="s">
        <v>0</v>
      </c>
      <c r="G28" s="8" t="s">
        <v>184</v>
      </c>
      <c r="H28" s="9" t="s">
        <v>1</v>
      </c>
      <c r="I28" s="9" t="s">
        <v>2</v>
      </c>
      <c r="J28" s="9" t="s">
        <v>3</v>
      </c>
      <c r="K28" s="9" t="s">
        <v>4</v>
      </c>
      <c r="L28" s="9" t="s">
        <v>5</v>
      </c>
      <c r="M28" s="9" t="s">
        <v>6</v>
      </c>
      <c r="N28" s="9" t="s">
        <v>7</v>
      </c>
      <c r="O28" s="9" t="s">
        <v>8</v>
      </c>
      <c r="P28" s="8" t="s">
        <v>9</v>
      </c>
      <c r="Q28" s="9" t="s">
        <v>10</v>
      </c>
      <c r="R28" s="10" t="s">
        <v>11</v>
      </c>
    </row>
    <row r="29" spans="2:18" ht="15">
      <c r="B29" t="s">
        <v>32</v>
      </c>
      <c r="G29" s="2" t="s">
        <v>4</v>
      </c>
      <c r="H29" s="2" t="s">
        <v>160</v>
      </c>
      <c r="I29" s="2" t="s">
        <v>5</v>
      </c>
      <c r="J29" s="23" t="s">
        <v>161</v>
      </c>
      <c r="K29" s="2" t="s">
        <v>6</v>
      </c>
      <c r="L29" s="23" t="s">
        <v>162</v>
      </c>
      <c r="M29" s="2" t="s">
        <v>7</v>
      </c>
      <c r="N29" s="23" t="s">
        <v>34</v>
      </c>
      <c r="O29" s="24" t="s">
        <v>8</v>
      </c>
      <c r="P29" s="220"/>
      <c r="Q29" s="2"/>
      <c r="R29" s="2"/>
    </row>
    <row r="30" spans="2:18" ht="15">
      <c r="B30" t="s">
        <v>39</v>
      </c>
      <c r="D30">
        <v>2020</v>
      </c>
      <c r="G30" s="25">
        <v>4</v>
      </c>
      <c r="H30" s="25">
        <v>3.50</v>
      </c>
      <c r="I30" s="25">
        <f t="shared" si="6" ref="I30:O30">H30-0.5</f>
        <v>3</v>
      </c>
      <c r="J30" s="25">
        <f t="shared" si="6"/>
        <v>2.50</v>
      </c>
      <c r="K30" s="25">
        <f t="shared" si="6"/>
        <v>2</v>
      </c>
      <c r="L30" s="25">
        <f t="shared" si="6"/>
        <v>1.50</v>
      </c>
      <c r="M30" s="25">
        <f t="shared" si="6"/>
        <v>1</v>
      </c>
      <c r="N30" s="25">
        <f t="shared" si="6"/>
        <v>0.50</v>
      </c>
      <c r="O30" s="25">
        <f t="shared" si="6"/>
        <v>0</v>
      </c>
      <c r="P30" s="220">
        <v>0</v>
      </c>
      <c r="Q30" s="25">
        <v>0</v>
      </c>
      <c r="R30" s="25">
        <v>0</v>
      </c>
    </row>
    <row r="31" spans="2:18" ht="15">
      <c r="B31" t="s">
        <v>40</v>
      </c>
      <c r="C31" s="17">
        <f>SUM(G31:R31)</f>
        <v>2542205.1926945923</v>
      </c>
      <c r="D31" s="17">
        <f>SUM(G31:N31)</f>
        <v>2542205.1926945923</v>
      </c>
      <c r="G31" s="17">
        <f>G27/2/2*G30</f>
        <v>385215.9715676785</v>
      </c>
      <c r="H31" s="17">
        <f t="shared" si="7" ref="H31:R31">H27/2*H30</f>
        <v>588531.51602692739</v>
      </c>
      <c r="I31" s="17">
        <f t="shared" si="7"/>
        <v>417951.40706426895</v>
      </c>
      <c r="J31" s="17">
        <f t="shared" si="7"/>
        <v>324530.97116395785</v>
      </c>
      <c r="K31" s="17">
        <f t="shared" si="7"/>
        <v>253000.92989869</v>
      </c>
      <c r="L31" s="17">
        <f t="shared" si="7"/>
        <v>225654.15280530165</v>
      </c>
      <c r="M31" s="17">
        <f t="shared" si="7"/>
        <v>218693.62296312084</v>
      </c>
      <c r="N31" s="17">
        <f t="shared" si="7"/>
        <v>128626.62120464702</v>
      </c>
      <c r="O31" s="17">
        <f t="shared" si="7"/>
        <v>0</v>
      </c>
      <c r="P31" s="219">
        <f t="shared" si="7"/>
        <v>0</v>
      </c>
      <c r="Q31" s="17">
        <f t="shared" si="7"/>
        <v>0</v>
      </c>
      <c r="R31" s="17">
        <f t="shared" si="7"/>
        <v>0</v>
      </c>
    </row>
    <row r="32" spans="2:18" ht="15.75" thickBot="1">
      <c r="B32" t="s">
        <v>41</v>
      </c>
      <c r="C32" s="26"/>
      <c r="G32" s="9" t="s">
        <v>9</v>
      </c>
      <c r="H32" s="9" t="s">
        <v>10</v>
      </c>
      <c r="I32" s="9" t="s">
        <v>11</v>
      </c>
      <c r="J32" s="9" t="s">
        <v>0</v>
      </c>
      <c r="K32" s="9" t="s">
        <v>1</v>
      </c>
      <c r="L32" s="9" t="s">
        <v>2</v>
      </c>
      <c r="M32" s="9" t="s">
        <v>3</v>
      </c>
      <c r="N32" s="9" t="s">
        <v>4</v>
      </c>
      <c r="O32" s="9" t="s">
        <v>5</v>
      </c>
      <c r="P32" s="8" t="s">
        <v>6</v>
      </c>
      <c r="Q32" s="9" t="s">
        <v>7</v>
      </c>
      <c r="R32" s="9" t="s">
        <v>8</v>
      </c>
    </row>
    <row r="33" spans="2:18" ht="15.75" thickBot="1">
      <c r="B33" s="27" t="s">
        <v>42</v>
      </c>
      <c r="C33" s="30">
        <f>SUM(G33:R33)</f>
        <v>7157067.8926945915</v>
      </c>
      <c r="D33" s="29"/>
      <c r="E33" s="29"/>
      <c r="F33" s="30"/>
      <c r="G33" s="30">
        <f t="shared" si="8" ref="G33:R33">G31+G27</f>
        <v>770431.943135357</v>
      </c>
      <c r="H33" s="30">
        <f t="shared" si="8"/>
        <v>924835.23947088583</v>
      </c>
      <c r="I33" s="30">
        <f t="shared" si="8"/>
        <v>696585.67844044825</v>
      </c>
      <c r="J33" s="30">
        <f t="shared" si="8"/>
        <v>584155.74809512415</v>
      </c>
      <c r="K33" s="30">
        <f t="shared" si="8"/>
        <v>506001.85979737999</v>
      </c>
      <c r="L33" s="30">
        <f t="shared" si="8"/>
        <v>526526.35654570383</v>
      </c>
      <c r="M33" s="30">
        <f t="shared" si="8"/>
        <v>656080.86888936255</v>
      </c>
      <c r="N33" s="30">
        <f t="shared" si="8"/>
        <v>643133.10602323513</v>
      </c>
      <c r="O33" s="30">
        <f t="shared" si="8"/>
        <v>552350.5818429325</v>
      </c>
      <c r="P33" s="221">
        <f t="shared" si="8"/>
        <v>566310.02755422331</v>
      </c>
      <c r="Q33" s="30">
        <f t="shared" si="8"/>
        <v>405463.41854705027</v>
      </c>
      <c r="R33" s="30">
        <f t="shared" si="8"/>
        <v>325193.06435288879</v>
      </c>
    </row>
    <row r="34" spans="2:27" ht="15">
      <c r="B34" s="31"/>
      <c r="C34" s="32"/>
      <c r="D34" s="1" t="s">
        <v>0</v>
      </c>
      <c r="E34" s="1" t="s">
        <v>1</v>
      </c>
      <c r="F34" s="1" t="s">
        <v>2</v>
      </c>
      <c r="G34" s="1" t="s">
        <v>3</v>
      </c>
      <c r="H34" s="1" t="s">
        <v>4</v>
      </c>
      <c r="I34" s="1" t="s">
        <v>5</v>
      </c>
      <c r="J34" s="1" t="s">
        <v>6</v>
      </c>
      <c r="K34" s="1" t="s">
        <v>7</v>
      </c>
      <c r="L34" s="1" t="s">
        <v>8</v>
      </c>
      <c r="M34" s="1" t="s">
        <v>9</v>
      </c>
      <c r="N34" s="1" t="s">
        <v>10</v>
      </c>
      <c r="O34" s="1" t="s">
        <v>11</v>
      </c>
      <c r="P34" s="194" t="s">
        <v>0</v>
      </c>
      <c r="Q34" s="1" t="s">
        <v>1</v>
      </c>
      <c r="R34" s="1" t="s">
        <v>2</v>
      </c>
      <c r="S34" s="1" t="s">
        <v>3</v>
      </c>
      <c r="T34" s="1" t="s">
        <v>4</v>
      </c>
      <c r="U34" s="1" t="s">
        <v>5</v>
      </c>
      <c r="V34" s="1" t="s">
        <v>6</v>
      </c>
      <c r="W34" s="1" t="s">
        <v>7</v>
      </c>
      <c r="X34" s="1" t="s">
        <v>8</v>
      </c>
      <c r="Y34" s="1" t="s">
        <v>9</v>
      </c>
      <c r="Z34" s="1" t="s">
        <v>10</v>
      </c>
      <c r="AA34" s="1" t="s">
        <v>11</v>
      </c>
    </row>
    <row r="35" spans="2:26" ht="15">
      <c r="B35" s="33" t="s">
        <v>43</v>
      </c>
      <c r="C35" s="32"/>
      <c r="D35" s="31"/>
      <c r="E35" s="31"/>
      <c r="F35" s="34">
        <f>G33</f>
        <v>770431.943135357</v>
      </c>
      <c r="G35" s="34">
        <f t="shared" si="9" ref="G35:Z35">F35+H33</f>
        <v>1695267.1826062428</v>
      </c>
      <c r="H35" s="34">
        <f t="shared" si="9"/>
        <v>2391852.861046691</v>
      </c>
      <c r="I35" s="34">
        <f t="shared" si="9"/>
        <v>2976008.609141815</v>
      </c>
      <c r="J35" s="34">
        <f t="shared" si="9"/>
        <v>3482010.4689391949</v>
      </c>
      <c r="K35" s="34">
        <f t="shared" si="9"/>
        <v>4008536.8254848989</v>
      </c>
      <c r="L35" s="34">
        <f t="shared" si="9"/>
        <v>4664617.6943742614</v>
      </c>
      <c r="M35" s="34">
        <f t="shared" si="9"/>
        <v>5307750.8003974967</v>
      </c>
      <c r="N35" s="34">
        <f t="shared" si="9"/>
        <v>5860101.3822404295</v>
      </c>
      <c r="O35" s="34">
        <f t="shared" si="9"/>
        <v>6426411.4097946528</v>
      </c>
      <c r="P35" s="219">
        <f t="shared" si="9"/>
        <v>6831874.8283417029</v>
      </c>
      <c r="Q35" s="34">
        <f t="shared" si="9"/>
        <v>7157067.8926945915</v>
      </c>
      <c r="R35" s="34">
        <f t="shared" si="9"/>
        <v>7157067.8926945915</v>
      </c>
      <c r="S35" s="34">
        <f t="shared" si="9"/>
        <v>7157067.8926945915</v>
      </c>
      <c r="T35" s="34">
        <f t="shared" si="9"/>
        <v>7157067.8926945915</v>
      </c>
      <c r="U35" s="34">
        <f t="shared" si="9"/>
        <v>7157067.8926945915</v>
      </c>
      <c r="V35" s="34">
        <f t="shared" si="9"/>
        <v>7157067.8926945915</v>
      </c>
      <c r="W35" s="34">
        <f t="shared" si="9"/>
        <v>7157067.8926945915</v>
      </c>
      <c r="X35" s="34">
        <f t="shared" si="9"/>
        <v>7157067.8926945915</v>
      </c>
      <c r="Y35" s="34">
        <f t="shared" si="9"/>
        <v>7157067.8926945915</v>
      </c>
      <c r="Z35" s="34">
        <f t="shared" si="9"/>
        <v>7157067.8926945915</v>
      </c>
    </row>
    <row r="36" spans="2:27" ht="15">
      <c r="B36" s="33" t="s">
        <v>44</v>
      </c>
      <c r="C36" s="32"/>
      <c r="D36" s="31"/>
      <c r="E36" s="31"/>
      <c r="F36" s="31"/>
      <c r="G36" s="32"/>
      <c r="H36" s="32"/>
      <c r="I36" s="32"/>
      <c r="J36" s="32"/>
      <c r="K36" s="34">
        <f>-G33</f>
        <v>-770431.943135357</v>
      </c>
      <c r="L36" s="34">
        <f t="shared" si="10" ref="L36:AA36">K36-H33</f>
        <v>-1695267.1826062428</v>
      </c>
      <c r="M36" s="34">
        <f t="shared" si="10"/>
        <v>-2391852.861046691</v>
      </c>
      <c r="N36" s="34">
        <f t="shared" si="10"/>
        <v>-2976008.609141815</v>
      </c>
      <c r="O36" s="34">
        <f t="shared" si="10"/>
        <v>-3482010.4689391949</v>
      </c>
      <c r="P36" s="219">
        <f t="shared" si="10"/>
        <v>-4008536.8254848989</v>
      </c>
      <c r="Q36" s="34">
        <f t="shared" si="10"/>
        <v>-4664617.6943742614</v>
      </c>
      <c r="R36" s="34">
        <f t="shared" si="10"/>
        <v>-5307750.8003974967</v>
      </c>
      <c r="S36" s="34">
        <f t="shared" si="10"/>
        <v>-5860101.3822404295</v>
      </c>
      <c r="T36" s="34">
        <f t="shared" si="10"/>
        <v>-6426411.4097946528</v>
      </c>
      <c r="U36" s="34">
        <f t="shared" si="10"/>
        <v>-6831874.8283417029</v>
      </c>
      <c r="V36" s="34">
        <f t="shared" si="10"/>
        <v>-7157067.8926945915</v>
      </c>
      <c r="W36" s="34">
        <f t="shared" si="10"/>
        <v>-7157067.8926945915</v>
      </c>
      <c r="X36" s="34">
        <f t="shared" si="10"/>
        <v>-7157067.8926945915</v>
      </c>
      <c r="Y36" s="34">
        <f t="shared" si="10"/>
        <v>-7157067.8926945915</v>
      </c>
      <c r="Z36" s="34">
        <f t="shared" si="10"/>
        <v>-7157067.8926945915</v>
      </c>
      <c r="AA36" s="34">
        <f t="shared" si="10"/>
        <v>-7157067.8926945915</v>
      </c>
    </row>
    <row r="37" spans="2:26" ht="15">
      <c r="B37" s="208" t="s">
        <v>45</v>
      </c>
      <c r="C37" s="212"/>
      <c r="D37" s="208"/>
      <c r="E37" s="208"/>
      <c r="F37" s="185">
        <f>F35+F36</f>
        <v>770431.943135357</v>
      </c>
      <c r="G37" s="185">
        <f t="shared" si="11" ref="G37:I37">G35+G36</f>
        <v>1695267.1826062428</v>
      </c>
      <c r="H37" s="185">
        <f t="shared" si="11"/>
        <v>2391852.861046691</v>
      </c>
      <c r="I37" s="185">
        <f t="shared" si="11"/>
        <v>2976008.609141815</v>
      </c>
      <c r="J37" s="213">
        <f>J35+J36</f>
        <v>3482010.4689391949</v>
      </c>
      <c r="K37" s="185">
        <f t="shared" si="12" ref="K37:Y37">K35+K36</f>
        <v>3238104.8823495419</v>
      </c>
      <c r="L37" s="185">
        <f t="shared" si="12"/>
        <v>2969350.5117680188</v>
      </c>
      <c r="M37" s="185">
        <f t="shared" si="12"/>
        <v>2915897.9393508057</v>
      </c>
      <c r="N37" s="185">
        <f t="shared" si="12"/>
        <v>2884092.7730986145</v>
      </c>
      <c r="O37" s="185">
        <f t="shared" si="12"/>
        <v>2944400.9408554579</v>
      </c>
      <c r="P37" s="222">
        <f t="shared" si="12"/>
        <v>2823338.0028568041</v>
      </c>
      <c r="Q37" s="185">
        <f t="shared" si="12"/>
        <v>2492450.1983203301</v>
      </c>
      <c r="R37" s="185">
        <f t="shared" si="12"/>
        <v>1849317.0922970949</v>
      </c>
      <c r="S37" s="185">
        <f t="shared" si="12"/>
        <v>1296966.510454162</v>
      </c>
      <c r="T37" s="185">
        <f t="shared" si="12"/>
        <v>730656.48289993871</v>
      </c>
      <c r="U37" s="185">
        <f t="shared" si="12"/>
        <v>325193.06435288861</v>
      </c>
      <c r="V37" s="192">
        <f t="shared" si="12"/>
        <v>0</v>
      </c>
      <c r="W37" s="192">
        <f t="shared" si="12"/>
        <v>0</v>
      </c>
      <c r="X37" s="192">
        <f t="shared" si="12"/>
        <v>0</v>
      </c>
      <c r="Y37" s="192">
        <f t="shared" si="12"/>
        <v>0</v>
      </c>
      <c r="Z37" s="34">
        <f>Z35+AA36</f>
        <v>0</v>
      </c>
    </row>
    <row r="38" ht="15">
      <c r="P38" s="198"/>
    </row>
    <row r="39" ht="15">
      <c r="P39" s="198"/>
    </row>
    <row r="40" spans="2:26" ht="15">
      <c r="B40" s="33" t="s">
        <v>199</v>
      </c>
      <c r="C40" s="17">
        <f>SUM(G40:O40)</f>
        <v>1811493.6594829769</v>
      </c>
      <c r="D40" s="31"/>
      <c r="E40" s="31"/>
      <c r="F40" s="34"/>
      <c r="G40" s="34">
        <f>G47*G33</f>
        <v>219970.15871679792</v>
      </c>
      <c r="H40" s="34">
        <f t="shared" si="13" ref="H40:U40">H47*H33</f>
        <v>200475.68177150944</v>
      </c>
      <c r="I40" s="34">
        <f t="shared" si="13"/>
        <v>195465.49431114248</v>
      </c>
      <c r="J40" s="34">
        <f t="shared" si="13"/>
        <v>190623.45598149192</v>
      </c>
      <c r="K40" s="34">
        <f t="shared" si="13"/>
        <v>241196.16201282406</v>
      </c>
      <c r="L40" s="34">
        <f t="shared" si="13"/>
        <v>164087.62810725035</v>
      </c>
      <c r="M40" s="34">
        <f t="shared" si="13"/>
        <v>274706.02127536724</v>
      </c>
      <c r="N40" s="34">
        <f t="shared" si="13"/>
        <v>191731.34113511405</v>
      </c>
      <c r="O40" s="34">
        <f t="shared" si="13"/>
        <v>133237.71617147938</v>
      </c>
      <c r="P40" s="219">
        <f t="shared" si="13"/>
        <v>182106.36686317597</v>
      </c>
      <c r="Q40" s="34">
        <f t="shared" si="13"/>
        <v>74768.573595801296</v>
      </c>
      <c r="R40" s="34">
        <f t="shared" si="13"/>
        <v>103570.90996996094</v>
      </c>
      <c r="S40" s="34">
        <f t="shared" si="13"/>
        <v>0</v>
      </c>
      <c r="T40" s="34">
        <f t="shared" si="13"/>
        <v>0</v>
      </c>
      <c r="U40" s="34">
        <f t="shared" si="13"/>
        <v>0</v>
      </c>
      <c r="V40" s="34">
        <f>V37*V47</f>
        <v>0</v>
      </c>
      <c r="W40" s="34">
        <f>W37*W47</f>
        <v>0</v>
      </c>
      <c r="X40" s="34"/>
      <c r="Y40" s="34"/>
      <c r="Z40" s="34"/>
    </row>
    <row r="41" spans="2:23" ht="15">
      <c r="B41" s="211" t="s">
        <v>201</v>
      </c>
      <c r="C41" s="214"/>
      <c r="D41" s="214"/>
      <c r="E41" s="214"/>
      <c r="F41" s="215">
        <f t="shared" si="14" ref="F41:W41">F37-F40</f>
        <v>770431.943135357</v>
      </c>
      <c r="G41" s="215">
        <f t="shared" si="14"/>
        <v>1475297.023889445</v>
      </c>
      <c r="H41" s="215">
        <f t="shared" si="14"/>
        <v>2191377.1792751816</v>
      </c>
      <c r="I41" s="215">
        <f t="shared" si="14"/>
        <v>2780543.1148306727</v>
      </c>
      <c r="J41" s="216">
        <f t="shared" si="14"/>
        <v>3291387.0129577029</v>
      </c>
      <c r="K41" s="215">
        <f t="shared" si="14"/>
        <v>2996908.720336718</v>
      </c>
      <c r="L41" s="215">
        <f t="shared" si="14"/>
        <v>2805262.8836607686</v>
      </c>
      <c r="M41" s="215">
        <f t="shared" si="14"/>
        <v>2641191.9180754386</v>
      </c>
      <c r="N41" s="215">
        <f t="shared" si="14"/>
        <v>2692361.4319635006</v>
      </c>
      <c r="O41" s="215">
        <f t="shared" si="14"/>
        <v>2811163.2246839786</v>
      </c>
      <c r="P41" s="223">
        <f t="shared" si="14"/>
        <v>2641231.6359936283</v>
      </c>
      <c r="Q41" s="215">
        <f t="shared" si="14"/>
        <v>2417681.6247245288</v>
      </c>
      <c r="R41" s="215">
        <f t="shared" si="14"/>
        <v>1745746.1823271338</v>
      </c>
      <c r="S41" s="215">
        <f t="shared" si="14"/>
        <v>1296966.510454162</v>
      </c>
      <c r="T41" s="215">
        <f t="shared" si="14"/>
        <v>730656.48289993871</v>
      </c>
      <c r="U41" s="17">
        <f t="shared" si="14"/>
        <v>325193.06435288861</v>
      </c>
      <c r="V41" s="17">
        <f t="shared" si="14"/>
        <v>0</v>
      </c>
      <c r="W41" s="17">
        <f t="shared" si="14"/>
        <v>0</v>
      </c>
    </row>
    <row r="43" ht="15">
      <c r="B43" t="s">
        <v>181</v>
      </c>
    </row>
    <row r="44" ht="15">
      <c r="B44" t="s">
        <v>182</v>
      </c>
    </row>
    <row r="45" ht="15">
      <c r="B45" t="s">
        <v>183</v>
      </c>
    </row>
    <row r="47" spans="2:27" ht="15">
      <c r="B47" t="s">
        <v>200</v>
      </c>
      <c r="D47" s="234">
        <v>0.32129999999999997</v>
      </c>
      <c r="E47" s="234">
        <v>0.18410000000000001</v>
      </c>
      <c r="F47" s="35">
        <f>0.455*0.7</f>
        <v>0.31850000000000001</v>
      </c>
      <c r="G47" s="35">
        <v>0.28551536664173777</v>
      </c>
      <c r="H47" s="35">
        <v>0.21676907757775862</v>
      </c>
      <c r="I47" s="35">
        <v>0.28060510050789539</v>
      </c>
      <c r="J47" s="35">
        <v>0.3263229996505157</v>
      </c>
      <c r="K47" s="35">
        <v>0.47667050494519336</v>
      </c>
      <c r="L47" s="35">
        <v>0.31164181254620082</v>
      </c>
      <c r="M47" s="35">
        <v>0.4187075622863376</v>
      </c>
      <c r="N47" s="35">
        <v>0.29812077677149956</v>
      </c>
      <c r="O47" s="35">
        <v>0.24121947283359091</v>
      </c>
      <c r="P47" s="35">
        <v>0.32156655895650649</v>
      </c>
      <c r="Q47" s="35">
        <v>0.18440276033712053</v>
      </c>
      <c r="R47" s="35">
        <v>0.31849052554690771</v>
      </c>
      <c r="S47" s="35">
        <v>0.28551536664173777</v>
      </c>
      <c r="T47" s="35">
        <v>0.21676907757775862</v>
      </c>
      <c r="U47" s="35">
        <v>0.28060510050789539</v>
      </c>
      <c r="V47" s="35">
        <v>0.3263229996505157</v>
      </c>
      <c r="W47" s="35">
        <v>0.47667050494519336</v>
      </c>
      <c r="X47" s="35">
        <v>0.31164181254620082</v>
      </c>
      <c r="Y47" s="35">
        <v>0.4187075622863376</v>
      </c>
      <c r="Z47" s="35">
        <v>0.29812077677149956</v>
      </c>
      <c r="AA47" s="35">
        <v>0.24121947283359091</v>
      </c>
    </row>
    <row r="49" spans="1:2" ht="15">
      <c r="A49" t="s">
        <v>163</v>
      </c>
      <c r="B49" t="s">
        <v>164</v>
      </c>
    </row>
    <row r="50" spans="1:2" ht="15">
      <c r="A50" t="s">
        <v>166</v>
      </c>
      <c r="B50" t="s">
        <v>168</v>
      </c>
    </row>
    <row r="51" spans="1:2" ht="15">
      <c r="A51" t="s">
        <v>167</v>
      </c>
      <c r="B51" t="s">
        <v>169</v>
      </c>
    </row>
    <row r="52" spans="1:2" ht="15">
      <c r="A52" t="s">
        <v>176</v>
      </c>
      <c r="B52" t="s">
        <v>177</v>
      </c>
    </row>
    <row r="53" spans="1:2" ht="15">
      <c r="A53" t="s">
        <v>170</v>
      </c>
      <c r="B53" t="s">
        <v>171</v>
      </c>
    </row>
    <row r="54" spans="1:2" ht="15">
      <c r="A54" t="s">
        <v>172</v>
      </c>
      <c r="B54" t="s">
        <v>173</v>
      </c>
    </row>
    <row r="56" ht="15">
      <c r="B56" t="s">
        <v>203</v>
      </c>
    </row>
    <row r="58" spans="2:3" ht="15">
      <c r="B58" t="s">
        <v>204</v>
      </c>
      <c r="C58" t="s">
        <v>205</v>
      </c>
    </row>
    <row r="59" spans="2:3" ht="15">
      <c r="B59" t="s">
        <v>206</v>
      </c>
      <c r="C59" t="s">
        <v>207</v>
      </c>
    </row>
    <row r="60" spans="2:3" ht="15">
      <c r="B60" t="s">
        <v>208</v>
      </c>
      <c r="C60" t="s">
        <v>207</v>
      </c>
    </row>
    <row r="62" ht="15">
      <c r="B62" s="15" t="s">
        <v>209</v>
      </c>
    </row>
    <row r="63" ht="15">
      <c r="B63" t="s">
        <v>210</v>
      </c>
    </row>
    <row r="64" ht="15">
      <c r="B64" t="s">
        <v>212</v>
      </c>
    </row>
    <row r="65" ht="15">
      <c r="B65" t="s">
        <v>211</v>
      </c>
    </row>
  </sheetData>
  <mergeCells count="1">
    <mergeCell ref="D12:O12"/>
  </mergeCells>
  <pageMargins left="0.25" right="0.25" top="0.75" bottom="0.75" header="0.3" footer="0.3"/>
  <pageSetup orientation="landscape" paperSize="17" scale="10" r:id="rId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66"/>
  <sheetViews>
    <sheetView workbookViewId="0" topLeftCell="A1">
      <selection pane="topLeft" activeCell="A1" sqref="A1"/>
    </sheetView>
  </sheetViews>
  <sheetFormatPr defaultColWidth="8.72727272727273" defaultRowHeight="15"/>
  <cols>
    <col min="1" max="1" width="6.18181818181818" customWidth="1"/>
    <col min="2" max="2" width="31.8181818181818" bestFit="1" customWidth="1"/>
    <col min="3" max="3" width="37" customWidth="1"/>
    <col min="4" max="5" width="13.5454545454545" bestFit="1" customWidth="1"/>
    <col min="6" max="12" width="13.7272727272727" bestFit="1" customWidth="1"/>
    <col min="13" max="14" width="14.2727272727273" bestFit="1" customWidth="1"/>
    <col min="15" max="15" width="13.7272727272727" bestFit="1" customWidth="1"/>
    <col min="16" max="16" width="14.8181818181818" bestFit="1" customWidth="1"/>
    <col min="17" max="19" width="13.5454545454545" bestFit="1" customWidth="1"/>
    <col min="20" max="22" width="11.5454545454545" bestFit="1" customWidth="1"/>
    <col min="23" max="26" width="12.5454545454545" bestFit="1" customWidth="1"/>
    <col min="27" max="27" width="10.2727272727273" customWidth="1"/>
  </cols>
  <sheetData>
    <row r="1" s="242" customFormat="1" ht="15">
      <c r="A1" s="276" t="s">
        <v>251</v>
      </c>
    </row>
    <row r="2" s="242" customFormat="1" ht="15">
      <c r="A2" s="276" t="s">
        <v>243</v>
      </c>
    </row>
    <row r="3" s="242" customFormat="1" ht="15"/>
    <row r="4" s="242" customFormat="1" ht="15"/>
    <row r="5" s="242" customFormat="1" ht="15"/>
    <row r="6" s="242" customFormat="1" ht="15"/>
    <row r="7" spans="4:18" ht="15"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2" t="s">
        <v>11</v>
      </c>
      <c r="P7" s="1" t="s">
        <v>0</v>
      </c>
      <c r="Q7" s="1" t="s">
        <v>1</v>
      </c>
      <c r="R7" s="1" t="s">
        <v>2</v>
      </c>
    </row>
    <row r="8" spans="1:18" ht="15">
      <c r="A8" t="s">
        <v>12</v>
      </c>
      <c r="D8" s="3">
        <v>404727.53021701647</v>
      </c>
      <c r="E8" s="3">
        <v>305926.56073394307</v>
      </c>
      <c r="F8" s="3">
        <v>174825.27803798296</v>
      </c>
      <c r="G8" s="3">
        <v>319252.21384705772</v>
      </c>
      <c r="H8" s="3">
        <v>374630.40997862176</v>
      </c>
      <c r="I8" s="3">
        <v>228806.32100893205</v>
      </c>
      <c r="J8" s="3">
        <v>175736.90242606847</v>
      </c>
      <c r="K8" s="3">
        <v>139310.57231100238</v>
      </c>
      <c r="L8" s="3">
        <v>220216.09091582111</v>
      </c>
      <c r="M8" s="3">
        <v>367251.92169789685</v>
      </c>
      <c r="N8" s="3">
        <v>425907.76303631364</v>
      </c>
      <c r="O8" s="4">
        <v>500903.92406990228</v>
      </c>
      <c r="P8" s="3">
        <v>395827.75032219832</v>
      </c>
      <c r="Q8" s="3">
        <v>299199.3705844346</v>
      </c>
      <c r="R8" s="3">
        <v>170980.94727611422</v>
      </c>
    </row>
    <row r="10" ht="15.75" thickBot="1">
      <c r="C10" s="178">
        <v>43861</v>
      </c>
    </row>
    <row r="11" spans="4:27" ht="15">
      <c r="D11" s="268">
        <v>2020</v>
      </c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70"/>
      <c r="P11" s="5">
        <v>2021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7"/>
    </row>
    <row r="12" spans="2:27" ht="15.75" thickBot="1">
      <c r="B12" t="s">
        <v>13</v>
      </c>
      <c r="D12" s="8" t="s">
        <v>0</v>
      </c>
      <c r="E12" s="9" t="s">
        <v>1</v>
      </c>
      <c r="F12" s="9" t="s">
        <v>2</v>
      </c>
      <c r="G12" s="9" t="s">
        <v>3</v>
      </c>
      <c r="H12" s="9" t="s">
        <v>4</v>
      </c>
      <c r="I12" s="9" t="s">
        <v>5</v>
      </c>
      <c r="J12" s="9" t="s">
        <v>6</v>
      </c>
      <c r="K12" s="9" t="s">
        <v>7</v>
      </c>
      <c r="L12" s="9" t="s">
        <v>8</v>
      </c>
      <c r="M12" s="9" t="s">
        <v>9</v>
      </c>
      <c r="N12" s="9" t="s">
        <v>10</v>
      </c>
      <c r="O12" s="10" t="s">
        <v>11</v>
      </c>
      <c r="P12" s="8" t="s">
        <v>0</v>
      </c>
      <c r="Q12" s="9" t="s">
        <v>1</v>
      </c>
      <c r="R12" s="9" t="s">
        <v>2</v>
      </c>
      <c r="S12" s="9" t="s">
        <v>3</v>
      </c>
      <c r="T12" s="9" t="s">
        <v>4</v>
      </c>
      <c r="U12" s="9" t="s">
        <v>5</v>
      </c>
      <c r="V12" s="9" t="s">
        <v>6</v>
      </c>
      <c r="W12" s="9" t="s">
        <v>7</v>
      </c>
      <c r="X12" s="9" t="s">
        <v>8</v>
      </c>
      <c r="Y12" s="9" t="s">
        <v>9</v>
      </c>
      <c r="Z12" s="9" t="s">
        <v>10</v>
      </c>
      <c r="AA12" s="10" t="s">
        <v>11</v>
      </c>
    </row>
    <row r="13" spans="1:15" ht="15">
      <c r="A13" t="s">
        <v>14</v>
      </c>
      <c r="B13" t="s">
        <v>15</v>
      </c>
      <c r="D13" t="s">
        <v>16</v>
      </c>
      <c r="E13" t="s">
        <v>17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  <c r="M13" t="s">
        <v>18</v>
      </c>
      <c r="N13" t="s">
        <v>18</v>
      </c>
      <c r="O13" t="s">
        <v>18</v>
      </c>
    </row>
    <row r="14" spans="2:15" ht="15">
      <c r="B14" t="s">
        <v>19</v>
      </c>
      <c r="D14" t="s">
        <v>20</v>
      </c>
      <c r="E14" t="s">
        <v>17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  <c r="M14" t="s">
        <v>18</v>
      </c>
      <c r="N14" t="s">
        <v>18</v>
      </c>
      <c r="O14" t="s">
        <v>18</v>
      </c>
    </row>
    <row r="15" spans="2:15" ht="15">
      <c r="B15" t="s">
        <v>96</v>
      </c>
      <c r="D15" t="s">
        <v>97</v>
      </c>
      <c r="E15" t="s">
        <v>22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  <c r="M15" t="s">
        <v>18</v>
      </c>
      <c r="N15" t="s">
        <v>18</v>
      </c>
      <c r="O15" t="s">
        <v>18</v>
      </c>
    </row>
    <row r="17" spans="1:15" ht="15">
      <c r="A17" t="s">
        <v>21</v>
      </c>
      <c r="B17" t="s">
        <v>15</v>
      </c>
      <c r="D17" t="s">
        <v>22</v>
      </c>
      <c r="E17" t="s">
        <v>22</v>
      </c>
      <c r="F17" s="11" t="s">
        <v>16</v>
      </c>
      <c r="G17" s="12" t="s">
        <v>16</v>
      </c>
      <c r="H17" s="12" t="s">
        <v>16</v>
      </c>
      <c r="I17" s="12" t="s">
        <v>16</v>
      </c>
      <c r="J17" s="12" t="s">
        <v>16</v>
      </c>
      <c r="K17" s="12" t="s">
        <v>16</v>
      </c>
      <c r="L17" s="12" t="s">
        <v>16</v>
      </c>
      <c r="M17" s="12" t="s">
        <v>16</v>
      </c>
      <c r="N17" s="12" t="s">
        <v>16</v>
      </c>
      <c r="O17" s="12" t="s">
        <v>16</v>
      </c>
    </row>
    <row r="18" spans="2:15" ht="15">
      <c r="B18" t="s">
        <v>23</v>
      </c>
      <c r="D18" t="s">
        <v>22</v>
      </c>
      <c r="E18" t="s">
        <v>22</v>
      </c>
      <c r="F18" s="11" t="s">
        <v>16</v>
      </c>
      <c r="G18" s="12" t="s">
        <v>16</v>
      </c>
      <c r="H18" s="12" t="s">
        <v>16</v>
      </c>
      <c r="I18" s="12" t="s">
        <v>16</v>
      </c>
      <c r="J18" s="12" t="s">
        <v>16</v>
      </c>
      <c r="K18" s="12" t="s">
        <v>16</v>
      </c>
      <c r="L18" s="12" t="s">
        <v>16</v>
      </c>
      <c r="M18" s="12" t="s">
        <v>16</v>
      </c>
      <c r="N18" s="12" t="s">
        <v>16</v>
      </c>
      <c r="O18" s="12" t="s">
        <v>16</v>
      </c>
    </row>
    <row r="19" spans="2:18" ht="15">
      <c r="B19" t="s">
        <v>24</v>
      </c>
      <c r="D19" s="13" t="s">
        <v>22</v>
      </c>
      <c r="E19" s="13" t="s">
        <v>22</v>
      </c>
      <c r="F19" s="13" t="s">
        <v>22</v>
      </c>
      <c r="G19" s="13" t="s">
        <v>22</v>
      </c>
      <c r="H19" s="13" t="s">
        <v>22</v>
      </c>
      <c r="I19" s="13" t="s">
        <v>22</v>
      </c>
      <c r="J19" s="13" t="s">
        <v>22</v>
      </c>
      <c r="K19" s="13" t="s">
        <v>22</v>
      </c>
      <c r="L19" s="11" t="s">
        <v>16</v>
      </c>
      <c r="M19" s="12" t="s">
        <v>16</v>
      </c>
      <c r="N19" s="12" t="s">
        <v>16</v>
      </c>
      <c r="O19" s="12" t="s">
        <v>16</v>
      </c>
      <c r="P19" s="12" t="s">
        <v>16</v>
      </c>
      <c r="Q19" s="12" t="s">
        <v>16</v>
      </c>
      <c r="R19" s="12" t="s">
        <v>16</v>
      </c>
    </row>
    <row r="20" spans="2:18" ht="15">
      <c r="B20" t="s">
        <v>96</v>
      </c>
      <c r="D20" s="13" t="s">
        <v>22</v>
      </c>
      <c r="E20" s="13" t="s">
        <v>22</v>
      </c>
      <c r="F20" s="13" t="s">
        <v>22</v>
      </c>
      <c r="G20" s="13" t="s">
        <v>22</v>
      </c>
      <c r="H20" s="13" t="s">
        <v>22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2"/>
    </row>
    <row r="21" ht="15">
      <c r="A21" s="14" t="s">
        <v>25</v>
      </c>
    </row>
    <row r="22" spans="2:15" ht="15">
      <c r="B22" s="15" t="s">
        <v>26</v>
      </c>
      <c r="D22" s="16">
        <f>D23/$C$23</f>
        <v>0.12885503407365848</v>
      </c>
      <c r="E22" s="16">
        <f t="shared" si="0" ref="E22:O22">E23/$C$23</f>
        <v>0.11645647466334119</v>
      </c>
      <c r="F22" s="16">
        <f t="shared" si="0"/>
        <v>0.097441063671361197</v>
      </c>
      <c r="G22" s="16">
        <f t="shared" si="0"/>
        <v>0.06799092009988475</v>
      </c>
      <c r="H22" s="16">
        <f t="shared" si="0"/>
        <v>0.063534714435379114</v>
      </c>
      <c r="I22" s="16">
        <f t="shared" si="0"/>
        <v>0.048585545906572276</v>
      </c>
      <c r="J22" s="16">
        <f t="shared" si="0"/>
        <v>0.048036846093920726</v>
      </c>
      <c r="K22" s="16">
        <f t="shared" si="0"/>
        <v>0.053478097939496601</v>
      </c>
      <c r="L22" s="16">
        <f t="shared" si="0"/>
        <v>0.066732887219844259</v>
      </c>
      <c r="M22" s="16">
        <f t="shared" si="0"/>
        <v>0.087860720067002934</v>
      </c>
      <c r="N22" s="16">
        <f t="shared" si="0"/>
        <v>0.10403152619958545</v>
      </c>
      <c r="O22" s="16">
        <f t="shared" si="0"/>
        <v>0.11699616962995298</v>
      </c>
    </row>
    <row r="23" spans="2:15" ht="15">
      <c r="B23" t="s">
        <v>27</v>
      </c>
      <c r="C23" s="17">
        <f>SUM(D23:O23)</f>
        <v>14471033.628139529</v>
      </c>
      <c r="D23" s="17">
        <v>1864665.5312349768</v>
      </c>
      <c r="E23" s="17">
        <v>1685245.5610677896</v>
      </c>
      <c r="F23" s="17">
        <v>1410072.9091499529</v>
      </c>
      <c r="G23" s="17">
        <v>983898.89117358008</v>
      </c>
      <c r="H23" s="17">
        <v>919412.98914861318</v>
      </c>
      <c r="I23" s="17">
        <v>703083.06865552429</v>
      </c>
      <c r="J23" s="17">
        <v>695142.81521488982</v>
      </c>
      <c r="K23" s="17">
        <v>773883.3536513946</v>
      </c>
      <c r="L23" s="17">
        <v>965693.85506120895</v>
      </c>
      <c r="M23" s="17">
        <v>1271435.4346821529</v>
      </c>
      <c r="N23" s="17">
        <v>1505443.7140208795</v>
      </c>
      <c r="O23" s="17">
        <v>1693055.5050785663</v>
      </c>
    </row>
    <row r="24" spans="2:15" ht="15">
      <c r="B24" t="s">
        <v>28</v>
      </c>
      <c r="C24" s="18">
        <v>6592661</v>
      </c>
      <c r="D24" s="17">
        <f>D25*$C$24</f>
        <v>809014.32507746201</v>
      </c>
      <c r="E24" s="17">
        <f t="shared" si="1" ref="E24:O24">E25*$C$24</f>
        <v>579233.45506721467</v>
      </c>
      <c r="F24" s="17">
        <f t="shared" si="1"/>
        <v>464561.52050412691</v>
      </c>
      <c r="G24" s="17">
        <f t="shared" si="1"/>
        <v>550308.5308109693</v>
      </c>
      <c r="H24" s="17">
        <f t="shared" si="1"/>
        <v>480433.8906342265</v>
      </c>
      <c r="I24" s="17">
        <f t="shared" si="1"/>
        <v>398048.95910882764</v>
      </c>
      <c r="J24" s="17">
        <f t="shared" si="1"/>
        <v>370892.5384730947</v>
      </c>
      <c r="K24" s="17">
        <f t="shared" si="1"/>
        <v>361429.89985527145</v>
      </c>
      <c r="L24" s="17">
        <f t="shared" si="1"/>
        <v>429817.4339148603</v>
      </c>
      <c r="M24" s="17">
        <f t="shared" si="1"/>
        <v>624838.92275177385</v>
      </c>
      <c r="N24" s="17">
        <f t="shared" si="1"/>
        <v>735009.26402655442</v>
      </c>
      <c r="O24" s="17">
        <f t="shared" si="1"/>
        <v>789072.25977561786</v>
      </c>
    </row>
    <row r="25" spans="2:15" ht="15.75" thickBot="1">
      <c r="B25" t="s">
        <v>29</v>
      </c>
      <c r="C25" s="19"/>
      <c r="D25" s="20">
        <v>0.12271438271700334</v>
      </c>
      <c r="E25" s="20">
        <v>0.087860342745852499</v>
      </c>
      <c r="F25" s="20">
        <v>0.070466465741849449</v>
      </c>
      <c r="G25" s="20">
        <v>0.083472899760956815</v>
      </c>
      <c r="H25" s="20">
        <v>0.072874047464935102</v>
      </c>
      <c r="I25" s="20">
        <v>0.060377586396271193</v>
      </c>
      <c r="J25" s="20">
        <v>0.056258396795026269</v>
      </c>
      <c r="K25" s="20">
        <v>0.054823067628575389</v>
      </c>
      <c r="L25" s="20">
        <v>0.06519634998900449</v>
      </c>
      <c r="M25" s="20">
        <v>0.094777954266384065</v>
      </c>
      <c r="N25" s="20">
        <v>0.11148901240736547</v>
      </c>
      <c r="O25" s="20">
        <v>0.11968949408677587</v>
      </c>
    </row>
    <row r="26" ht="15.75" thickTop="1">
      <c r="C26" s="17"/>
    </row>
    <row r="27" spans="1:18" ht="15">
      <c r="A27" s="14">
        <v>0.30</v>
      </c>
      <c r="B27" t="s">
        <v>15</v>
      </c>
      <c r="C27" s="17">
        <f>SUM(D27:O27)</f>
        <v>1977798.2999999998</v>
      </c>
      <c r="D27" s="17">
        <f>D$24*$A27</f>
        <v>242704.29752323858</v>
      </c>
      <c r="E27" s="17">
        <f t="shared" si="2" ref="E27:O28">E$24*$A27</f>
        <v>173770.0365201644</v>
      </c>
      <c r="F27" s="17">
        <f t="shared" si="2"/>
        <v>139368.45615123806</v>
      </c>
      <c r="G27" s="17">
        <f t="shared" si="2"/>
        <v>165092.55924329077</v>
      </c>
      <c r="H27" s="17">
        <f t="shared" si="2"/>
        <v>144130.16719026794</v>
      </c>
      <c r="I27" s="17">
        <f t="shared" si="2"/>
        <v>119414.68773264828</v>
      </c>
      <c r="J27" s="17">
        <f t="shared" si="2"/>
        <v>111267.76154192841</v>
      </c>
      <c r="K27" s="17">
        <f t="shared" si="2"/>
        <v>108428.96995658144</v>
      </c>
      <c r="L27" s="17">
        <f t="shared" si="2"/>
        <v>128945.23017445809</v>
      </c>
      <c r="M27" s="17">
        <f t="shared" si="2"/>
        <v>187451.67682553214</v>
      </c>
      <c r="N27" s="17">
        <f t="shared" si="2"/>
        <v>220502.77920796632</v>
      </c>
      <c r="O27" s="17">
        <f t="shared" si="2"/>
        <v>236721.67793268536</v>
      </c>
      <c r="P27" s="17">
        <f>D27</f>
        <v>242704.29752323858</v>
      </c>
      <c r="Q27" s="17">
        <f t="shared" si="3" ref="Q27:R28">E27</f>
        <v>173770.0365201644</v>
      </c>
      <c r="R27" s="17">
        <f t="shared" si="3"/>
        <v>139368.45615123806</v>
      </c>
    </row>
    <row r="28" spans="1:18" ht="15">
      <c r="A28" s="14">
        <v>0.70</v>
      </c>
      <c r="B28" t="s">
        <v>19</v>
      </c>
      <c r="C28" s="17">
        <f>SUM(D28:O28)</f>
        <v>4614862.6999999993</v>
      </c>
      <c r="D28" s="17">
        <f t="shared" si="4" ref="D28">D$24*$A28</f>
        <v>566310.02755422331</v>
      </c>
      <c r="E28" s="17">
        <f t="shared" si="2"/>
        <v>405463.41854705027</v>
      </c>
      <c r="F28" s="17">
        <f t="shared" si="2"/>
        <v>325193.06435288879</v>
      </c>
      <c r="G28" s="21">
        <f t="shared" si="2"/>
        <v>385215.9715676785</v>
      </c>
      <c r="H28" s="22">
        <f t="shared" si="2"/>
        <v>336303.7234439585</v>
      </c>
      <c r="I28" s="22">
        <f t="shared" si="2"/>
        <v>278634.2713761793</v>
      </c>
      <c r="J28" s="22">
        <f t="shared" si="2"/>
        <v>259624.77693116627</v>
      </c>
      <c r="K28" s="22">
        <f t="shared" si="2"/>
        <v>253000.92989869</v>
      </c>
      <c r="L28" s="22">
        <f t="shared" si="2"/>
        <v>300872.20374040218</v>
      </c>
      <c r="M28" s="22">
        <f t="shared" si="2"/>
        <v>437387.24592624168</v>
      </c>
      <c r="N28" s="22">
        <f t="shared" si="2"/>
        <v>514506.48481858807</v>
      </c>
      <c r="O28" s="17">
        <f t="shared" si="2"/>
        <v>552350.5818429325</v>
      </c>
      <c r="P28" s="17">
        <f t="shared" si="5" ref="P28">D28</f>
        <v>566310.02755422331</v>
      </c>
      <c r="Q28" s="17">
        <f t="shared" si="3"/>
        <v>405463.41854705027</v>
      </c>
      <c r="R28" s="17">
        <f t="shared" si="3"/>
        <v>325193.06435288879</v>
      </c>
    </row>
    <row r="29" spans="2:18" ht="15.75" thickBot="1">
      <c r="B29" t="s">
        <v>30</v>
      </c>
      <c r="G29" s="8" t="s">
        <v>31</v>
      </c>
      <c r="H29" s="9" t="s">
        <v>1</v>
      </c>
      <c r="I29" s="9" t="s">
        <v>2</v>
      </c>
      <c r="J29" s="9" t="s">
        <v>3</v>
      </c>
      <c r="K29" s="9" t="s">
        <v>4</v>
      </c>
      <c r="L29" s="9" t="s">
        <v>5</v>
      </c>
      <c r="M29" s="9" t="s">
        <v>6</v>
      </c>
      <c r="N29" s="9" t="s">
        <v>7</v>
      </c>
      <c r="O29" s="9" t="s">
        <v>8</v>
      </c>
      <c r="P29" s="9" t="s">
        <v>9</v>
      </c>
      <c r="Q29" s="9" t="s">
        <v>10</v>
      </c>
      <c r="R29" s="10" t="s">
        <v>11</v>
      </c>
    </row>
    <row r="30" spans="2:18" ht="15">
      <c r="B30" t="s">
        <v>32</v>
      </c>
      <c r="G30" s="2" t="s">
        <v>6</v>
      </c>
      <c r="H30" s="2" t="s">
        <v>33</v>
      </c>
      <c r="I30" s="2" t="s">
        <v>7</v>
      </c>
      <c r="J30" s="23" t="s">
        <v>34</v>
      </c>
      <c r="K30" s="2" t="s">
        <v>8</v>
      </c>
      <c r="L30" s="23" t="s">
        <v>35</v>
      </c>
      <c r="M30" s="2" t="s">
        <v>9</v>
      </c>
      <c r="N30" s="23" t="s">
        <v>36</v>
      </c>
      <c r="O30" s="24" t="s">
        <v>10</v>
      </c>
      <c r="P30" s="2" t="s">
        <v>37</v>
      </c>
      <c r="Q30" s="2" t="s">
        <v>11</v>
      </c>
      <c r="R30" s="2" t="s">
        <v>38</v>
      </c>
    </row>
    <row r="31" spans="2:18" ht="15">
      <c r="B31" t="s">
        <v>39</v>
      </c>
      <c r="G31" s="25">
        <v>6</v>
      </c>
      <c r="H31" s="25">
        <f>G31-0.5</f>
        <v>5.50</v>
      </c>
      <c r="I31" s="25">
        <f t="shared" si="6" ref="I31:R31">H31-0.5</f>
        <v>5</v>
      </c>
      <c r="J31" s="25">
        <f t="shared" si="6"/>
        <v>4.50</v>
      </c>
      <c r="K31" s="25">
        <f t="shared" si="6"/>
        <v>4</v>
      </c>
      <c r="L31" s="25">
        <f t="shared" si="6"/>
        <v>3.50</v>
      </c>
      <c r="M31" s="25">
        <f t="shared" si="6"/>
        <v>3</v>
      </c>
      <c r="N31" s="25">
        <f t="shared" si="6"/>
        <v>2.50</v>
      </c>
      <c r="O31" s="25">
        <f t="shared" si="6"/>
        <v>2</v>
      </c>
      <c r="P31" s="25">
        <f t="shared" si="6"/>
        <v>1.50</v>
      </c>
      <c r="Q31" s="25">
        <f t="shared" si="6"/>
        <v>1</v>
      </c>
      <c r="R31" s="25">
        <f t="shared" si="6"/>
        <v>0.50</v>
      </c>
    </row>
    <row r="32" spans="2:18" ht="15">
      <c r="B32" t="s">
        <v>40</v>
      </c>
      <c r="C32" s="26">
        <f>SUM(G32:R32)</f>
        <v>6376255.8924840055</v>
      </c>
      <c r="G32" s="17">
        <f>G28/2/2*G31</f>
        <v>577823.95735151775</v>
      </c>
      <c r="H32" s="17">
        <f t="shared" si="7" ref="H32:R32">H28/2*H31</f>
        <v>924835.23947088583</v>
      </c>
      <c r="I32" s="17">
        <f t="shared" si="7"/>
        <v>696585.67844044825</v>
      </c>
      <c r="J32" s="17">
        <f t="shared" si="7"/>
        <v>584155.74809512415</v>
      </c>
      <c r="K32" s="17">
        <f t="shared" si="7"/>
        <v>506001.85979737999</v>
      </c>
      <c r="L32" s="17">
        <f t="shared" si="7"/>
        <v>526526.35654570383</v>
      </c>
      <c r="M32" s="17">
        <f t="shared" si="7"/>
        <v>656080.86888936255</v>
      </c>
      <c r="N32" s="17">
        <f t="shared" si="7"/>
        <v>643133.10602323513</v>
      </c>
      <c r="O32" s="17">
        <f t="shared" si="7"/>
        <v>552350.5818429325</v>
      </c>
      <c r="P32" s="17">
        <f t="shared" si="7"/>
        <v>424732.52066566749</v>
      </c>
      <c r="Q32" s="17">
        <f t="shared" si="7"/>
        <v>202731.70927352514</v>
      </c>
      <c r="R32" s="17">
        <f t="shared" si="7"/>
        <v>81298.266088222197</v>
      </c>
    </row>
    <row r="33" spans="2:18" ht="15.75" thickBot="1">
      <c r="B33" t="s">
        <v>41</v>
      </c>
      <c r="C33" s="26"/>
      <c r="G33" s="9" t="s">
        <v>9</v>
      </c>
      <c r="H33" s="9" t="s">
        <v>10</v>
      </c>
      <c r="I33" s="9" t="s">
        <v>11</v>
      </c>
      <c r="J33" s="9" t="s">
        <v>0</v>
      </c>
      <c r="K33" s="9" t="s">
        <v>1</v>
      </c>
      <c r="L33" s="9" t="s">
        <v>2</v>
      </c>
      <c r="M33" s="9" t="s">
        <v>3</v>
      </c>
      <c r="N33" s="9" t="s">
        <v>4</v>
      </c>
      <c r="O33" s="9" t="s">
        <v>5</v>
      </c>
      <c r="P33" s="9" t="s">
        <v>6</v>
      </c>
      <c r="Q33" s="9" t="s">
        <v>7</v>
      </c>
      <c r="R33" s="9" t="s">
        <v>8</v>
      </c>
    </row>
    <row r="34" spans="2:18" ht="15.75" thickBot="1">
      <c r="B34" s="27" t="s">
        <v>42</v>
      </c>
      <c r="C34" s="28">
        <f>SUM(G34:R34)</f>
        <v>10991118.592484005</v>
      </c>
      <c r="D34" s="29"/>
      <c r="E34" s="29"/>
      <c r="F34" s="30"/>
      <c r="G34" s="30">
        <f t="shared" si="8" ref="G34:R34">G32+G28</f>
        <v>963039.92891919625</v>
      </c>
      <c r="H34" s="30">
        <f t="shared" si="8"/>
        <v>1261138.9629148443</v>
      </c>
      <c r="I34" s="30">
        <f t="shared" si="8"/>
        <v>975219.94981662754</v>
      </c>
      <c r="J34" s="30">
        <f t="shared" si="8"/>
        <v>843780.52502629044</v>
      </c>
      <c r="K34" s="30">
        <f t="shared" si="8"/>
        <v>759002.78969607002</v>
      </c>
      <c r="L34" s="30">
        <f t="shared" si="8"/>
        <v>827398.56028610608</v>
      </c>
      <c r="M34" s="30">
        <f t="shared" si="8"/>
        <v>1093468.1148156042</v>
      </c>
      <c r="N34" s="30">
        <f t="shared" si="8"/>
        <v>1157639.5908418233</v>
      </c>
      <c r="O34" s="30">
        <f t="shared" si="8"/>
        <v>1104701.163685865</v>
      </c>
      <c r="P34" s="30">
        <f t="shared" si="8"/>
        <v>991042.5482198908</v>
      </c>
      <c r="Q34" s="30">
        <f t="shared" si="8"/>
        <v>608195.12782057538</v>
      </c>
      <c r="R34" s="30">
        <f t="shared" si="8"/>
        <v>406491.330441111</v>
      </c>
    </row>
    <row r="35" spans="2:27" ht="15">
      <c r="B35" s="31"/>
      <c r="C35" s="32"/>
      <c r="D35" s="1" t="s">
        <v>0</v>
      </c>
      <c r="E35" s="1" t="s">
        <v>1</v>
      </c>
      <c r="F35" s="1" t="s">
        <v>2</v>
      </c>
      <c r="G35" s="1" t="s">
        <v>3</v>
      </c>
      <c r="H35" s="1" t="s">
        <v>4</v>
      </c>
      <c r="I35" s="1" t="s">
        <v>5</v>
      </c>
      <c r="J35" s="1" t="s">
        <v>6</v>
      </c>
      <c r="K35" s="1" t="s">
        <v>7</v>
      </c>
      <c r="L35" s="1" t="s">
        <v>8</v>
      </c>
      <c r="M35" s="1" t="s">
        <v>9</v>
      </c>
      <c r="N35" s="1" t="s">
        <v>10</v>
      </c>
      <c r="O35" s="1" t="s">
        <v>11</v>
      </c>
      <c r="P35" s="1" t="s">
        <v>0</v>
      </c>
      <c r="Q35" s="1" t="s">
        <v>1</v>
      </c>
      <c r="R35" s="1" t="s">
        <v>2</v>
      </c>
      <c r="S35" s="1" t="s">
        <v>3</v>
      </c>
      <c r="T35" s="1" t="s">
        <v>4</v>
      </c>
      <c r="U35" s="1" t="s">
        <v>5</v>
      </c>
      <c r="V35" s="1" t="s">
        <v>6</v>
      </c>
      <c r="W35" s="1" t="s">
        <v>7</v>
      </c>
      <c r="X35" s="1" t="s">
        <v>8</v>
      </c>
      <c r="Y35" s="1" t="s">
        <v>9</v>
      </c>
      <c r="Z35" s="1" t="s">
        <v>10</v>
      </c>
      <c r="AA35" s="1" t="s">
        <v>11</v>
      </c>
    </row>
    <row r="36" spans="2:26" ht="15">
      <c r="B36" s="33" t="s">
        <v>43</v>
      </c>
      <c r="C36" s="32"/>
      <c r="D36" s="31"/>
      <c r="E36" s="31"/>
      <c r="F36" s="34">
        <f>G34</f>
        <v>963039.92891919625</v>
      </c>
      <c r="G36" s="34">
        <f t="shared" si="9" ref="G36:Z36">F36+H34</f>
        <v>2224178.8918340406</v>
      </c>
      <c r="H36" s="34">
        <f t="shared" si="9"/>
        <v>3199398.8416506681</v>
      </c>
      <c r="I36" s="34">
        <f t="shared" si="9"/>
        <v>4043179.3666769583</v>
      </c>
      <c r="J36" s="34">
        <f t="shared" si="9"/>
        <v>4802182.1563730286</v>
      </c>
      <c r="K36" s="34">
        <f t="shared" si="9"/>
        <v>5629580.7166591343</v>
      </c>
      <c r="L36" s="34">
        <f t="shared" si="9"/>
        <v>6723048.8314747382</v>
      </c>
      <c r="M36" s="34">
        <f t="shared" si="9"/>
        <v>7880688.4223165615</v>
      </c>
      <c r="N36" s="34">
        <f t="shared" si="9"/>
        <v>8985389.5860024262</v>
      </c>
      <c r="O36" s="34">
        <f t="shared" si="9"/>
        <v>9976432.1342223175</v>
      </c>
      <c r="P36" s="34">
        <f t="shared" si="9"/>
        <v>10584627.262042893</v>
      </c>
      <c r="Q36" s="34">
        <f t="shared" si="9"/>
        <v>10991118.592484005</v>
      </c>
      <c r="R36" s="34">
        <f t="shared" si="9"/>
        <v>10991118.592484005</v>
      </c>
      <c r="S36" s="34">
        <f t="shared" si="9"/>
        <v>10991118.592484005</v>
      </c>
      <c r="T36" s="34">
        <f t="shared" si="9"/>
        <v>10991118.592484005</v>
      </c>
      <c r="U36" s="34">
        <f t="shared" si="9"/>
        <v>10991118.592484005</v>
      </c>
      <c r="V36" s="34">
        <f t="shared" si="9"/>
        <v>10991118.592484005</v>
      </c>
      <c r="W36" s="34">
        <f t="shared" si="9"/>
        <v>10991118.592484005</v>
      </c>
      <c r="X36" s="34">
        <f t="shared" si="9"/>
        <v>10991118.592484005</v>
      </c>
      <c r="Y36" s="34">
        <f t="shared" si="9"/>
        <v>10991118.592484005</v>
      </c>
      <c r="Z36" s="34">
        <f t="shared" si="9"/>
        <v>10991118.592484005</v>
      </c>
    </row>
    <row r="37" spans="2:26" ht="15">
      <c r="B37" s="33" t="s">
        <v>44</v>
      </c>
      <c r="C37" s="32"/>
      <c r="D37" s="31"/>
      <c r="E37" s="31"/>
      <c r="F37" s="31"/>
      <c r="G37" s="32"/>
      <c r="H37" s="32"/>
      <c r="I37" s="32"/>
      <c r="J37" s="32"/>
      <c r="K37" s="32"/>
      <c r="L37" s="32"/>
      <c r="M37" s="34">
        <f>-G34</f>
        <v>-963039.92891919625</v>
      </c>
      <c r="N37" s="34">
        <f>M37-H34</f>
        <v>-2224178.8918340406</v>
      </c>
      <c r="O37" s="34">
        <f>N37-I34</f>
        <v>-3199398.8416506681</v>
      </c>
      <c r="P37" s="34">
        <f>O37-J34</f>
        <v>-4043179.3666769583</v>
      </c>
      <c r="Q37" s="34">
        <f>P37-K34</f>
        <v>-4802182.1563730286</v>
      </c>
      <c r="R37" s="34">
        <f>Q37-L34</f>
        <v>-5629580.7166591343</v>
      </c>
      <c r="S37" s="34">
        <f t="shared" si="10" ref="S37:Z37">R37-M34</f>
        <v>-6723048.8314747382</v>
      </c>
      <c r="T37" s="34">
        <f t="shared" si="10"/>
        <v>-7880688.4223165615</v>
      </c>
      <c r="U37" s="34">
        <f t="shared" si="10"/>
        <v>-8985389.5860024262</v>
      </c>
      <c r="V37" s="34">
        <f t="shared" si="10"/>
        <v>-9976432.1342223175</v>
      </c>
      <c r="W37" s="34">
        <f t="shared" si="10"/>
        <v>-10584627.262042893</v>
      </c>
      <c r="X37" s="34">
        <f t="shared" si="10"/>
        <v>-10991118.592484005</v>
      </c>
      <c r="Y37" s="34">
        <f t="shared" si="10"/>
        <v>-10991118.592484005</v>
      </c>
      <c r="Z37" s="34">
        <f t="shared" si="10"/>
        <v>-10991118.592484005</v>
      </c>
    </row>
    <row r="38" spans="2:26" ht="15">
      <c r="B38" s="33" t="s">
        <v>112</v>
      </c>
      <c r="C38" s="32"/>
      <c r="D38" s="31"/>
      <c r="E38" s="31"/>
      <c r="F38" s="34">
        <f>F36+F37</f>
        <v>963039.92891919625</v>
      </c>
      <c r="G38" s="34">
        <f t="shared" si="11" ref="G38:Z38">G36+G37</f>
        <v>2224178.8918340406</v>
      </c>
      <c r="H38" s="34">
        <f t="shared" si="11"/>
        <v>3199398.8416506681</v>
      </c>
      <c r="I38" s="34">
        <f t="shared" si="11"/>
        <v>4043179.3666769583</v>
      </c>
      <c r="J38" s="34">
        <f t="shared" si="11"/>
        <v>4802182.1563730286</v>
      </c>
      <c r="K38" s="34">
        <f t="shared" si="11"/>
        <v>5629580.7166591343</v>
      </c>
      <c r="L38" s="34">
        <f t="shared" si="11"/>
        <v>6723048.8314747382</v>
      </c>
      <c r="M38" s="34">
        <f t="shared" si="11"/>
        <v>6917648.4933973653</v>
      </c>
      <c r="N38" s="34">
        <f t="shared" si="11"/>
        <v>6761210.6941683851</v>
      </c>
      <c r="O38" s="34">
        <f t="shared" si="11"/>
        <v>6777033.292571649</v>
      </c>
      <c r="P38" s="34">
        <f t="shared" si="11"/>
        <v>6541447.8953659348</v>
      </c>
      <c r="Q38" s="34">
        <f t="shared" si="11"/>
        <v>6188936.4361109762</v>
      </c>
      <c r="R38" s="34">
        <f t="shared" si="11"/>
        <v>5361537.8758248705</v>
      </c>
      <c r="S38" s="34">
        <f t="shared" si="11"/>
        <v>4268069.7610092666</v>
      </c>
      <c r="T38" s="34">
        <f t="shared" si="11"/>
        <v>3110430.1701674433</v>
      </c>
      <c r="U38" s="34">
        <f t="shared" si="11"/>
        <v>2005729.0064815786</v>
      </c>
      <c r="V38" s="34">
        <f t="shared" si="11"/>
        <v>1014686.4582616873</v>
      </c>
      <c r="W38" s="34">
        <f t="shared" si="11"/>
        <v>406491.3304411117</v>
      </c>
      <c r="X38" s="34">
        <f t="shared" si="11"/>
        <v>0</v>
      </c>
      <c r="Y38" s="34">
        <f t="shared" si="11"/>
        <v>0</v>
      </c>
      <c r="Z38" s="34">
        <f t="shared" si="11"/>
        <v>0</v>
      </c>
    </row>
    <row r="39" spans="2:26" ht="15">
      <c r="B39" s="33" t="s">
        <v>113</v>
      </c>
      <c r="C39" s="32"/>
      <c r="D39" s="31"/>
      <c r="E39" s="31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2:26" ht="15">
      <c r="B40" s="33" t="s">
        <v>114</v>
      </c>
      <c r="C40" s="32"/>
      <c r="D40" s="31"/>
      <c r="E40" s="31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2" spans="2:26" ht="15">
      <c r="B42" s="33" t="s">
        <v>46</v>
      </c>
      <c r="C42" s="32"/>
      <c r="D42" s="31"/>
      <c r="E42" s="31"/>
      <c r="F42" s="34">
        <f>F38*F46</f>
        <v>306719.09308413148</v>
      </c>
      <c r="G42" s="34">
        <f t="shared" si="12" ref="G42:W42">G38*G46</f>
        <v>635037.25177881017</v>
      </c>
      <c r="H42" s="34">
        <f t="shared" si="12"/>
        <v>693530.73570796475</v>
      </c>
      <c r="I42" s="34">
        <f t="shared" si="12"/>
        <v>1134536.7525578367</v>
      </c>
      <c r="J42" s="34">
        <f t="shared" si="12"/>
        <v>1567062.4861358285</v>
      </c>
      <c r="K42" s="34">
        <f t="shared" si="12"/>
        <v>2683455.0828396329</v>
      </c>
      <c r="L42" s="34">
        <f t="shared" si="12"/>
        <v>2095183.1236774048</v>
      </c>
      <c r="M42" s="34">
        <f t="shared" si="12"/>
        <v>2896471.7374241669</v>
      </c>
      <c r="N42" s="34">
        <f t="shared" si="12"/>
        <v>2015657.3840612487</v>
      </c>
      <c r="O42" s="34">
        <f t="shared" si="12"/>
        <v>1634752.398209828</v>
      </c>
      <c r="P42" s="34">
        <f t="shared" si="12"/>
        <v>2103510.8903061054</v>
      </c>
      <c r="Q42" s="34">
        <f t="shared" si="12"/>
        <v>1141256.9623698453</v>
      </c>
      <c r="R42" s="34">
        <f t="shared" si="12"/>
        <v>1707599.0158111143</v>
      </c>
      <c r="S42" s="34">
        <f t="shared" si="12"/>
        <v>1218599.5026670748</v>
      </c>
      <c r="T42" s="34">
        <f t="shared" si="12"/>
        <v>674245.07885722746</v>
      </c>
      <c r="U42" s="34">
        <f t="shared" si="12"/>
        <v>562817.78945536457</v>
      </c>
      <c r="V42" s="34">
        <f t="shared" si="12"/>
        <v>331115.52876471158</v>
      </c>
      <c r="W42" s="34">
        <f t="shared" si="12"/>
        <v>193762.42773720817</v>
      </c>
      <c r="X42" s="34"/>
      <c r="Y42" s="34"/>
      <c r="Z42" s="34"/>
    </row>
    <row r="43" spans="2:23" ht="15">
      <c r="B43" s="33" t="s">
        <v>47</v>
      </c>
      <c r="F43" s="17">
        <f>F38-F42</f>
        <v>656320.83583506476</v>
      </c>
      <c r="G43" s="17">
        <f t="shared" si="13" ref="G43:W43">G38-G42</f>
        <v>1589141.6400552304</v>
      </c>
      <c r="H43" s="17">
        <f t="shared" si="13"/>
        <v>2505868.1059427033</v>
      </c>
      <c r="I43" s="17">
        <f t="shared" si="13"/>
        <v>2908642.6141191218</v>
      </c>
      <c r="J43" s="17">
        <f t="shared" si="13"/>
        <v>3235119.6702372003</v>
      </c>
      <c r="K43" s="17">
        <f t="shared" si="13"/>
        <v>2946125.6338195014</v>
      </c>
      <c r="L43" s="17">
        <f t="shared" si="13"/>
        <v>4627865.7077973336</v>
      </c>
      <c r="M43" s="17">
        <f t="shared" si="13"/>
        <v>4021176.7559731985</v>
      </c>
      <c r="N43" s="17">
        <f t="shared" si="13"/>
        <v>4745553.3101071361</v>
      </c>
      <c r="O43" s="17">
        <f t="shared" si="13"/>
        <v>5142280.894361821</v>
      </c>
      <c r="P43" s="17">
        <f t="shared" si="13"/>
        <v>4437937.005059829</v>
      </c>
      <c r="Q43" s="17">
        <f t="shared" si="13"/>
        <v>5047679.4737411309</v>
      </c>
      <c r="R43" s="17">
        <f t="shared" si="13"/>
        <v>3653938.860013756</v>
      </c>
      <c r="S43" s="17">
        <f t="shared" si="13"/>
        <v>3049470.2583421916</v>
      </c>
      <c r="T43" s="17">
        <f t="shared" si="13"/>
        <v>2436185.0913102161</v>
      </c>
      <c r="U43" s="17">
        <f t="shared" si="13"/>
        <v>1442911.2170262141</v>
      </c>
      <c r="V43" s="17">
        <f t="shared" si="13"/>
        <v>683570.92949697573</v>
      </c>
      <c r="W43" s="17">
        <f t="shared" si="13"/>
        <v>212728.90270390353</v>
      </c>
    </row>
    <row r="46" spans="2:27" ht="15">
      <c r="B46" t="s">
        <v>48</v>
      </c>
      <c r="F46" s="35">
        <v>0.31849052554690771</v>
      </c>
      <c r="G46" s="35">
        <v>0.28551536664173777</v>
      </c>
      <c r="H46" s="35">
        <v>0.21676907757775862</v>
      </c>
      <c r="I46" s="35">
        <v>0.28060510050789539</v>
      </c>
      <c r="J46" s="35">
        <v>0.3263229996505157</v>
      </c>
      <c r="K46" s="35">
        <v>0.47667050494519336</v>
      </c>
      <c r="L46" s="35">
        <v>0.31164181254620082</v>
      </c>
      <c r="M46" s="35">
        <v>0.4187075622863376</v>
      </c>
      <c r="N46" s="35">
        <v>0.29812077677149956</v>
      </c>
      <c r="O46" s="35">
        <v>0.24121947283359091</v>
      </c>
      <c r="P46" s="35">
        <v>0.32156655895650649</v>
      </c>
      <c r="Q46" s="35">
        <v>0.18440276033712053</v>
      </c>
      <c r="R46" s="35">
        <v>0.31849052554690771</v>
      </c>
      <c r="S46" s="35">
        <v>0.28551536664173777</v>
      </c>
      <c r="T46" s="35">
        <v>0.21676907757775862</v>
      </c>
      <c r="U46" s="35">
        <v>0.28060510050789539</v>
      </c>
      <c r="V46" s="35">
        <v>0.3263229996505157</v>
      </c>
      <c r="W46" s="35">
        <v>0.47667050494519336</v>
      </c>
      <c r="X46" s="35">
        <v>0.31164181254620082</v>
      </c>
      <c r="Y46" s="35">
        <v>0.4187075622863376</v>
      </c>
      <c r="Z46" s="35">
        <v>0.29812077677149956</v>
      </c>
      <c r="AA46" s="35">
        <v>0.24121947283359091</v>
      </c>
    </row>
    <row r="49" spans="2:4" ht="15">
      <c r="B49" t="s">
        <v>49</v>
      </c>
      <c r="D49" t="s">
        <v>50</v>
      </c>
    </row>
    <row r="50" spans="2:4" ht="15">
      <c r="B50" t="s">
        <v>51</v>
      </c>
      <c r="D50" t="s">
        <v>52</v>
      </c>
    </row>
    <row r="52" ht="15">
      <c r="B52" t="s">
        <v>53</v>
      </c>
    </row>
    <row r="53" ht="15">
      <c r="B53" t="s">
        <v>54</v>
      </c>
    </row>
    <row r="55" ht="15">
      <c r="B55" t="s">
        <v>55</v>
      </c>
    </row>
    <row r="57" spans="2:15" ht="15">
      <c r="B57" s="36" t="s">
        <v>56</v>
      </c>
      <c r="C57" s="37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9" spans="2:3" ht="15">
      <c r="B59" t="s">
        <v>60</v>
      </c>
      <c r="C59" t="s">
        <v>59</v>
      </c>
    </row>
    <row r="63" ht="15.75" thickBot="1"/>
    <row r="64" spans="2:27" ht="15">
      <c r="B64" s="25" t="s">
        <v>57</v>
      </c>
      <c r="C64" s="25"/>
      <c r="D64" s="268">
        <v>2020</v>
      </c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70"/>
      <c r="P64" s="5">
        <v>2021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7"/>
    </row>
    <row r="65" spans="4:27" ht="15.75" thickBot="1">
      <c r="D65" s="8" t="s">
        <v>0</v>
      </c>
      <c r="E65" s="9" t="s">
        <v>1</v>
      </c>
      <c r="F65" s="9" t="s">
        <v>2</v>
      </c>
      <c r="G65" s="9" t="s">
        <v>3</v>
      </c>
      <c r="H65" s="9" t="s">
        <v>4</v>
      </c>
      <c r="I65" s="9" t="s">
        <v>5</v>
      </c>
      <c r="J65" s="9" t="s">
        <v>6</v>
      </c>
      <c r="K65" s="9" t="s">
        <v>7</v>
      </c>
      <c r="L65" s="9" t="s">
        <v>8</v>
      </c>
      <c r="M65" s="9" t="s">
        <v>9</v>
      </c>
      <c r="N65" s="9" t="s">
        <v>10</v>
      </c>
      <c r="O65" s="10" t="s">
        <v>11</v>
      </c>
      <c r="P65" s="8" t="s">
        <v>0</v>
      </c>
      <c r="Q65" s="9" t="s">
        <v>1</v>
      </c>
      <c r="R65" s="9" t="s">
        <v>2</v>
      </c>
      <c r="S65" s="9" t="s">
        <v>3</v>
      </c>
      <c r="T65" s="9" t="s">
        <v>4</v>
      </c>
      <c r="U65" s="9" t="s">
        <v>5</v>
      </c>
      <c r="V65" s="9" t="s">
        <v>6</v>
      </c>
      <c r="W65" s="9" t="s">
        <v>7</v>
      </c>
      <c r="X65" s="9" t="s">
        <v>8</v>
      </c>
      <c r="Y65" s="9" t="s">
        <v>9</v>
      </c>
      <c r="Z65" s="9" t="s">
        <v>10</v>
      </c>
      <c r="AA65" s="10" t="s">
        <v>11</v>
      </c>
    </row>
    <row r="66" spans="3:23" ht="15">
      <c r="C66" t="s">
        <v>58</v>
      </c>
      <c r="F66" s="34">
        <v>963039.92891919625</v>
      </c>
      <c r="G66" s="34">
        <v>2224178.8918340406</v>
      </c>
      <c r="H66" s="34">
        <v>3199398.8416506681</v>
      </c>
      <c r="I66" s="34">
        <v>4043179.3666769583</v>
      </c>
      <c r="J66" s="34">
        <v>4802182.1563730286</v>
      </c>
      <c r="K66" s="34">
        <v>5629580.7166591343</v>
      </c>
      <c r="L66" s="34">
        <v>6723048.8314747382</v>
      </c>
      <c r="M66" s="34">
        <v>6917648.4933973653</v>
      </c>
      <c r="N66" s="34">
        <v>6761210.6941683851</v>
      </c>
      <c r="O66" s="34">
        <v>6777033.292571649</v>
      </c>
      <c r="P66" s="34">
        <v>6541447.8953659348</v>
      </c>
      <c r="Q66" s="34">
        <v>6188936.4361109762</v>
      </c>
      <c r="R66" s="34">
        <v>5361537.8758248705</v>
      </c>
      <c r="S66" s="34">
        <v>4268069.7610092666</v>
      </c>
      <c r="T66" s="34">
        <v>3110430.1701674433</v>
      </c>
      <c r="U66" s="34">
        <v>2005729.0064815786</v>
      </c>
      <c r="V66" s="34">
        <v>1014686.4582616873</v>
      </c>
      <c r="W66" s="34">
        <v>406491.3304411117</v>
      </c>
    </row>
  </sheetData>
  <mergeCells count="2">
    <mergeCell ref="D11:O11"/>
    <mergeCell ref="D64:O64"/>
  </mergeCells>
  <pageMargins left="0.25" right="0.25" top="0.75" bottom="0.75" header="0.3" footer="0.3"/>
  <pageSetup orientation="landscape" paperSize="17" scale="10" r:id="rId3"/>
  <customProperties>
    <customPr name="_pios_id" r:id="rId4"/>
  </customProperties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Z66"/>
  <sheetViews>
    <sheetView zoomScale="80" zoomScaleNormal="80" workbookViewId="0" topLeftCell="A1">
      <selection pane="topLeft" activeCell="A1" sqref="A1"/>
    </sheetView>
  </sheetViews>
  <sheetFormatPr defaultColWidth="8.85546875" defaultRowHeight="13"/>
  <cols>
    <col min="1" max="1" width="2.72727272727273" style="100" customWidth="1"/>
    <col min="2" max="2" width="6.27272727272727" style="100" customWidth="1"/>
    <col min="3" max="7" width="14.4545454545455" style="100" bestFit="1" customWidth="1"/>
    <col min="8" max="8" width="4.72727272727273" style="100" customWidth="1"/>
    <col min="9" max="9" width="0.545454545454545" style="100" customWidth="1"/>
    <col min="10" max="10" width="4.72727272727273" style="100" customWidth="1"/>
    <col min="11" max="11" width="5.27272727272727" style="100" bestFit="1" customWidth="1"/>
    <col min="12" max="16" width="14.4545454545455" style="100" bestFit="1" customWidth="1"/>
    <col min="17" max="17" width="7.72727272727273" style="100" customWidth="1"/>
    <col min="18" max="22" width="8.72727272727273" style="100" customWidth="1"/>
    <col min="23" max="23" width="9.45454545454546" style="101" customWidth="1"/>
    <col min="24" max="25" width="10.1818181818182" style="100" customWidth="1"/>
    <col min="26" max="16384" width="8.81818181818182" style="100"/>
  </cols>
  <sheetData>
    <row r="1" ht="15">
      <c r="A1" s="276" t="s">
        <v>252</v>
      </c>
    </row>
    <row r="2" ht="15">
      <c r="A2" s="276" t="s">
        <v>243</v>
      </c>
    </row>
    <row r="3" ht="33">
      <c r="B3" s="99" t="s">
        <v>115</v>
      </c>
    </row>
    <row r="4" ht="25.5">
      <c r="B4" s="102" t="s">
        <v>103</v>
      </c>
    </row>
    <row r="5" ht="12.75">
      <c r="B5" s="101"/>
    </row>
    <row r="6" spans="2:18" ht="15.75">
      <c r="B6" s="103" t="s">
        <v>116</v>
      </c>
      <c r="C6" s="103"/>
      <c r="D6" s="104"/>
      <c r="E6" s="104"/>
      <c r="F6" s="104"/>
      <c r="G6" s="104"/>
      <c r="I6" s="105"/>
      <c r="K6" s="106" t="s">
        <v>117</v>
      </c>
      <c r="R6" s="108" t="s">
        <v>118</v>
      </c>
    </row>
    <row r="7" spans="2:26" ht="12.75">
      <c r="B7" s="109"/>
      <c r="C7" s="110">
        <v>2020</v>
      </c>
      <c r="D7" s="110">
        <f>C7+1</f>
        <v>2021</v>
      </c>
      <c r="E7" s="110">
        <f>D7+1</f>
        <v>2022</v>
      </c>
      <c r="F7" s="110">
        <f>E7+1</f>
        <v>2023</v>
      </c>
      <c r="G7" s="110">
        <f>F7+1</f>
        <v>2024</v>
      </c>
      <c r="H7" s="111"/>
      <c r="I7" s="112"/>
      <c r="J7" s="111"/>
      <c r="K7" s="111"/>
      <c r="L7" s="111">
        <v>2015</v>
      </c>
      <c r="M7" s="111">
        <v>2016</v>
      </c>
      <c r="N7" s="111">
        <v>2017</v>
      </c>
      <c r="O7" s="111">
        <v>2018</v>
      </c>
      <c r="P7" s="111">
        <v>2019</v>
      </c>
      <c r="Q7" s="113"/>
      <c r="R7" s="111">
        <v>2010</v>
      </c>
      <c r="S7" s="111">
        <f>R7+1</f>
        <v>2011</v>
      </c>
      <c r="T7" s="111">
        <f t="shared" si="0" ref="T7:V7">S7+1</f>
        <v>2012</v>
      </c>
      <c r="U7" s="111">
        <f t="shared" si="0"/>
        <v>2013</v>
      </c>
      <c r="V7" s="111">
        <f t="shared" si="0"/>
        <v>2014</v>
      </c>
      <c r="W7" s="114" t="s">
        <v>106</v>
      </c>
      <c r="X7" s="114" t="s">
        <v>107</v>
      </c>
      <c r="Y7" s="114" t="s">
        <v>108</v>
      </c>
      <c r="Z7" s="111" t="s">
        <v>119</v>
      </c>
    </row>
    <row r="8" spans="2:26" ht="12.75">
      <c r="B8" s="104" t="s">
        <v>0</v>
      </c>
      <c r="C8" s="115">
        <f t="shared" si="1" ref="C8:C19">$Z8*C48</f>
        <v>365323.33871573588</v>
      </c>
      <c r="D8" s="115">
        <f t="shared" si="2" ref="D8:G8">$Z8*D48</f>
        <v>363076.87103148754</v>
      </c>
      <c r="E8" s="115">
        <f t="shared" si="2"/>
        <v>387027.60666325764</v>
      </c>
      <c r="F8" s="115">
        <f t="shared" si="2"/>
        <v>402849.68894540961</v>
      </c>
      <c r="G8" s="115">
        <f t="shared" si="2"/>
        <v>400491.6676550135</v>
      </c>
      <c r="H8" s="116"/>
      <c r="I8" s="117"/>
      <c r="J8" s="116"/>
      <c r="K8" s="100" t="s">
        <v>0</v>
      </c>
      <c r="L8" s="116">
        <v>249614.13</v>
      </c>
      <c r="M8" s="116">
        <v>476824.79</v>
      </c>
      <c r="N8" s="116">
        <v>403242.40</v>
      </c>
      <c r="O8" s="116">
        <v>379874.71</v>
      </c>
      <c r="P8" s="116">
        <v>98148.42</v>
      </c>
      <c r="Q8" s="145"/>
      <c r="R8" s="118">
        <f t="shared" si="3" ref="R8:R20">L8/L48</f>
        <v>0.0023748991062177852</v>
      </c>
      <c r="S8" s="118">
        <f t="shared" si="4" ref="S8:S20">M8/M48</f>
        <v>0.004569844856940535</v>
      </c>
      <c r="T8" s="118">
        <f t="shared" si="5" ref="T8:T20">N8/N48</f>
        <v>0.0044276249256932129</v>
      </c>
      <c r="U8" s="118">
        <f t="shared" si="6" ref="U8:U20">O8/O48</f>
        <v>0.002927203224074788</v>
      </c>
      <c r="V8" s="118">
        <f t="shared" si="7" ref="V8:V20">P8/P48</f>
        <v>0.0010096928730744051</v>
      </c>
      <c r="W8" s="119">
        <f t="shared" si="8" ref="W8:W20">AVERAGE(R8:V8)</f>
        <v>0.0030618529972001453</v>
      </c>
      <c r="X8" s="119">
        <f t="shared" si="9" ref="X8:X20">AVERAGE(S8:V8)</f>
        <v>0.0032335914699457352</v>
      </c>
      <c r="Y8" s="119">
        <f t="shared" si="10" ref="Y8:Y20">AVERAGE(T8:V8)</f>
        <v>0.0027881736742808023</v>
      </c>
      <c r="Z8" s="146">
        <f>X8</f>
        <v>0.0032335914699457352</v>
      </c>
    </row>
    <row r="9" spans="2:26" ht="12.75">
      <c r="B9" s="104" t="s">
        <v>1</v>
      </c>
      <c r="C9" s="115">
        <f t="shared" si="1"/>
        <v>409474.95655902621</v>
      </c>
      <c r="D9" s="115">
        <f t="shared" si="11" ref="D9:G19">$Z9*D49</f>
        <v>405488.50067465752</v>
      </c>
      <c r="E9" s="115">
        <f t="shared" si="11"/>
        <v>432471.67172296654</v>
      </c>
      <c r="F9" s="115">
        <f t="shared" si="11"/>
        <v>450078.07492254354</v>
      </c>
      <c r="G9" s="115">
        <f t="shared" si="11"/>
        <v>443699.08764984785</v>
      </c>
      <c r="H9" s="116"/>
      <c r="I9" s="117"/>
      <c r="J9" s="116"/>
      <c r="K9" s="100" t="s">
        <v>1</v>
      </c>
      <c r="L9" s="116">
        <v>-53240.99</v>
      </c>
      <c r="M9" s="116">
        <v>127653.15</v>
      </c>
      <c r="N9" s="116">
        <v>189305.43</v>
      </c>
      <c r="O9" s="116">
        <v>327888.99</v>
      </c>
      <c r="P9" s="116">
        <v>619880.92000000004</v>
      </c>
      <c r="Q9" s="145"/>
      <c r="R9" s="118">
        <f t="shared" si="3"/>
        <v>-0.00053267314483094823</v>
      </c>
      <c r="S9" s="118">
        <f t="shared" si="4"/>
        <v>0.001441589705540608</v>
      </c>
      <c r="T9" s="118">
        <f t="shared" si="5"/>
        <v>0.0024925251354825117</v>
      </c>
      <c r="U9" s="118">
        <f t="shared" si="6"/>
        <v>0.0037788668833218073</v>
      </c>
      <c r="V9" s="118">
        <f t="shared" si="7"/>
        <v>0.0081513458382799428</v>
      </c>
      <c r="W9" s="119">
        <f t="shared" si="8"/>
        <v>0.0030663308835587842</v>
      </c>
      <c r="X9" s="119">
        <f t="shared" si="9"/>
        <v>0.003966081890656217</v>
      </c>
      <c r="Y9" s="119">
        <f t="shared" si="10"/>
        <v>0.0048075792856947545</v>
      </c>
      <c r="Z9" s="146">
        <f t="shared" si="12" ref="Z9:Z19">X9</f>
        <v>0.003966081890656217</v>
      </c>
    </row>
    <row r="10" spans="2:26" ht="12.75">
      <c r="B10" s="104" t="s">
        <v>2</v>
      </c>
      <c r="C10" s="115">
        <f t="shared" si="1"/>
        <v>165475.76966347604</v>
      </c>
      <c r="D10" s="115">
        <f t="shared" si="11"/>
        <v>162889.86313704413</v>
      </c>
      <c r="E10" s="115">
        <f t="shared" si="11"/>
        <v>173529.98565466283</v>
      </c>
      <c r="F10" s="115">
        <f t="shared" si="11"/>
        <v>180583.98010032464</v>
      </c>
      <c r="G10" s="115">
        <f t="shared" si="11"/>
        <v>182830.46509348709</v>
      </c>
      <c r="H10" s="116"/>
      <c r="I10" s="117"/>
      <c r="J10" s="116"/>
      <c r="K10" s="100" t="s">
        <v>2</v>
      </c>
      <c r="L10" s="116">
        <v>-111772.71</v>
      </c>
      <c r="M10" s="116">
        <v>109886.02333333332</v>
      </c>
      <c r="N10" s="116">
        <v>113952.99</v>
      </c>
      <c r="O10" s="116">
        <v>-16538.40</v>
      </c>
      <c r="P10" s="116">
        <v>390670.33</v>
      </c>
      <c r="Q10" s="145"/>
      <c r="R10" s="118">
        <f t="shared" si="3"/>
        <v>-0.0012120941208850883</v>
      </c>
      <c r="S10" s="118">
        <f t="shared" si="4"/>
        <v>0.0012447760618376118</v>
      </c>
      <c r="T10" s="118">
        <f t="shared" si="5"/>
        <v>0.0012807890990336067</v>
      </c>
      <c r="U10" s="118">
        <f t="shared" si="6"/>
        <v>-0.00018481579788624268</v>
      </c>
      <c r="V10" s="118">
        <f t="shared" si="7"/>
        <v>0.0046331705798392494</v>
      </c>
      <c r="W10" s="119">
        <f t="shared" si="8"/>
        <v>0.0011523651643878274</v>
      </c>
      <c r="X10" s="119">
        <f t="shared" si="9"/>
        <v>0.0017434799857060563</v>
      </c>
      <c r="Y10" s="119">
        <f t="shared" si="10"/>
        <v>0.0019097146269955378</v>
      </c>
      <c r="Z10" s="146">
        <f t="shared" si="12"/>
        <v>0.0017434799857060563</v>
      </c>
    </row>
    <row r="11" spans="2:26" ht="12.75">
      <c r="B11" s="104" t="s">
        <v>3</v>
      </c>
      <c r="C11" s="115">
        <f t="shared" si="1"/>
        <v>296371.53692646784</v>
      </c>
      <c r="D11" s="115">
        <f t="shared" si="11"/>
        <v>290172.86846167844</v>
      </c>
      <c r="E11" s="115">
        <f t="shared" si="11"/>
        <v>309221.18093091995</v>
      </c>
      <c r="F11" s="115">
        <f t="shared" si="11"/>
        <v>321619.22710693505</v>
      </c>
      <c r="G11" s="115">
        <f t="shared" si="11"/>
        <v>321063.47940859647</v>
      </c>
      <c r="H11" s="116"/>
      <c r="I11" s="117"/>
      <c r="J11" s="116"/>
      <c r="K11" s="100" t="s">
        <v>3</v>
      </c>
      <c r="L11" s="116">
        <v>202077.35</v>
      </c>
      <c r="M11" s="116">
        <v>142090.07999999999</v>
      </c>
      <c r="N11" s="116">
        <v>275354.68</v>
      </c>
      <c r="O11" s="116">
        <v>384748.93</v>
      </c>
      <c r="P11" s="116">
        <v>263948.19</v>
      </c>
      <c r="Q11" s="145"/>
      <c r="R11" s="118">
        <f t="shared" si="3"/>
        <v>0.0021013208286278116</v>
      </c>
      <c r="S11" s="118">
        <f t="shared" si="4"/>
        <v>0.0016305775224874388</v>
      </c>
      <c r="T11" s="118">
        <f t="shared" si="5"/>
        <v>0.0030516905506157788</v>
      </c>
      <c r="U11" s="118">
        <f t="shared" si="6"/>
        <v>0.0046804396212100424</v>
      </c>
      <c r="V11" s="118">
        <f t="shared" si="7"/>
        <v>0.0031408316582489139</v>
      </c>
      <c r="W11" s="119">
        <f t="shared" si="8"/>
        <v>0.002920972036237997</v>
      </c>
      <c r="X11" s="119">
        <f t="shared" si="9"/>
        <v>0.0031258848381405437</v>
      </c>
      <c r="Y11" s="119">
        <f t="shared" si="10"/>
        <v>0.0036243206100249115</v>
      </c>
      <c r="Z11" s="146">
        <f t="shared" si="12"/>
        <v>0.0031258848381405437</v>
      </c>
    </row>
    <row r="12" spans="2:26" ht="12.75">
      <c r="B12" s="104" t="s">
        <v>4</v>
      </c>
      <c r="C12" s="115">
        <f t="shared" si="1"/>
        <v>386533.63831987331</v>
      </c>
      <c r="D12" s="115">
        <f t="shared" si="11"/>
        <v>381398.15733929293</v>
      </c>
      <c r="E12" s="115">
        <f t="shared" si="11"/>
        <v>406582.59607408993</v>
      </c>
      <c r="F12" s="115">
        <f t="shared" si="11"/>
        <v>422528.24223066983</v>
      </c>
      <c r="G12" s="115">
        <f t="shared" si="11"/>
        <v>413587.07738094358</v>
      </c>
      <c r="H12" s="116"/>
      <c r="I12" s="117"/>
      <c r="J12" s="116"/>
      <c r="K12" s="100" t="s">
        <v>4</v>
      </c>
      <c r="L12" s="116">
        <v>367396.90</v>
      </c>
      <c r="M12" s="116">
        <v>232917.48</v>
      </c>
      <c r="N12" s="116">
        <v>200810.87</v>
      </c>
      <c r="O12" s="116">
        <v>727949.05</v>
      </c>
      <c r="P12" s="116">
        <v>445007.59</v>
      </c>
      <c r="Q12" s="145"/>
      <c r="R12" s="118">
        <f t="shared" si="3"/>
        <v>0.0031871529344210253</v>
      </c>
      <c r="S12" s="118">
        <f t="shared" si="4"/>
        <v>0.0021598677901578599</v>
      </c>
      <c r="T12" s="118">
        <f t="shared" si="5"/>
        <v>0.0019158028713687663</v>
      </c>
      <c r="U12" s="118">
        <f t="shared" si="6"/>
        <v>0.0067641451040852535</v>
      </c>
      <c r="V12" s="118">
        <f t="shared" si="7"/>
        <v>0.0040834974741169863</v>
      </c>
      <c r="W12" s="119">
        <f t="shared" si="8"/>
        <v>0.0036220932348299782</v>
      </c>
      <c r="X12" s="119">
        <f t="shared" si="9"/>
        <v>0.0037308283099322164</v>
      </c>
      <c r="Y12" s="119">
        <f t="shared" si="10"/>
        <v>0.0042544818165236691</v>
      </c>
      <c r="Z12" s="146">
        <f t="shared" si="12"/>
        <v>0.0037308283099322164</v>
      </c>
    </row>
    <row r="13" spans="2:26" ht="12.75">
      <c r="B13" s="104" t="s">
        <v>5</v>
      </c>
      <c r="C13" s="115">
        <f t="shared" si="1"/>
        <v>347036.79330626666</v>
      </c>
      <c r="D13" s="115">
        <f t="shared" si="11"/>
        <v>344478.10095049808</v>
      </c>
      <c r="E13" s="115">
        <f t="shared" si="11"/>
        <v>368062.60081897845</v>
      </c>
      <c r="F13" s="115">
        <f t="shared" si="11"/>
        <v>382002.37753533479</v>
      </c>
      <c r="G13" s="115">
        <f t="shared" si="11"/>
        <v>378751.17876572284</v>
      </c>
      <c r="H13" s="116"/>
      <c r="I13" s="117"/>
      <c r="J13" s="116"/>
      <c r="K13" s="100" t="s">
        <v>5</v>
      </c>
      <c r="L13" s="116">
        <v>273026.88</v>
      </c>
      <c r="M13" s="116">
        <v>310075.86</v>
      </c>
      <c r="N13" s="116">
        <v>171436.83</v>
      </c>
      <c r="O13" s="116">
        <v>390274.24</v>
      </c>
      <c r="P13" s="116">
        <v>504091.52</v>
      </c>
      <c r="Q13" s="145"/>
      <c r="R13" s="118">
        <f t="shared" si="3"/>
        <v>0.0020807869694746423</v>
      </c>
      <c r="S13" s="118">
        <f t="shared" si="4"/>
        <v>0.0024429725849860035</v>
      </c>
      <c r="T13" s="118">
        <f t="shared" si="5"/>
        <v>0.0014783503578315073</v>
      </c>
      <c r="U13" s="118">
        <f t="shared" si="6"/>
        <v>0.0031729958697001232</v>
      </c>
      <c r="V13" s="118">
        <f t="shared" si="7"/>
        <v>0.0040732417937700167</v>
      </c>
      <c r="W13" s="119">
        <f t="shared" si="8"/>
        <v>0.0026496695151524583</v>
      </c>
      <c r="X13" s="119">
        <f t="shared" si="9"/>
        <v>0.002791890151571913</v>
      </c>
      <c r="Y13" s="119">
        <f t="shared" si="10"/>
        <v>0.0029081960071005489</v>
      </c>
      <c r="Z13" s="146">
        <f t="shared" si="12"/>
        <v>0.002791890151571913</v>
      </c>
    </row>
    <row r="14" spans="2:26" ht="12.75">
      <c r="B14" s="104" t="s">
        <v>6</v>
      </c>
      <c r="C14" s="115">
        <f t="shared" si="1"/>
        <v>320284.63284291246</v>
      </c>
      <c r="D14" s="115">
        <f t="shared" si="11"/>
        <v>309161.70628119144</v>
      </c>
      <c r="E14" s="115">
        <f t="shared" si="11"/>
        <v>330686.91889095871</v>
      </c>
      <c r="F14" s="115">
        <f t="shared" si="11"/>
        <v>343073.40613632306</v>
      </c>
      <c r="G14" s="115">
        <f t="shared" si="11"/>
        <v>340400.94278568635</v>
      </c>
      <c r="H14" s="116"/>
      <c r="I14" s="117"/>
      <c r="J14" s="116"/>
      <c r="K14" s="100" t="s">
        <v>6</v>
      </c>
      <c r="L14" s="116">
        <v>241475.51</v>
      </c>
      <c r="M14" s="116">
        <v>308285.95999999996</v>
      </c>
      <c r="N14" s="116">
        <v>215443.62</v>
      </c>
      <c r="O14" s="116">
        <v>298285.78999999998</v>
      </c>
      <c r="P14" s="116">
        <v>422809.53</v>
      </c>
      <c r="Q14" s="145"/>
      <c r="R14" s="118">
        <f t="shared" si="3"/>
        <v>0.0016593281141814226</v>
      </c>
      <c r="S14" s="118">
        <f t="shared" si="4"/>
        <v>0.0021655926838735034</v>
      </c>
      <c r="T14" s="118">
        <f t="shared" si="5"/>
        <v>0.0015861827809799808</v>
      </c>
      <c r="U14" s="118">
        <f t="shared" si="6"/>
        <v>0.002265412259802676</v>
      </c>
      <c r="V14" s="118">
        <f t="shared" si="7"/>
        <v>0.0030960664085827871</v>
      </c>
      <c r="W14" s="119">
        <f t="shared" si="8"/>
        <v>0.0021545164494840741</v>
      </c>
      <c r="X14" s="119">
        <f t="shared" si="9"/>
        <v>0.0022783135333097368</v>
      </c>
      <c r="Y14" s="119">
        <f t="shared" si="10"/>
        <v>0.0023158871497884815</v>
      </c>
      <c r="Z14" s="146">
        <f t="shared" si="12"/>
        <v>0.0022783135333097368</v>
      </c>
    </row>
    <row r="15" spans="2:26" ht="12.75">
      <c r="B15" s="104" t="s">
        <v>7</v>
      </c>
      <c r="C15" s="115">
        <f t="shared" si="1"/>
        <v>178778.62636816426</v>
      </c>
      <c r="D15" s="115">
        <f t="shared" si="11"/>
        <v>171633.59370566331</v>
      </c>
      <c r="E15" s="115">
        <f t="shared" si="11"/>
        <v>183672.80693233383</v>
      </c>
      <c r="F15" s="115">
        <f t="shared" si="11"/>
        <v>190493.91562810566</v>
      </c>
      <c r="G15" s="115">
        <f t="shared" si="11"/>
        <v>182851.77783190683</v>
      </c>
      <c r="H15" s="116"/>
      <c r="I15" s="117"/>
      <c r="J15" s="116"/>
      <c r="K15" s="100" t="s">
        <v>7</v>
      </c>
      <c r="L15" s="116">
        <v>492590.84</v>
      </c>
      <c r="M15" s="116">
        <v>159704.49</v>
      </c>
      <c r="N15" s="116">
        <v>137103.09</v>
      </c>
      <c r="O15" s="116">
        <v>236440.88</v>
      </c>
      <c r="P15" s="116">
        <v>117444.59</v>
      </c>
      <c r="Q15" s="145"/>
      <c r="R15" s="118">
        <f t="shared" si="3"/>
        <v>0.0035346032702681944</v>
      </c>
      <c r="S15" s="118">
        <f t="shared" si="4"/>
        <v>0.001191800361181803</v>
      </c>
      <c r="T15" s="118">
        <f t="shared" si="5"/>
        <v>0.001021368716856522</v>
      </c>
      <c r="U15" s="118">
        <f t="shared" si="6"/>
        <v>0.00190283361508009</v>
      </c>
      <c r="V15" s="118">
        <f t="shared" si="7"/>
        <v>0.00088959180397243877</v>
      </c>
      <c r="W15" s="119">
        <f t="shared" si="8"/>
        <v>0.0017080395534718094</v>
      </c>
      <c r="X15" s="119">
        <f t="shared" si="9"/>
        <v>0.0012513986242727133</v>
      </c>
      <c r="Y15" s="119">
        <f t="shared" si="10"/>
        <v>0.0012712647119696835</v>
      </c>
      <c r="Z15" s="146">
        <f t="shared" si="12"/>
        <v>0.0012513986242727133</v>
      </c>
    </row>
    <row r="16" spans="2:26" ht="12.75">
      <c r="B16" s="104" t="s">
        <v>8</v>
      </c>
      <c r="C16" s="115">
        <f t="shared" si="1"/>
        <v>237961.45533401769</v>
      </c>
      <c r="D16" s="115">
        <f t="shared" si="11"/>
        <v>233261.45711354859</v>
      </c>
      <c r="E16" s="115">
        <f t="shared" si="11"/>
        <v>249823.85455011146</v>
      </c>
      <c r="F16" s="115">
        <f t="shared" si="11"/>
        <v>259151.05415055118</v>
      </c>
      <c r="G16" s="115">
        <f t="shared" si="11"/>
        <v>245018.4096821874</v>
      </c>
      <c r="H16" s="116"/>
      <c r="I16" s="117"/>
      <c r="J16" s="116"/>
      <c r="K16" s="100" t="s">
        <v>8</v>
      </c>
      <c r="L16" s="116">
        <v>59846.45775077492</v>
      </c>
      <c r="M16" s="116">
        <v>123962.65</v>
      </c>
      <c r="N16" s="116">
        <v>276763.33</v>
      </c>
      <c r="O16" s="116">
        <v>308877.11</v>
      </c>
      <c r="P16" s="116">
        <v>150554.76</v>
      </c>
      <c r="Q16" s="145"/>
      <c r="R16" s="118">
        <f t="shared" si="3"/>
        <v>0.00050155999268586976</v>
      </c>
      <c r="S16" s="118">
        <f t="shared" si="4"/>
        <v>0.0010061314546157142</v>
      </c>
      <c r="T16" s="118">
        <f t="shared" si="5"/>
        <v>0.0023984608363840196</v>
      </c>
      <c r="U16" s="118">
        <f t="shared" si="6"/>
        <v>0.0025517697538715773</v>
      </c>
      <c r="V16" s="118">
        <f t="shared" si="7"/>
        <v>0.0011596685399692993</v>
      </c>
      <c r="W16" s="119">
        <f t="shared" si="8"/>
        <v>0.0015235181155052961</v>
      </c>
      <c r="X16" s="119">
        <f t="shared" si="9"/>
        <v>0.0017790076462101527</v>
      </c>
      <c r="Y16" s="119">
        <f t="shared" si="10"/>
        <v>0.0020366330434082986</v>
      </c>
      <c r="Z16" s="146">
        <f t="shared" si="12"/>
        <v>0.0017790076462101527</v>
      </c>
    </row>
    <row r="17" spans="2:26" ht="12.75">
      <c r="B17" s="104" t="s">
        <v>9</v>
      </c>
      <c r="C17" s="115">
        <f t="shared" si="1"/>
        <v>289855.71058398939</v>
      </c>
      <c r="D17" s="115">
        <f t="shared" si="11"/>
        <v>281350.16531443025</v>
      </c>
      <c r="E17" s="115">
        <f t="shared" si="11"/>
        <v>301253.64753394615</v>
      </c>
      <c r="F17" s="115">
        <f t="shared" si="11"/>
        <v>312631.66588559002</v>
      </c>
      <c r="G17" s="115">
        <f t="shared" si="11"/>
        <v>297190.77069336409</v>
      </c>
      <c r="H17" s="116"/>
      <c r="I17" s="117"/>
      <c r="J17" s="116"/>
      <c r="K17" s="100" t="s">
        <v>9</v>
      </c>
      <c r="L17" s="116">
        <v>-587855.66</v>
      </c>
      <c r="M17" s="116">
        <v>291607.20</v>
      </c>
      <c r="N17" s="116">
        <v>236918.52</v>
      </c>
      <c r="O17" s="116">
        <v>334882.37</v>
      </c>
      <c r="P17" s="116">
        <v>170885.77</v>
      </c>
      <c r="Q17" s="145"/>
      <c r="R17" s="118">
        <f t="shared" si="3"/>
        <v>-0.0059727963168212696</v>
      </c>
      <c r="S17" s="118">
        <f t="shared" si="4"/>
        <v>0.0028775252563786832</v>
      </c>
      <c r="T17" s="118">
        <f t="shared" si="5"/>
        <v>0.002233468770558559</v>
      </c>
      <c r="U17" s="118">
        <f t="shared" si="6"/>
        <v>0.0033858046515619182</v>
      </c>
      <c r="V17" s="118">
        <f t="shared" si="7"/>
        <v>0.0015925176036634824</v>
      </c>
      <c r="W17" s="119">
        <f t="shared" si="8"/>
        <v>0.0008233039930682747</v>
      </c>
      <c r="X17" s="119">
        <f t="shared" si="9"/>
        <v>0.0025223290705406604</v>
      </c>
      <c r="Y17" s="119">
        <f t="shared" si="10"/>
        <v>0.0024039303419279862</v>
      </c>
      <c r="Z17" s="146">
        <f t="shared" si="12"/>
        <v>0.0025223290705406604</v>
      </c>
    </row>
    <row r="18" spans="2:26" ht="12.75">
      <c r="B18" s="104" t="s">
        <v>10</v>
      </c>
      <c r="C18" s="115">
        <f t="shared" si="1"/>
        <v>314669.11075696873</v>
      </c>
      <c r="D18" s="115">
        <f t="shared" si="11"/>
        <v>299740.48567213368</v>
      </c>
      <c r="E18" s="115">
        <f t="shared" si="11"/>
        <v>320798.30977495416</v>
      </c>
      <c r="F18" s="115">
        <f t="shared" si="11"/>
        <v>333139.81904271414</v>
      </c>
      <c r="G18" s="115">
        <f t="shared" si="11"/>
        <v>316525.85532105999</v>
      </c>
      <c r="H18" s="116"/>
      <c r="I18" s="117"/>
      <c r="J18" s="116"/>
      <c r="K18" s="100" t="s">
        <v>10</v>
      </c>
      <c r="L18" s="116">
        <v>464941.04</v>
      </c>
      <c r="M18" s="116">
        <v>281787.6133333334</v>
      </c>
      <c r="N18" s="116">
        <v>238963.93</v>
      </c>
      <c r="O18" s="116">
        <v>324245.78000000003</v>
      </c>
      <c r="P18" s="116">
        <v>255728.82</v>
      </c>
      <c r="Q18" s="145"/>
      <c r="R18" s="118">
        <f t="shared" si="3"/>
        <v>0.0051510929492813171</v>
      </c>
      <c r="S18" s="118">
        <f t="shared" si="4"/>
        <v>0.0033193678761440928</v>
      </c>
      <c r="T18" s="118">
        <f t="shared" si="5"/>
        <v>0.0027661542950561703</v>
      </c>
      <c r="U18" s="118">
        <f t="shared" si="6"/>
        <v>0.0036883799338775589</v>
      </c>
      <c r="V18" s="118">
        <f t="shared" si="7"/>
        <v>0.002949740713203728</v>
      </c>
      <c r="W18" s="119">
        <f t="shared" si="8"/>
        <v>0.0035749471535125735</v>
      </c>
      <c r="X18" s="119">
        <f t="shared" si="9"/>
        <v>0.0031809107045703876</v>
      </c>
      <c r="Y18" s="119">
        <f t="shared" si="10"/>
        <v>0.0031347583140458189</v>
      </c>
      <c r="Z18" s="146">
        <f t="shared" si="12"/>
        <v>0.0031809107045703876</v>
      </c>
    </row>
    <row r="19" spans="2:26" ht="12.75">
      <c r="B19" s="104" t="s">
        <v>11</v>
      </c>
      <c r="C19" s="115">
        <f t="shared" si="1"/>
        <v>401826.77063539688</v>
      </c>
      <c r="D19" s="115">
        <f t="shared" si="11"/>
        <v>396750.22730419983</v>
      </c>
      <c r="E19" s="115">
        <f t="shared" si="11"/>
        <v>424790.58846976788</v>
      </c>
      <c r="F19" s="115">
        <f t="shared" si="11"/>
        <v>440995.74550210265</v>
      </c>
      <c r="G19" s="115">
        <f t="shared" si="11"/>
        <v>413394.3887255399</v>
      </c>
      <c r="H19" s="116"/>
      <c r="I19" s="117"/>
      <c r="J19" s="116"/>
      <c r="K19" s="100" t="s">
        <v>11</v>
      </c>
      <c r="L19" s="147">
        <v>442453.02</v>
      </c>
      <c r="M19" s="147">
        <v>380785.46</v>
      </c>
      <c r="N19" s="121">
        <v>399543.92</v>
      </c>
      <c r="O19" s="147">
        <v>352940.90</v>
      </c>
      <c r="P19" s="147">
        <v>383254.93</v>
      </c>
      <c r="Q19" s="145"/>
      <c r="R19" s="118">
        <f t="shared" si="3"/>
        <v>0.0048994086519896039</v>
      </c>
      <c r="S19" s="118">
        <f t="shared" si="4"/>
        <v>0.004246881141729779</v>
      </c>
      <c r="T19" s="118">
        <f t="shared" si="5"/>
        <v>0.0037489984044841952</v>
      </c>
      <c r="U19" s="118">
        <f t="shared" si="6"/>
        <v>0.0038659815797902771</v>
      </c>
      <c r="V19" s="118">
        <f t="shared" si="7"/>
        <v>0.0040768581213330556</v>
      </c>
      <c r="W19" s="119">
        <f t="shared" si="8"/>
        <v>0.0041676255798653817</v>
      </c>
      <c r="X19" s="119">
        <f t="shared" si="9"/>
        <v>0.0039846798118343268</v>
      </c>
      <c r="Y19" s="119">
        <f t="shared" si="10"/>
        <v>0.0038972793685358425</v>
      </c>
      <c r="Z19" s="146">
        <f t="shared" si="12"/>
        <v>0.0039846798118343268</v>
      </c>
    </row>
    <row r="20" spans="2:26" ht="12.75">
      <c r="B20" s="122" t="s">
        <v>82</v>
      </c>
      <c r="C20" s="123">
        <f>SUM(C8:C19)</f>
        <v>3713592.3400122947</v>
      </c>
      <c r="D20" s="123">
        <f>SUM(D8:D19)</f>
        <v>3639401.9969858257</v>
      </c>
      <c r="E20" s="123">
        <f>SUM(E8:E19)</f>
        <v>3887921.7680169479</v>
      </c>
      <c r="F20" s="123">
        <f>SUM(F8:F19)</f>
        <v>4039147.1971866046</v>
      </c>
      <c r="G20" s="123">
        <f>SUM(G8:G19)</f>
        <v>3935805.1009933557</v>
      </c>
      <c r="H20" s="124"/>
      <c r="I20" s="125"/>
      <c r="J20" s="124"/>
      <c r="K20" s="126" t="s">
        <v>82</v>
      </c>
      <c r="L20" s="127">
        <f>SUM(L8:L19)</f>
        <v>2040552.767750775</v>
      </c>
      <c r="M20" s="127">
        <f>SUM(M8:M19)</f>
        <v>2945580.7566666664</v>
      </c>
      <c r="N20" s="127">
        <f>SUM(N8:N19)</f>
        <v>2858839.6100000003</v>
      </c>
      <c r="O20" s="127">
        <f>SUM(O8:O19)</f>
        <v>4049870.35</v>
      </c>
      <c r="P20" s="127">
        <f>SUM(P8:P19)</f>
        <v>3822425.3699999996</v>
      </c>
      <c r="Q20" s="126"/>
      <c r="R20" s="128">
        <f t="shared" si="3"/>
        <v>0.0015422232558202139</v>
      </c>
      <c r="S20" s="128">
        <f t="shared" si="4"/>
        <v>0.0023038715115559446</v>
      </c>
      <c r="T20" s="128">
        <f t="shared" si="5"/>
        <v>0.0022843339344664707</v>
      </c>
      <c r="U20" s="128">
        <f t="shared" si="6"/>
        <v>0.0031790296490454288</v>
      </c>
      <c r="V20" s="128">
        <f t="shared" si="7"/>
        <v>0.003031835832092873</v>
      </c>
      <c r="W20" s="119">
        <f t="shared" si="8"/>
        <v>0.0024682588365961865</v>
      </c>
      <c r="X20" s="119">
        <f t="shared" si="9"/>
        <v>0.0026997677317901793</v>
      </c>
      <c r="Y20" s="119">
        <f t="shared" si="10"/>
        <v>0.0028317331385349239</v>
      </c>
      <c r="Z20" s="126">
        <f>AVERAGE(Z8:Z19)</f>
        <v>0.0027990330030575549</v>
      </c>
    </row>
    <row r="21" spans="2:26" ht="12.75">
      <c r="B21" s="122"/>
      <c r="C21" s="123"/>
      <c r="D21" s="123"/>
      <c r="E21" s="123"/>
      <c r="F21" s="123"/>
      <c r="G21" s="123"/>
      <c r="H21" s="124"/>
      <c r="I21" s="125"/>
      <c r="J21" s="124"/>
      <c r="K21" s="126"/>
      <c r="L21" s="127"/>
      <c r="M21" s="127"/>
      <c r="N21" s="127"/>
      <c r="O21" s="127"/>
      <c r="P21" s="127"/>
      <c r="Q21" s="126"/>
      <c r="R21" s="128"/>
      <c r="S21" s="128"/>
      <c r="T21" s="128"/>
      <c r="U21" s="128"/>
      <c r="V21" s="128"/>
      <c r="W21" s="119"/>
      <c r="X21" s="119"/>
      <c r="Y21" s="119"/>
      <c r="Z21" s="126"/>
    </row>
    <row r="22" spans="2:26" ht="12.75">
      <c r="B22" s="122"/>
      <c r="C22" s="123"/>
      <c r="D22" s="123"/>
      <c r="E22" s="123"/>
      <c r="F22" s="123"/>
      <c r="G22" s="123"/>
      <c r="H22" s="124"/>
      <c r="I22" s="125"/>
      <c r="J22" s="124"/>
      <c r="K22" s="126"/>
      <c r="L22" s="127"/>
      <c r="M22" s="127"/>
      <c r="N22" s="127"/>
      <c r="O22" s="127"/>
      <c r="P22" s="127"/>
      <c r="Q22" s="126"/>
      <c r="R22" s="128"/>
      <c r="S22" s="128"/>
      <c r="T22" s="128"/>
      <c r="U22" s="128"/>
      <c r="V22" s="128"/>
      <c r="W22" s="119"/>
      <c r="X22" s="119"/>
      <c r="Y22" s="119"/>
      <c r="Z22" s="126"/>
    </row>
    <row r="23" spans="2:26" ht="12.75">
      <c r="B23" s="122"/>
      <c r="C23" s="123"/>
      <c r="D23" s="123"/>
      <c r="E23" s="123"/>
      <c r="F23" s="123"/>
      <c r="G23" s="123"/>
      <c r="H23" s="124"/>
      <c r="I23" s="125"/>
      <c r="J23" s="124"/>
      <c r="K23" s="126"/>
      <c r="L23" s="127"/>
      <c r="M23" s="127"/>
      <c r="N23" s="127"/>
      <c r="O23" s="127"/>
      <c r="P23" s="127"/>
      <c r="Q23" s="126"/>
      <c r="R23" s="128"/>
      <c r="S23" s="128"/>
      <c r="T23" s="128"/>
      <c r="U23" s="128"/>
      <c r="V23" s="128"/>
      <c r="W23" s="119"/>
      <c r="X23" s="119"/>
      <c r="Y23" s="119"/>
      <c r="Z23" s="126"/>
    </row>
    <row r="24" spans="2:26" ht="12.75">
      <c r="B24" s="122"/>
      <c r="C24" s="123"/>
      <c r="D24" s="123"/>
      <c r="E24" s="123"/>
      <c r="F24" s="123"/>
      <c r="G24" s="123"/>
      <c r="H24" s="124"/>
      <c r="I24" s="125"/>
      <c r="J24" s="124"/>
      <c r="K24" s="126"/>
      <c r="L24" s="127"/>
      <c r="M24" s="127"/>
      <c r="N24" s="127"/>
      <c r="O24" s="127"/>
      <c r="P24" s="127"/>
      <c r="Q24" s="126"/>
      <c r="R24" s="128"/>
      <c r="S24" s="128"/>
      <c r="T24" s="128"/>
      <c r="U24" s="128"/>
      <c r="V24" s="128"/>
      <c r="W24" s="119"/>
      <c r="X24" s="119"/>
      <c r="Y24" s="119"/>
      <c r="Z24" s="126"/>
    </row>
    <row r="25" spans="2:26" ht="12.75">
      <c r="B25" s="122"/>
      <c r="C25" s="123"/>
      <c r="D25" s="123"/>
      <c r="E25" s="123"/>
      <c r="F25" s="123"/>
      <c r="G25" s="123"/>
      <c r="H25" s="124"/>
      <c r="I25" s="125"/>
      <c r="J25" s="124"/>
      <c r="K25" s="126"/>
      <c r="L25" s="127"/>
      <c r="M25" s="127"/>
      <c r="N25" s="127"/>
      <c r="O25" s="127"/>
      <c r="P25" s="127"/>
      <c r="Q25" s="126"/>
      <c r="R25" s="128"/>
      <c r="S25" s="128"/>
      <c r="T25" s="128"/>
      <c r="U25" s="128"/>
      <c r="V25" s="128"/>
      <c r="W25" s="119"/>
      <c r="X25" s="119"/>
      <c r="Y25" s="119"/>
      <c r="Z25" s="126"/>
    </row>
    <row r="26" spans="2:26" ht="12.75">
      <c r="B26" s="122"/>
      <c r="C26" s="123"/>
      <c r="D26" s="123"/>
      <c r="E26" s="123"/>
      <c r="F26" s="123"/>
      <c r="G26" s="123"/>
      <c r="H26" s="124"/>
      <c r="I26" s="125"/>
      <c r="J26" s="124"/>
      <c r="K26" s="126"/>
      <c r="L26" s="127"/>
      <c r="M26" s="127"/>
      <c r="N26" s="127"/>
      <c r="O26" s="127"/>
      <c r="P26" s="127"/>
      <c r="Q26" s="126"/>
      <c r="R26" s="128"/>
      <c r="S26" s="128"/>
      <c r="T26" s="128"/>
      <c r="U26" s="128"/>
      <c r="V26" s="128"/>
      <c r="W26" s="119"/>
      <c r="X26" s="119"/>
      <c r="Y26" s="119"/>
      <c r="Z26" s="126"/>
    </row>
    <row r="27" spans="2:26" ht="12.75">
      <c r="B27" s="122"/>
      <c r="C27" s="123"/>
      <c r="D27" s="123"/>
      <c r="E27" s="123"/>
      <c r="F27" s="123"/>
      <c r="G27" s="123"/>
      <c r="H27" s="124"/>
      <c r="I27" s="125"/>
      <c r="J27" s="124"/>
      <c r="K27" s="126"/>
      <c r="L27" s="127"/>
      <c r="M27" s="127"/>
      <c r="N27" s="127"/>
      <c r="O27" s="127"/>
      <c r="P27" s="127"/>
      <c r="Q27" s="126"/>
      <c r="R27" s="128"/>
      <c r="S27" s="128"/>
      <c r="T27" s="128"/>
      <c r="U27" s="128"/>
      <c r="V27" s="128"/>
      <c r="W27" s="119"/>
      <c r="X27" s="119"/>
      <c r="Y27" s="119"/>
      <c r="Z27" s="126"/>
    </row>
    <row r="28" ht="12.75">
      <c r="B28" s="101"/>
    </row>
    <row r="29" spans="2:18" ht="15.75">
      <c r="B29" s="103" t="s">
        <v>120</v>
      </c>
      <c r="C29" s="103"/>
      <c r="D29" s="104"/>
      <c r="E29" s="104"/>
      <c r="F29" s="104"/>
      <c r="G29" s="104"/>
      <c r="I29" s="105"/>
      <c r="K29" s="106" t="s">
        <v>104</v>
      </c>
      <c r="Q29" s="107"/>
      <c r="R29" s="108" t="s">
        <v>105</v>
      </c>
    </row>
    <row r="30" spans="2:25" s="113" customFormat="1" ht="12.75">
      <c r="B30" s="109"/>
      <c r="C30" s="110">
        <v>2020</v>
      </c>
      <c r="D30" s="110">
        <f>C30+1</f>
        <v>2021</v>
      </c>
      <c r="E30" s="110">
        <f>D30+1</f>
        <v>2022</v>
      </c>
      <c r="F30" s="110">
        <f>E30+1</f>
        <v>2023</v>
      </c>
      <c r="G30" s="110">
        <f>F30+1</f>
        <v>2024</v>
      </c>
      <c r="H30" s="111"/>
      <c r="I30" s="112"/>
      <c r="J30" s="111"/>
      <c r="K30" s="111"/>
      <c r="L30" s="111">
        <v>2015</v>
      </c>
      <c r="M30" s="111">
        <v>2016</v>
      </c>
      <c r="N30" s="111">
        <v>2017</v>
      </c>
      <c r="O30" s="111">
        <v>2018</v>
      </c>
      <c r="P30" s="111">
        <v>2019</v>
      </c>
      <c r="R30" s="111">
        <v>2014</v>
      </c>
      <c r="S30" s="111">
        <f>R30+1</f>
        <v>2015</v>
      </c>
      <c r="T30" s="111">
        <f t="shared" si="13" ref="T30:V30">S30+1</f>
        <v>2016</v>
      </c>
      <c r="U30" s="111">
        <f t="shared" si="13"/>
        <v>2017</v>
      </c>
      <c r="V30" s="111">
        <f t="shared" si="13"/>
        <v>2018</v>
      </c>
      <c r="W30" s="114" t="s">
        <v>106</v>
      </c>
      <c r="X30" s="114" t="s">
        <v>107</v>
      </c>
      <c r="Y30" s="114" t="s">
        <v>108</v>
      </c>
    </row>
    <row r="31" spans="2:25" ht="12.75">
      <c r="B31" s="104" t="s">
        <v>0</v>
      </c>
      <c r="C31" s="115">
        <f>$X31*C$43</f>
        <v>404727.53021701647</v>
      </c>
      <c r="D31" s="115">
        <f>$X31*D$43</f>
        <v>395827.75032219832</v>
      </c>
      <c r="E31" s="115">
        <f t="shared" si="14" ref="E31:G42">$X31*E$43</f>
        <v>422952.39396280935</v>
      </c>
      <c r="F31" s="115">
        <f t="shared" si="14"/>
        <v>439310.39365162497</v>
      </c>
      <c r="G31" s="115">
        <f t="shared" si="14"/>
        <v>427965.32235929667</v>
      </c>
      <c r="H31" s="116"/>
      <c r="I31" s="117"/>
      <c r="J31" s="116"/>
      <c r="K31" s="100" t="s">
        <v>0</v>
      </c>
      <c r="L31" s="116">
        <v>331399.28999999998</v>
      </c>
      <c r="M31" s="116">
        <v>438194.13</v>
      </c>
      <c r="N31" s="116">
        <v>440106.73</v>
      </c>
      <c r="O31" s="116">
        <v>351522.37</v>
      </c>
      <c r="P31" s="116">
        <v>197443.75</v>
      </c>
      <c r="R31" s="118">
        <f t="shared" si="15" ref="R31:V42">L31/L$43</f>
        <v>0.098844292694898681</v>
      </c>
      <c r="S31" s="118">
        <f t="shared" si="15"/>
        <v>0.146657135409343</v>
      </c>
      <c r="T31" s="118">
        <f t="shared" si="15"/>
        <v>0.15464435034884291</v>
      </c>
      <c r="U31" s="118">
        <f t="shared" si="15"/>
        <v>0.0926024773182164</v>
      </c>
      <c r="V31" s="118">
        <f t="shared" si="15"/>
        <v>0.051157790562589317</v>
      </c>
      <c r="W31" s="119">
        <f t="shared" si="16" ref="W31:W42">AVERAGE(R31:V31)</f>
        <v>0.10878120926677808</v>
      </c>
      <c r="X31" s="119">
        <f t="shared" si="17" ref="X31:X42">AVERAGE(S31:V31)</f>
        <v>0.11126543840974792</v>
      </c>
      <c r="Y31" s="119">
        <f t="shared" si="18" ref="Y31:Y42">AVERAGE(T31:V31)</f>
        <v>0.099468206076549534</v>
      </c>
    </row>
    <row r="32" spans="2:25" ht="12.75">
      <c r="B32" s="104" t="s">
        <v>1</v>
      </c>
      <c r="C32" s="115">
        <f t="shared" si="19" ref="C32:D42">$X32*C$43</f>
        <v>305926.56073394307</v>
      </c>
      <c r="D32" s="115">
        <f t="shared" si="19"/>
        <v>299199.3705844346</v>
      </c>
      <c r="E32" s="115">
        <f t="shared" si="14"/>
        <v>319702.42095922987</v>
      </c>
      <c r="F32" s="115">
        <f t="shared" si="14"/>
        <v>332067.15083713789</v>
      </c>
      <c r="G32" s="115">
        <f t="shared" si="14"/>
        <v>323491.60708827962</v>
      </c>
      <c r="H32" s="116"/>
      <c r="I32" s="117"/>
      <c r="J32" s="116"/>
      <c r="K32" s="100" t="s">
        <v>1</v>
      </c>
      <c r="L32" s="116">
        <v>87699.66</v>
      </c>
      <c r="M32" s="116">
        <v>128651.81</v>
      </c>
      <c r="N32" s="116">
        <v>202579.77</v>
      </c>
      <c r="O32" s="116">
        <v>279309.33</v>
      </c>
      <c r="P32" s="116">
        <v>573503.59</v>
      </c>
      <c r="R32" s="118">
        <f t="shared" si="15"/>
        <v>0.026157602396441763</v>
      </c>
      <c r="S32" s="118">
        <f t="shared" si="15"/>
        <v>0.043057870081069011</v>
      </c>
      <c r="T32" s="118">
        <f t="shared" si="15"/>
        <v>0.071182317356219521</v>
      </c>
      <c r="U32" s="118">
        <f t="shared" si="15"/>
        <v>0.073579203212845945</v>
      </c>
      <c r="V32" s="118">
        <f t="shared" si="15"/>
        <v>0.14859511402165473</v>
      </c>
      <c r="W32" s="119">
        <f t="shared" si="16"/>
        <v>0.072514421413646196</v>
      </c>
      <c r="X32" s="119">
        <f t="shared" si="17"/>
        <v>0.08410362616794731</v>
      </c>
      <c r="Y32" s="119">
        <f t="shared" si="18"/>
        <v>0.097785544863573395</v>
      </c>
    </row>
    <row r="33" spans="2:25" ht="12.75">
      <c r="B33" s="104" t="s">
        <v>2</v>
      </c>
      <c r="C33" s="115">
        <f t="shared" si="19"/>
        <v>174825.27803798296</v>
      </c>
      <c r="D33" s="115">
        <f t="shared" si="19"/>
        <v>170980.94727611422</v>
      </c>
      <c r="E33" s="115">
        <f t="shared" si="14"/>
        <v>182697.65299071762</v>
      </c>
      <c r="F33" s="115">
        <f t="shared" si="14"/>
        <v>189763.62115505029</v>
      </c>
      <c r="G33" s="115">
        <f t="shared" si="14"/>
        <v>184863.02731114122</v>
      </c>
      <c r="H33" s="116"/>
      <c r="I33" s="117"/>
      <c r="J33" s="116"/>
      <c r="K33" s="100" t="s">
        <v>2</v>
      </c>
      <c r="L33" s="116">
        <v>183035.40</v>
      </c>
      <c r="M33" s="116">
        <v>138624.35999999999</v>
      </c>
      <c r="N33" s="116">
        <v>139576.65</v>
      </c>
      <c r="O33" s="116">
        <v>37565.60</v>
      </c>
      <c r="P33" s="116">
        <v>335437.65999999997</v>
      </c>
      <c r="R33" s="118">
        <f t="shared" si="15"/>
        <v>0.054592768292074066</v>
      </c>
      <c r="S33" s="118">
        <f t="shared" si="15"/>
        <v>0.046395536004906111</v>
      </c>
      <c r="T33" s="118">
        <f t="shared" si="15"/>
        <v>0.049044331503673724</v>
      </c>
      <c r="U33" s="118">
        <f t="shared" si="15"/>
        <v>0.0098960063962506561</v>
      </c>
      <c r="V33" s="118">
        <f t="shared" si="15"/>
        <v>0.0869120929737459</v>
      </c>
      <c r="W33" s="119">
        <f t="shared" si="16"/>
        <v>0.049368147034130096</v>
      </c>
      <c r="X33" s="119">
        <f t="shared" si="17"/>
        <v>0.048061991719644093</v>
      </c>
      <c r="Y33" s="119">
        <f t="shared" si="18"/>
        <v>0.048617476957890093</v>
      </c>
    </row>
    <row r="34" spans="2:25" ht="12.75">
      <c r="B34" s="104" t="s">
        <v>3</v>
      </c>
      <c r="C34" s="115">
        <f t="shared" si="19"/>
        <v>319252.21384705772</v>
      </c>
      <c r="D34" s="115">
        <f t="shared" si="19"/>
        <v>312231.99846252793</v>
      </c>
      <c r="E34" s="115">
        <f t="shared" si="14"/>
        <v>333628.12767428253</v>
      </c>
      <c r="F34" s="115">
        <f t="shared" si="14"/>
        <v>346531.44465883169</v>
      </c>
      <c r="G34" s="115">
        <f t="shared" si="14"/>
        <v>337582.36446063907</v>
      </c>
      <c r="H34" s="116"/>
      <c r="I34" s="117"/>
      <c r="J34" s="116"/>
      <c r="K34" s="100" t="s">
        <v>3</v>
      </c>
      <c r="L34" s="116">
        <v>248741.81</v>
      </c>
      <c r="M34" s="116">
        <v>199401.41</v>
      </c>
      <c r="N34" s="116">
        <v>260134.35</v>
      </c>
      <c r="O34" s="116">
        <v>393489.26</v>
      </c>
      <c r="P34" s="116">
        <v>344529.19</v>
      </c>
      <c r="R34" s="118">
        <f t="shared" si="15"/>
        <v>0.074190588257141032</v>
      </c>
      <c r="S34" s="118">
        <f t="shared" si="15"/>
        <v>0.066736721432539323</v>
      </c>
      <c r="T34" s="118">
        <f t="shared" si="15"/>
        <v>0.091405799586769629</v>
      </c>
      <c r="U34" s="118">
        <f t="shared" si="15"/>
        <v>0.10365792730093325</v>
      </c>
      <c r="V34" s="118">
        <f t="shared" si="15"/>
        <v>0.089267713689182571</v>
      </c>
      <c r="W34" s="119">
        <f t="shared" si="16"/>
        <v>0.085051750053313169</v>
      </c>
      <c r="X34" s="119">
        <f t="shared" si="17"/>
        <v>0.087767040502356189</v>
      </c>
      <c r="Y34" s="119">
        <f t="shared" si="18"/>
        <v>0.094777146858961811</v>
      </c>
    </row>
    <row r="35" spans="2:25" ht="12.75">
      <c r="B35" s="104" t="s">
        <v>4</v>
      </c>
      <c r="C35" s="115">
        <f t="shared" si="19"/>
        <v>374630.40997862176</v>
      </c>
      <c r="D35" s="115">
        <f t="shared" si="19"/>
        <v>366392.4524842861</v>
      </c>
      <c r="E35" s="115">
        <f t="shared" si="14"/>
        <v>391500.00165979535</v>
      </c>
      <c r="F35" s="115">
        <f t="shared" si="14"/>
        <v>406641.55658828065</v>
      </c>
      <c r="G35" s="115">
        <f t="shared" si="14"/>
        <v>396140.14911742572</v>
      </c>
      <c r="H35" s="116"/>
      <c r="I35" s="117"/>
      <c r="J35" s="116"/>
      <c r="K35" s="100" t="s">
        <v>4</v>
      </c>
      <c r="L35" s="116">
        <v>276255.92</v>
      </c>
      <c r="M35" s="116">
        <v>221972.48</v>
      </c>
      <c r="N35" s="116">
        <v>169479.87</v>
      </c>
      <c r="O35" s="116">
        <v>621017.72</v>
      </c>
      <c r="P35" s="116">
        <v>442014.59</v>
      </c>
      <c r="R35" s="118">
        <f t="shared" si="15"/>
        <v>0.082397041391303272</v>
      </c>
      <c r="S35" s="118">
        <f t="shared" si="15"/>
        <v>0.07429092684675552</v>
      </c>
      <c r="T35" s="118">
        <f t="shared" si="15"/>
        <v>0.05955170100070125</v>
      </c>
      <c r="U35" s="118">
        <f t="shared" si="15"/>
        <v>0.16359635755332005</v>
      </c>
      <c r="V35" s="118">
        <f t="shared" si="15"/>
        <v>0.11452623757819018</v>
      </c>
      <c r="W35" s="119">
        <f t="shared" si="16"/>
        <v>0.098872452874054065</v>
      </c>
      <c r="X35" s="119">
        <f t="shared" si="17"/>
        <v>0.10299130574474176</v>
      </c>
      <c r="Y35" s="119">
        <f t="shared" si="18"/>
        <v>0.11255809871073717</v>
      </c>
    </row>
    <row r="36" spans="2:25" ht="12.75">
      <c r="B36" s="104" t="s">
        <v>5</v>
      </c>
      <c r="C36" s="115">
        <f t="shared" si="19"/>
        <v>228806.32100893205</v>
      </c>
      <c r="D36" s="115">
        <f t="shared" si="19"/>
        <v>223774.97091908092</v>
      </c>
      <c r="E36" s="115">
        <f t="shared" si="14"/>
        <v>239109.46006727082</v>
      </c>
      <c r="F36" s="115">
        <f t="shared" si="14"/>
        <v>248357.19699748716</v>
      </c>
      <c r="G36" s="115">
        <f t="shared" si="14"/>
        <v>241943.4400124118</v>
      </c>
      <c r="H36" s="116"/>
      <c r="I36" s="117"/>
      <c r="J36" s="116"/>
      <c r="K36" s="100" t="s">
        <v>5</v>
      </c>
      <c r="L36" s="116">
        <v>241654.47</v>
      </c>
      <c r="M36" s="116">
        <v>152261.19</v>
      </c>
      <c r="N36" s="116">
        <v>98457.83</v>
      </c>
      <c r="O36" s="116">
        <v>317352.24</v>
      </c>
      <c r="P36" s="116">
        <v>318224.19</v>
      </c>
      <c r="R36" s="118">
        <f t="shared" si="15"/>
        <v>0.072076693838754494</v>
      </c>
      <c r="S36" s="118">
        <f t="shared" si="15"/>
        <v>0.050959582592805842</v>
      </c>
      <c r="T36" s="118">
        <f t="shared" si="15"/>
        <v>0.034596033460126407</v>
      </c>
      <c r="U36" s="118">
        <f t="shared" si="15"/>
        <v>0.083600948657933688</v>
      </c>
      <c r="V36" s="118">
        <f t="shared" si="15"/>
        <v>0.082452072876298327</v>
      </c>
      <c r="W36" s="119">
        <f t="shared" si="16"/>
        <v>0.064737066285183748</v>
      </c>
      <c r="X36" s="119">
        <f t="shared" si="17"/>
        <v>0.062902159396791058</v>
      </c>
      <c r="Y36" s="119">
        <f t="shared" si="18"/>
        <v>0.066883018331452812</v>
      </c>
    </row>
    <row r="37" spans="2:25" ht="12.75">
      <c r="B37" s="104" t="s">
        <v>6</v>
      </c>
      <c r="C37" s="115">
        <f t="shared" si="19"/>
        <v>175736.90242606847</v>
      </c>
      <c r="D37" s="115">
        <f t="shared" si="19"/>
        <v>171872.52544595418</v>
      </c>
      <c r="E37" s="115">
        <f t="shared" si="14"/>
        <v>183650.32778684257</v>
      </c>
      <c r="F37" s="115">
        <f t="shared" si="14"/>
        <v>190753.14136035365</v>
      </c>
      <c r="G37" s="115">
        <f t="shared" si="14"/>
        <v>185826.99342658784</v>
      </c>
      <c r="H37" s="116"/>
      <c r="I37" s="117"/>
      <c r="J37" s="116"/>
      <c r="K37" s="100" t="s">
        <v>6</v>
      </c>
      <c r="L37" s="116">
        <v>164135.89000000001</v>
      </c>
      <c r="M37" s="116">
        <v>154761.63</v>
      </c>
      <c r="N37" s="116">
        <v>98584.95</v>
      </c>
      <c r="O37" s="116">
        <v>175788.79</v>
      </c>
      <c r="P37" s="116">
        <v>233518.53</v>
      </c>
      <c r="R37" s="118">
        <f t="shared" si="15"/>
        <v>0.048955735399727911</v>
      </c>
      <c r="S37" s="118">
        <f t="shared" si="15"/>
        <v>0.051796443113194236</v>
      </c>
      <c r="T37" s="118">
        <f t="shared" si="15"/>
        <v>0.034640700783928398</v>
      </c>
      <c r="U37" s="118">
        <f t="shared" si="15"/>
        <v>0.046308510718028294</v>
      </c>
      <c r="V37" s="118">
        <f t="shared" si="15"/>
        <v>0.060504787060738717</v>
      </c>
      <c r="W37" s="119">
        <f t="shared" si="16"/>
        <v>0.048441235415123511</v>
      </c>
      <c r="X37" s="119">
        <f t="shared" si="17"/>
        <v>0.048312610418972411</v>
      </c>
      <c r="Y37" s="119">
        <f t="shared" si="18"/>
        <v>0.047151332854231807</v>
      </c>
    </row>
    <row r="38" spans="2:25" ht="12.75">
      <c r="B38" s="104" t="s">
        <v>7</v>
      </c>
      <c r="C38" s="115">
        <f t="shared" si="19"/>
        <v>139310.57231100238</v>
      </c>
      <c r="D38" s="115">
        <f t="shared" si="19"/>
        <v>136247.1942652236</v>
      </c>
      <c r="E38" s="115">
        <f t="shared" si="14"/>
        <v>145583.72155131988</v>
      </c>
      <c r="F38" s="115">
        <f t="shared" si="14"/>
        <v>151214.28070129955</v>
      </c>
      <c r="G38" s="115">
        <f t="shared" si="14"/>
        <v>147309.21307766665</v>
      </c>
      <c r="H38" s="116"/>
      <c r="I38" s="117"/>
      <c r="J38" s="116"/>
      <c r="K38" s="100" t="s">
        <v>7</v>
      </c>
      <c r="L38" s="116">
        <v>171072.93</v>
      </c>
      <c r="M38" s="116">
        <v>145697.49</v>
      </c>
      <c r="N38" s="116">
        <v>90223.76</v>
      </c>
      <c r="O38" s="116">
        <v>173813.21</v>
      </c>
      <c r="P38" s="116">
        <v>103976.25</v>
      </c>
      <c r="R38" s="118">
        <f t="shared" si="15"/>
        <v>0.051024800822880197</v>
      </c>
      <c r="S38" s="118">
        <f t="shared" si="15"/>
        <v>0.048762808665947656</v>
      </c>
      <c r="T38" s="118">
        <f t="shared" si="15"/>
        <v>0.031702752537390008</v>
      </c>
      <c r="U38" s="118">
        <f t="shared" si="15"/>
        <v>0.045788078399196568</v>
      </c>
      <c r="V38" s="118">
        <f t="shared" si="15"/>
        <v>0.026940306902514904</v>
      </c>
      <c r="W38" s="119">
        <f t="shared" si="16"/>
        <v>0.040843749465585867</v>
      </c>
      <c r="X38" s="119">
        <f t="shared" si="17"/>
        <v>0.038298486626262285</v>
      </c>
      <c r="Y38" s="119">
        <f t="shared" si="18"/>
        <v>0.034810379279700494</v>
      </c>
    </row>
    <row r="39" spans="2:25" ht="12.75">
      <c r="B39" s="104" t="s">
        <v>8</v>
      </c>
      <c r="C39" s="115">
        <f t="shared" si="19"/>
        <v>220216.09091582111</v>
      </c>
      <c r="D39" s="115">
        <f t="shared" si="19"/>
        <v>215373.63619721777</v>
      </c>
      <c r="E39" s="115">
        <f t="shared" si="14"/>
        <v>230132.4122726114</v>
      </c>
      <c r="F39" s="115">
        <f t="shared" si="14"/>
        <v>239032.95517549131</v>
      </c>
      <c r="G39" s="115">
        <f t="shared" si="14"/>
        <v>232859.99419648846</v>
      </c>
      <c r="H39" s="116"/>
      <c r="I39" s="117"/>
      <c r="J39" s="116"/>
      <c r="K39" s="100" t="s">
        <v>8</v>
      </c>
      <c r="L39" s="116">
        <v>245350.01</v>
      </c>
      <c r="M39" s="116">
        <v>151653.32</v>
      </c>
      <c r="N39" s="116">
        <v>221825.66</v>
      </c>
      <c r="O39" s="116">
        <v>269130.11</v>
      </c>
      <c r="P39" s="116">
        <v>164274.43</v>
      </c>
      <c r="R39" s="118">
        <f t="shared" si="15"/>
        <v>0.073178938316784931</v>
      </c>
      <c r="S39" s="118">
        <f t="shared" si="15"/>
        <v>0.050756137437341808</v>
      </c>
      <c r="T39" s="118">
        <f t="shared" si="15"/>
        <v>0.077944922772263253</v>
      </c>
      <c r="U39" s="118">
        <f t="shared" si="15"/>
        <v>0.07089766408585628</v>
      </c>
      <c r="V39" s="118">
        <f t="shared" si="15"/>
        <v>0.042563600441790327</v>
      </c>
      <c r="W39" s="119">
        <f t="shared" si="16"/>
        <v>0.063068252610807313</v>
      </c>
      <c r="X39" s="119">
        <f t="shared" si="17"/>
        <v>0.060540581184312915</v>
      </c>
      <c r="Y39" s="119">
        <f t="shared" si="18"/>
        <v>0.063802062433303289</v>
      </c>
    </row>
    <row r="40" spans="2:25" ht="12.75">
      <c r="B40" s="104" t="s">
        <v>9</v>
      </c>
      <c r="C40" s="115">
        <f t="shared" si="19"/>
        <v>367251.92169789685</v>
      </c>
      <c r="D40" s="115">
        <f t="shared" si="19"/>
        <v>359176.21390676207</v>
      </c>
      <c r="E40" s="115">
        <f t="shared" si="14"/>
        <v>383789.26036061614</v>
      </c>
      <c r="F40" s="115">
        <f t="shared" si="14"/>
        <v>398632.59661112982</v>
      </c>
      <c r="G40" s="115">
        <f t="shared" si="14"/>
        <v>388338.01835085405</v>
      </c>
      <c r="H40" s="116"/>
      <c r="I40" s="117"/>
      <c r="J40" s="116"/>
      <c r="K40" s="100" t="s">
        <v>9</v>
      </c>
      <c r="L40" s="116">
        <v>317020.33</v>
      </c>
      <c r="M40" s="116">
        <v>369130.20</v>
      </c>
      <c r="N40" s="116">
        <v>315233.52</v>
      </c>
      <c r="O40" s="116">
        <v>383668.04</v>
      </c>
      <c r="P40" s="116">
        <v>264267.09999999998</v>
      </c>
      <c r="R40" s="118">
        <f t="shared" si="15"/>
        <v>0.094555574602327525</v>
      </c>
      <c r="S40" s="118">
        <f t="shared" si="15"/>
        <v>0.12354245303349422</v>
      </c>
      <c r="T40" s="118">
        <f t="shared" si="15"/>
        <v>0.11076650181781812</v>
      </c>
      <c r="U40" s="118">
        <f t="shared" si="15"/>
        <v>0.10107069707064316</v>
      </c>
      <c r="V40" s="118">
        <f t="shared" si="15"/>
        <v>0.068471759447350677</v>
      </c>
      <c r="W40" s="119">
        <f t="shared" si="16"/>
        <v>0.09968139719432674</v>
      </c>
      <c r="X40" s="119">
        <f t="shared" si="17"/>
        <v>0.10096285284232655</v>
      </c>
      <c r="Y40" s="119">
        <f t="shared" si="18"/>
        <v>0.093436319445270644</v>
      </c>
    </row>
    <row r="41" spans="2:25" ht="12.75">
      <c r="B41" s="104" t="s">
        <v>10</v>
      </c>
      <c r="C41" s="115">
        <f t="shared" si="19"/>
        <v>425907.76303631364</v>
      </c>
      <c r="D41" s="115">
        <f t="shared" si="19"/>
        <v>416542.2391627953</v>
      </c>
      <c r="E41" s="115">
        <f t="shared" si="14"/>
        <v>445086.37177946034</v>
      </c>
      <c r="F41" s="115">
        <f t="shared" si="14"/>
        <v>462300.41958954243</v>
      </c>
      <c r="G41" s="115">
        <f t="shared" si="14"/>
        <v>450361.6371375256</v>
      </c>
      <c r="H41" s="116"/>
      <c r="I41" s="117"/>
      <c r="J41" s="116"/>
      <c r="K41" s="100" t="s">
        <v>10</v>
      </c>
      <c r="L41" s="116">
        <v>560653.04</v>
      </c>
      <c r="M41" s="116">
        <v>422393.61</v>
      </c>
      <c r="N41" s="116">
        <v>360243.27</v>
      </c>
      <c r="O41" s="3">
        <v>372052.78</v>
      </c>
      <c r="P41" s="116">
        <v>395178.49</v>
      </c>
      <c r="R41" s="118">
        <f t="shared" si="15"/>
        <v>0.1672223051112896</v>
      </c>
      <c r="S41" s="118">
        <f t="shared" si="15"/>
        <v>0.1413689335770226</v>
      </c>
      <c r="T41" s="118">
        <f t="shared" si="15"/>
        <v>0.12658199172889909</v>
      </c>
      <c r="U41" s="118">
        <f t="shared" si="15"/>
        <v>0.098010858088858926</v>
      </c>
      <c r="V41" s="118">
        <f t="shared" si="15"/>
        <v>0.10239097680357213</v>
      </c>
      <c r="W41" s="119">
        <f t="shared" si="16"/>
        <v>0.12711501306192846</v>
      </c>
      <c r="X41" s="119">
        <f t="shared" si="17"/>
        <v>0.11708819004958818</v>
      </c>
      <c r="Y41" s="119">
        <f t="shared" si="18"/>
        <v>0.10899460887377671</v>
      </c>
    </row>
    <row r="42" spans="2:25" ht="12.75">
      <c r="B42" s="104" t="s">
        <v>11</v>
      </c>
      <c r="C42" s="120">
        <f t="shared" si="19"/>
        <v>500903.92406990228</v>
      </c>
      <c r="D42" s="120">
        <f t="shared" si="19"/>
        <v>489889.2676903808</v>
      </c>
      <c r="E42" s="120">
        <f t="shared" si="14"/>
        <v>523459.6068054256</v>
      </c>
      <c r="F42" s="120">
        <f t="shared" si="14"/>
        <v>543704.79800768569</v>
      </c>
      <c r="G42" s="120">
        <f t="shared" si="14"/>
        <v>529663.76964934065</v>
      </c>
      <c r="H42" s="116"/>
      <c r="I42" s="117"/>
      <c r="J42" s="116"/>
      <c r="K42" s="100" t="s">
        <v>11</v>
      </c>
      <c r="L42" s="121">
        <v>525722.02</v>
      </c>
      <c r="M42" s="121">
        <v>465139.79</v>
      </c>
      <c r="N42" s="121">
        <v>449481.92</v>
      </c>
      <c r="O42" s="121">
        <v>421326.90</v>
      </c>
      <c r="P42" s="147">
        <v>487137.26</v>
      </c>
      <c r="R42" s="118">
        <f t="shared" si="15"/>
        <v>0.15680365887637654</v>
      </c>
      <c r="S42" s="118">
        <f t="shared" si="15"/>
        <v>0.15567545180558068</v>
      </c>
      <c r="T42" s="118">
        <f t="shared" si="15"/>
        <v>0.15793859710336761</v>
      </c>
      <c r="U42" s="118">
        <f t="shared" si="15"/>
        <v>0.11099127119791674</v>
      </c>
      <c r="V42" s="118">
        <f t="shared" si="15"/>
        <v>0.12621754764237217</v>
      </c>
      <c r="W42" s="119">
        <f t="shared" si="16"/>
        <v>0.14152530532512272</v>
      </c>
      <c r="X42" s="119">
        <f t="shared" si="17"/>
        <v>0.13770571693730929</v>
      </c>
      <c r="Y42" s="119">
        <f t="shared" si="18"/>
        <v>0.13171580531455218</v>
      </c>
    </row>
    <row r="43" spans="2:25" s="126" customFormat="1" ht="12.75">
      <c r="B43" s="122" t="s">
        <v>82</v>
      </c>
      <c r="C43" s="123">
        <v>3637495.488280559</v>
      </c>
      <c r="D43" s="123">
        <v>3557508.566716976</v>
      </c>
      <c r="E43" s="123">
        <v>3801291.7578703817</v>
      </c>
      <c r="F43" s="123">
        <v>3948309.5553339152</v>
      </c>
      <c r="G43" s="123">
        <v>3846345.5361876576</v>
      </c>
      <c r="H43" s="124"/>
      <c r="I43" s="125"/>
      <c r="J43" s="124"/>
      <c r="K43" s="126" t="s">
        <v>82</v>
      </c>
      <c r="L43" s="127">
        <f>SUM(L31:L42)</f>
        <v>3352740.77</v>
      </c>
      <c r="M43" s="127">
        <f>SUM(M31:M42)</f>
        <v>2987881.42</v>
      </c>
      <c r="N43" s="127">
        <f>SUM(N31:N42)</f>
        <v>2845928.2800000003</v>
      </c>
      <c r="O43" s="127">
        <f>SUM(O31:O42)</f>
        <v>3796036.35</v>
      </c>
      <c r="P43" s="127">
        <f>SUM(P31:P42)</f>
        <v>3859505.0300000003</v>
      </c>
      <c r="R43" s="128"/>
      <c r="S43" s="128"/>
      <c r="T43" s="128"/>
      <c r="U43" s="128"/>
      <c r="V43" s="128"/>
      <c r="W43" s="119"/>
      <c r="X43" s="119"/>
      <c r="Y43" s="119"/>
    </row>
    <row r="44" spans="9:23" ht="12.75">
      <c r="I44" s="105"/>
      <c r="L44" s="129"/>
      <c r="M44" s="129"/>
      <c r="N44" s="130"/>
      <c r="W44" s="100"/>
    </row>
    <row r="45" ht="13.9" customHeight="1">
      <c r="I45" s="105"/>
    </row>
    <row r="46" spans="2:23" ht="13.9" customHeight="1">
      <c r="B46" s="106" t="s">
        <v>109</v>
      </c>
      <c r="C46" s="106"/>
      <c r="I46" s="105"/>
      <c r="K46" s="106" t="s">
        <v>110</v>
      </c>
      <c r="R46" s="131"/>
      <c r="S46" s="131"/>
      <c r="T46" s="131"/>
      <c r="U46" s="131"/>
      <c r="V46" s="131"/>
      <c r="W46" s="132"/>
    </row>
    <row r="47" spans="3:23" s="113" customFormat="1" ht="12.75">
      <c r="C47" s="111">
        <v>2020</v>
      </c>
      <c r="D47" s="111">
        <f>C47+1</f>
        <v>2021</v>
      </c>
      <c r="E47" s="111">
        <f>D47+1</f>
        <v>2022</v>
      </c>
      <c r="F47" s="111">
        <f>E47+1</f>
        <v>2023</v>
      </c>
      <c r="G47" s="111">
        <f>F47+1</f>
        <v>2024</v>
      </c>
      <c r="H47" s="111"/>
      <c r="I47" s="112"/>
      <c r="J47" s="111"/>
      <c r="K47" s="111"/>
      <c r="L47" s="111">
        <v>2015</v>
      </c>
      <c r="M47" s="111">
        <v>2016</v>
      </c>
      <c r="N47" s="111">
        <v>2017</v>
      </c>
      <c r="O47" s="111">
        <v>2018</v>
      </c>
      <c r="P47" s="111">
        <v>2019</v>
      </c>
      <c r="R47" s="111"/>
      <c r="S47" s="111"/>
      <c r="T47" s="111"/>
      <c r="U47" s="111"/>
      <c r="V47" s="111"/>
      <c r="W47" s="133"/>
    </row>
    <row r="48" spans="2:24" ht="12.75">
      <c r="B48" s="100" t="s">
        <v>0</v>
      </c>
      <c r="C48" s="127">
        <v>112977579.917313</v>
      </c>
      <c r="D48" s="127">
        <v>112282851.561821</v>
      </c>
      <c r="E48" s="127">
        <v>119689704.23767</v>
      </c>
      <c r="F48" s="127">
        <v>124582741.106801</v>
      </c>
      <c r="G48" s="127">
        <v>123853514.390219</v>
      </c>
      <c r="H48" s="116"/>
      <c r="I48" s="117"/>
      <c r="J48" s="116"/>
      <c r="K48" s="100" t="s">
        <v>0</v>
      </c>
      <c r="L48" s="116">
        <v>105105151.34999999</v>
      </c>
      <c r="M48" s="116">
        <v>104341570.65000001</v>
      </c>
      <c r="N48" s="116">
        <v>91074200.450000003</v>
      </c>
      <c r="O48" s="116">
        <v>129773944.93000001</v>
      </c>
      <c r="P48" s="116">
        <v>97206212.519999996</v>
      </c>
      <c r="R48" s="131"/>
      <c r="S48" s="131"/>
      <c r="T48" s="131"/>
      <c r="U48" s="131"/>
      <c r="W48" s="132"/>
      <c r="X48" s="134"/>
    </row>
    <row r="49" spans="2:24" ht="12.75">
      <c r="B49" s="100" t="s">
        <v>1</v>
      </c>
      <c r="C49" s="127">
        <v>103244201.16582</v>
      </c>
      <c r="D49" s="127">
        <v>102239064.107566</v>
      </c>
      <c r="E49" s="127">
        <v>109042547.190424</v>
      </c>
      <c r="F49" s="127">
        <v>113481790.67681199</v>
      </c>
      <c r="G49" s="127">
        <v>111873405.51267201</v>
      </c>
      <c r="H49" s="116"/>
      <c r="I49" s="117"/>
      <c r="J49" s="116"/>
      <c r="K49" s="100" t="s">
        <v>1</v>
      </c>
      <c r="L49" s="116">
        <v>99950580.420000002</v>
      </c>
      <c r="M49" s="116">
        <v>88550264.689999998</v>
      </c>
      <c r="N49" s="116">
        <v>75949256.159999996</v>
      </c>
      <c r="O49" s="116">
        <v>86769129.510000005</v>
      </c>
      <c r="P49" s="116">
        <v>76046450.769999996</v>
      </c>
      <c r="R49" s="131"/>
      <c r="S49" s="131"/>
      <c r="T49" s="131"/>
      <c r="U49" s="131"/>
      <c r="V49" s="131"/>
      <c r="W49" s="132"/>
      <c r="X49" s="134"/>
    </row>
    <row r="50" spans="2:24" ht="12.75">
      <c r="B50" s="100" t="s">
        <v>2</v>
      </c>
      <c r="C50" s="127">
        <v>94911195.436788097</v>
      </c>
      <c r="D50" s="127">
        <v>93428008.622122899</v>
      </c>
      <c r="E50" s="127">
        <v>99530815.998664007</v>
      </c>
      <c r="F50" s="127">
        <v>103576743.97231101</v>
      </c>
      <c r="G50" s="127">
        <v>104865250.29964501</v>
      </c>
      <c r="H50" s="116"/>
      <c r="I50" s="117"/>
      <c r="J50" s="116"/>
      <c r="K50" s="100" t="s">
        <v>2</v>
      </c>
      <c r="L50" s="116">
        <v>92214546.769999996</v>
      </c>
      <c r="M50" s="116">
        <v>88277744.650000006</v>
      </c>
      <c r="N50" s="116">
        <v>88970924.319999993</v>
      </c>
      <c r="O50" s="116">
        <v>89485856.670000002</v>
      </c>
      <c r="P50" s="116">
        <v>84320299.299999997</v>
      </c>
      <c r="R50" s="131"/>
      <c r="S50" s="131"/>
      <c r="T50" s="131"/>
      <c r="U50" s="131"/>
      <c r="V50" s="148"/>
      <c r="W50" s="132"/>
      <c r="X50" s="134"/>
    </row>
    <row r="51" spans="2:24" ht="12.75">
      <c r="B51" s="100" t="s">
        <v>3</v>
      </c>
      <c r="C51" s="127">
        <v>94812045.955847397</v>
      </c>
      <c r="D51" s="127">
        <v>92829033.533522606</v>
      </c>
      <c r="E51" s="127">
        <v>98922768.093677595</v>
      </c>
      <c r="F51" s="127">
        <v>102889019.83294199</v>
      </c>
      <c r="G51" s="127">
        <v>102711230.910088</v>
      </c>
      <c r="H51" s="116"/>
      <c r="I51" s="117"/>
      <c r="J51" s="116"/>
      <c r="K51" s="100" t="s">
        <v>3</v>
      </c>
      <c r="L51" s="116">
        <v>96166823.859999999</v>
      </c>
      <c r="M51" s="116">
        <v>87140953.459999993</v>
      </c>
      <c r="N51" s="116">
        <v>90230210.25</v>
      </c>
      <c r="O51" s="116">
        <v>82203587.939999998</v>
      </c>
      <c r="P51" s="116">
        <v>84037674.959999993</v>
      </c>
      <c r="R51" s="131"/>
      <c r="S51" s="131"/>
      <c r="T51" s="131"/>
      <c r="U51" s="131"/>
      <c r="V51" s="131"/>
      <c r="W51" s="132"/>
      <c r="X51" s="134"/>
    </row>
    <row r="52" spans="2:24" ht="12.75">
      <c r="B52" s="100" t="s">
        <v>4</v>
      </c>
      <c r="C52" s="127">
        <v>103605313.94351301</v>
      </c>
      <c r="D52" s="127">
        <v>102228815.066063</v>
      </c>
      <c r="E52" s="127">
        <v>108979176.284174</v>
      </c>
      <c r="F52" s="127">
        <v>113253199.324615</v>
      </c>
      <c r="G52" s="127">
        <v>110856636.38819601</v>
      </c>
      <c r="H52" s="116"/>
      <c r="I52" s="117"/>
      <c r="J52" s="116"/>
      <c r="K52" s="100" t="s">
        <v>4</v>
      </c>
      <c r="L52" s="116">
        <v>115274324</v>
      </c>
      <c r="M52" s="116">
        <v>107838767.29000001</v>
      </c>
      <c r="N52" s="116">
        <v>104818127.69</v>
      </c>
      <c r="O52" s="116">
        <v>107618780.91</v>
      </c>
      <c r="P52" s="116">
        <v>108977069.98</v>
      </c>
      <c r="R52" s="131"/>
      <c r="S52" s="131"/>
      <c r="T52" s="131"/>
      <c r="U52" s="131"/>
      <c r="V52" s="131"/>
      <c r="W52" s="132"/>
      <c r="X52" s="134"/>
    </row>
    <row r="53" spans="2:24" ht="12.75">
      <c r="B53" s="100" t="s">
        <v>5</v>
      </c>
      <c r="C53" s="127">
        <v>124301736.266692</v>
      </c>
      <c r="D53" s="127">
        <v>123385263.11880399</v>
      </c>
      <c r="E53" s="127">
        <v>131832765.917294</v>
      </c>
      <c r="F53" s="127">
        <v>136825719.063573</v>
      </c>
      <c r="G53" s="127">
        <v>135661203.77353501</v>
      </c>
      <c r="H53" s="116"/>
      <c r="I53" s="117"/>
      <c r="J53" s="116"/>
      <c r="K53" s="100" t="s">
        <v>5</v>
      </c>
      <c r="L53" s="116">
        <v>131213278.44</v>
      </c>
      <c r="M53" s="116">
        <v>126925640.47</v>
      </c>
      <c r="N53" s="116">
        <v>115964953.16</v>
      </c>
      <c r="O53" s="116">
        <v>122998659.95</v>
      </c>
      <c r="P53" s="116">
        <v>123756836.81999999</v>
      </c>
      <c r="R53" s="131"/>
      <c r="S53" s="131"/>
      <c r="T53" s="131"/>
      <c r="U53" s="131"/>
      <c r="V53" s="131"/>
      <c r="W53" s="132"/>
      <c r="X53" s="134"/>
    </row>
    <row r="54" spans="2:24" ht="12.75">
      <c r="B54" s="100" t="s">
        <v>6</v>
      </c>
      <c r="C54" s="127">
        <v>140579699.92287701</v>
      </c>
      <c r="D54" s="127">
        <v>135697612.186005</v>
      </c>
      <c r="E54" s="127">
        <v>145145483.295517</v>
      </c>
      <c r="F54" s="127">
        <v>150582174.54291099</v>
      </c>
      <c r="G54" s="127">
        <v>149409173.851143</v>
      </c>
      <c r="H54" s="116"/>
      <c r="I54" s="117"/>
      <c r="J54" s="116"/>
      <c r="K54" s="100" t="s">
        <v>6</v>
      </c>
      <c r="L54" s="116">
        <v>145526076.44999999</v>
      </c>
      <c r="M54" s="116">
        <v>142356391.53</v>
      </c>
      <c r="N54" s="116">
        <v>135825216.72999999</v>
      </c>
      <c r="O54" s="116">
        <v>131669539.93000001</v>
      </c>
      <c r="P54" s="116">
        <v>136563456.40000001</v>
      </c>
      <c r="R54" s="131"/>
      <c r="S54" s="131"/>
      <c r="T54" s="131"/>
      <c r="U54" s="131"/>
      <c r="V54" s="131"/>
      <c r="W54" s="132"/>
      <c r="X54" s="134"/>
    </row>
    <row r="55" spans="2:24" ht="12.75">
      <c r="B55" s="100" t="s">
        <v>7</v>
      </c>
      <c r="C55" s="127">
        <v>142863051.70909601</v>
      </c>
      <c r="D55" s="127">
        <v>137153414.089306</v>
      </c>
      <c r="E55" s="127">
        <v>146774020.180085</v>
      </c>
      <c r="F55" s="127">
        <v>152224808.25309899</v>
      </c>
      <c r="G55" s="127">
        <v>146117930.99754801</v>
      </c>
      <c r="H55" s="116"/>
      <c r="I55" s="117"/>
      <c r="J55" s="116"/>
      <c r="K55" s="100" t="s">
        <v>7</v>
      </c>
      <c r="L55" s="116">
        <v>139362412.78999999</v>
      </c>
      <c r="M55" s="116">
        <v>134002719.92</v>
      </c>
      <c r="N55" s="116">
        <v>134234667.40000001</v>
      </c>
      <c r="O55" s="116">
        <v>124257254.09</v>
      </c>
      <c r="P55" s="116">
        <v>132020764.44</v>
      </c>
      <c r="R55" s="131"/>
      <c r="S55" s="131"/>
      <c r="T55" s="131"/>
      <c r="U55" s="131"/>
      <c r="V55" s="131"/>
      <c r="W55" s="132"/>
      <c r="X55" s="134"/>
    </row>
    <row r="56" spans="2:24" ht="12.75">
      <c r="B56" s="100" t="s">
        <v>8</v>
      </c>
      <c r="C56" s="127">
        <v>133760782.783003</v>
      </c>
      <c r="D56" s="127">
        <v>131118861.467779</v>
      </c>
      <c r="E56" s="127">
        <v>140428769.42227599</v>
      </c>
      <c r="F56" s="127">
        <v>145671692.138381</v>
      </c>
      <c r="G56" s="127">
        <v>137727575.37279499</v>
      </c>
      <c r="H56" s="116"/>
      <c r="I56" s="117"/>
      <c r="J56" s="116"/>
      <c r="K56" s="100" t="s">
        <v>8</v>
      </c>
      <c r="L56" s="116">
        <v>119320636.86</v>
      </c>
      <c r="M56" s="116">
        <v>123207210.58</v>
      </c>
      <c r="N56" s="116">
        <v>115392057.19</v>
      </c>
      <c r="O56" s="116">
        <v>121044271.15000001</v>
      </c>
      <c r="P56" s="116">
        <v>129825682.78</v>
      </c>
      <c r="R56" s="131"/>
      <c r="S56" s="131"/>
      <c r="T56" s="131"/>
      <c r="U56" s="131"/>
      <c r="V56" s="131"/>
      <c r="W56" s="132"/>
      <c r="X56" s="134"/>
    </row>
    <row r="57" spans="2:24" ht="12.75">
      <c r="B57" s="100" t="s">
        <v>9</v>
      </c>
      <c r="C57" s="127">
        <v>114915898.155136</v>
      </c>
      <c r="D57" s="127">
        <v>111543798.388734</v>
      </c>
      <c r="E57" s="127">
        <v>119434712.564833</v>
      </c>
      <c r="F57" s="127">
        <v>123945630.067443</v>
      </c>
      <c r="G57" s="127">
        <v>117823948.57371301</v>
      </c>
      <c r="H57" s="116"/>
      <c r="I57" s="117"/>
      <c r="J57" s="116"/>
      <c r="K57" s="100" t="s">
        <v>9</v>
      </c>
      <c r="L57" s="116">
        <v>98422184.319999993</v>
      </c>
      <c r="M57" s="116">
        <v>101339579.68000001</v>
      </c>
      <c r="N57" s="116">
        <v>106076486.55</v>
      </c>
      <c r="O57" s="116">
        <v>98907764.760000005</v>
      </c>
      <c r="P57" s="116">
        <v>107305419.8</v>
      </c>
      <c r="R57" s="131"/>
      <c r="S57" s="131"/>
      <c r="T57" s="131"/>
      <c r="U57" s="131"/>
      <c r="V57" s="131"/>
      <c r="W57" s="132"/>
      <c r="X57" s="134"/>
    </row>
    <row r="58" spans="2:24" ht="15">
      <c r="B58" s="100" t="s">
        <v>10</v>
      </c>
      <c r="C58" s="127">
        <v>98924220.131312296</v>
      </c>
      <c r="D58" s="127">
        <v>94231028.001339793</v>
      </c>
      <c r="E58" s="127">
        <v>100851089.379537</v>
      </c>
      <c r="F58" s="127">
        <v>104730956.000762</v>
      </c>
      <c r="G58" s="127">
        <v>99507934.902501404</v>
      </c>
      <c r="H58" s="116"/>
      <c r="I58" s="117"/>
      <c r="J58" s="116"/>
      <c r="K58" s="100" t="s">
        <v>10</v>
      </c>
      <c r="L58" s="116">
        <v>90260658.189999998</v>
      </c>
      <c r="M58" s="116">
        <v>84891950.469999999</v>
      </c>
      <c r="N58" s="116">
        <v>86388503.5</v>
      </c>
      <c r="O58" s="3">
        <v>87910081.340000004</v>
      </c>
      <c r="P58" s="116">
        <v>86695355.579999998</v>
      </c>
      <c r="R58" s="135"/>
      <c r="S58" s="135"/>
      <c r="T58" s="135"/>
      <c r="U58" s="136"/>
      <c r="W58" s="132"/>
      <c r="X58" s="134"/>
    </row>
    <row r="59" spans="2:24" ht="12.75">
      <c r="B59" s="100" t="s">
        <v>11</v>
      </c>
      <c r="C59" s="149">
        <v>100842925.80848999</v>
      </c>
      <c r="D59" s="149">
        <v>99568910.436885998</v>
      </c>
      <c r="E59" s="149">
        <v>106605952.93206701</v>
      </c>
      <c r="F59" s="149">
        <v>110672818.47649699</v>
      </c>
      <c r="G59" s="149">
        <v>103745949.04659</v>
      </c>
      <c r="H59" s="116"/>
      <c r="I59" s="117"/>
      <c r="J59" s="116"/>
      <c r="K59" s="100" t="s">
        <v>11</v>
      </c>
      <c r="L59" s="121">
        <v>90307433.290000007</v>
      </c>
      <c r="M59" s="121">
        <v>89662377.469999999</v>
      </c>
      <c r="N59" s="121">
        <v>106573510.28</v>
      </c>
      <c r="O59" s="121">
        <v>91293994.219999999</v>
      </c>
      <c r="P59" s="121">
        <v>94007424</v>
      </c>
      <c r="X59" s="134"/>
    </row>
    <row r="60" spans="2:24" s="126" customFormat="1" ht="12.75">
      <c r="B60" s="126" t="s">
        <v>82</v>
      </c>
      <c r="C60" s="127">
        <f>SUM(C48:C59)</f>
        <v>1365738651.1958878</v>
      </c>
      <c r="D60" s="127">
        <f>SUM(D48:D59)</f>
        <v>1335706660.5799496</v>
      </c>
      <c r="E60" s="127">
        <f>SUM(E48:E59)</f>
        <v>1427237805.4962184</v>
      </c>
      <c r="F60" s="127">
        <f>SUM(F48:F59)</f>
        <v>1482437293.4561467</v>
      </c>
      <c r="G60" s="127">
        <f>SUM(G48:G59)</f>
        <v>1444153754.0186455</v>
      </c>
      <c r="H60" s="127"/>
      <c r="I60" s="137"/>
      <c r="J60" s="127"/>
      <c r="K60" s="126" t="s">
        <v>82</v>
      </c>
      <c r="L60" s="127">
        <f>SUM(L48:L59)</f>
        <v>1323124106.74</v>
      </c>
      <c r="M60" s="127">
        <f>SUM(M48:M59)</f>
        <v>1278535170.8600001</v>
      </c>
      <c r="N60" s="127">
        <f>SUM(N48:N59)</f>
        <v>1251498113.6799998</v>
      </c>
      <c r="O60" s="127">
        <f>SUM(O48:O59)</f>
        <v>1273932865.4000001</v>
      </c>
      <c r="P60" s="138">
        <f>SUM(P48:P59)</f>
        <v>1260762647.3499997</v>
      </c>
      <c r="X60" s="124"/>
    </row>
    <row r="61" spans="2:21" ht="12.75">
      <c r="B61" s="101" t="s">
        <v>121</v>
      </c>
      <c r="P61" s="127"/>
      <c r="R61" s="131"/>
      <c r="S61" s="131"/>
      <c r="T61" s="131"/>
      <c r="U61" s="131"/>
    </row>
    <row r="62" spans="18:21" ht="12.75">
      <c r="R62" s="131"/>
      <c r="S62" s="131"/>
      <c r="T62" s="131"/>
      <c r="U62" s="131"/>
    </row>
    <row r="63" spans="3:11" ht="12.75">
      <c r="C63" s="127">
        <v>1365738651.195888</v>
      </c>
      <c r="D63" s="127">
        <v>1335706660.5799494</v>
      </c>
      <c r="E63" s="127">
        <v>1427237805.4962184</v>
      </c>
      <c r="F63" s="127">
        <v>1482437293.456147</v>
      </c>
      <c r="G63" s="127">
        <v>1444153754.0186453</v>
      </c>
      <c r="K63" s="126" t="s">
        <v>111</v>
      </c>
    </row>
    <row r="64" spans="3:7" ht="12.75">
      <c r="C64" s="127"/>
      <c r="D64" s="127"/>
      <c r="E64" s="127"/>
      <c r="F64" s="127"/>
      <c r="G64" s="127"/>
    </row>
    <row r="65" spans="3:7" ht="12.75">
      <c r="C65" s="139">
        <f>+C60-C63</f>
        <v>0</v>
      </c>
      <c r="D65" s="139">
        <f t="shared" si="20" ref="D65:G65">+D60-D63</f>
        <v>0</v>
      </c>
      <c r="E65" s="139">
        <f t="shared" si="20"/>
        <v>0</v>
      </c>
      <c r="F65" s="139">
        <f t="shared" si="20"/>
        <v>0</v>
      </c>
      <c r="G65" s="139">
        <f t="shared" si="20"/>
        <v>0</v>
      </c>
    </row>
    <row r="66" ht="12.75">
      <c r="C66" s="150" t="s">
        <v>122</v>
      </c>
    </row>
  </sheetData>
  <pageMargins left="0.25" right="0.25" top="0.75" bottom="0.75" header="0.3" footer="0.3"/>
  <pageSetup orientation="landscape" paperSize="5" scale="10" r:id="rId2"/>
  <headerFooter alignWithMargins="0">
    <oddFooter>&amp;C&amp;Z&amp;F</oddFooter>
  </headerFooter>
  <colBreaks count="1" manualBreakCount="1">
    <brk id="9" max="65535" man="1"/>
  </colBreaks>
  <legacyDrawing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quence_x0020_Number xmlns="739075F6-CC07-4459-9258-3546F5DD9D9F" xsi:nil="true"/>
    <Pgs xmlns="739075F6-CC07-4459-9258-3546F5DD9D9F" xsi:nil="true"/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144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  <MB xmlns="739075F6-CC07-4459-9258-3546F5DD9D9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0E47F8694434684E292E5C2B91A00" ma:contentTypeVersion="" ma:contentTypeDescription="Create a new document." ma:contentTypeScope="" ma:versionID="b6a171b40aaedcbafb67cb13488a6118">
  <xsd:schema xmlns:xsd="http://www.w3.org/2001/XMLSchema" xmlns:xs="http://www.w3.org/2001/XMLSchema" xmlns:p="http://schemas.microsoft.com/office/2006/metadata/properties" xmlns:ns2="c85253b9-0a55-49a1-98ad-b5b6252d7079" xmlns:ns3="739075F6-CC07-4459-9258-3546F5DD9D9F" xmlns:ns4="8b86ae58-4ff9-4300-8876-bb89783e485c" xmlns:ns5="3a6ed07f-74d3-4d6b-b2d6-faf8761c8676" targetNamespace="http://schemas.microsoft.com/office/2006/metadata/properties" ma:root="true" ma:fieldsID="8ef31851f06159ff97004423e2ab9d3c" ns2:_="" ns3:_="" ns4:_="" ns5:_="">
    <xsd:import namespace="c85253b9-0a55-49a1-98ad-b5b6252d7079"/>
    <xsd:import namespace="739075F6-CC07-4459-9258-3546F5DD9D9F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075F6-CC07-4459-9258-3546F5DD9D9F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1054F8-AA28-409F-9C61-BA52D6876C07}">
  <ds:schemaRefs>
    <ds:schemaRef ds:uri="8b86ae58-4ff9-4300-8876-bb89783e485c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a6ed07f-74d3-4d6b-b2d6-faf8761c8676"/>
    <ds:schemaRef ds:uri="739075F6-CC07-4459-9258-3546F5DD9D9F"/>
    <ds:schemaRef ds:uri="c85253b9-0a55-49a1-98ad-b5b6252d707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032D16-9BBE-43F8-9EFB-B1F88C3BFD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739075F6-CC07-4459-9258-3546F5DD9D9F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9A4815-F07F-43F4-B484-464440E899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