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3.xml" ContentType="application/vnd.openxmlformats-officedocument.drawing+xml"/>
  <Override PartName="/xl/comments8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codeName="ThisWorkbook" defaultThemeVersion="124226"/>
  <xr:revisionPtr revIDLastSave="0" documentId="13_ncr:1_{D910E5A8-DA52-467C-A598-C85354296B0A}" xr6:coauthVersionLast="46" xr6:coauthVersionMax="46" xr10:uidLastSave="{00000000-0000-0000-0000-000000000000}"/>
  <bookViews>
    <workbookView xWindow="32910" yWindow="1545" windowWidth="22125" windowHeight="13875" tabRatio="932" xr2:uid="{00000000-000D-0000-FFFF-FFFF00000000}"/>
  </bookViews>
  <sheets>
    <sheet name="Winter Peak" sheetId="1" r:id="rId1"/>
    <sheet name="Winter NCP-CP Ratio" sheetId="6" r:id="rId2"/>
    <sheet name="Winter CP Comparison" sheetId="2" r:id="rId3"/>
    <sheet name="Winter NCP Comparison" sheetId="8" r:id="rId4"/>
    <sheet name="P80 Winter CP-NCP" sheetId="10" r:id="rId5"/>
    <sheet name="P95 Winter CP-NCP" sheetId="11" r:id="rId6"/>
    <sheet name="Summer Peak" sheetId="3" r:id="rId7"/>
    <sheet name="Summer NCP-CP Ratio" sheetId="7" r:id="rId8"/>
    <sheet name="Summer CP Comparison" sheetId="5" r:id="rId9"/>
    <sheet name="Summer NCP Comparison" sheetId="9" r:id="rId10"/>
    <sheet name="P80 Summer CP-NCP" sheetId="12" r:id="rId11"/>
    <sheet name="P95 Summer CP-NCP" sheetId="13" r:id="rId12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6" l="1"/>
  <c r="I1" i="5"/>
  <c r="H1" i="13"/>
  <c r="U10" i="10"/>
  <c r="C20" i="12" l="1"/>
  <c r="O20" i="12"/>
  <c r="O20" i="13"/>
  <c r="I20" i="12"/>
  <c r="C20" i="13"/>
  <c r="I20" i="13"/>
  <c r="F20" i="12"/>
  <c r="L20" i="12"/>
  <c r="F20" i="13"/>
  <c r="L20" i="13"/>
  <c r="D10" i="3" l="1"/>
  <c r="D9" i="3"/>
  <c r="F19" i="3" l="1"/>
  <c r="F18" i="3"/>
  <c r="F16" i="3"/>
  <c r="F15" i="3"/>
  <c r="F14" i="3"/>
  <c r="F12" i="3"/>
  <c r="F11" i="3"/>
  <c r="F10" i="3"/>
  <c r="F17" i="3"/>
  <c r="F13" i="3"/>
  <c r="F9" i="3" l="1"/>
  <c r="O21" i="9" l="1"/>
  <c r="C21" i="9"/>
  <c r="F21" i="5"/>
  <c r="C21" i="5"/>
  <c r="I21" i="5" l="1"/>
  <c r="F21" i="9"/>
  <c r="L21" i="5"/>
  <c r="I21" i="9"/>
  <c r="O21" i="5"/>
  <c r="L21" i="9"/>
  <c r="A26" i="8" l="1"/>
  <c r="AA32" i="7" l="1"/>
  <c r="Z32" i="7"/>
  <c r="Y32" i="7"/>
  <c r="X32" i="7"/>
  <c r="W32" i="7"/>
  <c r="AA31" i="7"/>
  <c r="Z31" i="7"/>
  <c r="Y31" i="7"/>
  <c r="X31" i="7"/>
  <c r="W31" i="7"/>
  <c r="AA30" i="7"/>
  <c r="Z30" i="7"/>
  <c r="Y30" i="7"/>
  <c r="X30" i="7"/>
  <c r="W30" i="7"/>
  <c r="AA29" i="7"/>
  <c r="Z29" i="7"/>
  <c r="Y29" i="7"/>
  <c r="X29" i="7"/>
  <c r="W29" i="7"/>
  <c r="AA28" i="7"/>
  <c r="Z28" i="7"/>
  <c r="Y28" i="7"/>
  <c r="X28" i="7"/>
  <c r="W28" i="7"/>
  <c r="AA27" i="7"/>
  <c r="Z27" i="7"/>
  <c r="Y27" i="7"/>
  <c r="X27" i="7"/>
  <c r="W27" i="7"/>
  <c r="AA26" i="7"/>
  <c r="Z26" i="7"/>
  <c r="Y26" i="7"/>
  <c r="X26" i="7"/>
  <c r="W26" i="7"/>
  <c r="AA25" i="7"/>
  <c r="Z25" i="7"/>
  <c r="Y25" i="7"/>
  <c r="X25" i="7"/>
  <c r="W25" i="7"/>
  <c r="AA24" i="7"/>
  <c r="Z24" i="7"/>
  <c r="Y24" i="7"/>
  <c r="X24" i="7"/>
  <c r="W24" i="7"/>
  <c r="AA23" i="7"/>
  <c r="Z23" i="7"/>
  <c r="Y23" i="7"/>
  <c r="X23" i="7"/>
  <c r="W23" i="7"/>
  <c r="AA22" i="7"/>
  <c r="Z22" i="7"/>
  <c r="Y22" i="7"/>
  <c r="X22" i="7"/>
  <c r="W22" i="7"/>
  <c r="AA21" i="7"/>
  <c r="Z21" i="7"/>
  <c r="Y21" i="7"/>
  <c r="X21" i="7"/>
  <c r="W21" i="7"/>
  <c r="AA20" i="7"/>
  <c r="Z20" i="7"/>
  <c r="Y20" i="7"/>
  <c r="X20" i="7"/>
  <c r="W20" i="7"/>
  <c r="AA19" i="7"/>
  <c r="Z19" i="7"/>
  <c r="Y19" i="7"/>
  <c r="X19" i="7"/>
  <c r="W19" i="7"/>
  <c r="AA18" i="7"/>
  <c r="Z18" i="7"/>
  <c r="Y18" i="7"/>
  <c r="X18" i="7"/>
  <c r="W18" i="7"/>
  <c r="AA17" i="7"/>
  <c r="Z17" i="7"/>
  <c r="Y17" i="7"/>
  <c r="X17" i="7"/>
  <c r="W17" i="7"/>
  <c r="AA16" i="7"/>
  <c r="Z16" i="7"/>
  <c r="Y16" i="7"/>
  <c r="X16" i="7"/>
  <c r="W16" i="7"/>
  <c r="AA15" i="7"/>
  <c r="Z15" i="7"/>
  <c r="Y15" i="7"/>
  <c r="X15" i="7"/>
  <c r="W15" i="7"/>
  <c r="AA14" i="7"/>
  <c r="Z14" i="7"/>
  <c r="Y14" i="7"/>
  <c r="X14" i="7"/>
  <c r="W14" i="7"/>
  <c r="AA13" i="7"/>
  <c r="Z13" i="7"/>
  <c r="Y13" i="7"/>
  <c r="X13" i="7"/>
  <c r="W13" i="7"/>
  <c r="AA12" i="7"/>
  <c r="Z12" i="7"/>
  <c r="Y12" i="7"/>
  <c r="X12" i="7"/>
  <c r="W12" i="7"/>
  <c r="AA11" i="7"/>
  <c r="Z11" i="7"/>
  <c r="Y11" i="7"/>
  <c r="X11" i="7"/>
  <c r="W11" i="7"/>
  <c r="AA10" i="7"/>
  <c r="Z10" i="7"/>
  <c r="Y10" i="7"/>
  <c r="X10" i="7"/>
  <c r="W10" i="7"/>
  <c r="AA9" i="7"/>
  <c r="Z9" i="7"/>
  <c r="Y9" i="7"/>
  <c r="X9" i="7"/>
  <c r="W9" i="7"/>
  <c r="AA8" i="7"/>
  <c r="Z8" i="7"/>
  <c r="Y8" i="7"/>
  <c r="X8" i="7"/>
  <c r="W8" i="7"/>
  <c r="AA7" i="7"/>
  <c r="Z7" i="7"/>
  <c r="Y7" i="7"/>
  <c r="X7" i="7"/>
  <c r="W7" i="7"/>
  <c r="AA6" i="7"/>
  <c r="Z6" i="7"/>
  <c r="Y6" i="7"/>
  <c r="X6" i="7"/>
  <c r="W6" i="7"/>
  <c r="AA5" i="7"/>
  <c r="Z5" i="7"/>
  <c r="Y5" i="7"/>
  <c r="X5" i="7"/>
  <c r="W5" i="7"/>
  <c r="AA33" i="6"/>
  <c r="Z33" i="6"/>
  <c r="Y33" i="6"/>
  <c r="X33" i="6"/>
  <c r="W33" i="6"/>
  <c r="AA32" i="6"/>
  <c r="Z32" i="6"/>
  <c r="Y32" i="6"/>
  <c r="X32" i="6"/>
  <c r="W32" i="6"/>
  <c r="AA31" i="6"/>
  <c r="Z31" i="6"/>
  <c r="Y31" i="6"/>
  <c r="X31" i="6"/>
  <c r="W31" i="6"/>
  <c r="AA30" i="6"/>
  <c r="Z30" i="6"/>
  <c r="Y30" i="6"/>
  <c r="X30" i="6"/>
  <c r="W30" i="6"/>
  <c r="AA29" i="6"/>
  <c r="Z29" i="6"/>
  <c r="Y29" i="6"/>
  <c r="X29" i="6"/>
  <c r="W29" i="6"/>
  <c r="AA28" i="6"/>
  <c r="Z28" i="6"/>
  <c r="Y28" i="6"/>
  <c r="X28" i="6"/>
  <c r="W28" i="6"/>
  <c r="AA27" i="6"/>
  <c r="Z27" i="6"/>
  <c r="Y27" i="6"/>
  <c r="X27" i="6"/>
  <c r="W27" i="6"/>
  <c r="AA26" i="6"/>
  <c r="Z26" i="6"/>
  <c r="Y26" i="6"/>
  <c r="X26" i="6"/>
  <c r="W26" i="6"/>
  <c r="AA25" i="6"/>
  <c r="Z25" i="6"/>
  <c r="Y25" i="6"/>
  <c r="X25" i="6"/>
  <c r="W25" i="6"/>
  <c r="AA24" i="6"/>
  <c r="Z24" i="6"/>
  <c r="Y24" i="6"/>
  <c r="X24" i="6"/>
  <c r="W24" i="6"/>
  <c r="AA23" i="6"/>
  <c r="Z23" i="6"/>
  <c r="Y23" i="6"/>
  <c r="X23" i="6"/>
  <c r="W23" i="6"/>
  <c r="AA22" i="6"/>
  <c r="Z22" i="6"/>
  <c r="Y22" i="6"/>
  <c r="X22" i="6"/>
  <c r="W22" i="6"/>
  <c r="AA21" i="6"/>
  <c r="Z21" i="6"/>
  <c r="Y21" i="6"/>
  <c r="X21" i="6"/>
  <c r="W21" i="6"/>
  <c r="AA20" i="6"/>
  <c r="Z20" i="6"/>
  <c r="Y20" i="6"/>
  <c r="X20" i="6"/>
  <c r="W20" i="6"/>
  <c r="AA19" i="6"/>
  <c r="Z19" i="6"/>
  <c r="Y19" i="6"/>
  <c r="X19" i="6"/>
  <c r="W19" i="6"/>
  <c r="AA18" i="6"/>
  <c r="Z18" i="6"/>
  <c r="Y18" i="6"/>
  <c r="X18" i="6"/>
  <c r="W18" i="6"/>
  <c r="AA17" i="6"/>
  <c r="Z17" i="6"/>
  <c r="Y17" i="6"/>
  <c r="X17" i="6"/>
  <c r="W17" i="6"/>
  <c r="AA16" i="6"/>
  <c r="Z16" i="6"/>
  <c r="Y16" i="6"/>
  <c r="X16" i="6"/>
  <c r="W16" i="6"/>
  <c r="AA15" i="6"/>
  <c r="Z15" i="6"/>
  <c r="Y15" i="6"/>
  <c r="X15" i="6"/>
  <c r="W15" i="6"/>
  <c r="AA14" i="6"/>
  <c r="Z14" i="6"/>
  <c r="Y14" i="6"/>
  <c r="X14" i="6"/>
  <c r="W14" i="6"/>
  <c r="AA13" i="6"/>
  <c r="Z13" i="6"/>
  <c r="Y13" i="6"/>
  <c r="X13" i="6"/>
  <c r="W13" i="6"/>
  <c r="AA12" i="6"/>
  <c r="Z12" i="6"/>
  <c r="Y12" i="6"/>
  <c r="X12" i="6"/>
  <c r="W12" i="6"/>
  <c r="AA11" i="6"/>
  <c r="Z11" i="6"/>
  <c r="Y11" i="6"/>
  <c r="X11" i="6"/>
  <c r="W11" i="6"/>
  <c r="AA10" i="6"/>
  <c r="Z10" i="6"/>
  <c r="Y10" i="6"/>
  <c r="X10" i="6"/>
  <c r="W10" i="6"/>
  <c r="AA9" i="6"/>
  <c r="Z9" i="6"/>
  <c r="Y9" i="6"/>
  <c r="X9" i="6"/>
  <c r="W9" i="6"/>
  <c r="AA8" i="6"/>
  <c r="Z8" i="6"/>
  <c r="Y8" i="6"/>
  <c r="X8" i="6"/>
  <c r="W8" i="6"/>
  <c r="AA7" i="6"/>
  <c r="Z7" i="6"/>
  <c r="Y7" i="6"/>
  <c r="X7" i="6"/>
  <c r="W7" i="6"/>
  <c r="AA6" i="6"/>
  <c r="Z6" i="6"/>
  <c r="Y6" i="6"/>
  <c r="X6" i="6"/>
  <c r="W6" i="6"/>
  <c r="V40" i="1" l="1"/>
  <c r="V37" i="1"/>
  <c r="AD37" i="12" l="1"/>
  <c r="U8" i="8"/>
  <c r="AD19" i="12" l="1"/>
  <c r="AD38" i="12"/>
  <c r="E7" i="3" l="1"/>
  <c r="T8" i="8" l="1"/>
  <c r="E7" i="1" l="1"/>
  <c r="P7" i="3" l="1"/>
  <c r="P8" i="3" s="1"/>
  <c r="P9" i="3" s="1"/>
  <c r="P10" i="3" s="1"/>
  <c r="P11" i="3" s="1"/>
  <c r="P12" i="3" s="1"/>
  <c r="P13" i="3" s="1"/>
  <c r="P14" i="3" s="1"/>
  <c r="P15" i="3" s="1"/>
  <c r="P16" i="3" s="1"/>
  <c r="P17" i="3" s="1"/>
  <c r="P18" i="3" s="1"/>
  <c r="P19" i="3" s="1"/>
  <c r="P7" i="1" l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N33" i="6" l="1"/>
  <c r="O31" i="7" l="1"/>
  <c r="E5" i="3" l="1"/>
  <c r="G5" i="3" s="1"/>
  <c r="E6" i="1" l="1"/>
  <c r="G6" i="1" l="1"/>
  <c r="U11" i="11"/>
  <c r="U15" i="11"/>
  <c r="U19" i="11"/>
  <c r="U11" i="10"/>
  <c r="U15" i="10"/>
  <c r="U19" i="10"/>
  <c r="U8" i="2"/>
  <c r="U12" i="2"/>
  <c r="U16" i="2"/>
  <c r="U20" i="2"/>
  <c r="U29" i="11"/>
  <c r="U30" i="11"/>
  <c r="U12" i="11"/>
  <c r="U13" i="11"/>
  <c r="U33" i="11"/>
  <c r="U34" i="11"/>
  <c r="U16" i="11"/>
  <c r="U36" i="11"/>
  <c r="U37" i="11"/>
  <c r="U38" i="11"/>
  <c r="U14" i="8" l="1"/>
  <c r="U19" i="2"/>
  <c r="U15" i="2"/>
  <c r="U11" i="2"/>
  <c r="U17" i="8"/>
  <c r="U13" i="8"/>
  <c r="U9" i="8"/>
  <c r="U18" i="10"/>
  <c r="U14" i="10"/>
  <c r="U35" i="10"/>
  <c r="U31" i="10"/>
  <c r="U18" i="11"/>
  <c r="U14" i="11"/>
  <c r="U10" i="11"/>
  <c r="U35" i="11"/>
  <c r="U31" i="11"/>
  <c r="U10" i="8"/>
  <c r="U32" i="10"/>
  <c r="U32" i="11"/>
  <c r="U18" i="2"/>
  <c r="U14" i="2"/>
  <c r="U10" i="2"/>
  <c r="U20" i="8"/>
  <c r="U16" i="8"/>
  <c r="U12" i="8"/>
  <c r="U17" i="10"/>
  <c r="U13" i="10"/>
  <c r="U38" i="10"/>
  <c r="U34" i="10"/>
  <c r="U30" i="10"/>
  <c r="U17" i="11"/>
  <c r="U18" i="8"/>
  <c r="U36" i="10"/>
  <c r="U17" i="2"/>
  <c r="U13" i="2"/>
  <c r="U9" i="2"/>
  <c r="U19" i="8"/>
  <c r="U15" i="8"/>
  <c r="U11" i="8"/>
  <c r="U16" i="10"/>
  <c r="U12" i="10"/>
  <c r="U37" i="10"/>
  <c r="U33" i="10"/>
  <c r="U29" i="10"/>
  <c r="U19" i="13"/>
  <c r="U38" i="13" s="1"/>
  <c r="U18" i="12"/>
  <c r="U17" i="13"/>
  <c r="U36" i="13" s="1"/>
  <c r="U16" i="12"/>
  <c r="U15" i="13"/>
  <c r="U34" i="13" s="1"/>
  <c r="U14" i="12"/>
  <c r="U13" i="13"/>
  <c r="U32" i="13" s="1"/>
  <c r="U12" i="13"/>
  <c r="U31" i="13" s="1"/>
  <c r="U11" i="13"/>
  <c r="U30" i="13" s="1"/>
  <c r="U10" i="13"/>
  <c r="U29" i="13" s="1"/>
  <c r="U15" i="12" l="1"/>
  <c r="U18" i="13"/>
  <c r="U37" i="13" s="1"/>
  <c r="U14" i="13"/>
  <c r="U33" i="13" s="1"/>
  <c r="U10" i="12"/>
  <c r="U19" i="12"/>
  <c r="U11" i="12"/>
  <c r="U17" i="12"/>
  <c r="U13" i="12"/>
  <c r="U16" i="13"/>
  <c r="U35" i="13" s="1"/>
  <c r="U12" i="12"/>
  <c r="U29" i="12" l="1"/>
  <c r="U30" i="12"/>
  <c r="U31" i="12"/>
  <c r="U32" i="12"/>
  <c r="U33" i="12"/>
  <c r="U34" i="12"/>
  <c r="U35" i="12"/>
  <c r="U36" i="12"/>
  <c r="U37" i="12"/>
  <c r="U38" i="12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R38" i="13" l="1"/>
  <c r="R37" i="13"/>
  <c r="R19" i="13"/>
  <c r="R38" i="12"/>
  <c r="R37" i="12"/>
  <c r="R19" i="12"/>
  <c r="A37" i="9" l="1"/>
  <c r="A36" i="9"/>
  <c r="A35" i="9"/>
  <c r="A34" i="9"/>
  <c r="A33" i="9"/>
  <c r="A32" i="9"/>
  <c r="A31" i="9"/>
  <c r="A30" i="9"/>
  <c r="A29" i="9"/>
  <c r="A28" i="9"/>
  <c r="A27" i="9"/>
  <c r="A26" i="9"/>
  <c r="A37" i="8" l="1"/>
  <c r="A36" i="8"/>
  <c r="A35" i="8"/>
  <c r="A34" i="8"/>
  <c r="A33" i="8"/>
  <c r="A32" i="8"/>
  <c r="A31" i="8"/>
  <c r="A30" i="8"/>
  <c r="A29" i="8"/>
  <c r="A28" i="8"/>
  <c r="A27" i="8"/>
  <c r="R32" i="7" l="1"/>
  <c r="Q32" i="7"/>
  <c r="P32" i="7"/>
  <c r="O32" i="7"/>
  <c r="N32" i="7"/>
  <c r="R31" i="7"/>
  <c r="Q31" i="7"/>
  <c r="P31" i="7"/>
  <c r="N31" i="7"/>
  <c r="R30" i="7"/>
  <c r="Q30" i="7"/>
  <c r="P30" i="7"/>
  <c r="O30" i="7"/>
  <c r="N30" i="7"/>
  <c r="R29" i="7"/>
  <c r="Q29" i="7"/>
  <c r="P29" i="7"/>
  <c r="O29" i="7"/>
  <c r="N29" i="7"/>
  <c r="R28" i="7"/>
  <c r="Q28" i="7"/>
  <c r="P28" i="7"/>
  <c r="O28" i="7"/>
  <c r="N28" i="7"/>
  <c r="R27" i="7"/>
  <c r="Q27" i="7"/>
  <c r="P27" i="7"/>
  <c r="O27" i="7"/>
  <c r="N27" i="7"/>
  <c r="R26" i="7"/>
  <c r="Q26" i="7"/>
  <c r="P26" i="7"/>
  <c r="O26" i="7"/>
  <c r="N26" i="7"/>
  <c r="R25" i="7"/>
  <c r="Q25" i="7"/>
  <c r="P25" i="7"/>
  <c r="O25" i="7"/>
  <c r="N25" i="7"/>
  <c r="R24" i="7"/>
  <c r="Q24" i="7"/>
  <c r="P24" i="7"/>
  <c r="O24" i="7"/>
  <c r="N24" i="7"/>
  <c r="R23" i="7"/>
  <c r="Q23" i="7"/>
  <c r="P23" i="7"/>
  <c r="O23" i="7"/>
  <c r="N23" i="7"/>
  <c r="R22" i="7"/>
  <c r="Q22" i="7"/>
  <c r="P22" i="7"/>
  <c r="O22" i="7"/>
  <c r="N22" i="7"/>
  <c r="R21" i="7"/>
  <c r="Q21" i="7"/>
  <c r="P21" i="7"/>
  <c r="O21" i="7"/>
  <c r="N21" i="7"/>
  <c r="R20" i="7"/>
  <c r="Q20" i="7"/>
  <c r="P20" i="7"/>
  <c r="O20" i="7"/>
  <c r="N20" i="7"/>
  <c r="R19" i="7"/>
  <c r="Q19" i="7"/>
  <c r="P19" i="7"/>
  <c r="O19" i="7"/>
  <c r="N19" i="7"/>
  <c r="R18" i="7"/>
  <c r="Q18" i="7"/>
  <c r="P18" i="7"/>
  <c r="O18" i="7"/>
  <c r="N18" i="7"/>
  <c r="R17" i="7"/>
  <c r="Q17" i="7"/>
  <c r="P17" i="7"/>
  <c r="O17" i="7"/>
  <c r="N17" i="7"/>
  <c r="R16" i="7"/>
  <c r="Q16" i="7"/>
  <c r="P16" i="7"/>
  <c r="O16" i="7"/>
  <c r="N16" i="7"/>
  <c r="R15" i="7"/>
  <c r="Q15" i="7"/>
  <c r="P15" i="7"/>
  <c r="O15" i="7"/>
  <c r="N15" i="7"/>
  <c r="R14" i="7"/>
  <c r="Q14" i="7"/>
  <c r="P14" i="7"/>
  <c r="O14" i="7"/>
  <c r="N14" i="7"/>
  <c r="R13" i="7"/>
  <c r="Q13" i="7"/>
  <c r="P13" i="7"/>
  <c r="O13" i="7"/>
  <c r="N13" i="7"/>
  <c r="R12" i="7"/>
  <c r="Q12" i="7"/>
  <c r="P12" i="7"/>
  <c r="O12" i="7"/>
  <c r="N12" i="7"/>
  <c r="R11" i="7"/>
  <c r="Q11" i="7"/>
  <c r="P11" i="7"/>
  <c r="O11" i="7"/>
  <c r="N11" i="7"/>
  <c r="R10" i="7"/>
  <c r="Q10" i="7"/>
  <c r="P10" i="7"/>
  <c r="O10" i="7"/>
  <c r="N10" i="7"/>
  <c r="R9" i="7"/>
  <c r="Q9" i="7"/>
  <c r="P9" i="7"/>
  <c r="O9" i="7"/>
  <c r="N9" i="7"/>
  <c r="R8" i="7"/>
  <c r="Q8" i="7"/>
  <c r="P8" i="7"/>
  <c r="O8" i="7"/>
  <c r="N8" i="7"/>
  <c r="R7" i="7"/>
  <c r="Q7" i="7"/>
  <c r="P7" i="7"/>
  <c r="O7" i="7"/>
  <c r="N7" i="7"/>
  <c r="R6" i="7"/>
  <c r="Q6" i="7"/>
  <c r="P6" i="7"/>
  <c r="O6" i="7"/>
  <c r="N6" i="7"/>
  <c r="R5" i="7"/>
  <c r="Q5" i="7"/>
  <c r="P5" i="7"/>
  <c r="O5" i="7"/>
  <c r="N5" i="7"/>
  <c r="N7" i="6"/>
  <c r="O7" i="6"/>
  <c r="P7" i="6"/>
  <c r="Q7" i="6"/>
  <c r="R7" i="6"/>
  <c r="N8" i="6"/>
  <c r="O8" i="6"/>
  <c r="P8" i="6"/>
  <c r="Q8" i="6"/>
  <c r="R8" i="6"/>
  <c r="N9" i="6"/>
  <c r="O9" i="6"/>
  <c r="P9" i="6"/>
  <c r="Q9" i="6"/>
  <c r="R9" i="6"/>
  <c r="N10" i="6"/>
  <c r="O10" i="6"/>
  <c r="P10" i="6"/>
  <c r="Q10" i="6"/>
  <c r="R10" i="6"/>
  <c r="N11" i="6"/>
  <c r="O11" i="6"/>
  <c r="P11" i="6"/>
  <c r="Q11" i="6"/>
  <c r="R11" i="6"/>
  <c r="N12" i="6"/>
  <c r="O12" i="6"/>
  <c r="P12" i="6"/>
  <c r="Q12" i="6"/>
  <c r="R12" i="6"/>
  <c r="N13" i="6"/>
  <c r="O13" i="6"/>
  <c r="P13" i="6"/>
  <c r="Q13" i="6"/>
  <c r="R13" i="6"/>
  <c r="N14" i="6"/>
  <c r="O14" i="6"/>
  <c r="P14" i="6"/>
  <c r="Q14" i="6"/>
  <c r="R14" i="6"/>
  <c r="N15" i="6"/>
  <c r="O15" i="6"/>
  <c r="P15" i="6"/>
  <c r="Q15" i="6"/>
  <c r="R15" i="6"/>
  <c r="N16" i="6"/>
  <c r="O16" i="6"/>
  <c r="P16" i="6"/>
  <c r="Q16" i="6"/>
  <c r="R16" i="6"/>
  <c r="N17" i="6"/>
  <c r="O17" i="6"/>
  <c r="P17" i="6"/>
  <c r="Q17" i="6"/>
  <c r="R17" i="6"/>
  <c r="N18" i="6"/>
  <c r="O18" i="6"/>
  <c r="P18" i="6"/>
  <c r="Q18" i="6"/>
  <c r="R18" i="6"/>
  <c r="N19" i="6"/>
  <c r="O19" i="6"/>
  <c r="P19" i="6"/>
  <c r="Q19" i="6"/>
  <c r="R19" i="6"/>
  <c r="N20" i="6"/>
  <c r="O20" i="6"/>
  <c r="P20" i="6"/>
  <c r="Q20" i="6"/>
  <c r="R20" i="6"/>
  <c r="N21" i="6"/>
  <c r="O21" i="6"/>
  <c r="P21" i="6"/>
  <c r="Q21" i="6"/>
  <c r="R21" i="6"/>
  <c r="N22" i="6"/>
  <c r="O22" i="6"/>
  <c r="P22" i="6"/>
  <c r="Q22" i="6"/>
  <c r="R22" i="6"/>
  <c r="N23" i="6"/>
  <c r="O23" i="6"/>
  <c r="P23" i="6"/>
  <c r="Q23" i="6"/>
  <c r="R23" i="6"/>
  <c r="N24" i="6"/>
  <c r="O24" i="6"/>
  <c r="P24" i="6"/>
  <c r="Q24" i="6"/>
  <c r="R24" i="6"/>
  <c r="N25" i="6"/>
  <c r="O25" i="6"/>
  <c r="P25" i="6"/>
  <c r="Q25" i="6"/>
  <c r="R25" i="6"/>
  <c r="N26" i="6"/>
  <c r="O26" i="6"/>
  <c r="P26" i="6"/>
  <c r="Q26" i="6"/>
  <c r="R26" i="6"/>
  <c r="N27" i="6"/>
  <c r="O27" i="6"/>
  <c r="P27" i="6"/>
  <c r="Q27" i="6"/>
  <c r="R27" i="6"/>
  <c r="N28" i="6"/>
  <c r="O28" i="6"/>
  <c r="P28" i="6"/>
  <c r="Q28" i="6"/>
  <c r="R28" i="6"/>
  <c r="N29" i="6"/>
  <c r="O29" i="6"/>
  <c r="P29" i="6"/>
  <c r="Q29" i="6"/>
  <c r="R29" i="6"/>
  <c r="N30" i="6"/>
  <c r="O30" i="6"/>
  <c r="P30" i="6"/>
  <c r="Q30" i="6"/>
  <c r="R30" i="6"/>
  <c r="N31" i="6"/>
  <c r="O31" i="6"/>
  <c r="P31" i="6"/>
  <c r="Q31" i="6"/>
  <c r="R31" i="6"/>
  <c r="N32" i="6"/>
  <c r="O32" i="6"/>
  <c r="P32" i="6"/>
  <c r="Q32" i="6"/>
  <c r="R32" i="6"/>
  <c r="O33" i="6"/>
  <c r="P33" i="6"/>
  <c r="Q33" i="6"/>
  <c r="R33" i="6"/>
  <c r="O6" i="6"/>
  <c r="P6" i="6"/>
  <c r="Q6" i="6"/>
  <c r="R6" i="6"/>
  <c r="N6" i="6"/>
  <c r="Y7" i="3" l="1"/>
  <c r="Y8" i="3" s="1"/>
  <c r="Y9" i="3" s="1"/>
  <c r="Y10" i="3" s="1"/>
  <c r="Y11" i="3" s="1"/>
  <c r="Y12" i="3" s="1"/>
  <c r="Y13" i="3" s="1"/>
  <c r="Y14" i="3" s="1"/>
  <c r="Y15" i="3" s="1"/>
  <c r="Y16" i="3" s="1"/>
  <c r="Y17" i="3" s="1"/>
  <c r="Y18" i="3" s="1"/>
  <c r="Y19" i="3" s="1"/>
  <c r="Y7" i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A37" i="5" l="1"/>
  <c r="A36" i="5"/>
  <c r="A35" i="5"/>
  <c r="A34" i="5"/>
  <c r="A33" i="5"/>
  <c r="A32" i="5"/>
  <c r="A31" i="5"/>
  <c r="A30" i="5"/>
  <c r="A29" i="5"/>
  <c r="A28" i="5"/>
  <c r="A27" i="5"/>
  <c r="A26" i="5"/>
  <c r="A37" i="2"/>
  <c r="A32" i="2"/>
  <c r="A33" i="2"/>
  <c r="A34" i="2"/>
  <c r="A35" i="2"/>
  <c r="A36" i="2"/>
  <c r="A31" i="2" l="1"/>
  <c r="A30" i="2"/>
  <c r="A29" i="2"/>
  <c r="A28" i="2"/>
  <c r="A27" i="2"/>
  <c r="A26" i="2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T16" i="12" l="1"/>
  <c r="T35" i="12" s="1"/>
  <c r="T16" i="13"/>
  <c r="T35" i="13" s="1"/>
  <c r="T13" i="9"/>
  <c r="T12" i="12"/>
  <c r="T31" i="12" s="1"/>
  <c r="T12" i="13"/>
  <c r="T31" i="13" s="1"/>
  <c r="T9" i="9"/>
  <c r="T19" i="13"/>
  <c r="T38" i="13" s="1"/>
  <c r="T19" i="12"/>
  <c r="T38" i="12" s="1"/>
  <c r="T16" i="9"/>
  <c r="T15" i="13"/>
  <c r="T34" i="13" s="1"/>
  <c r="T15" i="12"/>
  <c r="T34" i="12" s="1"/>
  <c r="T12" i="9"/>
  <c r="T11" i="12"/>
  <c r="T30" i="12" s="1"/>
  <c r="T11" i="13"/>
  <c r="T30" i="13" s="1"/>
  <c r="T8" i="9"/>
  <c r="T18" i="12"/>
  <c r="T37" i="12" s="1"/>
  <c r="T18" i="13"/>
  <c r="T37" i="13" s="1"/>
  <c r="T14" i="12"/>
  <c r="T33" i="12" s="1"/>
  <c r="T14" i="13"/>
  <c r="T33" i="13" s="1"/>
  <c r="T10" i="12"/>
  <c r="T29" i="12" s="1"/>
  <c r="T10" i="13"/>
  <c r="T29" i="13" s="1"/>
  <c r="T17" i="12"/>
  <c r="T36" i="12" s="1"/>
  <c r="T17" i="13"/>
  <c r="T36" i="13" s="1"/>
  <c r="T13" i="12"/>
  <c r="T32" i="12" s="1"/>
  <c r="T13" i="13"/>
  <c r="T32" i="13" s="1"/>
  <c r="T17" i="5"/>
  <c r="T17" i="9"/>
  <c r="T20" i="5"/>
  <c r="T20" i="9"/>
  <c r="T19" i="5"/>
  <c r="T19" i="9"/>
  <c r="T15" i="5"/>
  <c r="T15" i="9"/>
  <c r="T11" i="5"/>
  <c r="T11" i="9"/>
  <c r="T18" i="5"/>
  <c r="T18" i="9"/>
  <c r="T14" i="5"/>
  <c r="T14" i="9"/>
  <c r="T10" i="5"/>
  <c r="T10" i="9"/>
  <c r="T9" i="5"/>
  <c r="T16" i="5"/>
  <c r="T8" i="5"/>
  <c r="T13" i="5"/>
  <c r="T12" i="5"/>
  <c r="T10" i="11"/>
  <c r="T29" i="11" s="1"/>
  <c r="T11" i="11"/>
  <c r="T30" i="11" s="1"/>
  <c r="T12" i="11"/>
  <c r="T31" i="11" s="1"/>
  <c r="T13" i="11"/>
  <c r="T32" i="11" s="1"/>
  <c r="T14" i="11"/>
  <c r="T33" i="11" s="1"/>
  <c r="T15" i="11"/>
  <c r="T34" i="11" s="1"/>
  <c r="T16" i="11"/>
  <c r="T35" i="11" s="1"/>
  <c r="T17" i="11"/>
  <c r="T36" i="11" s="1"/>
  <c r="T18" i="11"/>
  <c r="T37" i="11" s="1"/>
  <c r="T19" i="11"/>
  <c r="T38" i="11" s="1"/>
  <c r="A7" i="1"/>
  <c r="A8" i="1" s="1"/>
  <c r="A9" i="1" s="1"/>
  <c r="A10" i="1" l="1"/>
  <c r="E9" i="1"/>
  <c r="G9" i="1" s="1"/>
  <c r="G7" i="1"/>
  <c r="H7" i="1" s="1"/>
  <c r="E8" i="1"/>
  <c r="G8" i="1" s="1"/>
  <c r="T14" i="2"/>
  <c r="T13" i="10"/>
  <c r="T32" i="10" s="1"/>
  <c r="T14" i="8"/>
  <c r="T17" i="2"/>
  <c r="T16" i="10"/>
  <c r="T35" i="10" s="1"/>
  <c r="T17" i="8"/>
  <c r="T9" i="2"/>
  <c r="T9" i="8"/>
  <c r="T20" i="2"/>
  <c r="T19" i="10"/>
  <c r="T38" i="10" s="1"/>
  <c r="T20" i="8"/>
  <c r="T16" i="2"/>
  <c r="T15" i="10"/>
  <c r="T34" i="10" s="1"/>
  <c r="T16" i="8"/>
  <c r="T12" i="2"/>
  <c r="T11" i="10"/>
  <c r="T30" i="10" s="1"/>
  <c r="T12" i="8"/>
  <c r="T8" i="2"/>
  <c r="T18" i="2"/>
  <c r="T17" i="10"/>
  <c r="T36" i="10" s="1"/>
  <c r="T18" i="8"/>
  <c r="T10" i="2"/>
  <c r="T10" i="8"/>
  <c r="T13" i="2"/>
  <c r="T12" i="10"/>
  <c r="T31" i="10" s="1"/>
  <c r="T13" i="8"/>
  <c r="T19" i="2"/>
  <c r="T18" i="10"/>
  <c r="T37" i="10" s="1"/>
  <c r="T19" i="8"/>
  <c r="T15" i="2"/>
  <c r="T14" i="10"/>
  <c r="T33" i="10" s="1"/>
  <c r="T15" i="8"/>
  <c r="T11" i="2"/>
  <c r="T10" i="10"/>
  <c r="T29" i="10" s="1"/>
  <c r="T11" i="8"/>
  <c r="A11" i="1" l="1"/>
  <c r="E10" i="1"/>
  <c r="H9" i="1"/>
  <c r="H8" i="1"/>
  <c r="G10" i="1" l="1"/>
  <c r="H10" i="1" s="1"/>
  <c r="Q10" i="1" s="1"/>
  <c r="A12" i="1"/>
  <c r="E11" i="1"/>
  <c r="E6" i="3"/>
  <c r="G6" i="3" s="1"/>
  <c r="H6" i="3" s="1"/>
  <c r="G11" i="1" l="1"/>
  <c r="H11" i="1" s="1"/>
  <c r="A13" i="1"/>
  <c r="E12" i="1"/>
  <c r="E19" i="3"/>
  <c r="G19" i="3" s="1"/>
  <c r="E18" i="3"/>
  <c r="G18" i="3" s="1"/>
  <c r="E17" i="3"/>
  <c r="G17" i="3" s="1"/>
  <c r="E16" i="3"/>
  <c r="G16" i="3" s="1"/>
  <c r="E15" i="3"/>
  <c r="G15" i="3" s="1"/>
  <c r="E14" i="3"/>
  <c r="G14" i="3" s="1"/>
  <c r="E13" i="3"/>
  <c r="G13" i="3" s="1"/>
  <c r="E12" i="3"/>
  <c r="G12" i="3" s="1"/>
  <c r="E11" i="3"/>
  <c r="G11" i="3" s="1"/>
  <c r="E10" i="3"/>
  <c r="G10" i="3" s="1"/>
  <c r="E9" i="3"/>
  <c r="G9" i="3" s="1"/>
  <c r="E8" i="3"/>
  <c r="G8" i="3" s="1"/>
  <c r="G7" i="3"/>
  <c r="H7" i="3" s="1"/>
  <c r="A14" i="1" l="1"/>
  <c r="E13" i="1"/>
  <c r="G12" i="1"/>
  <c r="H12" i="1" s="1"/>
  <c r="H19" i="3"/>
  <c r="H10" i="3"/>
  <c r="H14" i="3"/>
  <c r="H12" i="3"/>
  <c r="H13" i="3"/>
  <c r="H9" i="3"/>
  <c r="H8" i="3"/>
  <c r="H17" i="3"/>
  <c r="H16" i="3"/>
  <c r="V6" i="3"/>
  <c r="W6" i="3" s="1"/>
  <c r="H18" i="3"/>
  <c r="H11" i="3"/>
  <c r="H15" i="3"/>
  <c r="Q10" i="3" l="1"/>
  <c r="Q11" i="3" s="1"/>
  <c r="G13" i="1"/>
  <c r="H13" i="1" s="1"/>
  <c r="A15" i="1"/>
  <c r="E14" i="1"/>
  <c r="G14" i="1" s="1"/>
  <c r="AD6" i="3"/>
  <c r="H14" i="1" l="1"/>
  <c r="A16" i="1"/>
  <c r="E15" i="1"/>
  <c r="F34" i="7"/>
  <c r="AA34" i="7" s="1"/>
  <c r="Z6" i="3"/>
  <c r="AA6" i="3"/>
  <c r="AB6" i="3"/>
  <c r="AC6" i="3"/>
  <c r="G15" i="1" l="1"/>
  <c r="H15" i="1" s="1"/>
  <c r="A17" i="1"/>
  <c r="E16" i="1"/>
  <c r="G16" i="1" s="1"/>
  <c r="E34" i="7"/>
  <c r="C34" i="7"/>
  <c r="B34" i="7"/>
  <c r="W34" i="7" s="1"/>
  <c r="D34" i="7"/>
  <c r="Y34" i="7" s="1"/>
  <c r="AE6" i="3"/>
  <c r="AF6" i="3" s="1"/>
  <c r="R34" i="7"/>
  <c r="H16" i="1" l="1"/>
  <c r="A18" i="1"/>
  <c r="E17" i="1"/>
  <c r="O34" i="7"/>
  <c r="X34" i="7"/>
  <c r="Q34" i="7"/>
  <c r="Z34" i="7"/>
  <c r="N34" i="7"/>
  <c r="P34" i="7"/>
  <c r="G17" i="1" l="1"/>
  <c r="H17" i="1" s="1"/>
  <c r="A19" i="1"/>
  <c r="E18" i="1"/>
  <c r="U23" i="3"/>
  <c r="T22" i="1"/>
  <c r="T23" i="3"/>
  <c r="S23" i="3"/>
  <c r="U22" i="1"/>
  <c r="G18" i="1" l="1"/>
  <c r="H18" i="1" s="1"/>
  <c r="E19" i="1"/>
  <c r="S24" i="3"/>
  <c r="T24" i="3"/>
  <c r="R23" i="3"/>
  <c r="T23" i="1"/>
  <c r="Q22" i="1"/>
  <c r="U10" i="1"/>
  <c r="U23" i="1"/>
  <c r="Q23" i="3"/>
  <c r="V7" i="3"/>
  <c r="W7" i="3" s="1"/>
  <c r="Z7" i="3" s="1"/>
  <c r="R22" i="1"/>
  <c r="G19" i="1" l="1"/>
  <c r="H19" i="1" s="1"/>
  <c r="AB7" i="3"/>
  <c r="AA7" i="3"/>
  <c r="Q23" i="1"/>
  <c r="R23" i="1"/>
  <c r="R10" i="1"/>
  <c r="Q24" i="3"/>
  <c r="T25" i="3"/>
  <c r="T10" i="3"/>
  <c r="U24" i="1"/>
  <c r="R24" i="3"/>
  <c r="V23" i="3"/>
  <c r="T10" i="1"/>
  <c r="T24" i="1"/>
  <c r="S25" i="3"/>
  <c r="S10" i="3"/>
  <c r="S11" i="3" l="1"/>
  <c r="S26" i="3"/>
  <c r="R25" i="3"/>
  <c r="R10" i="3"/>
  <c r="AC7" i="3"/>
  <c r="AD7" i="3"/>
  <c r="U11" i="1"/>
  <c r="U25" i="1"/>
  <c r="Q25" i="3"/>
  <c r="T26" i="3"/>
  <c r="T11" i="3"/>
  <c r="Q24" i="1"/>
  <c r="T25" i="1"/>
  <c r="T11" i="1"/>
  <c r="T12" i="1" s="1"/>
  <c r="R24" i="1"/>
  <c r="AE7" i="3" l="1"/>
  <c r="AF7" i="3" s="1"/>
  <c r="F35" i="7"/>
  <c r="D35" i="7"/>
  <c r="B35" i="7"/>
  <c r="E35" i="7"/>
  <c r="C35" i="7"/>
  <c r="Q11" i="1"/>
  <c r="Q25" i="1"/>
  <c r="R26" i="3"/>
  <c r="R11" i="3"/>
  <c r="T26" i="1"/>
  <c r="R11" i="1"/>
  <c r="R12" i="1" s="1"/>
  <c r="R25" i="1"/>
  <c r="Z23" i="3"/>
  <c r="E8" i="5"/>
  <c r="AD23" i="3"/>
  <c r="N8" i="5"/>
  <c r="U12" i="1"/>
  <c r="U26" i="1"/>
  <c r="AB23" i="3"/>
  <c r="K8" i="5"/>
  <c r="T12" i="3"/>
  <c r="T27" i="3"/>
  <c r="Q26" i="3"/>
  <c r="AA23" i="3"/>
  <c r="B8" i="5"/>
  <c r="AC23" i="3"/>
  <c r="H8" i="5"/>
  <c r="S12" i="3"/>
  <c r="S27" i="3"/>
  <c r="Q35" i="7" l="1"/>
  <c r="Z35" i="7"/>
  <c r="Z8" i="5"/>
  <c r="P35" i="7"/>
  <c r="Y35" i="7"/>
  <c r="N35" i="7"/>
  <c r="W35" i="7"/>
  <c r="R8" i="5"/>
  <c r="O35" i="7"/>
  <c r="X35" i="7"/>
  <c r="R35" i="7"/>
  <c r="AA35" i="7"/>
  <c r="Y8" i="5"/>
  <c r="Q27" i="3"/>
  <c r="Q12" i="3"/>
  <c r="U27" i="1"/>
  <c r="U13" i="1"/>
  <c r="G8" i="5"/>
  <c r="J8" i="5"/>
  <c r="M8" i="5"/>
  <c r="AE23" i="3"/>
  <c r="T27" i="1"/>
  <c r="T13" i="1"/>
  <c r="R27" i="3"/>
  <c r="R12" i="3"/>
  <c r="S28" i="3"/>
  <c r="S13" i="3"/>
  <c r="D8" i="5"/>
  <c r="T13" i="3"/>
  <c r="T28" i="3"/>
  <c r="P8" i="5"/>
  <c r="Q8" i="5"/>
  <c r="V8" i="5" s="1"/>
  <c r="R26" i="1"/>
  <c r="Q26" i="1"/>
  <c r="Q12" i="1"/>
  <c r="AA8" i="5" l="1"/>
  <c r="R9" i="5"/>
  <c r="R26" i="5" s="1"/>
  <c r="O26" i="5"/>
  <c r="F26" i="5"/>
  <c r="L26" i="5"/>
  <c r="Z9" i="5"/>
  <c r="I26" i="5"/>
  <c r="C26" i="5"/>
  <c r="Q28" i="3"/>
  <c r="Q13" i="3"/>
  <c r="Q27" i="1"/>
  <c r="Q13" i="1"/>
  <c r="Q14" i="1" s="1"/>
  <c r="R28" i="3"/>
  <c r="R13" i="3"/>
  <c r="U28" i="1"/>
  <c r="U14" i="1"/>
  <c r="R27" i="1"/>
  <c r="R13" i="1"/>
  <c r="S29" i="3"/>
  <c r="S14" i="3"/>
  <c r="T28" i="1"/>
  <c r="T14" i="1"/>
  <c r="X8" i="5"/>
  <c r="T29" i="3"/>
  <c r="T14" i="3"/>
  <c r="W37" i="7" l="1"/>
  <c r="L27" i="5"/>
  <c r="Z37" i="7"/>
  <c r="C27" i="5"/>
  <c r="Y37" i="7"/>
  <c r="F27" i="5"/>
  <c r="X37" i="7"/>
  <c r="Z10" i="5"/>
  <c r="I27" i="5"/>
  <c r="U15" i="1"/>
  <c r="U29" i="1"/>
  <c r="T29" i="1"/>
  <c r="T15" i="1"/>
  <c r="S30" i="3"/>
  <c r="S15" i="3"/>
  <c r="Q29" i="3"/>
  <c r="Q14" i="3"/>
  <c r="R29" i="3"/>
  <c r="R14" i="3"/>
  <c r="Q28" i="1"/>
  <c r="T30" i="3"/>
  <c r="T15" i="3"/>
  <c r="R28" i="1"/>
  <c r="R14" i="1"/>
  <c r="X38" i="7" l="1"/>
  <c r="Z11" i="5"/>
  <c r="I28" i="5"/>
  <c r="W38" i="7"/>
  <c r="L28" i="5"/>
  <c r="AA37" i="7"/>
  <c r="O27" i="5"/>
  <c r="R10" i="5"/>
  <c r="R27" i="5" s="1"/>
  <c r="Y38" i="7"/>
  <c r="F28" i="5"/>
  <c r="Z38" i="7"/>
  <c r="C28" i="5"/>
  <c r="R30" i="3"/>
  <c r="R15" i="3"/>
  <c r="T30" i="1"/>
  <c r="T16" i="1"/>
  <c r="S31" i="3"/>
  <c r="S16" i="3"/>
  <c r="Q29" i="1"/>
  <c r="Q15" i="1"/>
  <c r="Q15" i="3"/>
  <c r="Q30" i="3"/>
  <c r="R29" i="1"/>
  <c r="R15" i="1"/>
  <c r="T16" i="3"/>
  <c r="T31" i="3"/>
  <c r="U16" i="1"/>
  <c r="U30" i="1"/>
  <c r="Z12" i="5" l="1"/>
  <c r="X39" i="7"/>
  <c r="I29" i="5"/>
  <c r="W39" i="7"/>
  <c r="L29" i="5"/>
  <c r="Z39" i="7"/>
  <c r="C29" i="5"/>
  <c r="Y39" i="7"/>
  <c r="F29" i="5"/>
  <c r="AA38" i="7"/>
  <c r="O28" i="5"/>
  <c r="R11" i="5"/>
  <c r="R28" i="5" s="1"/>
  <c r="S32" i="3"/>
  <c r="S17" i="3"/>
  <c r="R30" i="1"/>
  <c r="R16" i="1"/>
  <c r="Q31" i="3"/>
  <c r="Q16" i="3"/>
  <c r="Q16" i="1"/>
  <c r="Q30" i="1"/>
  <c r="T31" i="1"/>
  <c r="T17" i="1"/>
  <c r="R16" i="3"/>
  <c r="R31" i="3"/>
  <c r="U17" i="1"/>
  <c r="U31" i="1"/>
  <c r="T17" i="3"/>
  <c r="T32" i="3"/>
  <c r="AA39" i="7" l="1"/>
  <c r="O29" i="5"/>
  <c r="R12" i="5"/>
  <c r="R29" i="5" s="1"/>
  <c r="Y40" i="7"/>
  <c r="F30" i="5"/>
  <c r="W40" i="7"/>
  <c r="L30" i="5"/>
  <c r="Z40" i="7"/>
  <c r="C30" i="5"/>
  <c r="X40" i="7"/>
  <c r="Z13" i="5"/>
  <c r="I30" i="5"/>
  <c r="R32" i="3"/>
  <c r="R17" i="3"/>
  <c r="Q32" i="3"/>
  <c r="Q17" i="3"/>
  <c r="Q31" i="1"/>
  <c r="Q17" i="1"/>
  <c r="T32" i="1"/>
  <c r="T18" i="1"/>
  <c r="S33" i="3"/>
  <c r="S18" i="3"/>
  <c r="T33" i="3"/>
  <c r="T18" i="3"/>
  <c r="U18" i="1"/>
  <c r="U32" i="1"/>
  <c r="R17" i="1"/>
  <c r="R31" i="1"/>
  <c r="AD10" i="12" l="1"/>
  <c r="R10" i="12"/>
  <c r="R20" i="12" s="1"/>
  <c r="Z14" i="5"/>
  <c r="X41" i="7"/>
  <c r="I31" i="5"/>
  <c r="Y41" i="7"/>
  <c r="F31" i="5"/>
  <c r="AA40" i="7"/>
  <c r="R13" i="5"/>
  <c r="R30" i="5" s="1"/>
  <c r="O30" i="5"/>
  <c r="AD11" i="12"/>
  <c r="Z41" i="7"/>
  <c r="C31" i="5"/>
  <c r="W41" i="7"/>
  <c r="L31" i="5"/>
  <c r="R10" i="13"/>
  <c r="R20" i="13" s="1"/>
  <c r="Q32" i="1"/>
  <c r="Q18" i="1"/>
  <c r="R33" i="3"/>
  <c r="R18" i="3"/>
  <c r="U33" i="1"/>
  <c r="U19" i="1"/>
  <c r="S19" i="3"/>
  <c r="S34" i="3"/>
  <c r="Q33" i="3"/>
  <c r="Q18" i="3"/>
  <c r="R32" i="1"/>
  <c r="R18" i="1"/>
  <c r="T19" i="3"/>
  <c r="T34" i="3"/>
  <c r="T33" i="1"/>
  <c r="T19" i="1"/>
  <c r="W42" i="7" l="1"/>
  <c r="L32" i="5"/>
  <c r="X42" i="7"/>
  <c r="Z15" i="5"/>
  <c r="I32" i="5"/>
  <c r="Y42" i="7"/>
  <c r="F32" i="5"/>
  <c r="R11" i="13"/>
  <c r="Z42" i="7"/>
  <c r="C32" i="5"/>
  <c r="AA41" i="7"/>
  <c r="O31" i="5"/>
  <c r="R14" i="5"/>
  <c r="R31" i="5" s="1"/>
  <c r="R11" i="12"/>
  <c r="Q34" i="3"/>
  <c r="Q19" i="3"/>
  <c r="T34" i="1"/>
  <c r="T35" i="3"/>
  <c r="R33" i="1"/>
  <c r="R19" i="1"/>
  <c r="R34" i="3"/>
  <c r="R19" i="3"/>
  <c r="Q33" i="1"/>
  <c r="Q19" i="1"/>
  <c r="Q34" i="1" s="1"/>
  <c r="S35" i="3"/>
  <c r="U34" i="1"/>
  <c r="R12" i="13" l="1"/>
  <c r="R12" i="12"/>
  <c r="Y43" i="7"/>
  <c r="F33" i="5"/>
  <c r="Z43" i="7"/>
  <c r="C33" i="5"/>
  <c r="AD12" i="12"/>
  <c r="AA42" i="7"/>
  <c r="R15" i="5"/>
  <c r="R32" i="5" s="1"/>
  <c r="O32" i="5"/>
  <c r="Z16" i="5"/>
  <c r="X43" i="7"/>
  <c r="I33" i="5"/>
  <c r="W43" i="7"/>
  <c r="L33" i="5"/>
  <c r="R35" i="3"/>
  <c r="R34" i="1"/>
  <c r="Q35" i="3"/>
  <c r="AD13" i="12" l="1"/>
  <c r="Z44" i="7"/>
  <c r="C34" i="5"/>
  <c r="AA43" i="7"/>
  <c r="O33" i="5"/>
  <c r="R16" i="5"/>
  <c r="R33" i="5" s="1"/>
  <c r="W44" i="7"/>
  <c r="L34" i="5"/>
  <c r="X44" i="7"/>
  <c r="Z17" i="5"/>
  <c r="I34" i="5"/>
  <c r="R13" i="12"/>
  <c r="Y44" i="7"/>
  <c r="F34" i="5"/>
  <c r="R13" i="13"/>
  <c r="Z45" i="7" l="1"/>
  <c r="C35" i="5"/>
  <c r="AA44" i="7"/>
  <c r="R17" i="5"/>
  <c r="R34" i="5" s="1"/>
  <c r="O34" i="5"/>
  <c r="R14" i="12"/>
  <c r="Y45" i="7"/>
  <c r="F35" i="5"/>
  <c r="X45" i="7"/>
  <c r="Z18" i="5"/>
  <c r="I35" i="5"/>
  <c r="W45" i="7"/>
  <c r="L35" i="5"/>
  <c r="AD14" i="12"/>
  <c r="R14" i="13"/>
  <c r="AD15" i="12" l="1"/>
  <c r="R15" i="13"/>
  <c r="Z19" i="5"/>
  <c r="X46" i="7"/>
  <c r="I36" i="5"/>
  <c r="AA45" i="7"/>
  <c r="O35" i="5"/>
  <c r="R18" i="5"/>
  <c r="R35" i="5" s="1"/>
  <c r="Z46" i="7"/>
  <c r="C36" i="5"/>
  <c r="Y46" i="7"/>
  <c r="F36" i="5"/>
  <c r="W46" i="7"/>
  <c r="L36" i="5"/>
  <c r="R15" i="12"/>
  <c r="AA46" i="7" l="1"/>
  <c r="R19" i="5"/>
  <c r="R36" i="5" s="1"/>
  <c r="O36" i="5"/>
  <c r="W47" i="7"/>
  <c r="L37" i="5"/>
  <c r="Z20" i="5"/>
  <c r="X47" i="7"/>
  <c r="I37" i="5"/>
  <c r="Z47" i="7"/>
  <c r="C37" i="5"/>
  <c r="AD16" i="12"/>
  <c r="R16" i="13"/>
  <c r="Y47" i="7"/>
  <c r="F37" i="5"/>
  <c r="R16" i="12"/>
  <c r="AD17" i="12" l="1"/>
  <c r="R17" i="13"/>
  <c r="AA47" i="7"/>
  <c r="O37" i="5"/>
  <c r="R20" i="5"/>
  <c r="R17" i="12"/>
  <c r="R37" i="5" l="1"/>
  <c r="R21" i="5"/>
  <c r="AD18" i="12"/>
  <c r="R18" i="13"/>
  <c r="R18" i="12"/>
  <c r="V6" i="1" l="1"/>
  <c r="W6" i="1" s="1"/>
  <c r="AD6" i="1" s="1"/>
  <c r="S24" i="1" l="1"/>
  <c r="V9" i="1"/>
  <c r="W9" i="1" s="1"/>
  <c r="Z9" i="1" s="1"/>
  <c r="S23" i="1"/>
  <c r="V8" i="1"/>
  <c r="W8" i="1" s="1"/>
  <c r="S22" i="1"/>
  <c r="V7" i="1"/>
  <c r="S10" i="1"/>
  <c r="V10" i="1" s="1"/>
  <c r="W10" i="1" s="1"/>
  <c r="Z10" i="1" s="1"/>
  <c r="Z6" i="1"/>
  <c r="W7" i="1" l="1"/>
  <c r="AB7" i="1" s="1"/>
  <c r="AC6" i="1"/>
  <c r="AA6" i="1"/>
  <c r="AB6" i="1"/>
  <c r="V24" i="1"/>
  <c r="AD9" i="1"/>
  <c r="S25" i="1"/>
  <c r="S11" i="1"/>
  <c r="V23" i="1"/>
  <c r="V22" i="1"/>
  <c r="S26" i="1" l="1"/>
  <c r="S12" i="1"/>
  <c r="V11" i="1"/>
  <c r="W11" i="1" s="1"/>
  <c r="AC9" i="1"/>
  <c r="AA9" i="1"/>
  <c r="AB9" i="1"/>
  <c r="E35" i="6"/>
  <c r="AE6" i="1"/>
  <c r="AF6" i="1" s="1"/>
  <c r="D35" i="6"/>
  <c r="V25" i="1"/>
  <c r="F35" i="6"/>
  <c r="AC7" i="1"/>
  <c r="AD7" i="1"/>
  <c r="AA7" i="1"/>
  <c r="Z7" i="1"/>
  <c r="Z8" i="1"/>
  <c r="AC8" i="1"/>
  <c r="AA8" i="1"/>
  <c r="AD8" i="1"/>
  <c r="AB8" i="1"/>
  <c r="B35" i="6"/>
  <c r="C35" i="6"/>
  <c r="O35" i="6" l="1"/>
  <c r="X35" i="6"/>
  <c r="N35" i="6"/>
  <c r="W35" i="6"/>
  <c r="R8" i="2"/>
  <c r="P35" i="6"/>
  <c r="Y35" i="6"/>
  <c r="R35" i="6"/>
  <c r="AA35" i="6"/>
  <c r="Z8" i="2"/>
  <c r="Q35" i="6"/>
  <c r="Z35" i="6"/>
  <c r="Z22" i="1"/>
  <c r="AC23" i="1"/>
  <c r="C37" i="6"/>
  <c r="H9" i="2"/>
  <c r="E36" i="6"/>
  <c r="Z36" i="6" s="1"/>
  <c r="AA22" i="1"/>
  <c r="B8" i="2"/>
  <c r="E38" i="6"/>
  <c r="Q38" i="6" s="1"/>
  <c r="AA24" i="1"/>
  <c r="B10" i="2"/>
  <c r="AB23" i="1"/>
  <c r="B37" i="6"/>
  <c r="K9" i="2"/>
  <c r="Z23" i="1"/>
  <c r="AE8" i="1"/>
  <c r="D37" i="6"/>
  <c r="E9" i="2"/>
  <c r="F36" i="6"/>
  <c r="AD22" i="1"/>
  <c r="N8" i="2"/>
  <c r="F38" i="6"/>
  <c r="R38" i="6" s="1"/>
  <c r="AD24" i="1"/>
  <c r="N10" i="2"/>
  <c r="S27" i="1"/>
  <c r="V12" i="1"/>
  <c r="W12" i="1" s="1"/>
  <c r="S13" i="1"/>
  <c r="V26" i="1"/>
  <c r="AD23" i="1"/>
  <c r="F37" i="6"/>
  <c r="N9" i="2"/>
  <c r="B36" i="6"/>
  <c r="W36" i="6" s="1"/>
  <c r="AB22" i="1"/>
  <c r="K8" i="2"/>
  <c r="AC22" i="1"/>
  <c r="C36" i="6"/>
  <c r="X36" i="6" s="1"/>
  <c r="H8" i="2"/>
  <c r="AA10" i="1"/>
  <c r="AD10" i="1"/>
  <c r="AC10" i="1"/>
  <c r="AB10" i="1"/>
  <c r="Z24" i="1"/>
  <c r="AE9" i="1"/>
  <c r="AF9" i="1" s="1"/>
  <c r="E10" i="2"/>
  <c r="D38" i="6"/>
  <c r="P38" i="6" s="1"/>
  <c r="AA23" i="1"/>
  <c r="E37" i="6"/>
  <c r="B9" i="2"/>
  <c r="AE7" i="1"/>
  <c r="D36" i="6"/>
  <c r="Y36" i="6" s="1"/>
  <c r="E8" i="2"/>
  <c r="B38" i="6"/>
  <c r="N38" i="6" s="1"/>
  <c r="AB24" i="1"/>
  <c r="K10" i="2"/>
  <c r="AC24" i="1"/>
  <c r="C38" i="6"/>
  <c r="O38" i="6" s="1"/>
  <c r="H10" i="2"/>
  <c r="Q9" i="2" l="1"/>
  <c r="V9" i="2" s="1"/>
  <c r="Q10" i="2"/>
  <c r="V10" i="2" s="1"/>
  <c r="AA36" i="6"/>
  <c r="Z37" i="6"/>
  <c r="Q37" i="6"/>
  <c r="Y37" i="6"/>
  <c r="P37" i="6"/>
  <c r="R37" i="6"/>
  <c r="AA37" i="6"/>
  <c r="X37" i="6"/>
  <c r="O37" i="6"/>
  <c r="N37" i="6"/>
  <c r="W37" i="6"/>
  <c r="Y9" i="2"/>
  <c r="N36" i="6"/>
  <c r="R36" i="6"/>
  <c r="P36" i="6"/>
  <c r="O36" i="6"/>
  <c r="Q36" i="6"/>
  <c r="Y8" i="2"/>
  <c r="AA8" i="2" s="1"/>
  <c r="Y10" i="2"/>
  <c r="AE24" i="1"/>
  <c r="F39" i="6"/>
  <c r="AD25" i="1"/>
  <c r="N11" i="2"/>
  <c r="D39" i="6"/>
  <c r="Z25" i="1"/>
  <c r="AE10" i="1"/>
  <c r="AF10" i="1" s="1"/>
  <c r="E11" i="2"/>
  <c r="N26" i="2"/>
  <c r="B27" i="2"/>
  <c r="H26" i="2"/>
  <c r="S28" i="1"/>
  <c r="S14" i="1"/>
  <c r="V13" i="1"/>
  <c r="W13" i="1" s="1"/>
  <c r="N27" i="2"/>
  <c r="AF8" i="1"/>
  <c r="AE23" i="1"/>
  <c r="K27" i="2"/>
  <c r="B26" i="2"/>
  <c r="H27" i="2"/>
  <c r="AB25" i="1"/>
  <c r="B39" i="6"/>
  <c r="K11" i="2"/>
  <c r="AA25" i="1"/>
  <c r="E39" i="6"/>
  <c r="B11" i="2"/>
  <c r="M8" i="2"/>
  <c r="AC11" i="1"/>
  <c r="Z11" i="1"/>
  <c r="AA11" i="1"/>
  <c r="AD11" i="1"/>
  <c r="AB11" i="1"/>
  <c r="V27" i="1"/>
  <c r="E26" i="2"/>
  <c r="K26" i="2"/>
  <c r="D8" i="2"/>
  <c r="G8" i="2"/>
  <c r="AE22" i="1"/>
  <c r="AF7" i="1"/>
  <c r="E27" i="2"/>
  <c r="AC25" i="1"/>
  <c r="C39" i="6"/>
  <c r="H11" i="2"/>
  <c r="J8" i="2"/>
  <c r="Q8" i="2"/>
  <c r="V8" i="2" s="1"/>
  <c r="P8" i="2"/>
  <c r="Y11" i="2" l="1"/>
  <c r="Z12" i="1"/>
  <c r="AC12" i="1"/>
  <c r="AA12" i="1"/>
  <c r="AD12" i="1"/>
  <c r="AB12" i="1"/>
  <c r="AE25" i="1"/>
  <c r="D40" i="6"/>
  <c r="Z26" i="1"/>
  <c r="E12" i="2"/>
  <c r="AE11" i="1"/>
  <c r="AF11" i="1" s="1"/>
  <c r="Q26" i="2"/>
  <c r="X9" i="2"/>
  <c r="S8" i="2"/>
  <c r="X8" i="2"/>
  <c r="B40" i="6"/>
  <c r="K12" i="2"/>
  <c r="AB26" i="1"/>
  <c r="AC26" i="1"/>
  <c r="C40" i="6"/>
  <c r="H12" i="2"/>
  <c r="Q27" i="2"/>
  <c r="X10" i="2"/>
  <c r="H28" i="2"/>
  <c r="E40" i="6"/>
  <c r="AA26" i="1"/>
  <c r="B12" i="2"/>
  <c r="B28" i="2"/>
  <c r="S29" i="1"/>
  <c r="V14" i="1"/>
  <c r="W14" i="1" s="1"/>
  <c r="S15" i="1"/>
  <c r="F40" i="6"/>
  <c r="AD26" i="1"/>
  <c r="N12" i="2"/>
  <c r="K28" i="2"/>
  <c r="V28" i="1"/>
  <c r="E28" i="2"/>
  <c r="N28" i="2"/>
  <c r="Q11" i="2"/>
  <c r="V11" i="2" s="1"/>
  <c r="Y12" i="2" l="1"/>
  <c r="X11" i="2"/>
  <c r="Q28" i="2"/>
  <c r="B29" i="2"/>
  <c r="AE26" i="1"/>
  <c r="AD27" i="1"/>
  <c r="F41" i="6"/>
  <c r="N13" i="2"/>
  <c r="V29" i="1"/>
  <c r="AA8" i="10"/>
  <c r="H29" i="2"/>
  <c r="K29" i="2"/>
  <c r="E29" i="2"/>
  <c r="E41" i="6"/>
  <c r="AA27" i="1"/>
  <c r="B13" i="2"/>
  <c r="S30" i="1"/>
  <c r="V15" i="1"/>
  <c r="W15" i="1" s="1"/>
  <c r="S16" i="1"/>
  <c r="N29" i="2"/>
  <c r="Q12" i="2"/>
  <c r="V12" i="2" s="1"/>
  <c r="C41" i="6"/>
  <c r="H13" i="2"/>
  <c r="AC27" i="1"/>
  <c r="AA13" i="1"/>
  <c r="AD13" i="1"/>
  <c r="AC13" i="1"/>
  <c r="Z13" i="1"/>
  <c r="AB13" i="1"/>
  <c r="B41" i="6"/>
  <c r="K13" i="2"/>
  <c r="AB27" i="1"/>
  <c r="D41" i="6"/>
  <c r="Z27" i="1"/>
  <c r="AE12" i="1"/>
  <c r="AF12" i="1" s="1"/>
  <c r="E13" i="2"/>
  <c r="Y13" i="2" l="1"/>
  <c r="AD14" i="1"/>
  <c r="AA14" i="1"/>
  <c r="Z14" i="1"/>
  <c r="AC14" i="1"/>
  <c r="AB14" i="1"/>
  <c r="K30" i="2"/>
  <c r="S31" i="1"/>
  <c r="V16" i="1"/>
  <c r="W16" i="1" s="1"/>
  <c r="S17" i="1"/>
  <c r="B30" i="2"/>
  <c r="E30" i="2"/>
  <c r="B42" i="6"/>
  <c r="AB28" i="1"/>
  <c r="K14" i="2"/>
  <c r="AE27" i="1"/>
  <c r="AA28" i="1"/>
  <c r="E42" i="6"/>
  <c r="B14" i="2"/>
  <c r="H30" i="2"/>
  <c r="D42" i="6"/>
  <c r="Z28" i="1"/>
  <c r="AE13" i="1"/>
  <c r="AF13" i="1" s="1"/>
  <c r="E14" i="2"/>
  <c r="AC28" i="1"/>
  <c r="H14" i="2"/>
  <c r="C42" i="6"/>
  <c r="Q29" i="2"/>
  <c r="X12" i="2"/>
  <c r="F42" i="6"/>
  <c r="AD28" i="1"/>
  <c r="N14" i="2"/>
  <c r="V30" i="1"/>
  <c r="Q13" i="2"/>
  <c r="V13" i="2" s="1"/>
  <c r="N30" i="2"/>
  <c r="Y14" i="2" l="1"/>
  <c r="N31" i="2"/>
  <c r="Q14" i="2"/>
  <c r="V14" i="2" s="1"/>
  <c r="H31" i="2"/>
  <c r="S32" i="1"/>
  <c r="S18" i="1"/>
  <c r="V17" i="1"/>
  <c r="W17" i="1" s="1"/>
  <c r="B43" i="6"/>
  <c r="AB29" i="1"/>
  <c r="K15" i="2"/>
  <c r="V31" i="1"/>
  <c r="C43" i="6"/>
  <c r="AC29" i="1"/>
  <c r="H15" i="2"/>
  <c r="AD29" i="1"/>
  <c r="F43" i="6"/>
  <c r="N15" i="2"/>
  <c r="E31" i="2"/>
  <c r="D43" i="6"/>
  <c r="AE14" i="1"/>
  <c r="AF14" i="1" s="1"/>
  <c r="Z29" i="1"/>
  <c r="E15" i="2"/>
  <c r="K31" i="2"/>
  <c r="AC15" i="1"/>
  <c r="AA15" i="1"/>
  <c r="AD15" i="1"/>
  <c r="Z15" i="1"/>
  <c r="AB15" i="1"/>
  <c r="Q30" i="2"/>
  <c r="X13" i="2"/>
  <c r="AE28" i="1"/>
  <c r="B31" i="2"/>
  <c r="AA29" i="1"/>
  <c r="E43" i="6"/>
  <c r="B15" i="2"/>
  <c r="Y15" i="2" l="1"/>
  <c r="Z30" i="1"/>
  <c r="E16" i="2"/>
  <c r="D44" i="6"/>
  <c r="AE15" i="1"/>
  <c r="AF15" i="1" s="1"/>
  <c r="N32" i="2"/>
  <c r="Q15" i="2"/>
  <c r="V15" i="2" s="1"/>
  <c r="K32" i="2"/>
  <c r="AE29" i="1"/>
  <c r="H32" i="2"/>
  <c r="S33" i="1"/>
  <c r="S19" i="1"/>
  <c r="V18" i="1"/>
  <c r="W18" i="1" s="1"/>
  <c r="E44" i="6"/>
  <c r="AA30" i="1"/>
  <c r="B16" i="2"/>
  <c r="AC16" i="1"/>
  <c r="AA16" i="1"/>
  <c r="Z16" i="1"/>
  <c r="AD16" i="1"/>
  <c r="AB16" i="1"/>
  <c r="Q31" i="2"/>
  <c r="X14" i="2"/>
  <c r="F44" i="6"/>
  <c r="N16" i="2"/>
  <c r="AD30" i="1"/>
  <c r="B32" i="2"/>
  <c r="B44" i="6"/>
  <c r="AB30" i="1"/>
  <c r="K16" i="2"/>
  <c r="AC30" i="1"/>
  <c r="C44" i="6"/>
  <c r="H16" i="2"/>
  <c r="E32" i="2"/>
  <c r="V32" i="1"/>
  <c r="Y16" i="2" l="1"/>
  <c r="E45" i="6"/>
  <c r="AA31" i="1"/>
  <c r="B17" i="2"/>
  <c r="Q32" i="2"/>
  <c r="X15" i="2"/>
  <c r="AA17" i="1"/>
  <c r="AC17" i="1"/>
  <c r="Z17" i="1"/>
  <c r="AD17" i="1"/>
  <c r="AB17" i="1"/>
  <c r="V19" i="1"/>
  <c r="W19" i="1" s="1"/>
  <c r="S34" i="1"/>
  <c r="AE30" i="1"/>
  <c r="C45" i="6"/>
  <c r="AC31" i="1"/>
  <c r="H17" i="2"/>
  <c r="E33" i="2"/>
  <c r="Z31" i="1"/>
  <c r="D45" i="6"/>
  <c r="AE16" i="1"/>
  <c r="AF16" i="1" s="1"/>
  <c r="E17" i="2"/>
  <c r="K33" i="2"/>
  <c r="B45" i="6"/>
  <c r="AB31" i="1"/>
  <c r="K17" i="2"/>
  <c r="H33" i="2"/>
  <c r="N33" i="2"/>
  <c r="Q16" i="2"/>
  <c r="V16" i="2" s="1"/>
  <c r="AD31" i="1"/>
  <c r="F45" i="6"/>
  <c r="N17" i="2"/>
  <c r="B33" i="2"/>
  <c r="V33" i="1"/>
  <c r="Y17" i="2" l="1"/>
  <c r="H34" i="2"/>
  <c r="AB32" i="1"/>
  <c r="B46" i="6"/>
  <c r="K18" i="2"/>
  <c r="AA32" i="1"/>
  <c r="B18" i="2"/>
  <c r="E46" i="6"/>
  <c r="AD32" i="1"/>
  <c r="F46" i="6"/>
  <c r="N18" i="2"/>
  <c r="Q33" i="2"/>
  <c r="X16" i="2"/>
  <c r="AE31" i="1"/>
  <c r="V34" i="1"/>
  <c r="Z32" i="1"/>
  <c r="E18" i="2"/>
  <c r="D46" i="6"/>
  <c r="AE17" i="1"/>
  <c r="AF17" i="1" s="1"/>
  <c r="B34" i="2"/>
  <c r="AD18" i="1"/>
  <c r="Z18" i="1"/>
  <c r="AC18" i="1"/>
  <c r="AA18" i="1"/>
  <c r="AB18" i="1"/>
  <c r="E34" i="2"/>
  <c r="N34" i="2"/>
  <c r="Q17" i="2"/>
  <c r="V17" i="2" s="1"/>
  <c r="K34" i="2"/>
  <c r="C46" i="6"/>
  <c r="AC32" i="1"/>
  <c r="H18" i="2"/>
  <c r="Y18" i="2" l="1"/>
  <c r="Q34" i="2"/>
  <c r="X17" i="2"/>
  <c r="N35" i="2"/>
  <c r="Q18" i="2"/>
  <c r="V18" i="2" s="1"/>
  <c r="B47" i="6"/>
  <c r="AB33" i="1"/>
  <c r="K19" i="2"/>
  <c r="E35" i="2"/>
  <c r="B35" i="2"/>
  <c r="H35" i="2"/>
  <c r="E47" i="6"/>
  <c r="AA33" i="1"/>
  <c r="B19" i="2"/>
  <c r="D47" i="6"/>
  <c r="Z33" i="1"/>
  <c r="E19" i="2"/>
  <c r="AE18" i="1"/>
  <c r="AF18" i="1" s="1"/>
  <c r="AD33" i="1"/>
  <c r="F47" i="6"/>
  <c r="N19" i="2"/>
  <c r="AC33" i="1"/>
  <c r="C47" i="6"/>
  <c r="H19" i="2"/>
  <c r="AE32" i="1"/>
  <c r="AC19" i="1"/>
  <c r="AC20" i="1" s="1"/>
  <c r="AA19" i="1"/>
  <c r="AA20" i="1" s="1"/>
  <c r="Z19" i="1"/>
  <c r="Z20" i="1" s="1"/>
  <c r="AD19" i="1"/>
  <c r="AB19" i="1"/>
  <c r="AB20" i="1" s="1"/>
  <c r="K35" i="2"/>
  <c r="AD20" i="1" l="1"/>
  <c r="Y19" i="2"/>
  <c r="E48" i="6"/>
  <c r="AA34" i="1"/>
  <c r="B20" i="2"/>
  <c r="B21" i="2" s="1"/>
  <c r="AE33" i="1"/>
  <c r="AC34" i="1"/>
  <c r="C48" i="6"/>
  <c r="H20" i="2"/>
  <c r="H21" i="2" s="1"/>
  <c r="E36" i="2"/>
  <c r="N20" i="2"/>
  <c r="N21" i="2" s="1"/>
  <c r="F48" i="6"/>
  <c r="AD34" i="1"/>
  <c r="B36" i="2"/>
  <c r="H36" i="2"/>
  <c r="K36" i="2"/>
  <c r="Q35" i="2"/>
  <c r="X18" i="2"/>
  <c r="AB34" i="1"/>
  <c r="B48" i="6"/>
  <c r="K20" i="2"/>
  <c r="K21" i="2" s="1"/>
  <c r="Z34" i="1"/>
  <c r="D48" i="6"/>
  <c r="AE19" i="1"/>
  <c r="E20" i="2"/>
  <c r="E21" i="2" s="1"/>
  <c r="N36" i="2"/>
  <c r="Q19" i="2"/>
  <c r="V19" i="2" s="1"/>
  <c r="AE20" i="1" l="1"/>
  <c r="AF19" i="1"/>
  <c r="Y20" i="2"/>
  <c r="AE34" i="1"/>
  <c r="H37" i="2"/>
  <c r="B37" i="2"/>
  <c r="Q36" i="2"/>
  <c r="X19" i="2"/>
  <c r="E37" i="2"/>
  <c r="K37" i="2"/>
  <c r="N37" i="2"/>
  <c r="Q20" i="2"/>
  <c r="O26" i="2" l="1"/>
  <c r="R9" i="2"/>
  <c r="P9" i="2"/>
  <c r="Z9" i="2"/>
  <c r="AA9" i="2" s="1"/>
  <c r="I26" i="2"/>
  <c r="J9" i="2"/>
  <c r="F26" i="2"/>
  <c r="G9" i="2"/>
  <c r="C26" i="2"/>
  <c r="D9" i="2"/>
  <c r="L26" i="2"/>
  <c r="M9" i="2"/>
  <c r="Q21" i="2"/>
  <c r="V20" i="2"/>
  <c r="X20" i="2" s="1"/>
  <c r="Q37" i="2"/>
  <c r="X38" i="6" l="1"/>
  <c r="I27" i="2"/>
  <c r="Z10" i="2"/>
  <c r="AA10" i="2" s="1"/>
  <c r="J10" i="2"/>
  <c r="R26" i="2"/>
  <c r="S9" i="2"/>
  <c r="R10" i="2"/>
  <c r="O27" i="2"/>
  <c r="AA38" i="6"/>
  <c r="P10" i="2"/>
  <c r="W38" i="6"/>
  <c r="L27" i="2"/>
  <c r="M10" i="2"/>
  <c r="C27" i="2"/>
  <c r="Z38" i="6"/>
  <c r="D10" i="2"/>
  <c r="Y38" i="6"/>
  <c r="F27" i="2"/>
  <c r="G10" i="2"/>
  <c r="R27" i="2" l="1"/>
  <c r="S10" i="2"/>
  <c r="AA39" i="6"/>
  <c r="O28" i="2"/>
  <c r="R11" i="2"/>
  <c r="P11" i="2"/>
  <c r="W39" i="6"/>
  <c r="L28" i="2"/>
  <c r="M11" i="2"/>
  <c r="Z39" i="6"/>
  <c r="C28" i="2"/>
  <c r="D11" i="2"/>
  <c r="I28" i="2"/>
  <c r="X39" i="6"/>
  <c r="Z11" i="2"/>
  <c r="AA11" i="2" s="1"/>
  <c r="J11" i="2"/>
  <c r="Y39" i="6"/>
  <c r="F28" i="2"/>
  <c r="G11" i="2"/>
  <c r="E5" i="1"/>
  <c r="G5" i="1" s="1"/>
  <c r="Z40" i="6" l="1"/>
  <c r="C29" i="2"/>
  <c r="D12" i="2"/>
  <c r="AA40" i="6"/>
  <c r="R12" i="2"/>
  <c r="O29" i="2"/>
  <c r="P12" i="2"/>
  <c r="W40" i="6"/>
  <c r="L29" i="2"/>
  <c r="M12" i="2"/>
  <c r="R10" i="10"/>
  <c r="R10" i="11"/>
  <c r="R28" i="2"/>
  <c r="S11" i="2"/>
  <c r="I29" i="2"/>
  <c r="Z12" i="2"/>
  <c r="AA12" i="2" s="1"/>
  <c r="X40" i="6"/>
  <c r="J12" i="2"/>
  <c r="F29" i="2"/>
  <c r="Y40" i="6"/>
  <c r="G12" i="2"/>
  <c r="H6" i="1"/>
  <c r="R11" i="11" l="1"/>
  <c r="R11" i="10"/>
  <c r="W41" i="6"/>
  <c r="L30" i="2"/>
  <c r="M13" i="2"/>
  <c r="C30" i="2"/>
  <c r="Z41" i="6"/>
  <c r="D13" i="2"/>
  <c r="AA41" i="6"/>
  <c r="O30" i="2"/>
  <c r="R13" i="2"/>
  <c r="P13" i="2"/>
  <c r="R29" i="2"/>
  <c r="S12" i="2"/>
  <c r="X41" i="6"/>
  <c r="I30" i="2"/>
  <c r="Z13" i="2"/>
  <c r="AA13" i="2" s="1"/>
  <c r="J13" i="2"/>
  <c r="F30" i="2"/>
  <c r="Y41" i="6"/>
  <c r="G13" i="2"/>
  <c r="R12" i="11" l="1"/>
  <c r="L31" i="2"/>
  <c r="W42" i="6"/>
  <c r="M14" i="2"/>
  <c r="Z14" i="2"/>
  <c r="AA14" i="2" s="1"/>
  <c r="X42" i="6"/>
  <c r="I31" i="2"/>
  <c r="J14" i="2"/>
  <c r="R12" i="10"/>
  <c r="R30" i="2"/>
  <c r="S13" i="2"/>
  <c r="F31" i="2"/>
  <c r="Y42" i="6"/>
  <c r="G14" i="2"/>
  <c r="C31" i="2"/>
  <c r="Z42" i="6"/>
  <c r="D14" i="2"/>
  <c r="R14" i="2"/>
  <c r="AA42" i="6"/>
  <c r="O31" i="2"/>
  <c r="P14" i="2"/>
  <c r="U22" i="3"/>
  <c r="S22" i="3"/>
  <c r="Q22" i="3"/>
  <c r="V5" i="3"/>
  <c r="W5" i="3" s="1"/>
  <c r="R22" i="3"/>
  <c r="V5" i="1"/>
  <c r="T22" i="3"/>
  <c r="F20" i="11" l="1"/>
  <c r="L20" i="10"/>
  <c r="O20" i="10"/>
  <c r="L20" i="11"/>
  <c r="C20" i="10"/>
  <c r="I20" i="10"/>
  <c r="O20" i="11"/>
  <c r="F20" i="10"/>
  <c r="C20" i="11"/>
  <c r="I20" i="11"/>
  <c r="F32" i="2"/>
  <c r="Y43" i="6"/>
  <c r="G15" i="2"/>
  <c r="Z43" i="6"/>
  <c r="C32" i="2"/>
  <c r="D15" i="2"/>
  <c r="R13" i="11"/>
  <c r="O32" i="2"/>
  <c r="R15" i="2"/>
  <c r="AA43" i="6"/>
  <c r="P15" i="2"/>
  <c r="R31" i="2"/>
  <c r="S14" i="2"/>
  <c r="W43" i="6"/>
  <c r="L32" i="2"/>
  <c r="M15" i="2"/>
  <c r="R13" i="10"/>
  <c r="X43" i="6"/>
  <c r="I32" i="2"/>
  <c r="Z15" i="2"/>
  <c r="AA15" i="2" s="1"/>
  <c r="J15" i="2"/>
  <c r="V22" i="3"/>
  <c r="W5" i="1"/>
  <c r="R38" i="10" l="1"/>
  <c r="R37" i="11"/>
  <c r="R37" i="10"/>
  <c r="Z44" i="6"/>
  <c r="C33" i="2"/>
  <c r="D16" i="2"/>
  <c r="R14" i="10"/>
  <c r="AA44" i="6"/>
  <c r="O33" i="2"/>
  <c r="R16" i="2"/>
  <c r="P16" i="2"/>
  <c r="R32" i="2"/>
  <c r="S15" i="2"/>
  <c r="F33" i="2"/>
  <c r="Y44" i="6"/>
  <c r="G16" i="2"/>
  <c r="I33" i="2"/>
  <c r="Z16" i="2"/>
  <c r="AA16" i="2" s="1"/>
  <c r="X44" i="6"/>
  <c r="J16" i="2"/>
  <c r="L33" i="2"/>
  <c r="W44" i="6"/>
  <c r="M16" i="2"/>
  <c r="R14" i="11"/>
  <c r="Z5" i="3"/>
  <c r="AD5" i="3"/>
  <c r="AC5" i="3"/>
  <c r="AA5" i="3"/>
  <c r="AB5" i="3"/>
  <c r="AD5" i="1"/>
  <c r="AA5" i="1"/>
  <c r="AC5" i="1"/>
  <c r="AB5" i="1"/>
  <c r="Z5" i="1"/>
  <c r="R38" i="11" l="1"/>
  <c r="R33" i="2"/>
  <c r="S16" i="2"/>
  <c r="R15" i="10"/>
  <c r="F34" i="2"/>
  <c r="Y45" i="6"/>
  <c r="G17" i="2"/>
  <c r="L34" i="2"/>
  <c r="W45" i="6"/>
  <c r="M17" i="2"/>
  <c r="Z17" i="2"/>
  <c r="AA17" i="2" s="1"/>
  <c r="I34" i="2"/>
  <c r="X45" i="6"/>
  <c r="J17" i="2"/>
  <c r="R15" i="11"/>
  <c r="C34" i="2"/>
  <c r="Z45" i="6"/>
  <c r="D17" i="2"/>
  <c r="R17" i="2"/>
  <c r="AA45" i="6"/>
  <c r="O34" i="2"/>
  <c r="P17" i="2"/>
  <c r="C34" i="6"/>
  <c r="X34" i="6" s="1"/>
  <c r="E33" i="7"/>
  <c r="Z33" i="7" s="1"/>
  <c r="AA22" i="3"/>
  <c r="E34" i="6"/>
  <c r="Z34" i="6" s="1"/>
  <c r="C33" i="7"/>
  <c r="X33" i="7" s="1"/>
  <c r="AC22" i="3"/>
  <c r="D34" i="6"/>
  <c r="Y34" i="6" s="1"/>
  <c r="AE5" i="1"/>
  <c r="F34" i="6"/>
  <c r="F33" i="7"/>
  <c r="AA33" i="7" s="1"/>
  <c r="AD22" i="3"/>
  <c r="B34" i="6"/>
  <c r="W34" i="6" s="1"/>
  <c r="B33" i="7"/>
  <c r="W33" i="7" s="1"/>
  <c r="AB22" i="3"/>
  <c r="D33" i="7"/>
  <c r="Y33" i="7" s="1"/>
  <c r="AE5" i="3"/>
  <c r="AF5" i="3" s="1"/>
  <c r="Z22" i="3"/>
  <c r="R18" i="2" l="1"/>
  <c r="O35" i="2"/>
  <c r="AA46" i="6"/>
  <c r="P18" i="2"/>
  <c r="W46" i="6"/>
  <c r="L35" i="2"/>
  <c r="M18" i="2"/>
  <c r="F35" i="2"/>
  <c r="Y46" i="6"/>
  <c r="G18" i="2"/>
  <c r="I35" i="2"/>
  <c r="Z18" i="2"/>
  <c r="AA18" i="2" s="1"/>
  <c r="X46" i="6"/>
  <c r="J18" i="2"/>
  <c r="R16" i="11"/>
  <c r="R16" i="10"/>
  <c r="Z46" i="6"/>
  <c r="C35" i="2"/>
  <c r="D18" i="2"/>
  <c r="R34" i="2"/>
  <c r="S17" i="2"/>
  <c r="AA34" i="6"/>
  <c r="N33" i="7"/>
  <c r="R33" i="7"/>
  <c r="P34" i="6"/>
  <c r="P40" i="6" s="1"/>
  <c r="AE22" i="3"/>
  <c r="Q34" i="6"/>
  <c r="Q40" i="6" s="1"/>
  <c r="O34" i="6"/>
  <c r="O40" i="6" s="1"/>
  <c r="P33" i="7"/>
  <c r="N34" i="6"/>
  <c r="R34" i="6"/>
  <c r="R40" i="6" s="1"/>
  <c r="AF5" i="1"/>
  <c r="O33" i="7"/>
  <c r="Q33" i="7"/>
  <c r="L21" i="8" l="1"/>
  <c r="R17" i="10"/>
  <c r="I21" i="2"/>
  <c r="X48" i="6"/>
  <c r="Z20" i="2"/>
  <c r="AA20" i="2" s="1"/>
  <c r="I37" i="2"/>
  <c r="J20" i="2"/>
  <c r="F36" i="2"/>
  <c r="Y47" i="6"/>
  <c r="G19" i="2"/>
  <c r="X47" i="6"/>
  <c r="I36" i="2"/>
  <c r="Z19" i="2"/>
  <c r="AA19" i="2" s="1"/>
  <c r="J19" i="2"/>
  <c r="AA47" i="6"/>
  <c r="R19" i="2"/>
  <c r="O36" i="2"/>
  <c r="P19" i="2"/>
  <c r="C21" i="2"/>
  <c r="C37" i="2"/>
  <c r="Z48" i="6"/>
  <c r="D20" i="2"/>
  <c r="C36" i="2"/>
  <c r="Z47" i="6"/>
  <c r="D19" i="2"/>
  <c r="F21" i="8"/>
  <c r="I21" i="8"/>
  <c r="L21" i="2"/>
  <c r="W48" i="6"/>
  <c r="L37" i="2"/>
  <c r="M20" i="2"/>
  <c r="C21" i="8"/>
  <c r="O21" i="2"/>
  <c r="AA48" i="6"/>
  <c r="R20" i="2"/>
  <c r="O37" i="2"/>
  <c r="P20" i="2"/>
  <c r="O21" i="8"/>
  <c r="L36" i="2"/>
  <c r="W47" i="6"/>
  <c r="M19" i="2"/>
  <c r="R17" i="11"/>
  <c r="F21" i="2"/>
  <c r="Y48" i="6"/>
  <c r="F37" i="2"/>
  <c r="G20" i="2"/>
  <c r="R35" i="2"/>
  <c r="S18" i="2"/>
  <c r="N8" i="8"/>
  <c r="B8" i="8"/>
  <c r="K8" i="8"/>
  <c r="E8" i="8"/>
  <c r="H8" i="8"/>
  <c r="N13" i="8"/>
  <c r="N17" i="8"/>
  <c r="N9" i="8"/>
  <c r="N14" i="8"/>
  <c r="N18" i="8"/>
  <c r="N11" i="8"/>
  <c r="N15" i="8"/>
  <c r="N19" i="8"/>
  <c r="N10" i="8"/>
  <c r="N12" i="8"/>
  <c r="N16" i="8"/>
  <c r="N20" i="8"/>
  <c r="K11" i="8"/>
  <c r="K15" i="8"/>
  <c r="K19" i="8"/>
  <c r="K12" i="8"/>
  <c r="K16" i="8"/>
  <c r="K20" i="8"/>
  <c r="K10" i="8"/>
  <c r="K13" i="8"/>
  <c r="L30" i="8" s="1"/>
  <c r="K17" i="8"/>
  <c r="L34" i="8" s="1"/>
  <c r="K9" i="8"/>
  <c r="K14" i="8"/>
  <c r="K18" i="8"/>
  <c r="H10" i="8"/>
  <c r="H13" i="8"/>
  <c r="H17" i="8"/>
  <c r="H14" i="8"/>
  <c r="H18" i="8"/>
  <c r="H11" i="8"/>
  <c r="H15" i="8"/>
  <c r="H19" i="8"/>
  <c r="H9" i="8"/>
  <c r="H12" i="8"/>
  <c r="I29" i="8" s="1"/>
  <c r="H16" i="8"/>
  <c r="I33" i="8" s="1"/>
  <c r="H20" i="8"/>
  <c r="B11" i="8"/>
  <c r="B15" i="8"/>
  <c r="B19" i="8"/>
  <c r="B9" i="8"/>
  <c r="B12" i="8"/>
  <c r="C29" i="8" s="1"/>
  <c r="B16" i="8"/>
  <c r="C33" i="8" s="1"/>
  <c r="B20" i="8"/>
  <c r="B10" i="8"/>
  <c r="B13" i="8"/>
  <c r="C30" i="8" s="1"/>
  <c r="B17" i="8"/>
  <c r="C34" i="8" s="1"/>
  <c r="B14" i="8"/>
  <c r="B18" i="8"/>
  <c r="E10" i="8"/>
  <c r="E13" i="8"/>
  <c r="E17" i="8"/>
  <c r="E14" i="8"/>
  <c r="E18" i="8"/>
  <c r="E11" i="8"/>
  <c r="E15" i="8"/>
  <c r="E19" i="8"/>
  <c r="E9" i="8"/>
  <c r="E12" i="8"/>
  <c r="E16" i="8"/>
  <c r="F33" i="8" s="1"/>
  <c r="E20" i="8"/>
  <c r="R18" i="10" l="1"/>
  <c r="R19" i="11"/>
  <c r="R20" i="11" s="1"/>
  <c r="R18" i="11"/>
  <c r="R21" i="2"/>
  <c r="R37" i="2"/>
  <c r="S20" i="2"/>
  <c r="R19" i="10"/>
  <c r="R20" i="10" s="1"/>
  <c r="R36" i="2"/>
  <c r="S19" i="2"/>
  <c r="H21" i="8"/>
  <c r="N21" i="8"/>
  <c r="K21" i="8"/>
  <c r="C37" i="8"/>
  <c r="B21" i="8"/>
  <c r="F37" i="8"/>
  <c r="E21" i="8"/>
  <c r="L34" i="9"/>
  <c r="L30" i="9"/>
  <c r="C36" i="9"/>
  <c r="C32" i="9"/>
  <c r="C28" i="9"/>
  <c r="L26" i="9"/>
  <c r="L37" i="9"/>
  <c r="L33" i="9"/>
  <c r="L29" i="9"/>
  <c r="F35" i="9"/>
  <c r="F31" i="9"/>
  <c r="F27" i="9"/>
  <c r="L36" i="9"/>
  <c r="L32" i="9"/>
  <c r="L28" i="9"/>
  <c r="F34" i="9"/>
  <c r="F30" i="9"/>
  <c r="F26" i="9"/>
  <c r="C34" i="9"/>
  <c r="C30" i="9"/>
  <c r="C26" i="9"/>
  <c r="C35" i="9"/>
  <c r="C31" i="9"/>
  <c r="C27" i="9"/>
  <c r="I31" i="8"/>
  <c r="I37" i="9"/>
  <c r="Z15" i="9"/>
  <c r="I32" i="9"/>
  <c r="Z11" i="9"/>
  <c r="I28" i="9"/>
  <c r="O34" i="9"/>
  <c r="R17" i="9"/>
  <c r="O30" i="9"/>
  <c r="R13" i="9"/>
  <c r="R9" i="9"/>
  <c r="O26" i="9"/>
  <c r="C32" i="8"/>
  <c r="Z18" i="9"/>
  <c r="I35" i="9"/>
  <c r="Z14" i="9"/>
  <c r="I31" i="9"/>
  <c r="Z10" i="9"/>
  <c r="I27" i="9"/>
  <c r="I36" i="8"/>
  <c r="L35" i="8"/>
  <c r="L29" i="8"/>
  <c r="R20" i="9"/>
  <c r="O37" i="9"/>
  <c r="O33" i="9"/>
  <c r="R16" i="9"/>
  <c r="R12" i="9"/>
  <c r="O29" i="9"/>
  <c r="R8" i="9"/>
  <c r="M8" i="8"/>
  <c r="Q8" i="8"/>
  <c r="P8" i="8"/>
  <c r="F35" i="8"/>
  <c r="Z17" i="9"/>
  <c r="I34" i="9"/>
  <c r="Z13" i="9"/>
  <c r="I30" i="9"/>
  <c r="Z9" i="9"/>
  <c r="I26" i="9"/>
  <c r="R19" i="9"/>
  <c r="O36" i="9"/>
  <c r="O32" i="9"/>
  <c r="R15" i="9"/>
  <c r="O28" i="9"/>
  <c r="R11" i="9"/>
  <c r="Z20" i="9"/>
  <c r="Z16" i="9"/>
  <c r="I33" i="9"/>
  <c r="Z12" i="9"/>
  <c r="I29" i="9"/>
  <c r="Z8" i="9"/>
  <c r="I28" i="8"/>
  <c r="L35" i="9"/>
  <c r="L31" i="9"/>
  <c r="L27" i="9"/>
  <c r="F37" i="9"/>
  <c r="F33" i="9"/>
  <c r="F29" i="9"/>
  <c r="R18" i="9"/>
  <c r="O35" i="9"/>
  <c r="R14" i="9"/>
  <c r="O31" i="9"/>
  <c r="O27" i="9"/>
  <c r="R10" i="9"/>
  <c r="C37" i="9"/>
  <c r="C33" i="9"/>
  <c r="C29" i="9"/>
  <c r="G8" i="8"/>
  <c r="F27" i="8"/>
  <c r="E26" i="8"/>
  <c r="I32" i="8"/>
  <c r="L31" i="8"/>
  <c r="O26" i="8"/>
  <c r="N26" i="8"/>
  <c r="I37" i="8"/>
  <c r="B26" i="8"/>
  <c r="L26" i="8"/>
  <c r="K26" i="8"/>
  <c r="H26" i="8"/>
  <c r="F31" i="8"/>
  <c r="F29" i="8"/>
  <c r="R20" i="8"/>
  <c r="O37" i="8"/>
  <c r="O36" i="8"/>
  <c r="R19" i="8"/>
  <c r="O31" i="8"/>
  <c r="R14" i="8"/>
  <c r="C35" i="8"/>
  <c r="I34" i="8"/>
  <c r="L36" i="8"/>
  <c r="R16" i="8"/>
  <c r="O33" i="8"/>
  <c r="O32" i="8"/>
  <c r="R15" i="8"/>
  <c r="F36" i="8"/>
  <c r="F34" i="8"/>
  <c r="I30" i="8"/>
  <c r="L37" i="8"/>
  <c r="L32" i="8"/>
  <c r="O29" i="8"/>
  <c r="R12" i="8"/>
  <c r="R11" i="8"/>
  <c r="O28" i="8"/>
  <c r="R17" i="8"/>
  <c r="O34" i="8"/>
  <c r="F32" i="8"/>
  <c r="C31" i="8"/>
  <c r="B27" i="8"/>
  <c r="D10" i="8"/>
  <c r="F28" i="8"/>
  <c r="F30" i="8"/>
  <c r="C36" i="8"/>
  <c r="I35" i="8"/>
  <c r="I27" i="8"/>
  <c r="L33" i="8"/>
  <c r="L28" i="8"/>
  <c r="R10" i="8"/>
  <c r="R18" i="8"/>
  <c r="O35" i="8"/>
  <c r="R13" i="8"/>
  <c r="O30" i="8"/>
  <c r="D13" i="8"/>
  <c r="B30" i="8"/>
  <c r="B28" i="8"/>
  <c r="D11" i="8"/>
  <c r="J20" i="8"/>
  <c r="H37" i="8"/>
  <c r="J18" i="8"/>
  <c r="H35" i="8"/>
  <c r="M19" i="8"/>
  <c r="K36" i="8"/>
  <c r="Q20" i="8"/>
  <c r="N37" i="8"/>
  <c r="P20" i="8"/>
  <c r="N36" i="8"/>
  <c r="P19" i="8"/>
  <c r="Q19" i="8"/>
  <c r="V19" i="8" s="1"/>
  <c r="N35" i="8"/>
  <c r="P18" i="8"/>
  <c r="Q18" i="8"/>
  <c r="V18" i="8" s="1"/>
  <c r="P13" i="8"/>
  <c r="Q13" i="8"/>
  <c r="V13" i="8" s="1"/>
  <c r="N30" i="8"/>
  <c r="G9" i="8"/>
  <c r="E34" i="8"/>
  <c r="G17" i="8"/>
  <c r="B31" i="8"/>
  <c r="D14" i="8"/>
  <c r="H33" i="8"/>
  <c r="J16" i="8"/>
  <c r="H31" i="8"/>
  <c r="J14" i="8"/>
  <c r="J10" i="8"/>
  <c r="H27" i="8"/>
  <c r="K34" i="8"/>
  <c r="M17" i="8"/>
  <c r="K33" i="8"/>
  <c r="M16" i="8"/>
  <c r="G20" i="8"/>
  <c r="E37" i="8"/>
  <c r="G19" i="8"/>
  <c r="E36" i="8"/>
  <c r="E35" i="8"/>
  <c r="G18" i="8"/>
  <c r="E30" i="8"/>
  <c r="G13" i="8"/>
  <c r="B37" i="8"/>
  <c r="D20" i="8"/>
  <c r="D19" i="8"/>
  <c r="B36" i="8"/>
  <c r="H29" i="8"/>
  <c r="J12" i="8"/>
  <c r="H28" i="8"/>
  <c r="J11" i="8"/>
  <c r="M18" i="8"/>
  <c r="K35" i="8"/>
  <c r="K30" i="8"/>
  <c r="M13" i="8"/>
  <c r="K29" i="8"/>
  <c r="M12" i="8"/>
  <c r="K28" i="8"/>
  <c r="M11" i="8"/>
  <c r="N29" i="8"/>
  <c r="Q12" i="8"/>
  <c r="V12" i="8" s="1"/>
  <c r="P12" i="8"/>
  <c r="Q11" i="8"/>
  <c r="V11" i="8" s="1"/>
  <c r="P11" i="8"/>
  <c r="N28" i="8"/>
  <c r="Q9" i="8"/>
  <c r="P9" i="8"/>
  <c r="E33" i="8"/>
  <c r="G16" i="8"/>
  <c r="E32" i="8"/>
  <c r="G15" i="8"/>
  <c r="E31" i="8"/>
  <c r="G14" i="8"/>
  <c r="G10" i="8"/>
  <c r="E27" i="8"/>
  <c r="B34" i="8"/>
  <c r="D17" i="8"/>
  <c r="B33" i="8"/>
  <c r="D16" i="8"/>
  <c r="B32" i="8"/>
  <c r="D15" i="8"/>
  <c r="J9" i="8"/>
  <c r="H34" i="8"/>
  <c r="J17" i="8"/>
  <c r="K31" i="8"/>
  <c r="M14" i="8"/>
  <c r="K27" i="8"/>
  <c r="M10" i="8"/>
  <c r="N27" i="8"/>
  <c r="P10" i="8"/>
  <c r="Q10" i="8"/>
  <c r="V10" i="8" s="1"/>
  <c r="N34" i="8"/>
  <c r="P17" i="8"/>
  <c r="Q17" i="8"/>
  <c r="V17" i="8" s="1"/>
  <c r="E29" i="8"/>
  <c r="G12" i="8"/>
  <c r="E28" i="8"/>
  <c r="G11" i="8"/>
  <c r="B35" i="8"/>
  <c r="D18" i="8"/>
  <c r="D12" i="8"/>
  <c r="B29" i="8"/>
  <c r="J19" i="8"/>
  <c r="H36" i="8"/>
  <c r="J13" i="8"/>
  <c r="H30" i="8"/>
  <c r="M20" i="8"/>
  <c r="K37" i="8"/>
  <c r="H32" i="8"/>
  <c r="J15" i="8"/>
  <c r="K32" i="8"/>
  <c r="M15" i="8"/>
  <c r="P16" i="8"/>
  <c r="N33" i="8"/>
  <c r="Q16" i="8"/>
  <c r="V16" i="8" s="1"/>
  <c r="P15" i="8"/>
  <c r="N32" i="8"/>
  <c r="Q15" i="8"/>
  <c r="V15" i="8" s="1"/>
  <c r="P14" i="8"/>
  <c r="N31" i="8"/>
  <c r="Q14" i="8"/>
  <c r="V14" i="8" s="1"/>
  <c r="Q21" i="8" l="1"/>
  <c r="V20" i="8"/>
  <c r="R21" i="9"/>
  <c r="R21" i="8"/>
  <c r="R27" i="9"/>
  <c r="AD34" i="12"/>
  <c r="AD31" i="12"/>
  <c r="R30" i="9"/>
  <c r="R29" i="9"/>
  <c r="R34" i="9"/>
  <c r="R36" i="9"/>
  <c r="AD33" i="12"/>
  <c r="R26" i="9"/>
  <c r="R30" i="8"/>
  <c r="I26" i="8"/>
  <c r="O27" i="8"/>
  <c r="R9" i="8"/>
  <c r="S9" i="8" s="1"/>
  <c r="AD32" i="12"/>
  <c r="AD29" i="12"/>
  <c r="AD30" i="12"/>
  <c r="C26" i="8"/>
  <c r="AD35" i="12"/>
  <c r="D9" i="8"/>
  <c r="D8" i="8"/>
  <c r="R31" i="9"/>
  <c r="R28" i="9"/>
  <c r="V8" i="8"/>
  <c r="J8" i="8"/>
  <c r="Z19" i="9"/>
  <c r="I36" i="9"/>
  <c r="AD36" i="12"/>
  <c r="M9" i="8"/>
  <c r="C27" i="8"/>
  <c r="F26" i="8"/>
  <c r="R35" i="9"/>
  <c r="R33" i="9"/>
  <c r="R32" i="9"/>
  <c r="R8" i="8"/>
  <c r="R37" i="9"/>
  <c r="R28" i="8"/>
  <c r="R32" i="8"/>
  <c r="L27" i="8"/>
  <c r="R34" i="8"/>
  <c r="V9" i="8"/>
  <c r="Q26" i="8"/>
  <c r="C28" i="8"/>
  <c r="R36" i="8"/>
  <c r="R29" i="8"/>
  <c r="R33" i="8"/>
  <c r="R31" i="8"/>
  <c r="R35" i="8"/>
  <c r="R37" i="8"/>
  <c r="Q29" i="8"/>
  <c r="S12" i="8"/>
  <c r="Q32" i="8"/>
  <c r="S15" i="8"/>
  <c r="Q33" i="8"/>
  <c r="S16" i="8"/>
  <c r="Q27" i="8"/>
  <c r="S10" i="8"/>
  <c r="S18" i="8"/>
  <c r="Q35" i="8"/>
  <c r="Q37" i="8"/>
  <c r="S20" i="8"/>
  <c r="S14" i="8"/>
  <c r="Q31" i="8"/>
  <c r="Q34" i="8"/>
  <c r="S17" i="8"/>
  <c r="Q28" i="8"/>
  <c r="S11" i="8"/>
  <c r="S19" i="8"/>
  <c r="Q36" i="8"/>
  <c r="Q30" i="8"/>
  <c r="S13" i="8"/>
  <c r="R33" i="12" l="1"/>
  <c r="R31" i="12"/>
  <c r="R34" i="12"/>
  <c r="R35" i="13"/>
  <c r="R35" i="12"/>
  <c r="R34" i="13"/>
  <c r="R29" i="13"/>
  <c r="R27" i="8"/>
  <c r="R36" i="13"/>
  <c r="R26" i="8"/>
  <c r="S8" i="8"/>
  <c r="R31" i="13"/>
  <c r="R30" i="13"/>
  <c r="R35" i="10"/>
  <c r="R36" i="12"/>
  <c r="R32" i="13"/>
  <c r="R30" i="12"/>
  <c r="R33" i="13"/>
  <c r="R32" i="12"/>
  <c r="R29" i="12"/>
  <c r="R32" i="11"/>
  <c r="R34" i="10"/>
  <c r="R31" i="11"/>
  <c r="R36" i="11"/>
  <c r="R29" i="10"/>
  <c r="R29" i="11"/>
  <c r="R33" i="11"/>
  <c r="R30" i="10"/>
  <c r="R36" i="10"/>
  <c r="R31" i="10"/>
  <c r="R35" i="11"/>
  <c r="R30" i="11"/>
  <c r="R32" i="10"/>
  <c r="R34" i="11"/>
  <c r="R33" i="10"/>
  <c r="U24" i="3" l="1"/>
  <c r="V8" i="3"/>
  <c r="W8" i="3" s="1"/>
  <c r="Z8" i="3" s="1"/>
  <c r="V24" i="3" l="1"/>
  <c r="U25" i="3"/>
  <c r="U10" i="3"/>
  <c r="V9" i="3"/>
  <c r="U26" i="3" l="1"/>
  <c r="U11" i="3"/>
  <c r="V10" i="3"/>
  <c r="W9" i="3"/>
  <c r="V25" i="3"/>
  <c r="AB8" i="3"/>
  <c r="AA8" i="3"/>
  <c r="AC8" i="3"/>
  <c r="AD8" i="3"/>
  <c r="E9" i="5" l="1"/>
  <c r="D36" i="7"/>
  <c r="Z24" i="3"/>
  <c r="AE8" i="3"/>
  <c r="AF8" i="3" s="1"/>
  <c r="F36" i="7"/>
  <c r="AD24" i="3"/>
  <c r="N9" i="5"/>
  <c r="B36" i="7"/>
  <c r="AB24" i="3"/>
  <c r="K9" i="5"/>
  <c r="W10" i="3"/>
  <c r="V26" i="3"/>
  <c r="H9" i="5"/>
  <c r="C36" i="7"/>
  <c r="AC24" i="3"/>
  <c r="U12" i="3"/>
  <c r="U27" i="3"/>
  <c r="V11" i="3"/>
  <c r="B9" i="5"/>
  <c r="E36" i="7"/>
  <c r="AA24" i="3"/>
  <c r="AC9" i="3"/>
  <c r="AA9" i="3"/>
  <c r="AB9" i="3"/>
  <c r="Z9" i="3"/>
  <c r="AD9" i="3"/>
  <c r="D9" i="5" l="1"/>
  <c r="B26" i="5"/>
  <c r="U13" i="3"/>
  <c r="U28" i="3"/>
  <c r="V12" i="3"/>
  <c r="N36" i="7"/>
  <c r="W36" i="7"/>
  <c r="AE24" i="3"/>
  <c r="F37" i="7"/>
  <c r="R37" i="7" s="1"/>
  <c r="N10" i="5"/>
  <c r="AD25" i="3"/>
  <c r="N26" i="5"/>
  <c r="Q9" i="5"/>
  <c r="V9" i="5" s="1"/>
  <c r="P9" i="5"/>
  <c r="W11" i="3"/>
  <c r="V27" i="3"/>
  <c r="M9" i="5"/>
  <c r="K26" i="5"/>
  <c r="Y36" i="7"/>
  <c r="P36" i="7"/>
  <c r="E37" i="7"/>
  <c r="Q37" i="7" s="1"/>
  <c r="AA25" i="3"/>
  <c r="B10" i="5"/>
  <c r="C37" i="7"/>
  <c r="O37" i="7" s="1"/>
  <c r="AC25" i="3"/>
  <c r="H10" i="5"/>
  <c r="AB10" i="3"/>
  <c r="AA10" i="3"/>
  <c r="Z10" i="3"/>
  <c r="AC10" i="3"/>
  <c r="AD10" i="3"/>
  <c r="D37" i="7"/>
  <c r="P37" i="7" s="1"/>
  <c r="E10" i="5"/>
  <c r="Z25" i="3"/>
  <c r="AE9" i="3"/>
  <c r="O36" i="7"/>
  <c r="X36" i="7"/>
  <c r="B37" i="7"/>
  <c r="N37" i="7" s="1"/>
  <c r="AB25" i="3"/>
  <c r="K10" i="5"/>
  <c r="Z36" i="7"/>
  <c r="Q36" i="7"/>
  <c r="Y9" i="5"/>
  <c r="AA9" i="5" s="1"/>
  <c r="J9" i="5"/>
  <c r="H26" i="5"/>
  <c r="R36" i="7"/>
  <c r="AA36" i="7"/>
  <c r="G9" i="5"/>
  <c r="E26" i="5"/>
  <c r="Q39" i="7" l="1"/>
  <c r="B8" i="9" s="1"/>
  <c r="D8" i="9" s="1"/>
  <c r="N39" i="7"/>
  <c r="K10" i="9" s="1"/>
  <c r="O39" i="7"/>
  <c r="H8" i="9" s="1"/>
  <c r="P39" i="7"/>
  <c r="E9" i="9" s="1"/>
  <c r="R39" i="7"/>
  <c r="N8" i="9" s="1"/>
  <c r="F38" i="7"/>
  <c r="AD26" i="3"/>
  <c r="N11" i="5"/>
  <c r="B38" i="7"/>
  <c r="K11" i="5"/>
  <c r="AB26" i="3"/>
  <c r="D10" i="5"/>
  <c r="B27" i="5"/>
  <c r="X9" i="5"/>
  <c r="Q26" i="5"/>
  <c r="S9" i="5"/>
  <c r="U14" i="3"/>
  <c r="U29" i="3"/>
  <c r="V13" i="3"/>
  <c r="AF9" i="3"/>
  <c r="AE25" i="3"/>
  <c r="C38" i="7"/>
  <c r="AC26" i="3"/>
  <c r="H11" i="5"/>
  <c r="Y10" i="5"/>
  <c r="AA10" i="5" s="1"/>
  <c r="H27" i="5"/>
  <c r="J10" i="5"/>
  <c r="Z11" i="3"/>
  <c r="AA11" i="3"/>
  <c r="AC11" i="3"/>
  <c r="AB11" i="3"/>
  <c r="AD11" i="3"/>
  <c r="G10" i="5"/>
  <c r="E27" i="5"/>
  <c r="D38" i="7"/>
  <c r="E11" i="5"/>
  <c r="Z26" i="3"/>
  <c r="AE10" i="3"/>
  <c r="W12" i="3"/>
  <c r="V28" i="3"/>
  <c r="M10" i="5"/>
  <c r="K27" i="5"/>
  <c r="E38" i="7"/>
  <c r="AA26" i="3"/>
  <c r="B11" i="5"/>
  <c r="Q10" i="5"/>
  <c r="N27" i="5"/>
  <c r="P10" i="5"/>
  <c r="B9" i="9" l="1"/>
  <c r="D9" i="9" s="1"/>
  <c r="B10" i="9"/>
  <c r="N10" i="9"/>
  <c r="H9" i="9"/>
  <c r="J9" i="9" s="1"/>
  <c r="H10" i="9"/>
  <c r="N9" i="9"/>
  <c r="N26" i="9" s="1"/>
  <c r="G9" i="9"/>
  <c r="J8" i="9"/>
  <c r="P8" i="9"/>
  <c r="K9" i="9"/>
  <c r="E8" i="9"/>
  <c r="G8" i="9" s="1"/>
  <c r="K8" i="9"/>
  <c r="M8" i="9" s="1"/>
  <c r="E10" i="9"/>
  <c r="F39" i="7"/>
  <c r="N12" i="5"/>
  <c r="AD27" i="3"/>
  <c r="D39" i="7"/>
  <c r="Z27" i="3"/>
  <c r="AE11" i="3"/>
  <c r="E12" i="5"/>
  <c r="W13" i="3"/>
  <c r="V29" i="3"/>
  <c r="K28" i="5"/>
  <c r="M11" i="5"/>
  <c r="K11" i="9"/>
  <c r="V10" i="5"/>
  <c r="X10" i="5" s="1"/>
  <c r="Q27" i="5"/>
  <c r="S10" i="5"/>
  <c r="Z12" i="3"/>
  <c r="AC12" i="3"/>
  <c r="AB12" i="3"/>
  <c r="AA12" i="3"/>
  <c r="AD12" i="3"/>
  <c r="D11" i="5"/>
  <c r="B28" i="5"/>
  <c r="B11" i="9"/>
  <c r="B39" i="7"/>
  <c r="AB27" i="3"/>
  <c r="K12" i="5"/>
  <c r="Y11" i="5"/>
  <c r="AA11" i="5" s="1"/>
  <c r="H28" i="5"/>
  <c r="J11" i="5"/>
  <c r="H11" i="9"/>
  <c r="E39" i="7"/>
  <c r="AA27" i="3"/>
  <c r="B12" i="5"/>
  <c r="E28" i="5"/>
  <c r="G11" i="5"/>
  <c r="E11" i="9"/>
  <c r="M10" i="9"/>
  <c r="AF10" i="3"/>
  <c r="AE26" i="3"/>
  <c r="E27" i="9"/>
  <c r="C39" i="7"/>
  <c r="H12" i="5"/>
  <c r="AC27" i="3"/>
  <c r="U15" i="3"/>
  <c r="U30" i="3"/>
  <c r="V14" i="3"/>
  <c r="Q11" i="5"/>
  <c r="P11" i="5"/>
  <c r="N28" i="5"/>
  <c r="N11" i="9"/>
  <c r="J10" i="9" l="1"/>
  <c r="P10" i="9"/>
  <c r="B27" i="9"/>
  <c r="D10" i="9"/>
  <c r="B26" i="9"/>
  <c r="N27" i="9"/>
  <c r="H27" i="9"/>
  <c r="H26" i="9"/>
  <c r="Q10" i="9"/>
  <c r="V10" i="9" s="1"/>
  <c r="Y10" i="9"/>
  <c r="AA10" i="9" s="1"/>
  <c r="P9" i="9"/>
  <c r="Y9" i="9"/>
  <c r="AA9" i="9" s="1"/>
  <c r="E26" i="9"/>
  <c r="M9" i="9"/>
  <c r="K26" i="9"/>
  <c r="G10" i="9"/>
  <c r="Q8" i="9"/>
  <c r="K27" i="9"/>
  <c r="Q9" i="9"/>
  <c r="Y8" i="9"/>
  <c r="AA8" i="9" s="1"/>
  <c r="U31" i="3"/>
  <c r="U16" i="3"/>
  <c r="V15" i="3"/>
  <c r="J11" i="9"/>
  <c r="H28" i="9"/>
  <c r="Y11" i="9"/>
  <c r="AA11" i="9" s="1"/>
  <c r="B28" i="9"/>
  <c r="D11" i="9"/>
  <c r="C40" i="7"/>
  <c r="AC28" i="3"/>
  <c r="H13" i="5"/>
  <c r="AB13" i="3"/>
  <c r="AA13" i="3"/>
  <c r="AC13" i="3"/>
  <c r="Z13" i="3"/>
  <c r="AD13" i="3"/>
  <c r="AF11" i="3"/>
  <c r="AE27" i="3"/>
  <c r="Q12" i="5"/>
  <c r="N29" i="5"/>
  <c r="P12" i="5"/>
  <c r="N12" i="9"/>
  <c r="F40" i="7"/>
  <c r="AD28" i="3"/>
  <c r="N13" i="5"/>
  <c r="D40" i="7"/>
  <c r="AE12" i="3"/>
  <c r="Z28" i="3"/>
  <c r="E13" i="5"/>
  <c r="D12" i="5"/>
  <c r="B29" i="5"/>
  <c r="B12" i="9"/>
  <c r="M12" i="5"/>
  <c r="K29" i="5"/>
  <c r="K12" i="9"/>
  <c r="E40" i="7"/>
  <c r="AA28" i="3"/>
  <c r="B13" i="5"/>
  <c r="M11" i="9"/>
  <c r="K28" i="9"/>
  <c r="W14" i="3"/>
  <c r="V30" i="3"/>
  <c r="J12" i="5"/>
  <c r="Y12" i="5"/>
  <c r="AA12" i="5" s="1"/>
  <c r="H29" i="5"/>
  <c r="H12" i="9"/>
  <c r="N28" i="9"/>
  <c r="P11" i="9"/>
  <c r="Q11" i="9"/>
  <c r="V11" i="9" s="1"/>
  <c r="V11" i="5"/>
  <c r="X11" i="5" s="1"/>
  <c r="Q28" i="5"/>
  <c r="S11" i="5"/>
  <c r="F28" i="9"/>
  <c r="E28" i="9"/>
  <c r="G11" i="9"/>
  <c r="B40" i="7"/>
  <c r="K13" i="5"/>
  <c r="AB28" i="3"/>
  <c r="G12" i="5"/>
  <c r="E29" i="5"/>
  <c r="E12" i="9"/>
  <c r="Q27" i="9" l="1"/>
  <c r="S10" i="9"/>
  <c r="S9" i="9"/>
  <c r="V9" i="9"/>
  <c r="Q26" i="9"/>
  <c r="V8" i="9"/>
  <c r="S8" i="9"/>
  <c r="Q28" i="9"/>
  <c r="S11" i="9"/>
  <c r="H29" i="9"/>
  <c r="Y12" i="9"/>
  <c r="AA12" i="9" s="1"/>
  <c r="J12" i="9"/>
  <c r="D13" i="5"/>
  <c r="B30" i="5"/>
  <c r="B13" i="9"/>
  <c r="N29" i="9"/>
  <c r="Q12" i="9"/>
  <c r="V12" i="9" s="1"/>
  <c r="P12" i="9"/>
  <c r="F41" i="7"/>
  <c r="N14" i="5"/>
  <c r="AD29" i="3"/>
  <c r="B41" i="7"/>
  <c r="AB29" i="3"/>
  <c r="K14" i="5"/>
  <c r="W15" i="3"/>
  <c r="V31" i="3"/>
  <c r="G12" i="9"/>
  <c r="E29" i="9"/>
  <c r="G13" i="5"/>
  <c r="E30" i="5"/>
  <c r="E13" i="9"/>
  <c r="Q13" i="5"/>
  <c r="P13" i="5"/>
  <c r="N30" i="5"/>
  <c r="N13" i="9"/>
  <c r="V12" i="5"/>
  <c r="X12" i="5" s="1"/>
  <c r="Q29" i="5"/>
  <c r="S12" i="5"/>
  <c r="D41" i="7"/>
  <c r="AE13" i="3"/>
  <c r="Z29" i="3"/>
  <c r="E14" i="5"/>
  <c r="H30" i="5"/>
  <c r="Y13" i="5"/>
  <c r="AA13" i="5" s="1"/>
  <c r="J13" i="5"/>
  <c r="H13" i="9"/>
  <c r="U17" i="3"/>
  <c r="U32" i="3"/>
  <c r="V16" i="3"/>
  <c r="D12" i="9"/>
  <c r="B29" i="9"/>
  <c r="C41" i="7"/>
  <c r="H14" i="5"/>
  <c r="AC29" i="3"/>
  <c r="K30" i="5"/>
  <c r="M13" i="5"/>
  <c r="K13" i="9"/>
  <c r="AA14" i="3"/>
  <c r="AB14" i="3"/>
  <c r="Z14" i="3"/>
  <c r="AC14" i="3"/>
  <c r="AD14" i="3"/>
  <c r="M12" i="9"/>
  <c r="K29" i="9"/>
  <c r="AF12" i="3"/>
  <c r="AE28" i="3"/>
  <c r="E41" i="7"/>
  <c r="AA29" i="3"/>
  <c r="B14" i="5"/>
  <c r="D42" i="7" l="1"/>
  <c r="Z30" i="3"/>
  <c r="E15" i="5"/>
  <c r="AE14" i="3"/>
  <c r="E31" i="5"/>
  <c r="G14" i="5"/>
  <c r="E14" i="9"/>
  <c r="C42" i="7"/>
  <c r="H15" i="5"/>
  <c r="AC30" i="3"/>
  <c r="M13" i="9"/>
  <c r="K30" i="9"/>
  <c r="W16" i="3"/>
  <c r="V32" i="3"/>
  <c r="E30" i="9"/>
  <c r="G13" i="9"/>
  <c r="AB15" i="3"/>
  <c r="AA15" i="3"/>
  <c r="Z15" i="3"/>
  <c r="AC15" i="3"/>
  <c r="AD15" i="3"/>
  <c r="S12" i="9"/>
  <c r="Q29" i="9"/>
  <c r="B42" i="7"/>
  <c r="AB30" i="3"/>
  <c r="K15" i="5"/>
  <c r="Y14" i="5"/>
  <c r="AA14" i="5" s="1"/>
  <c r="J14" i="5"/>
  <c r="H31" i="5"/>
  <c r="H14" i="9"/>
  <c r="U33" i="3"/>
  <c r="U18" i="3"/>
  <c r="V17" i="3"/>
  <c r="N30" i="9"/>
  <c r="Q13" i="9"/>
  <c r="V13" i="9" s="1"/>
  <c r="P13" i="9"/>
  <c r="V13" i="5"/>
  <c r="X13" i="5" s="1"/>
  <c r="Q30" i="5"/>
  <c r="S13" i="5"/>
  <c r="B31" i="5"/>
  <c r="D14" i="5"/>
  <c r="B14" i="9"/>
  <c r="F42" i="7"/>
  <c r="AD30" i="3"/>
  <c r="N15" i="5"/>
  <c r="E42" i="7"/>
  <c r="AA30" i="3"/>
  <c r="B15" i="5"/>
  <c r="Y13" i="9"/>
  <c r="AA13" i="9" s="1"/>
  <c r="H30" i="9"/>
  <c r="J13" i="9"/>
  <c r="AF13" i="3"/>
  <c r="AE29" i="3"/>
  <c r="M14" i="5"/>
  <c r="K31" i="5"/>
  <c r="K14" i="9"/>
  <c r="P14" i="5"/>
  <c r="N31" i="5"/>
  <c r="Q14" i="5"/>
  <c r="N14" i="9"/>
  <c r="D13" i="9"/>
  <c r="B30" i="9"/>
  <c r="E43" i="7" l="1"/>
  <c r="AA31" i="3"/>
  <c r="B16" i="5"/>
  <c r="J14" i="9"/>
  <c r="Y14" i="9"/>
  <c r="AA14" i="9" s="1"/>
  <c r="H31" i="9"/>
  <c r="F43" i="7"/>
  <c r="N16" i="5"/>
  <c r="AD31" i="3"/>
  <c r="B43" i="7"/>
  <c r="AB31" i="3"/>
  <c r="K16" i="5"/>
  <c r="AA16" i="3"/>
  <c r="AB16" i="3"/>
  <c r="Z16" i="3"/>
  <c r="AC16" i="3"/>
  <c r="AD16" i="3"/>
  <c r="H32" i="5"/>
  <c r="J15" i="5"/>
  <c r="Y15" i="5"/>
  <c r="AA15" i="5" s="1"/>
  <c r="H15" i="9"/>
  <c r="E32" i="5"/>
  <c r="G15" i="5"/>
  <c r="E15" i="9"/>
  <c r="M14" i="9"/>
  <c r="K31" i="9"/>
  <c r="AF14" i="3"/>
  <c r="AE30" i="3"/>
  <c r="Q15" i="5"/>
  <c r="N32" i="5"/>
  <c r="P15" i="5"/>
  <c r="N15" i="9"/>
  <c r="N31" i="9"/>
  <c r="Q14" i="9"/>
  <c r="V14" i="9" s="1"/>
  <c r="P14" i="9"/>
  <c r="D15" i="5"/>
  <c r="B32" i="5"/>
  <c r="B15" i="9"/>
  <c r="B31" i="9"/>
  <c r="D14" i="9"/>
  <c r="Q30" i="9"/>
  <c r="S13" i="9"/>
  <c r="W17" i="3"/>
  <c r="V33" i="3"/>
  <c r="C43" i="7"/>
  <c r="H16" i="5"/>
  <c r="AC31" i="3"/>
  <c r="V14" i="5"/>
  <c r="X14" i="5" s="1"/>
  <c r="Q31" i="5"/>
  <c r="S14" i="5"/>
  <c r="U19" i="3"/>
  <c r="U34" i="3"/>
  <c r="V18" i="3"/>
  <c r="K32" i="5"/>
  <c r="M15" i="5"/>
  <c r="K15" i="9"/>
  <c r="D43" i="7"/>
  <c r="Z31" i="3"/>
  <c r="AE15" i="3"/>
  <c r="E16" i="5"/>
  <c r="G14" i="9"/>
  <c r="E31" i="9"/>
  <c r="W18" i="3" l="1"/>
  <c r="V34" i="3"/>
  <c r="P15" i="9"/>
  <c r="N32" i="9"/>
  <c r="Q15" i="9"/>
  <c r="V15" i="9" s="1"/>
  <c r="F32" i="9"/>
  <c r="G15" i="9"/>
  <c r="E32" i="9"/>
  <c r="C44" i="7"/>
  <c r="H17" i="5"/>
  <c r="AC32" i="3"/>
  <c r="J15" i="9"/>
  <c r="Y15" i="9"/>
  <c r="AA15" i="9" s="1"/>
  <c r="H32" i="9"/>
  <c r="D44" i="7"/>
  <c r="AE16" i="3"/>
  <c r="Z32" i="3"/>
  <c r="E17" i="5"/>
  <c r="E33" i="5"/>
  <c r="G16" i="5"/>
  <c r="E16" i="9"/>
  <c r="U35" i="3"/>
  <c r="V19" i="3"/>
  <c r="AA17" i="3"/>
  <c r="Z17" i="3"/>
  <c r="AB17" i="3"/>
  <c r="AC17" i="3"/>
  <c r="AD17" i="3"/>
  <c r="D15" i="9"/>
  <c r="B32" i="9"/>
  <c r="S14" i="9"/>
  <c r="Q31" i="9"/>
  <c r="B44" i="7"/>
  <c r="K17" i="5"/>
  <c r="AB32" i="3"/>
  <c r="K33" i="5"/>
  <c r="M16" i="5"/>
  <c r="K16" i="9"/>
  <c r="Q16" i="5"/>
  <c r="P16" i="5"/>
  <c r="N33" i="5"/>
  <c r="N16" i="9"/>
  <c r="M15" i="9"/>
  <c r="K32" i="9"/>
  <c r="AF15" i="3"/>
  <c r="AE31" i="3"/>
  <c r="H33" i="5"/>
  <c r="J16" i="5"/>
  <c r="Y16" i="5"/>
  <c r="AA16" i="5" s="1"/>
  <c r="H16" i="9"/>
  <c r="V15" i="5"/>
  <c r="X15" i="5" s="1"/>
  <c r="Q32" i="5"/>
  <c r="S15" i="5"/>
  <c r="F44" i="7"/>
  <c r="N17" i="5"/>
  <c r="AD32" i="3"/>
  <c r="E44" i="7"/>
  <c r="B17" i="5"/>
  <c r="AA32" i="3"/>
  <c r="D16" i="5"/>
  <c r="B33" i="5"/>
  <c r="B16" i="9"/>
  <c r="B34" i="5" l="1"/>
  <c r="D17" i="5"/>
  <c r="B17" i="9"/>
  <c r="F45" i="7"/>
  <c r="N18" i="5"/>
  <c r="AD33" i="3"/>
  <c r="E45" i="7"/>
  <c r="AA33" i="3"/>
  <c r="B18" i="5"/>
  <c r="G16" i="9"/>
  <c r="E33" i="9"/>
  <c r="H34" i="5"/>
  <c r="Y17" i="5"/>
  <c r="AA17" i="5" s="1"/>
  <c r="J17" i="5"/>
  <c r="H17" i="9"/>
  <c r="Q16" i="9"/>
  <c r="V16" i="9" s="1"/>
  <c r="P16" i="9"/>
  <c r="N33" i="9"/>
  <c r="V16" i="5"/>
  <c r="X16" i="5" s="1"/>
  <c r="Q33" i="5"/>
  <c r="S16" i="5"/>
  <c r="K34" i="5"/>
  <c r="M17" i="5"/>
  <c r="K17" i="9"/>
  <c r="C45" i="7"/>
  <c r="AC33" i="3"/>
  <c r="H18" i="5"/>
  <c r="G17" i="5"/>
  <c r="E34" i="5"/>
  <c r="E17" i="9"/>
  <c r="Q32" i="9"/>
  <c r="S15" i="9"/>
  <c r="D16" i="9"/>
  <c r="B33" i="9"/>
  <c r="B45" i="7"/>
  <c r="AB33" i="3"/>
  <c r="K18" i="5"/>
  <c r="W19" i="3"/>
  <c r="V35" i="3"/>
  <c r="H33" i="9"/>
  <c r="Y16" i="9"/>
  <c r="AA16" i="9" s="1"/>
  <c r="J16" i="9"/>
  <c r="P17" i="5"/>
  <c r="Q17" i="5"/>
  <c r="N34" i="5"/>
  <c r="N17" i="9"/>
  <c r="M16" i="9"/>
  <c r="K33" i="9"/>
  <c r="D45" i="7"/>
  <c r="AE17" i="3"/>
  <c r="Z33" i="3"/>
  <c r="E18" i="5"/>
  <c r="AF16" i="3"/>
  <c r="AE32" i="3"/>
  <c r="AA18" i="3"/>
  <c r="AC18" i="3"/>
  <c r="AB18" i="3"/>
  <c r="Z18" i="3"/>
  <c r="AD18" i="3"/>
  <c r="E46" i="7" l="1"/>
  <c r="B19" i="5"/>
  <c r="AA34" i="3"/>
  <c r="D46" i="7"/>
  <c r="Z34" i="3"/>
  <c r="E19" i="5"/>
  <c r="AE18" i="3"/>
  <c r="AF17" i="3"/>
  <c r="AE33" i="3"/>
  <c r="Z19" i="3"/>
  <c r="AB19" i="3"/>
  <c r="AA19" i="3"/>
  <c r="AC19" i="3"/>
  <c r="AD19" i="3"/>
  <c r="H35" i="5"/>
  <c r="J18" i="5"/>
  <c r="Y18" i="5"/>
  <c r="AA18" i="5" s="1"/>
  <c r="H18" i="9"/>
  <c r="B35" i="5"/>
  <c r="D18" i="5"/>
  <c r="B18" i="9"/>
  <c r="P18" i="5"/>
  <c r="N35" i="5"/>
  <c r="Q18" i="5"/>
  <c r="N18" i="9"/>
  <c r="F46" i="7"/>
  <c r="N19" i="5"/>
  <c r="AD34" i="3"/>
  <c r="S16" i="9"/>
  <c r="Q33" i="9"/>
  <c r="E34" i="9"/>
  <c r="G17" i="9"/>
  <c r="K34" i="9"/>
  <c r="M17" i="9"/>
  <c r="B46" i="7"/>
  <c r="K19" i="5"/>
  <c r="AB34" i="3"/>
  <c r="M18" i="5"/>
  <c r="K35" i="5"/>
  <c r="K18" i="9"/>
  <c r="C46" i="7"/>
  <c r="AC34" i="3"/>
  <c r="H19" i="5"/>
  <c r="G18" i="5"/>
  <c r="E35" i="5"/>
  <c r="E18" i="9"/>
  <c r="P17" i="9"/>
  <c r="N34" i="9"/>
  <c r="Q17" i="9"/>
  <c r="V17" i="9" s="1"/>
  <c r="V17" i="5"/>
  <c r="X17" i="5" s="1"/>
  <c r="Q34" i="5"/>
  <c r="S17" i="5"/>
  <c r="Y17" i="9"/>
  <c r="AA17" i="9" s="1"/>
  <c r="H34" i="9"/>
  <c r="J17" i="9"/>
  <c r="B34" i="9"/>
  <c r="D17" i="9"/>
  <c r="Y19" i="5" l="1"/>
  <c r="AA19" i="5" s="1"/>
  <c r="H36" i="5"/>
  <c r="J19" i="5"/>
  <c r="H19" i="9"/>
  <c r="M19" i="5"/>
  <c r="K36" i="5"/>
  <c r="K19" i="9"/>
  <c r="P19" i="5"/>
  <c r="Q19" i="5"/>
  <c r="N36" i="5"/>
  <c r="N19" i="9"/>
  <c r="B35" i="9"/>
  <c r="D18" i="9"/>
  <c r="Y18" i="9"/>
  <c r="AA18" i="9" s="1"/>
  <c r="H35" i="9"/>
  <c r="J18" i="9"/>
  <c r="F47" i="7"/>
  <c r="N20" i="5"/>
  <c r="AD20" i="3"/>
  <c r="AD35" i="3"/>
  <c r="Z20" i="3"/>
  <c r="Z35" i="3"/>
  <c r="AE19" i="3"/>
  <c r="E20" i="5"/>
  <c r="E21" i="5" s="1"/>
  <c r="D47" i="7"/>
  <c r="AC20" i="3"/>
  <c r="AC35" i="3"/>
  <c r="C47" i="7"/>
  <c r="H20" i="5"/>
  <c r="H21" i="5" s="1"/>
  <c r="AF18" i="3"/>
  <c r="AE34" i="3"/>
  <c r="Q18" i="9"/>
  <c r="V18" i="9" s="1"/>
  <c r="P18" i="9"/>
  <c r="N35" i="9"/>
  <c r="AA20" i="3"/>
  <c r="AA35" i="3"/>
  <c r="E47" i="7"/>
  <c r="B20" i="5"/>
  <c r="B21" i="5" s="1"/>
  <c r="E36" i="5"/>
  <c r="G19" i="5"/>
  <c r="E19" i="9"/>
  <c r="D19" i="5"/>
  <c r="B36" i="5"/>
  <c r="B19" i="9"/>
  <c r="Q34" i="9"/>
  <c r="S17" i="9"/>
  <c r="G18" i="9"/>
  <c r="E35" i="9"/>
  <c r="K35" i="9"/>
  <c r="M18" i="9"/>
  <c r="V18" i="5"/>
  <c r="X18" i="5" s="1"/>
  <c r="Q35" i="5"/>
  <c r="S18" i="5"/>
  <c r="AB35" i="3"/>
  <c r="B47" i="7"/>
  <c r="AB20" i="3"/>
  <c r="K20" i="5"/>
  <c r="K21" i="5" s="1"/>
  <c r="N21" i="5" l="1"/>
  <c r="K37" i="5"/>
  <c r="M20" i="5"/>
  <c r="K20" i="9"/>
  <c r="K21" i="9" s="1"/>
  <c r="B37" i="5"/>
  <c r="D20" i="5"/>
  <c r="B20" i="9"/>
  <c r="B21" i="9" s="1"/>
  <c r="E37" i="5"/>
  <c r="G20" i="5"/>
  <c r="E20" i="9"/>
  <c r="E21" i="9" s="1"/>
  <c r="Y19" i="9"/>
  <c r="AA19" i="9" s="1"/>
  <c r="H36" i="9"/>
  <c r="J19" i="9"/>
  <c r="AE20" i="3"/>
  <c r="AE35" i="3"/>
  <c r="AF19" i="3"/>
  <c r="P19" i="9"/>
  <c r="N36" i="9"/>
  <c r="Q19" i="9"/>
  <c r="V19" i="9" s="1"/>
  <c r="V19" i="5"/>
  <c r="X19" i="5" s="1"/>
  <c r="Q36" i="5"/>
  <c r="S19" i="5"/>
  <c r="D19" i="9"/>
  <c r="B36" i="9"/>
  <c r="Q35" i="9"/>
  <c r="S18" i="9"/>
  <c r="J20" i="5"/>
  <c r="Y20" i="5"/>
  <c r="AA20" i="5" s="1"/>
  <c r="H37" i="5"/>
  <c r="H20" i="9"/>
  <c r="H21" i="9" s="1"/>
  <c r="P20" i="5"/>
  <c r="N37" i="5"/>
  <c r="Q20" i="5"/>
  <c r="Q21" i="5" s="1"/>
  <c r="N20" i="9"/>
  <c r="N21" i="9" s="1"/>
  <c r="F36" i="9"/>
  <c r="E36" i="9"/>
  <c r="G19" i="9"/>
  <c r="M19" i="9"/>
  <c r="K36" i="9"/>
  <c r="G20" i="9" l="1"/>
  <c r="E37" i="9"/>
  <c r="P20" i="9"/>
  <c r="N37" i="9"/>
  <c r="Q20" i="9"/>
  <c r="Y20" i="9"/>
  <c r="AA20" i="9" s="1"/>
  <c r="H37" i="9"/>
  <c r="J20" i="9"/>
  <c r="S19" i="9"/>
  <c r="Q36" i="9"/>
  <c r="B37" i="9"/>
  <c r="D20" i="9"/>
  <c r="V20" i="5"/>
  <c r="X20" i="5" s="1"/>
  <c r="Q37" i="5"/>
  <c r="S20" i="5"/>
  <c r="K37" i="9"/>
  <c r="M20" i="9"/>
  <c r="Q21" i="9" l="1"/>
  <c r="V20" i="9"/>
  <c r="Q37" i="9"/>
  <c r="S20" i="9"/>
  <c r="N13" i="12" l="1"/>
  <c r="N18" i="12"/>
  <c r="N14" i="12"/>
  <c r="N12" i="12"/>
  <c r="N17" i="12"/>
  <c r="N19" i="12"/>
  <c r="N11" i="12"/>
  <c r="N10" i="12"/>
  <c r="N16" i="12"/>
  <c r="N15" i="12"/>
  <c r="N20" i="12" l="1"/>
  <c r="X32" i="13"/>
  <c r="E13" i="13"/>
  <c r="G13" i="13" s="1"/>
  <c r="N13" i="13"/>
  <c r="B13" i="13"/>
  <c r="D13" i="13" s="1"/>
  <c r="H13" i="13"/>
  <c r="J13" i="13" s="1"/>
  <c r="K13" i="13"/>
  <c r="M13" i="13" s="1"/>
  <c r="X29" i="12"/>
  <c r="K10" i="12"/>
  <c r="M10" i="12" s="1"/>
  <c r="B10" i="12"/>
  <c r="D10" i="12" s="1"/>
  <c r="H10" i="12"/>
  <c r="E10" i="12"/>
  <c r="G10" i="12" s="1"/>
  <c r="X34" i="12"/>
  <c r="B15" i="12"/>
  <c r="D15" i="12" s="1"/>
  <c r="E15" i="12"/>
  <c r="G15" i="12" s="1"/>
  <c r="H15" i="12"/>
  <c r="K15" i="12"/>
  <c r="M15" i="12" s="1"/>
  <c r="X38" i="12"/>
  <c r="B19" i="12"/>
  <c r="K19" i="12"/>
  <c r="E19" i="12"/>
  <c r="H19" i="12"/>
  <c r="E18" i="12"/>
  <c r="G18" i="12" s="1"/>
  <c r="H18" i="12"/>
  <c r="B18" i="12"/>
  <c r="D18" i="12" s="1"/>
  <c r="X37" i="12"/>
  <c r="K18" i="12"/>
  <c r="M18" i="12" s="1"/>
  <c r="X30" i="13"/>
  <c r="E11" i="13"/>
  <c r="G11" i="13" s="1"/>
  <c r="B11" i="13"/>
  <c r="D11" i="13" s="1"/>
  <c r="K11" i="13"/>
  <c r="M11" i="13" s="1"/>
  <c r="H11" i="13"/>
  <c r="J11" i="13" s="1"/>
  <c r="N11" i="13"/>
  <c r="K16" i="12"/>
  <c r="M16" i="12" s="1"/>
  <c r="E16" i="12"/>
  <c r="G16" i="12" s="1"/>
  <c r="H16" i="12"/>
  <c r="X35" i="12"/>
  <c r="B16" i="12"/>
  <c r="D16" i="12" s="1"/>
  <c r="B17" i="12"/>
  <c r="D17" i="12" s="1"/>
  <c r="E17" i="12"/>
  <c r="G17" i="12" s="1"/>
  <c r="X36" i="12"/>
  <c r="K17" i="12"/>
  <c r="M17" i="12" s="1"/>
  <c r="H17" i="12"/>
  <c r="X32" i="12"/>
  <c r="H13" i="12"/>
  <c r="B13" i="12"/>
  <c r="D13" i="12" s="1"/>
  <c r="E13" i="12"/>
  <c r="G13" i="12" s="1"/>
  <c r="K13" i="12"/>
  <c r="M13" i="12" s="1"/>
  <c r="E19" i="13"/>
  <c r="H19" i="13"/>
  <c r="N19" i="13"/>
  <c r="X38" i="13"/>
  <c r="K19" i="13"/>
  <c r="B19" i="13"/>
  <c r="H16" i="13"/>
  <c r="J16" i="13" s="1"/>
  <c r="B16" i="13"/>
  <c r="D16" i="13" s="1"/>
  <c r="N16" i="13"/>
  <c r="X35" i="13"/>
  <c r="K16" i="13"/>
  <c r="M16" i="13" s="1"/>
  <c r="E16" i="13"/>
  <c r="G16" i="13" s="1"/>
  <c r="X31" i="12"/>
  <c r="B12" i="12"/>
  <c r="D12" i="12" s="1"/>
  <c r="H12" i="12"/>
  <c r="K12" i="12"/>
  <c r="M12" i="12" s="1"/>
  <c r="E12" i="12"/>
  <c r="G12" i="12" s="1"/>
  <c r="H15" i="13"/>
  <c r="J15" i="13" s="1"/>
  <c r="N15" i="13"/>
  <c r="X34" i="13"/>
  <c r="B15" i="13"/>
  <c r="D15" i="13" s="1"/>
  <c r="E15" i="13"/>
  <c r="G15" i="13" s="1"/>
  <c r="K15" i="13"/>
  <c r="M15" i="13" s="1"/>
  <c r="X31" i="13"/>
  <c r="B12" i="13"/>
  <c r="D12" i="13" s="1"/>
  <c r="N12" i="13"/>
  <c r="H12" i="13"/>
  <c r="J12" i="13" s="1"/>
  <c r="K12" i="13"/>
  <c r="M12" i="13" s="1"/>
  <c r="E12" i="13"/>
  <c r="G12" i="13" s="1"/>
  <c r="X36" i="13"/>
  <c r="N17" i="13"/>
  <c r="E17" i="13"/>
  <c r="G17" i="13" s="1"/>
  <c r="B17" i="13"/>
  <c r="D17" i="13" s="1"/>
  <c r="K17" i="13"/>
  <c r="M17" i="13" s="1"/>
  <c r="H17" i="13"/>
  <c r="J17" i="13" s="1"/>
  <c r="K11" i="12"/>
  <c r="M11" i="12" s="1"/>
  <c r="H11" i="12"/>
  <c r="B11" i="12"/>
  <c r="D11" i="12" s="1"/>
  <c r="X30" i="12"/>
  <c r="E11" i="12"/>
  <c r="G11" i="12" s="1"/>
  <c r="E14" i="12"/>
  <c r="G14" i="12" s="1"/>
  <c r="B14" i="12"/>
  <c r="D14" i="12" s="1"/>
  <c r="H14" i="12"/>
  <c r="X33" i="12"/>
  <c r="K14" i="12"/>
  <c r="M14" i="12" s="1"/>
  <c r="X37" i="13"/>
  <c r="N18" i="13"/>
  <c r="E18" i="13"/>
  <c r="G18" i="13" s="1"/>
  <c r="K18" i="13"/>
  <c r="M18" i="13" s="1"/>
  <c r="B18" i="13"/>
  <c r="D18" i="13" s="1"/>
  <c r="H18" i="13"/>
  <c r="J18" i="13" s="1"/>
  <c r="H14" i="13"/>
  <c r="J14" i="13" s="1"/>
  <c r="N14" i="13"/>
  <c r="E14" i="13"/>
  <c r="G14" i="13" s="1"/>
  <c r="X33" i="13"/>
  <c r="K14" i="13"/>
  <c r="M14" i="13" s="1"/>
  <c r="B14" i="13"/>
  <c r="D14" i="13" s="1"/>
  <c r="H10" i="13"/>
  <c r="J10" i="13" s="1"/>
  <c r="N10" i="13"/>
  <c r="B10" i="13"/>
  <c r="D10" i="13" s="1"/>
  <c r="X29" i="13"/>
  <c r="K10" i="13"/>
  <c r="M10" i="13" s="1"/>
  <c r="E10" i="13"/>
  <c r="G10" i="13" s="1"/>
  <c r="X33" i="11"/>
  <c r="B14" i="11"/>
  <c r="D14" i="11" s="1"/>
  <c r="H14" i="11"/>
  <c r="J14" i="11" s="1"/>
  <c r="K14" i="11"/>
  <c r="M14" i="11" s="1"/>
  <c r="N14" i="11"/>
  <c r="E14" i="11"/>
  <c r="G14" i="11" s="1"/>
  <c r="X32" i="11"/>
  <c r="B13" i="11"/>
  <c r="D13" i="11" s="1"/>
  <c r="H13" i="11"/>
  <c r="J13" i="11" s="1"/>
  <c r="N13" i="11"/>
  <c r="E13" i="11"/>
  <c r="G13" i="11" s="1"/>
  <c r="K13" i="11"/>
  <c r="M13" i="11" s="1"/>
  <c r="E11" i="11"/>
  <c r="G11" i="11" s="1"/>
  <c r="B11" i="11"/>
  <c r="D11" i="11" s="1"/>
  <c r="N11" i="11"/>
  <c r="H11" i="11"/>
  <c r="J11" i="11" s="1"/>
  <c r="X30" i="11"/>
  <c r="K11" i="11"/>
  <c r="M11" i="11" s="1"/>
  <c r="B18" i="11"/>
  <c r="D18" i="11" s="1"/>
  <c r="N18" i="11"/>
  <c r="E18" i="11"/>
  <c r="G18" i="11" s="1"/>
  <c r="H18" i="11"/>
  <c r="J18" i="11" s="1"/>
  <c r="X37" i="11"/>
  <c r="K18" i="11"/>
  <c r="M18" i="11" s="1"/>
  <c r="X36" i="11"/>
  <c r="E17" i="11"/>
  <c r="G17" i="11" s="1"/>
  <c r="N17" i="11"/>
  <c r="K17" i="11"/>
  <c r="M17" i="11" s="1"/>
  <c r="H17" i="11"/>
  <c r="J17" i="11" s="1"/>
  <c r="B17" i="11"/>
  <c r="D17" i="11" s="1"/>
  <c r="X29" i="11"/>
  <c r="E10" i="11"/>
  <c r="G10" i="11" s="1"/>
  <c r="K10" i="11"/>
  <c r="M10" i="11" s="1"/>
  <c r="B10" i="11"/>
  <c r="D10" i="11" s="1"/>
  <c r="N10" i="11"/>
  <c r="H10" i="11"/>
  <c r="J10" i="11" s="1"/>
  <c r="X34" i="11"/>
  <c r="B15" i="11"/>
  <c r="D15" i="11" s="1"/>
  <c r="E15" i="11"/>
  <c r="G15" i="11" s="1"/>
  <c r="N15" i="11"/>
  <c r="K15" i="11"/>
  <c r="M15" i="11" s="1"/>
  <c r="H15" i="11"/>
  <c r="J15" i="11" s="1"/>
  <c r="E12" i="11"/>
  <c r="G12" i="11" s="1"/>
  <c r="K12" i="11"/>
  <c r="M12" i="11" s="1"/>
  <c r="B12" i="11"/>
  <c r="D12" i="11" s="1"/>
  <c r="N12" i="11"/>
  <c r="X31" i="11"/>
  <c r="H12" i="11"/>
  <c r="J12" i="11" s="1"/>
  <c r="N16" i="11"/>
  <c r="B16" i="11"/>
  <c r="D16" i="11" s="1"/>
  <c r="H16" i="11"/>
  <c r="J16" i="11" s="1"/>
  <c r="E16" i="11"/>
  <c r="G16" i="11" s="1"/>
  <c r="X35" i="11"/>
  <c r="K16" i="11"/>
  <c r="M16" i="11" s="1"/>
  <c r="B19" i="11"/>
  <c r="K19" i="11"/>
  <c r="H19" i="11"/>
  <c r="E19" i="11"/>
  <c r="X38" i="11"/>
  <c r="N19" i="11"/>
  <c r="X38" i="10"/>
  <c r="B19" i="10"/>
  <c r="E19" i="10"/>
  <c r="K19" i="10"/>
  <c r="H19" i="10"/>
  <c r="N19" i="10"/>
  <c r="X29" i="10"/>
  <c r="E10" i="10"/>
  <c r="G10" i="10" s="1"/>
  <c r="B10" i="10"/>
  <c r="D10" i="10" s="1"/>
  <c r="H10" i="10"/>
  <c r="J10" i="10" s="1"/>
  <c r="N10" i="10"/>
  <c r="K10" i="10"/>
  <c r="M10" i="10" s="1"/>
  <c r="H18" i="10"/>
  <c r="J18" i="10" s="1"/>
  <c r="E18" i="10"/>
  <c r="G18" i="10" s="1"/>
  <c r="B18" i="10"/>
  <c r="D18" i="10" s="1"/>
  <c r="X37" i="10"/>
  <c r="K18" i="10"/>
  <c r="M18" i="10" s="1"/>
  <c r="N18" i="10"/>
  <c r="K16" i="10"/>
  <c r="M16" i="10" s="1"/>
  <c r="N16" i="10"/>
  <c r="B16" i="10"/>
  <c r="D16" i="10" s="1"/>
  <c r="X35" i="10"/>
  <c r="H16" i="10"/>
  <c r="J16" i="10" s="1"/>
  <c r="E16" i="10"/>
  <c r="G16" i="10" s="1"/>
  <c r="E15" i="10"/>
  <c r="G15" i="10" s="1"/>
  <c r="K15" i="10"/>
  <c r="M15" i="10" s="1"/>
  <c r="X34" i="10"/>
  <c r="H15" i="10"/>
  <c r="J15" i="10" s="1"/>
  <c r="B15" i="10"/>
  <c r="D15" i="10" s="1"/>
  <c r="N15" i="10"/>
  <c r="X31" i="10"/>
  <c r="B12" i="10"/>
  <c r="D12" i="10" s="1"/>
  <c r="K12" i="10"/>
  <c r="M12" i="10" s="1"/>
  <c r="E12" i="10"/>
  <c r="G12" i="10" s="1"/>
  <c r="N12" i="10"/>
  <c r="H12" i="10"/>
  <c r="J12" i="10" s="1"/>
  <c r="X33" i="10"/>
  <c r="B14" i="10"/>
  <c r="D14" i="10" s="1"/>
  <c r="E14" i="10"/>
  <c r="G14" i="10" s="1"/>
  <c r="N14" i="10"/>
  <c r="H14" i="10"/>
  <c r="J14" i="10" s="1"/>
  <c r="K14" i="10"/>
  <c r="M14" i="10" s="1"/>
  <c r="X32" i="10"/>
  <c r="K13" i="10"/>
  <c r="M13" i="10" s="1"/>
  <c r="N13" i="10"/>
  <c r="B13" i="10"/>
  <c r="D13" i="10" s="1"/>
  <c r="H13" i="10"/>
  <c r="J13" i="10" s="1"/>
  <c r="E13" i="10"/>
  <c r="G13" i="10" s="1"/>
  <c r="B17" i="10"/>
  <c r="D17" i="10" s="1"/>
  <c r="N17" i="10"/>
  <c r="K17" i="10"/>
  <c r="M17" i="10" s="1"/>
  <c r="X36" i="10"/>
  <c r="H17" i="10"/>
  <c r="J17" i="10" s="1"/>
  <c r="E17" i="10"/>
  <c r="G17" i="10" s="1"/>
  <c r="H11" i="10"/>
  <c r="J11" i="10" s="1"/>
  <c r="N11" i="10"/>
  <c r="E11" i="10"/>
  <c r="G11" i="10" s="1"/>
  <c r="X30" i="10"/>
  <c r="B11" i="10"/>
  <c r="D11" i="10" s="1"/>
  <c r="K11" i="10"/>
  <c r="M11" i="10" s="1"/>
  <c r="K20" i="12" l="1"/>
  <c r="H20" i="12"/>
  <c r="H20" i="13"/>
  <c r="K20" i="13"/>
  <c r="E20" i="13"/>
  <c r="E20" i="12"/>
  <c r="N20" i="13"/>
  <c r="B20" i="12"/>
  <c r="B20" i="13"/>
  <c r="Q10" i="13"/>
  <c r="P10" i="13"/>
  <c r="P18" i="13"/>
  <c r="Q18" i="13"/>
  <c r="AC11" i="12"/>
  <c r="J11" i="12"/>
  <c r="H35" i="13"/>
  <c r="J35" i="13" s="1"/>
  <c r="N35" i="13"/>
  <c r="K35" i="13"/>
  <c r="M35" i="13" s="1"/>
  <c r="B35" i="13"/>
  <c r="D35" i="13" s="1"/>
  <c r="E35" i="13"/>
  <c r="G35" i="13" s="1"/>
  <c r="J19" i="13"/>
  <c r="P11" i="13"/>
  <c r="Q11" i="13"/>
  <c r="E37" i="12"/>
  <c r="G37" i="12" s="1"/>
  <c r="B37" i="12"/>
  <c r="D37" i="12" s="1"/>
  <c r="K37" i="12"/>
  <c r="M37" i="12" s="1"/>
  <c r="H37" i="12"/>
  <c r="N37" i="12"/>
  <c r="D19" i="12"/>
  <c r="K37" i="13"/>
  <c r="M37" i="13" s="1"/>
  <c r="E37" i="13"/>
  <c r="G37" i="13" s="1"/>
  <c r="H37" i="13"/>
  <c r="J37" i="13" s="1"/>
  <c r="B37" i="13"/>
  <c r="D37" i="13" s="1"/>
  <c r="N37" i="13"/>
  <c r="J14" i="12"/>
  <c r="AC14" i="12"/>
  <c r="B31" i="13"/>
  <c r="D31" i="13" s="1"/>
  <c r="H31" i="13"/>
  <c r="J31" i="13" s="1"/>
  <c r="K31" i="13"/>
  <c r="M31" i="13" s="1"/>
  <c r="E31" i="13"/>
  <c r="G31" i="13" s="1"/>
  <c r="N31" i="13"/>
  <c r="N34" i="13"/>
  <c r="E34" i="13"/>
  <c r="G34" i="13" s="1"/>
  <c r="H34" i="13"/>
  <c r="J34" i="13" s="1"/>
  <c r="B34" i="13"/>
  <c r="D34" i="13" s="1"/>
  <c r="K34" i="13"/>
  <c r="M34" i="13" s="1"/>
  <c r="N31" i="12"/>
  <c r="K31" i="12"/>
  <c r="M31" i="12" s="1"/>
  <c r="H31" i="12"/>
  <c r="B31" i="12"/>
  <c r="D31" i="12" s="1"/>
  <c r="E31" i="12"/>
  <c r="G31" i="12" s="1"/>
  <c r="Q16" i="13"/>
  <c r="P16" i="13"/>
  <c r="M19" i="13"/>
  <c r="G19" i="13"/>
  <c r="Q17" i="12"/>
  <c r="P17" i="12"/>
  <c r="J16" i="12"/>
  <c r="AC16" i="12"/>
  <c r="K30" i="13"/>
  <c r="M30" i="13" s="1"/>
  <c r="N30" i="13"/>
  <c r="E30" i="13"/>
  <c r="G30" i="13" s="1"/>
  <c r="B30" i="13"/>
  <c r="D30" i="13" s="1"/>
  <c r="H30" i="13"/>
  <c r="J30" i="13" s="1"/>
  <c r="G19" i="12"/>
  <c r="B38" i="12"/>
  <c r="D38" i="12" s="1"/>
  <c r="K38" i="12"/>
  <c r="M38" i="12" s="1"/>
  <c r="N38" i="12"/>
  <c r="E38" i="12"/>
  <c r="G38" i="12" s="1"/>
  <c r="H38" i="12"/>
  <c r="AC10" i="12"/>
  <c r="J10" i="12"/>
  <c r="K29" i="12"/>
  <c r="M29" i="12" s="1"/>
  <c r="H29" i="12"/>
  <c r="E29" i="12"/>
  <c r="G29" i="12" s="1"/>
  <c r="B29" i="12"/>
  <c r="D29" i="12" s="1"/>
  <c r="N29" i="12"/>
  <c r="Q13" i="13"/>
  <c r="P13" i="13"/>
  <c r="N33" i="13"/>
  <c r="E33" i="13"/>
  <c r="G33" i="13" s="1"/>
  <c r="B33" i="13"/>
  <c r="D33" i="13" s="1"/>
  <c r="H33" i="13"/>
  <c r="J33" i="13" s="1"/>
  <c r="K33" i="13"/>
  <c r="M33" i="13" s="1"/>
  <c r="Q11" i="12"/>
  <c r="P11" i="12"/>
  <c r="Q12" i="12"/>
  <c r="P12" i="12"/>
  <c r="D19" i="13"/>
  <c r="J17" i="12"/>
  <c r="AC17" i="12"/>
  <c r="B35" i="12"/>
  <c r="D35" i="12" s="1"/>
  <c r="K35" i="12"/>
  <c r="M35" i="12" s="1"/>
  <c r="E35" i="12"/>
  <c r="G35" i="12" s="1"/>
  <c r="N35" i="12"/>
  <c r="H35" i="12"/>
  <c r="AC19" i="12"/>
  <c r="J19" i="12"/>
  <c r="P10" i="12"/>
  <c r="Q10" i="12"/>
  <c r="K29" i="13"/>
  <c r="M29" i="13" s="1"/>
  <c r="H29" i="13"/>
  <c r="J29" i="13" s="1"/>
  <c r="N29" i="13"/>
  <c r="E29" i="13"/>
  <c r="G29" i="13" s="1"/>
  <c r="B29" i="13"/>
  <c r="D29" i="13" s="1"/>
  <c r="P14" i="13"/>
  <c r="Q14" i="13"/>
  <c r="P14" i="12"/>
  <c r="Q14" i="12"/>
  <c r="N30" i="12"/>
  <c r="H30" i="12"/>
  <c r="B30" i="12"/>
  <c r="D30" i="12" s="1"/>
  <c r="K30" i="12"/>
  <c r="M30" i="12" s="1"/>
  <c r="E30" i="12"/>
  <c r="G30" i="12" s="1"/>
  <c r="Q17" i="13"/>
  <c r="P17" i="13"/>
  <c r="Q15" i="13"/>
  <c r="P15" i="13"/>
  <c r="J12" i="12"/>
  <c r="AC12" i="12"/>
  <c r="B38" i="13"/>
  <c r="D38" i="13" s="1"/>
  <c r="H38" i="13"/>
  <c r="J38" i="13" s="1"/>
  <c r="K38" i="13"/>
  <c r="M38" i="13" s="1"/>
  <c r="E38" i="13"/>
  <c r="G38" i="13" s="1"/>
  <c r="N38" i="13"/>
  <c r="P13" i="12"/>
  <c r="Q13" i="12"/>
  <c r="J13" i="12"/>
  <c r="AC13" i="12"/>
  <c r="K36" i="12"/>
  <c r="M36" i="12" s="1"/>
  <c r="B36" i="12"/>
  <c r="D36" i="12" s="1"/>
  <c r="E36" i="12"/>
  <c r="G36" i="12" s="1"/>
  <c r="H36" i="12"/>
  <c r="N36" i="12"/>
  <c r="AC18" i="12"/>
  <c r="J18" i="12"/>
  <c r="P19" i="12"/>
  <c r="Q19" i="12"/>
  <c r="P15" i="12"/>
  <c r="Q15" i="12"/>
  <c r="H33" i="12"/>
  <c r="B33" i="12"/>
  <c r="D33" i="12" s="1"/>
  <c r="N33" i="12"/>
  <c r="E33" i="12"/>
  <c r="G33" i="12" s="1"/>
  <c r="K33" i="12"/>
  <c r="M33" i="12" s="1"/>
  <c r="K36" i="13"/>
  <c r="M36" i="13" s="1"/>
  <c r="E36" i="13"/>
  <c r="G36" i="13" s="1"/>
  <c r="B36" i="13"/>
  <c r="D36" i="13" s="1"/>
  <c r="N36" i="13"/>
  <c r="H36" i="13"/>
  <c r="J36" i="13" s="1"/>
  <c r="P12" i="13"/>
  <c r="Q12" i="13"/>
  <c r="P19" i="13"/>
  <c r="Q19" i="13"/>
  <c r="Q20" i="13" s="1"/>
  <c r="N32" i="12"/>
  <c r="B32" i="12"/>
  <c r="D32" i="12" s="1"/>
  <c r="E32" i="12"/>
  <c r="G32" i="12" s="1"/>
  <c r="K32" i="12"/>
  <c r="M32" i="12" s="1"/>
  <c r="H32" i="12"/>
  <c r="Q16" i="12"/>
  <c r="P16" i="12"/>
  <c r="Q18" i="12"/>
  <c r="P18" i="12"/>
  <c r="M19" i="12"/>
  <c r="AC15" i="12"/>
  <c r="J15" i="12"/>
  <c r="N34" i="12"/>
  <c r="B34" i="12"/>
  <c r="D34" i="12" s="1"/>
  <c r="K34" i="12"/>
  <c r="M34" i="12" s="1"/>
  <c r="E34" i="12"/>
  <c r="G34" i="12" s="1"/>
  <c r="H34" i="12"/>
  <c r="B32" i="13"/>
  <c r="D32" i="13" s="1"/>
  <c r="N32" i="13"/>
  <c r="H32" i="13"/>
  <c r="J32" i="13" s="1"/>
  <c r="K32" i="13"/>
  <c r="M32" i="13" s="1"/>
  <c r="E32" i="13"/>
  <c r="G32" i="13" s="1"/>
  <c r="K20" i="11"/>
  <c r="M19" i="11"/>
  <c r="P15" i="11"/>
  <c r="Q15" i="11"/>
  <c r="E38" i="11"/>
  <c r="G38" i="11" s="1"/>
  <c r="K38" i="11"/>
  <c r="M38" i="11" s="1"/>
  <c r="N38" i="11"/>
  <c r="H38" i="11"/>
  <c r="J38" i="11" s="1"/>
  <c r="B38" i="11"/>
  <c r="D38" i="11" s="1"/>
  <c r="H31" i="11"/>
  <c r="J31" i="11" s="1"/>
  <c r="N31" i="11"/>
  <c r="E31" i="11"/>
  <c r="G31" i="11" s="1"/>
  <c r="B31" i="11"/>
  <c r="D31" i="11" s="1"/>
  <c r="K31" i="11"/>
  <c r="M31" i="11" s="1"/>
  <c r="K29" i="11"/>
  <c r="M29" i="11" s="1"/>
  <c r="E29" i="11"/>
  <c r="G29" i="11" s="1"/>
  <c r="H29" i="11"/>
  <c r="J29" i="11" s="1"/>
  <c r="N29" i="11"/>
  <c r="B29" i="11"/>
  <c r="D29" i="11" s="1"/>
  <c r="E37" i="11"/>
  <c r="G37" i="11" s="1"/>
  <c r="B37" i="11"/>
  <c r="D37" i="11" s="1"/>
  <c r="H37" i="11"/>
  <c r="J37" i="11" s="1"/>
  <c r="K37" i="11"/>
  <c r="M37" i="11" s="1"/>
  <c r="N37" i="11"/>
  <c r="Q11" i="11"/>
  <c r="P11" i="11"/>
  <c r="E20" i="11"/>
  <c r="G19" i="11"/>
  <c r="Q12" i="11"/>
  <c r="P12" i="11"/>
  <c r="P13" i="11"/>
  <c r="Q13" i="11"/>
  <c r="N20" i="11"/>
  <c r="Q19" i="11"/>
  <c r="P19" i="11"/>
  <c r="Q18" i="11"/>
  <c r="P18" i="11"/>
  <c r="B20" i="11"/>
  <c r="D19" i="11"/>
  <c r="Q10" i="11"/>
  <c r="P10" i="11"/>
  <c r="Q17" i="11"/>
  <c r="P17" i="11"/>
  <c r="N32" i="11"/>
  <c r="B32" i="11"/>
  <c r="D32" i="11" s="1"/>
  <c r="H32" i="11"/>
  <c r="J32" i="11" s="1"/>
  <c r="E32" i="11"/>
  <c r="G32" i="11" s="1"/>
  <c r="K32" i="11"/>
  <c r="M32" i="11" s="1"/>
  <c r="H20" i="11"/>
  <c r="J19" i="11"/>
  <c r="H35" i="11"/>
  <c r="J35" i="11" s="1"/>
  <c r="K35" i="11"/>
  <c r="M35" i="11" s="1"/>
  <c r="E35" i="11"/>
  <c r="G35" i="11" s="1"/>
  <c r="N35" i="11"/>
  <c r="B35" i="11"/>
  <c r="D35" i="11" s="1"/>
  <c r="Q16" i="11"/>
  <c r="P16" i="11"/>
  <c r="N34" i="11"/>
  <c r="K34" i="11"/>
  <c r="M34" i="11" s="1"/>
  <c r="E34" i="11"/>
  <c r="G34" i="11" s="1"/>
  <c r="H34" i="11"/>
  <c r="J34" i="11" s="1"/>
  <c r="B34" i="11"/>
  <c r="D34" i="11" s="1"/>
  <c r="E36" i="11"/>
  <c r="G36" i="11" s="1"/>
  <c r="B36" i="11"/>
  <c r="D36" i="11" s="1"/>
  <c r="N36" i="11"/>
  <c r="K36" i="11"/>
  <c r="M36" i="11" s="1"/>
  <c r="H36" i="11"/>
  <c r="J36" i="11" s="1"/>
  <c r="H30" i="11"/>
  <c r="J30" i="11" s="1"/>
  <c r="K30" i="11"/>
  <c r="M30" i="11" s="1"/>
  <c r="E30" i="11"/>
  <c r="G30" i="11" s="1"/>
  <c r="N30" i="11"/>
  <c r="B30" i="11"/>
  <c r="D30" i="11" s="1"/>
  <c r="Q14" i="11"/>
  <c r="P14" i="11"/>
  <c r="N33" i="11"/>
  <c r="B33" i="11"/>
  <c r="D33" i="11" s="1"/>
  <c r="K33" i="11"/>
  <c r="M33" i="11" s="1"/>
  <c r="E33" i="11"/>
  <c r="G33" i="11" s="1"/>
  <c r="H33" i="11"/>
  <c r="J33" i="11" s="1"/>
  <c r="Q11" i="10"/>
  <c r="P11" i="10"/>
  <c r="P12" i="10"/>
  <c r="Q12" i="10"/>
  <c r="B31" i="10"/>
  <c r="D31" i="10" s="1"/>
  <c r="N31" i="10"/>
  <c r="E31" i="10"/>
  <c r="G31" i="10" s="1"/>
  <c r="H31" i="10"/>
  <c r="J31" i="10" s="1"/>
  <c r="K31" i="10"/>
  <c r="M31" i="10" s="1"/>
  <c r="E34" i="10"/>
  <c r="G34" i="10" s="1"/>
  <c r="B34" i="10"/>
  <c r="D34" i="10" s="1"/>
  <c r="K34" i="10"/>
  <c r="M34" i="10" s="1"/>
  <c r="H34" i="10"/>
  <c r="J34" i="10" s="1"/>
  <c r="N34" i="10"/>
  <c r="P10" i="10"/>
  <c r="Q10" i="10"/>
  <c r="H29" i="10"/>
  <c r="J29" i="10" s="1"/>
  <c r="N29" i="10"/>
  <c r="K29" i="10"/>
  <c r="M29" i="10" s="1"/>
  <c r="E29" i="10"/>
  <c r="G29" i="10" s="1"/>
  <c r="B29" i="10"/>
  <c r="D29" i="10" s="1"/>
  <c r="E20" i="10"/>
  <c r="G19" i="10"/>
  <c r="B36" i="10"/>
  <c r="D36" i="10" s="1"/>
  <c r="E36" i="10"/>
  <c r="G36" i="10" s="1"/>
  <c r="N36" i="10"/>
  <c r="H36" i="10"/>
  <c r="J36" i="10" s="1"/>
  <c r="K36" i="10"/>
  <c r="M36" i="10" s="1"/>
  <c r="Q16" i="10"/>
  <c r="P16" i="10"/>
  <c r="K37" i="10"/>
  <c r="M37" i="10" s="1"/>
  <c r="B37" i="10"/>
  <c r="D37" i="10" s="1"/>
  <c r="E37" i="10"/>
  <c r="G37" i="10" s="1"/>
  <c r="H37" i="10"/>
  <c r="J37" i="10" s="1"/>
  <c r="N37" i="10"/>
  <c r="K20" i="10"/>
  <c r="M19" i="10"/>
  <c r="H32" i="10"/>
  <c r="J32" i="10" s="1"/>
  <c r="N32" i="10"/>
  <c r="E32" i="10"/>
  <c r="G32" i="10" s="1"/>
  <c r="B32" i="10"/>
  <c r="D32" i="10" s="1"/>
  <c r="K32" i="10"/>
  <c r="M32" i="10" s="1"/>
  <c r="K30" i="10"/>
  <c r="M30" i="10" s="1"/>
  <c r="N30" i="10"/>
  <c r="E30" i="10"/>
  <c r="G30" i="10" s="1"/>
  <c r="H30" i="10"/>
  <c r="J30" i="10" s="1"/>
  <c r="B30" i="10"/>
  <c r="D30" i="10" s="1"/>
  <c r="Q17" i="10"/>
  <c r="P17" i="10"/>
  <c r="Q15" i="10"/>
  <c r="P15" i="10"/>
  <c r="N35" i="10"/>
  <c r="K35" i="10"/>
  <c r="M35" i="10" s="1"/>
  <c r="B35" i="10"/>
  <c r="D35" i="10" s="1"/>
  <c r="E35" i="10"/>
  <c r="G35" i="10" s="1"/>
  <c r="H35" i="10"/>
  <c r="J35" i="10" s="1"/>
  <c r="Q18" i="10"/>
  <c r="P18" i="10"/>
  <c r="N20" i="10"/>
  <c r="P19" i="10"/>
  <c r="Q19" i="10"/>
  <c r="B20" i="10"/>
  <c r="D19" i="10"/>
  <c r="P14" i="10"/>
  <c r="Q14" i="10"/>
  <c r="Q13" i="10"/>
  <c r="P13" i="10"/>
  <c r="E33" i="10"/>
  <c r="G33" i="10" s="1"/>
  <c r="H33" i="10"/>
  <c r="J33" i="10" s="1"/>
  <c r="N33" i="10"/>
  <c r="B33" i="10"/>
  <c r="D33" i="10" s="1"/>
  <c r="K33" i="10"/>
  <c r="M33" i="10" s="1"/>
  <c r="H20" i="10"/>
  <c r="J19" i="10"/>
  <c r="B38" i="10"/>
  <c r="D38" i="10" s="1"/>
  <c r="K38" i="10"/>
  <c r="M38" i="10" s="1"/>
  <c r="H38" i="10"/>
  <c r="J38" i="10" s="1"/>
  <c r="E38" i="10"/>
  <c r="G38" i="10" s="1"/>
  <c r="N38" i="10"/>
  <c r="Q20" i="12" l="1"/>
  <c r="P34" i="12"/>
  <c r="Q34" i="12"/>
  <c r="J33" i="12"/>
  <c r="AC33" i="12"/>
  <c r="P35" i="12"/>
  <c r="Q35" i="12"/>
  <c r="Q31" i="12"/>
  <c r="P31" i="12"/>
  <c r="P37" i="12"/>
  <c r="Q37" i="12"/>
  <c r="J32" i="12"/>
  <c r="AC32" i="12"/>
  <c r="Q32" i="12"/>
  <c r="P32" i="12"/>
  <c r="V12" i="13"/>
  <c r="AA12" i="13" s="1"/>
  <c r="S12" i="13"/>
  <c r="V15" i="12"/>
  <c r="AA15" i="12" s="1"/>
  <c r="S15" i="12"/>
  <c r="AC36" i="12"/>
  <c r="J36" i="12"/>
  <c r="AE13" i="12"/>
  <c r="P38" i="13"/>
  <c r="Q38" i="13"/>
  <c r="V15" i="13"/>
  <c r="AA15" i="13" s="1"/>
  <c r="S15" i="13"/>
  <c r="V14" i="12"/>
  <c r="AA14" i="12" s="1"/>
  <c r="S14" i="12"/>
  <c r="AE19" i="12"/>
  <c r="S12" i="12"/>
  <c r="V12" i="12"/>
  <c r="AA12" i="12" s="1"/>
  <c r="AE10" i="12"/>
  <c r="V17" i="12"/>
  <c r="AA17" i="12" s="1"/>
  <c r="S17" i="12"/>
  <c r="Q34" i="13"/>
  <c r="P34" i="13"/>
  <c r="Q37" i="13"/>
  <c r="P37" i="13"/>
  <c r="AC37" i="12"/>
  <c r="J37" i="12"/>
  <c r="S11" i="13"/>
  <c r="V11" i="13"/>
  <c r="AA11" i="13" s="1"/>
  <c r="P36" i="13"/>
  <c r="Q36" i="13"/>
  <c r="P36" i="12"/>
  <c r="Q36" i="12"/>
  <c r="P30" i="12"/>
  <c r="Q30" i="12"/>
  <c r="AE17" i="12"/>
  <c r="P33" i="13"/>
  <c r="Q33" i="13"/>
  <c r="Q38" i="12"/>
  <c r="P38" i="12"/>
  <c r="V18" i="13"/>
  <c r="AA18" i="13" s="1"/>
  <c r="S18" i="13"/>
  <c r="Q32" i="13"/>
  <c r="P32" i="13"/>
  <c r="AE15" i="12"/>
  <c r="V18" i="12"/>
  <c r="AA18" i="12" s="1"/>
  <c r="S18" i="12"/>
  <c r="S19" i="13"/>
  <c r="V19" i="13"/>
  <c r="AA19" i="13" s="1"/>
  <c r="P33" i="12"/>
  <c r="Q33" i="12"/>
  <c r="AE12" i="12"/>
  <c r="S10" i="12"/>
  <c r="V10" i="12"/>
  <c r="AA10" i="12" s="1"/>
  <c r="S13" i="13"/>
  <c r="V13" i="13"/>
  <c r="AA13" i="13" s="1"/>
  <c r="AC29" i="12"/>
  <c r="J29" i="12"/>
  <c r="AC38" i="12"/>
  <c r="J38" i="12"/>
  <c r="AE16" i="12"/>
  <c r="AC31" i="12"/>
  <c r="J31" i="12"/>
  <c r="Q31" i="13"/>
  <c r="P31" i="13"/>
  <c r="AC34" i="12"/>
  <c r="J34" i="12"/>
  <c r="S16" i="12"/>
  <c r="V16" i="12"/>
  <c r="AA16" i="12" s="1"/>
  <c r="Q30" i="13"/>
  <c r="P30" i="13"/>
  <c r="Q35" i="13"/>
  <c r="P35" i="13"/>
  <c r="V19" i="12"/>
  <c r="AA19" i="12" s="1"/>
  <c r="S19" i="12"/>
  <c r="AE18" i="12"/>
  <c r="S13" i="12"/>
  <c r="V13" i="12"/>
  <c r="AA13" i="12" s="1"/>
  <c r="V17" i="13"/>
  <c r="AA17" i="13" s="1"/>
  <c r="S17" i="13"/>
  <c r="AC30" i="12"/>
  <c r="J30" i="12"/>
  <c r="S14" i="13"/>
  <c r="V14" i="13"/>
  <c r="AA14" i="13" s="1"/>
  <c r="P29" i="13"/>
  <c r="Q29" i="13"/>
  <c r="J35" i="12"/>
  <c r="AC35" i="12"/>
  <c r="V11" i="12"/>
  <c r="AA11" i="12" s="1"/>
  <c r="S11" i="12"/>
  <c r="P29" i="12"/>
  <c r="Q29" i="12"/>
  <c r="V16" i="13"/>
  <c r="AA16" i="13" s="1"/>
  <c r="S16" i="13"/>
  <c r="AE14" i="12"/>
  <c r="AE11" i="12"/>
  <c r="V10" i="13"/>
  <c r="AA10" i="13" s="1"/>
  <c r="S10" i="13"/>
  <c r="P32" i="11"/>
  <c r="Q32" i="11"/>
  <c r="S18" i="11"/>
  <c r="V18" i="11"/>
  <c r="AA18" i="11" s="1"/>
  <c r="P37" i="11"/>
  <c r="Q37" i="11"/>
  <c r="Q33" i="11"/>
  <c r="P33" i="11"/>
  <c r="Q31" i="11"/>
  <c r="P31" i="11"/>
  <c r="P38" i="11"/>
  <c r="Q38" i="11"/>
  <c r="Q34" i="11"/>
  <c r="P34" i="11"/>
  <c r="Q35" i="11"/>
  <c r="P35" i="11"/>
  <c r="S17" i="11"/>
  <c r="V17" i="11"/>
  <c r="AA17" i="11" s="1"/>
  <c r="Q20" i="11"/>
  <c r="S19" i="11"/>
  <c r="V19" i="11"/>
  <c r="AA19" i="11" s="1"/>
  <c r="P29" i="11"/>
  <c r="Q29" i="11"/>
  <c r="V16" i="11"/>
  <c r="AA16" i="11" s="1"/>
  <c r="S16" i="11"/>
  <c r="S10" i="11"/>
  <c r="V10" i="11"/>
  <c r="AA10" i="11" s="1"/>
  <c r="V13" i="11"/>
  <c r="AA13" i="11" s="1"/>
  <c r="S13" i="11"/>
  <c r="V15" i="11"/>
  <c r="AA15" i="11" s="1"/>
  <c r="S15" i="11"/>
  <c r="Q30" i="11"/>
  <c r="P30" i="11"/>
  <c r="V14" i="11"/>
  <c r="AA14" i="11" s="1"/>
  <c r="S14" i="11"/>
  <c r="Q36" i="11"/>
  <c r="P36" i="11"/>
  <c r="S12" i="11"/>
  <c r="V12" i="11"/>
  <c r="AA12" i="11" s="1"/>
  <c r="V11" i="11"/>
  <c r="AA11" i="11" s="1"/>
  <c r="S11" i="11"/>
  <c r="V17" i="10"/>
  <c r="AA17" i="10" s="1"/>
  <c r="S17" i="10"/>
  <c r="S10" i="10"/>
  <c r="V10" i="10"/>
  <c r="AA10" i="10" s="1"/>
  <c r="Q32" i="10"/>
  <c r="P32" i="10"/>
  <c r="P37" i="10"/>
  <c r="Q37" i="10"/>
  <c r="S12" i="10"/>
  <c r="V12" i="10"/>
  <c r="AA12" i="10" s="1"/>
  <c r="V13" i="10"/>
  <c r="AA13" i="10" s="1"/>
  <c r="S13" i="10"/>
  <c r="V15" i="10"/>
  <c r="AA15" i="10" s="1"/>
  <c r="S15" i="10"/>
  <c r="P36" i="10"/>
  <c r="Q36" i="10"/>
  <c r="P29" i="10"/>
  <c r="Q29" i="10"/>
  <c r="Q34" i="10"/>
  <c r="P34" i="10"/>
  <c r="P31" i="10"/>
  <c r="Q31" i="10"/>
  <c r="P35" i="10"/>
  <c r="Q35" i="10"/>
  <c r="Q30" i="10"/>
  <c r="P30" i="10"/>
  <c r="Q38" i="10"/>
  <c r="P38" i="10"/>
  <c r="P33" i="10"/>
  <c r="Q33" i="10"/>
  <c r="V14" i="10"/>
  <c r="AA14" i="10" s="1"/>
  <c r="S14" i="10"/>
  <c r="Q20" i="10"/>
  <c r="V19" i="10"/>
  <c r="AA19" i="10" s="1"/>
  <c r="S19" i="10"/>
  <c r="V18" i="10"/>
  <c r="AA18" i="10" s="1"/>
  <c r="S18" i="10"/>
  <c r="V16" i="10"/>
  <c r="AA16" i="10" s="1"/>
  <c r="S16" i="10"/>
  <c r="V11" i="10"/>
  <c r="AA11" i="10" s="1"/>
  <c r="S11" i="10"/>
  <c r="S29" i="13" l="1"/>
  <c r="V29" i="13"/>
  <c r="V35" i="13"/>
  <c r="S35" i="13"/>
  <c r="S31" i="13"/>
  <c r="V31" i="13"/>
  <c r="AE29" i="12"/>
  <c r="V36" i="12"/>
  <c r="S36" i="12"/>
  <c r="S38" i="13"/>
  <c r="V38" i="13"/>
  <c r="Y38" i="13" s="1"/>
  <c r="AE32" i="12"/>
  <c r="AE33" i="12"/>
  <c r="AE30" i="12"/>
  <c r="S32" i="13"/>
  <c r="V32" i="13"/>
  <c r="V38" i="12"/>
  <c r="S38" i="12"/>
  <c r="V37" i="13"/>
  <c r="S37" i="13"/>
  <c r="AE36" i="12"/>
  <c r="V31" i="12"/>
  <c r="S31" i="12"/>
  <c r="V29" i="12"/>
  <c r="S29" i="12"/>
  <c r="AE35" i="12"/>
  <c r="V30" i="13"/>
  <c r="S30" i="13"/>
  <c r="AE34" i="12"/>
  <c r="AE31" i="12"/>
  <c r="AE38" i="12"/>
  <c r="S33" i="13"/>
  <c r="V33" i="13"/>
  <c r="S30" i="12"/>
  <c r="V30" i="12"/>
  <c r="V36" i="13"/>
  <c r="S36" i="13"/>
  <c r="V37" i="12"/>
  <c r="S37" i="12"/>
  <c r="S35" i="12"/>
  <c r="V35" i="12"/>
  <c r="V34" i="12"/>
  <c r="S34" i="12"/>
  <c r="S33" i="12"/>
  <c r="V33" i="12"/>
  <c r="AE37" i="12"/>
  <c r="V34" i="13"/>
  <c r="S34" i="13"/>
  <c r="V32" i="12"/>
  <c r="S32" i="12"/>
  <c r="V36" i="11"/>
  <c r="S36" i="11"/>
  <c r="V38" i="11"/>
  <c r="Y38" i="11" s="1"/>
  <c r="S38" i="11"/>
  <c r="V29" i="11"/>
  <c r="S29" i="11"/>
  <c r="S35" i="11"/>
  <c r="V35" i="11"/>
  <c r="V33" i="11"/>
  <c r="S33" i="11"/>
  <c r="V37" i="11"/>
  <c r="S37" i="11"/>
  <c r="V32" i="11"/>
  <c r="S32" i="11"/>
  <c r="V30" i="11"/>
  <c r="S30" i="11"/>
  <c r="V34" i="11"/>
  <c r="S34" i="11"/>
  <c r="V31" i="11"/>
  <c r="S31" i="11"/>
  <c r="S35" i="10"/>
  <c r="V35" i="10"/>
  <c r="V36" i="10"/>
  <c r="S36" i="10"/>
  <c r="S37" i="10"/>
  <c r="V37" i="10"/>
  <c r="V38" i="10"/>
  <c r="Y39" i="10" s="1"/>
  <c r="S38" i="10"/>
  <c r="V34" i="10"/>
  <c r="S34" i="10"/>
  <c r="S31" i="10"/>
  <c r="V31" i="10"/>
  <c r="V29" i="10"/>
  <c r="S29" i="10"/>
  <c r="V33" i="10"/>
  <c r="S33" i="10"/>
  <c r="S30" i="10"/>
  <c r="V30" i="10"/>
  <c r="V32" i="10"/>
  <c r="S3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U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LCEC</t>
        </r>
      </text>
    </comment>
    <comment ref="AE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Excludes Lee and Seminole in history, excludes Lee in forecast.</t>
        </r>
      </text>
    </comment>
    <comment ref="B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See note below.</t>
        </r>
      </text>
    </comment>
    <comment ref="P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was a warm weather peak on 2/28/17</t>
        </r>
      </text>
    </comment>
    <comment ref="B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See note below.</t>
        </r>
      </text>
    </comment>
    <comment ref="B9" authorId="0" shapeId="0" xr:uid="{D5DA2B04-0DC2-4FCF-AC5D-A59CCC33A6A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Weather Normal</t>
        </r>
      </text>
    </comment>
    <comment ref="Q9" authorId="0" shapeId="0" xr:uid="{43909C03-9E58-4E66-8D38-9D9513E3CC6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Adjusted down due to addition of Vero Beach in 2019 which shifted up the forecast.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Q5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W/O LEE</t>
        </r>
      </text>
    </comment>
    <comment ref="V6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Excludes Lee and Seminole in history, excludes Lee in forecast.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Q5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W/O LEE</t>
        </r>
      </text>
    </comment>
    <comment ref="V6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Excludes Lee and Seminole in history, excludes Lee in forecast.</t>
        </r>
      </text>
    </comment>
    <comment ref="Q2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W/O LEE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Q5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W/O LEE</t>
        </r>
      </text>
    </comment>
    <comment ref="V6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Excludes Lee and Seminole in history, excludes Lee in forecast.</t>
        </r>
      </text>
    </comment>
    <comment ref="Q24" authorId="0" shapeId="0" xr:uid="{00000000-0006-0000-0D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W/O LEE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Removed LCEC and Seminole in history and LCEC in fcst</t>
        </r>
      </text>
    </comment>
    <comment ref="L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Removed LCEC load</t>
        </r>
      </text>
    </comment>
    <comment ref="R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Removed LCEC load</t>
        </r>
      </text>
    </comment>
    <comment ref="AA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Removed LCEC load</t>
        </r>
      </text>
    </comment>
    <comment ref="N3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Values greater than 1.4 were not used.  Considered outliers.</t>
        </r>
      </text>
    </comment>
    <comment ref="R3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than 1 so did not use.</t>
        </r>
      </text>
    </comment>
    <comment ref="L39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Removed LCEC load</t>
        </r>
      </text>
    </comment>
    <comment ref="R39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Removed LCEC load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Q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W/O LEE</t>
        </r>
      </text>
    </comment>
    <comment ref="V6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Excludes Lee and Seminole in history, excludes Lee in forecast.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Q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W/O LEE</t>
        </r>
      </text>
    </comment>
    <comment ref="V6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Excludes Lee and Seminole in history, excludes Lee in forecast.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V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Excludes Lee and Seminole in history, excludes Lee in forecast.</t>
        </r>
      </text>
    </comment>
    <comment ref="Q24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W/O LEE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V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Excludes Lee and Seminole in history, excludes Lee in forecast.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4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DSM Adjustment</t>
        </r>
      </text>
    </comment>
    <comment ref="U4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LEE</t>
        </r>
      </text>
    </comment>
    <comment ref="AE4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Excludes Lee and Seminole in history, excludes Lee in forecast.</t>
        </r>
      </text>
    </comment>
    <comment ref="B9" authorId="0" shapeId="0" xr:uid="{6273ECA4-2C16-4E95-825D-420C2F0227E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Weather Normal</t>
        </r>
      </text>
    </comment>
    <comment ref="U9" authorId="0" shapeId="0" xr:uid="{C799CC82-E36F-42AE-960F-37C074D683A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Data for regression model excludes Lee so no need to remove Lee in this cell.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4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Removed LCEC and Seminole in history and LCEC in fcst</t>
        </r>
      </text>
    </comment>
    <comment ref="L4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Removed LCEC load</t>
        </r>
      </text>
    </comment>
    <comment ref="R4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Removed LCEC load</t>
        </r>
      </text>
    </comment>
    <comment ref="AA4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Removed LCEC load</t>
        </r>
      </text>
    </comment>
    <comment ref="O31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Outlier not-used</t>
        </r>
      </text>
    </comment>
    <comment ref="Q33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than 1 so did not use.</t>
        </r>
      </text>
    </comment>
    <comment ref="R33" authorId="0" shapeId="0" xr:uid="{00000000-0006-0000-08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than 1 so did not use.</t>
        </r>
      </text>
    </comment>
    <comment ref="Q34" authorId="0" shapeId="0" xr:uid="{00000000-0006-0000-08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Outlier-not used.</t>
        </r>
      </text>
    </comment>
    <comment ref="L38" authorId="0" shapeId="0" xr:uid="{00000000-0006-0000-08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Removed LCEC load</t>
        </r>
      </text>
    </comment>
    <comment ref="R38" authorId="0" shapeId="0" xr:uid="{00000000-0006-0000-08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Removed LCEC load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Q5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W/O LEE</t>
        </r>
      </text>
    </comment>
    <comment ref="V6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Excludes Lee and Seminole in history, excludes Lee in forecast.</t>
        </r>
      </text>
    </comment>
  </commentList>
</comments>
</file>

<file path=xl/sharedStrings.xml><?xml version="1.0" encoding="utf-8"?>
<sst xmlns="http://schemas.openxmlformats.org/spreadsheetml/2006/main" count="653" uniqueCount="87">
  <si>
    <t>System</t>
  </si>
  <si>
    <t>LCEC</t>
  </si>
  <si>
    <t>Customers</t>
  </si>
  <si>
    <t>Pk per customer</t>
  </si>
  <si>
    <t>% chg</t>
  </si>
  <si>
    <t>Customer Growth by Division</t>
  </si>
  <si>
    <t>Division Peak = System Change in Pk per Customer + Forecasted Customer Growth by Division</t>
  </si>
  <si>
    <t>Year</t>
  </si>
  <si>
    <t>NORTHEASTERN</t>
  </si>
  <si>
    <t>EASTERN</t>
  </si>
  <si>
    <t>SOUTHEASTERN</t>
  </si>
  <si>
    <t>SOUTH</t>
  </si>
  <si>
    <t>WEST</t>
  </si>
  <si>
    <t>SYSTEM</t>
  </si>
  <si>
    <t>Delta %</t>
  </si>
  <si>
    <t>Sum</t>
  </si>
  <si>
    <t>Delta</t>
  </si>
  <si>
    <t>Check</t>
  </si>
  <si>
    <t>South</t>
  </si>
  <si>
    <t>Southeast</t>
  </si>
  <si>
    <t>East</t>
  </si>
  <si>
    <t>Northeast</t>
  </si>
  <si>
    <t>West</t>
  </si>
  <si>
    <t>Coincident Peak</t>
  </si>
  <si>
    <t>Non-Coincident Peak</t>
  </si>
  <si>
    <t>Non-Coincident Peak/Coincident Peak Ratio</t>
  </si>
  <si>
    <r>
      <rPr>
        <b/>
        <sz val="14"/>
        <color rgb="FFFF0000"/>
        <rFont val="Arial"/>
        <family val="2"/>
      </rPr>
      <t>P80</t>
    </r>
    <r>
      <rPr>
        <b/>
        <sz val="14"/>
        <rFont val="Arial"/>
        <family val="2"/>
      </rPr>
      <t xml:space="preserve"> Winter Coincident Peaks</t>
    </r>
  </si>
  <si>
    <t>P80 Multiplier</t>
  </si>
  <si>
    <r>
      <rPr>
        <b/>
        <sz val="14"/>
        <color rgb="FFFF0000"/>
        <rFont val="Arial"/>
        <family val="2"/>
      </rPr>
      <t>P80</t>
    </r>
    <r>
      <rPr>
        <b/>
        <sz val="14"/>
        <rFont val="Arial"/>
        <family val="2"/>
      </rPr>
      <t xml:space="preserve"> Winter Non-Coincident Peaks</t>
    </r>
  </si>
  <si>
    <r>
      <rPr>
        <b/>
        <sz val="14"/>
        <color rgb="FFFF0000"/>
        <rFont val="Arial"/>
        <family val="2"/>
      </rPr>
      <t>P95</t>
    </r>
    <r>
      <rPr>
        <b/>
        <sz val="14"/>
        <rFont val="Arial"/>
        <family val="2"/>
      </rPr>
      <t xml:space="preserve"> Winter Coincident Peaks</t>
    </r>
  </si>
  <si>
    <r>
      <rPr>
        <b/>
        <sz val="14"/>
        <color rgb="FFFF0000"/>
        <rFont val="Arial"/>
        <family val="2"/>
      </rPr>
      <t>P95</t>
    </r>
    <r>
      <rPr>
        <b/>
        <sz val="14"/>
        <rFont val="Arial"/>
        <family val="2"/>
      </rPr>
      <t xml:space="preserve"> Winter Non-Coincident Peaks</t>
    </r>
  </si>
  <si>
    <r>
      <rPr>
        <b/>
        <sz val="14"/>
        <color rgb="FFFF0000"/>
        <rFont val="Arial"/>
        <family val="2"/>
      </rPr>
      <t>P80</t>
    </r>
    <r>
      <rPr>
        <b/>
        <sz val="14"/>
        <rFont val="Arial"/>
        <family val="2"/>
      </rPr>
      <t xml:space="preserve"> Summer Coincident Peaks</t>
    </r>
  </si>
  <si>
    <r>
      <rPr>
        <b/>
        <sz val="14"/>
        <color rgb="FFFF0000"/>
        <rFont val="Arial"/>
        <family val="2"/>
      </rPr>
      <t>P80</t>
    </r>
    <r>
      <rPr>
        <b/>
        <sz val="14"/>
        <rFont val="Arial"/>
        <family val="2"/>
      </rPr>
      <t xml:space="preserve"> Summer Non-Coincident Peaks</t>
    </r>
  </si>
  <si>
    <t>P95 Summer Coincident Peaks</t>
  </si>
  <si>
    <t>P95 Summer Non-Coincident Peaks</t>
  </si>
  <si>
    <t>Seminole</t>
  </si>
  <si>
    <t>System w/ LCEC &amp; Seminole</t>
  </si>
  <si>
    <t>System - LCEC-Seminole</t>
  </si>
  <si>
    <t>System - LCEC &amp; Seminole</t>
  </si>
  <si>
    <t>ED</t>
  </si>
  <si>
    <t>NED</t>
  </si>
  <si>
    <t>SD</t>
  </si>
  <si>
    <t>SED</t>
  </si>
  <si>
    <t>WD</t>
  </si>
  <si>
    <t>CP by Division (No Reconciliation)</t>
  </si>
  <si>
    <t>CP by Division (With Reconciliation)</t>
  </si>
  <si>
    <t>10 yr Avg CF</t>
  </si>
  <si>
    <t>2018 TYSP</t>
  </si>
  <si>
    <t>FPL P80</t>
  </si>
  <si>
    <t>Annual Change</t>
  </si>
  <si>
    <t>FPL P95</t>
  </si>
  <si>
    <t>P95 Multiplier</t>
  </si>
  <si>
    <t>Weather Normalized</t>
  </si>
  <si>
    <t>Coincident Peak (Last Year Forecast)</t>
  </si>
  <si>
    <t>SE Florida</t>
  </si>
  <si>
    <t>Fcst Var</t>
  </si>
  <si>
    <t>Cold weather peak in 2017 (SD &amp; SED did not have morning peak)</t>
  </si>
  <si>
    <t>2018 actual winter peak</t>
  </si>
  <si>
    <t>WN</t>
  </si>
  <si>
    <t>SE Florida P80 Summer CP</t>
  </si>
  <si>
    <t>SE Florida P80 Summer NCP</t>
  </si>
  <si>
    <t>2020 TYSP</t>
  </si>
  <si>
    <t>Cold weather peak in 2019 was on 1/29 from 7-8 am</t>
  </si>
  <si>
    <t>Cold weather peak in 2017 was on 1/31 from 7-8 am</t>
  </si>
  <si>
    <t>CAGR 2020-2030</t>
  </si>
  <si>
    <t>CAGR 2020 - 2030</t>
  </si>
  <si>
    <t>CAGR</t>
  </si>
  <si>
    <t>Winter Coincident Peaks - Base Case (MW) P50</t>
  </si>
  <si>
    <t>Winter Non-Coincident Peaks - Base Case (MW) P50</t>
  </si>
  <si>
    <t>Summer Coincident Peaks - Base Case (MW) P50</t>
  </si>
  <si>
    <t>Summer Non-Coincident Peaks - Base Case (MW) P50</t>
  </si>
  <si>
    <t>2021 TYSP</t>
  </si>
  <si>
    <t>````+I37</t>
  </si>
  <si>
    <r>
      <t>20220045-EI</t>
    </r>
    <r>
      <rPr>
        <b/>
        <sz val="10"/>
        <color rgb="FFFF0000"/>
        <rFont val="Arial"/>
        <family val="2"/>
      </rPr>
      <t xml:space="preserve"> </t>
    </r>
  </si>
  <si>
    <t>FPL 000086</t>
  </si>
  <si>
    <t>FPL 000087</t>
  </si>
  <si>
    <t>FPL 000088</t>
  </si>
  <si>
    <t>FPL 000089</t>
  </si>
  <si>
    <t>FPL 0000890</t>
  </si>
  <si>
    <t>FPL 000091</t>
  </si>
  <si>
    <t>FPL 000092</t>
  </si>
  <si>
    <t>20220045-EI</t>
  </si>
  <si>
    <t>FPL 000093</t>
  </si>
  <si>
    <t>FPL 000094</t>
  </si>
  <si>
    <t>FPL 000095</t>
  </si>
  <si>
    <t>FPL 000096</t>
  </si>
  <si>
    <t>FPL 000097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</si>
</sst>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"/>
    <numFmt numFmtId="167" formatCode="_(* #,##0.000_);_(* \(#,##0.000\);_(* &quot;-&quot;??_);_(@_)"/>
    <numFmt numFmtId="168" formatCode="_-* #,##0.00\ _D_M_-;\-* #,##0.00\ _D_M_-;_-* &quot;-&quot;??\ _D_M_-;_-@_-"/>
    <numFmt numFmtId="169" formatCode="_-* #,##0.00\ &quot;DM&quot;_-;\-* #,##0.00\ &quot;DM&quot;_-;_-* &quot;-&quot;??\ &quot;DM&quot;_-;_-@_-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sz val="10"/>
      <color rgb="FFFF0000"/>
      <name val="Arial"/>
      <family val="2"/>
    </font>
    <font>
      <sz val="8"/>
      <name val="Calibri"/>
      <family val="2"/>
      <scheme val="minor"/>
    </font>
  </fonts>
  <fills count="9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0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27" fillId="11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27" fillId="15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38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27" fillId="19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38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27" fillId="2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27" fillId="27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6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27" fillId="31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3" fillId="55" borderId="0" applyNumberFormat="0" applyBorder="0" applyAlignment="0" applyProtection="0"/>
    <xf numFmtId="0" fontId="20" fillId="5" borderId="0" applyNumberFormat="0" applyBorder="0" applyAlignment="0" applyProtection="0"/>
    <xf numFmtId="0" fontId="34" fillId="59" borderId="30" applyNumberFormat="0" applyAlignment="0" applyProtection="0"/>
    <xf numFmtId="0" fontId="23" fillId="8" borderId="23" applyNumberFormat="0" applyAlignment="0" applyProtection="0"/>
    <xf numFmtId="0" fontId="35" fillId="54" borderId="31" applyNumberFormat="0" applyAlignment="0" applyProtection="0"/>
    <xf numFmtId="0" fontId="25" fillId="9" borderId="26" applyNumberFormat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37" fillId="0" borderId="0" applyFont="0" applyFill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1" borderId="0" applyNumberFormat="0" applyBorder="0" applyAlignment="0" applyProtection="0"/>
    <xf numFmtId="0" fontId="38" fillId="61" borderId="0" applyNumberFormat="0" applyBorder="0" applyAlignment="0" applyProtection="0"/>
    <xf numFmtId="0" fontId="38" fillId="61" borderId="0" applyNumberFormat="0" applyBorder="0" applyAlignment="0" applyProtection="0"/>
    <xf numFmtId="0" fontId="38" fillId="62" borderId="0" applyNumberFormat="0" applyBorder="0" applyAlignment="0" applyProtection="0"/>
    <xf numFmtId="0" fontId="38" fillId="62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4" borderId="0" applyNumberFormat="0" applyBorder="0" applyAlignment="0" applyProtection="0"/>
    <xf numFmtId="0" fontId="38" fillId="64" borderId="0" applyNumberFormat="0" applyBorder="0" applyAlignment="0" applyProtection="0"/>
    <xf numFmtId="0" fontId="38" fillId="64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51" borderId="0" applyNumberFormat="0" applyBorder="0" applyAlignment="0" applyProtection="0"/>
    <xf numFmtId="0" fontId="19" fillId="4" borderId="0" applyNumberFormat="0" applyBorder="0" applyAlignment="0" applyProtection="0"/>
    <xf numFmtId="0" fontId="39" fillId="0" borderId="32" applyNumberFormat="0" applyFill="0" applyAlignment="0" applyProtection="0"/>
    <xf numFmtId="0" fontId="16" fillId="0" borderId="20" applyNumberFormat="0" applyFill="0" applyAlignment="0" applyProtection="0"/>
    <xf numFmtId="0" fontId="40" fillId="0" borderId="33" applyNumberFormat="0" applyFill="0" applyAlignment="0" applyProtection="0"/>
    <xf numFmtId="0" fontId="17" fillId="0" borderId="21" applyNumberFormat="0" applyFill="0" applyAlignment="0" applyProtection="0"/>
    <xf numFmtId="0" fontId="41" fillId="0" borderId="34" applyNumberFormat="0" applyFill="0" applyAlignment="0" applyProtection="0"/>
    <xf numFmtId="0" fontId="18" fillId="0" borderId="22" applyNumberFormat="0" applyFill="0" applyAlignment="0" applyProtection="0"/>
    <xf numFmtId="0" fontId="4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56" borderId="30" applyNumberFormat="0" applyAlignment="0" applyProtection="0"/>
    <xf numFmtId="0" fontId="21" fillId="7" borderId="23" applyNumberFormat="0" applyAlignment="0" applyProtection="0"/>
    <xf numFmtId="0" fontId="44" fillId="0" borderId="35" applyNumberFormat="0" applyFill="0" applyAlignment="0" applyProtection="0"/>
    <xf numFmtId="0" fontId="24" fillId="0" borderId="25" applyNumberFormat="0" applyFill="0" applyAlignment="0" applyProtection="0"/>
    <xf numFmtId="164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0" fontId="44" fillId="56" borderId="0" applyNumberFormat="0" applyBorder="0" applyAlignment="0" applyProtection="0"/>
    <xf numFmtId="0" fontId="30" fillId="6" borderId="0" applyNumberFormat="0" applyBorder="0" applyAlignment="0" applyProtection="0"/>
    <xf numFmtId="0" fontId="4" fillId="0" borderId="0"/>
    <xf numFmtId="0" fontId="28" fillId="65" borderId="0"/>
    <xf numFmtId="0" fontId="28" fillId="65" borderId="0"/>
    <xf numFmtId="0" fontId="28" fillId="65" borderId="0"/>
    <xf numFmtId="0" fontId="28" fillId="65" borderId="0"/>
    <xf numFmtId="0" fontId="4" fillId="0" borderId="0"/>
    <xf numFmtId="0" fontId="28" fillId="65" borderId="0"/>
    <xf numFmtId="0" fontId="1" fillId="0" borderId="0"/>
    <xf numFmtId="0" fontId="28" fillId="65" borderId="0"/>
    <xf numFmtId="0" fontId="1" fillId="0" borderId="0"/>
    <xf numFmtId="0" fontId="1" fillId="0" borderId="0"/>
    <xf numFmtId="0" fontId="28" fillId="65" borderId="0"/>
    <xf numFmtId="0" fontId="4" fillId="0" borderId="0"/>
    <xf numFmtId="0" fontId="1" fillId="0" borderId="0"/>
    <xf numFmtId="0" fontId="1" fillId="0" borderId="0"/>
    <xf numFmtId="0" fontId="1" fillId="0" borderId="0"/>
    <xf numFmtId="0" fontId="28" fillId="65" borderId="0"/>
    <xf numFmtId="0" fontId="1" fillId="0" borderId="0"/>
    <xf numFmtId="0" fontId="4" fillId="0" borderId="0"/>
    <xf numFmtId="0" fontId="28" fillId="65" borderId="0"/>
    <xf numFmtId="0" fontId="28" fillId="65" borderId="0"/>
    <xf numFmtId="0" fontId="1" fillId="0" borderId="0"/>
    <xf numFmtId="0" fontId="28" fillId="65" borderId="0"/>
    <xf numFmtId="0" fontId="28" fillId="65" borderId="0"/>
    <xf numFmtId="0" fontId="28" fillId="65" borderId="0"/>
    <xf numFmtId="0" fontId="28" fillId="65" borderId="0"/>
    <xf numFmtId="0" fontId="28" fillId="65" borderId="0"/>
    <xf numFmtId="0" fontId="28" fillId="65" borderId="0"/>
    <xf numFmtId="0" fontId="28" fillId="0" borderId="0"/>
    <xf numFmtId="0" fontId="28" fillId="55" borderId="30" applyNumberFormat="0" applyFont="0" applyAlignment="0" applyProtection="0"/>
    <xf numFmtId="0" fontId="28" fillId="55" borderId="30" applyNumberFormat="0" applyFont="0" applyAlignment="0" applyProtection="0"/>
    <xf numFmtId="0" fontId="28" fillId="55" borderId="30" applyNumberFormat="0" applyFont="0" applyAlignment="0" applyProtection="0"/>
    <xf numFmtId="0" fontId="1" fillId="10" borderId="27" applyNumberFormat="0" applyFont="0" applyAlignment="0" applyProtection="0"/>
    <xf numFmtId="0" fontId="45" fillId="59" borderId="36" applyNumberFormat="0" applyAlignment="0" applyProtection="0"/>
    <xf numFmtId="0" fontId="22" fillId="8" borderId="24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8" fillId="66" borderId="30" applyNumberFormat="0" applyProtection="0">
      <alignment vertical="center"/>
    </xf>
    <xf numFmtId="4" fontId="28" fillId="66" borderId="30" applyNumberFormat="0" applyProtection="0">
      <alignment vertical="center"/>
    </xf>
    <xf numFmtId="4" fontId="46" fillId="66" borderId="37" applyNumberFormat="0" applyProtection="0">
      <alignment vertical="center"/>
    </xf>
    <xf numFmtId="4" fontId="46" fillId="66" borderId="37" applyNumberFormat="0" applyProtection="0">
      <alignment vertical="center"/>
    </xf>
    <xf numFmtId="4" fontId="28" fillId="66" borderId="30" applyNumberFormat="0" applyProtection="0">
      <alignment vertical="center"/>
    </xf>
    <xf numFmtId="4" fontId="46" fillId="66" borderId="37" applyNumberFormat="0" applyProtection="0">
      <alignment vertical="center"/>
    </xf>
    <xf numFmtId="4" fontId="47" fillId="35" borderId="30" applyNumberFormat="0" applyProtection="0">
      <alignment vertical="center"/>
    </xf>
    <xf numFmtId="4" fontId="47" fillId="35" borderId="30" applyNumberFormat="0" applyProtection="0">
      <alignment vertical="center"/>
    </xf>
    <xf numFmtId="4" fontId="48" fillId="35" borderId="37" applyNumberFormat="0" applyProtection="0">
      <alignment vertical="center"/>
    </xf>
    <xf numFmtId="4" fontId="48" fillId="35" borderId="37" applyNumberFormat="0" applyProtection="0">
      <alignment vertical="center"/>
    </xf>
    <xf numFmtId="4" fontId="28" fillId="35" borderId="30" applyNumberFormat="0" applyProtection="0">
      <alignment horizontal="left" vertical="center" indent="1"/>
    </xf>
    <xf numFmtId="4" fontId="28" fillId="35" borderId="30" applyNumberFormat="0" applyProtection="0">
      <alignment horizontal="left" vertical="center" indent="1"/>
    </xf>
    <xf numFmtId="4" fontId="46" fillId="35" borderId="37" applyNumberFormat="0" applyProtection="0">
      <alignment horizontal="left" vertical="center" indent="1"/>
    </xf>
    <xf numFmtId="4" fontId="28" fillId="35" borderId="30" applyNumberFormat="0" applyProtection="0">
      <alignment horizontal="left" vertical="center" indent="1"/>
    </xf>
    <xf numFmtId="4" fontId="46" fillId="35" borderId="37" applyNumberFormat="0" applyProtection="0">
      <alignment horizontal="left" vertical="center" indent="1"/>
    </xf>
    <xf numFmtId="0" fontId="49" fillId="66" borderId="37" applyNumberFormat="0" applyProtection="0">
      <alignment horizontal="left" vertical="top" indent="1"/>
    </xf>
    <xf numFmtId="0" fontId="49" fillId="66" borderId="37" applyNumberFormat="0" applyProtection="0">
      <alignment horizontal="left" vertical="top" indent="1"/>
    </xf>
    <xf numFmtId="0" fontId="46" fillId="35" borderId="37" applyNumberFormat="0" applyProtection="0">
      <alignment horizontal="left" vertical="top" indent="1"/>
    </xf>
    <xf numFmtId="0" fontId="46" fillId="35" borderId="37" applyNumberFormat="0" applyProtection="0">
      <alignment horizontal="left" vertical="top" indent="1"/>
    </xf>
    <xf numFmtId="0" fontId="46" fillId="35" borderId="37" applyNumberFormat="0" applyProtection="0">
      <alignment horizontal="left" vertical="top" indent="1"/>
    </xf>
    <xf numFmtId="4" fontId="28" fillId="67" borderId="30" applyNumberFormat="0" applyProtection="0">
      <alignment horizontal="left" vertical="center" indent="1"/>
    </xf>
    <xf numFmtId="4" fontId="28" fillId="67" borderId="30" applyNumberFormat="0" applyProtection="0">
      <alignment horizontal="left" vertical="center" indent="1"/>
    </xf>
    <xf numFmtId="4" fontId="46" fillId="68" borderId="0" applyNumberFormat="0" applyProtection="0">
      <alignment horizontal="left" vertical="center" indent="1"/>
    </xf>
    <xf numFmtId="4" fontId="28" fillId="67" borderId="30" applyNumberFormat="0" applyProtection="0">
      <alignment horizontal="left" vertical="center" indent="1"/>
    </xf>
    <xf numFmtId="4" fontId="46" fillId="68" borderId="0" applyNumberFormat="0" applyProtection="0">
      <alignment horizontal="left" vertical="center" indent="1"/>
    </xf>
    <xf numFmtId="4" fontId="28" fillId="69" borderId="30" applyNumberFormat="0" applyProtection="0">
      <alignment horizontal="right" vertical="center"/>
    </xf>
    <xf numFmtId="4" fontId="28" fillId="69" borderId="30" applyNumberFormat="0" applyProtection="0">
      <alignment horizontal="right" vertical="center"/>
    </xf>
    <xf numFmtId="4" fontId="36" fillId="69" borderId="37" applyNumberFormat="0" applyProtection="0">
      <alignment horizontal="right" vertical="center"/>
    </xf>
    <xf numFmtId="4" fontId="28" fillId="69" borderId="30" applyNumberFormat="0" applyProtection="0">
      <alignment horizontal="right" vertical="center"/>
    </xf>
    <xf numFmtId="4" fontId="36" fillId="69" borderId="37" applyNumberFormat="0" applyProtection="0">
      <alignment horizontal="right" vertical="center"/>
    </xf>
    <xf numFmtId="4" fontId="28" fillId="70" borderId="30" applyNumberFormat="0" applyProtection="0">
      <alignment horizontal="right" vertical="center"/>
    </xf>
    <xf numFmtId="4" fontId="28" fillId="70" borderId="30" applyNumberFormat="0" applyProtection="0">
      <alignment horizontal="right" vertical="center"/>
    </xf>
    <xf numFmtId="4" fontId="36" fillId="71" borderId="37" applyNumberFormat="0" applyProtection="0">
      <alignment horizontal="right" vertical="center"/>
    </xf>
    <xf numFmtId="4" fontId="28" fillId="70" borderId="30" applyNumberFormat="0" applyProtection="0">
      <alignment horizontal="right" vertical="center"/>
    </xf>
    <xf numFmtId="4" fontId="36" fillId="71" borderId="37" applyNumberFormat="0" applyProtection="0">
      <alignment horizontal="right" vertical="center"/>
    </xf>
    <xf numFmtId="4" fontId="28" fillId="72" borderId="38" applyNumberFormat="0" applyProtection="0">
      <alignment horizontal="right" vertical="center"/>
    </xf>
    <xf numFmtId="4" fontId="28" fillId="72" borderId="38" applyNumberFormat="0" applyProtection="0">
      <alignment horizontal="right" vertical="center"/>
    </xf>
    <xf numFmtId="4" fontId="36" fillId="72" borderId="37" applyNumberFormat="0" applyProtection="0">
      <alignment horizontal="right" vertical="center"/>
    </xf>
    <xf numFmtId="4" fontId="28" fillId="72" borderId="38" applyNumberFormat="0" applyProtection="0">
      <alignment horizontal="right" vertical="center"/>
    </xf>
    <xf numFmtId="4" fontId="36" fillId="72" borderId="37" applyNumberFormat="0" applyProtection="0">
      <alignment horizontal="right" vertical="center"/>
    </xf>
    <xf numFmtId="4" fontId="28" fillId="73" borderId="30" applyNumberFormat="0" applyProtection="0">
      <alignment horizontal="right" vertical="center"/>
    </xf>
    <xf numFmtId="4" fontId="28" fillId="73" borderId="30" applyNumberFormat="0" applyProtection="0">
      <alignment horizontal="right" vertical="center"/>
    </xf>
    <xf numFmtId="4" fontId="36" fillId="73" borderId="37" applyNumberFormat="0" applyProtection="0">
      <alignment horizontal="right" vertical="center"/>
    </xf>
    <xf numFmtId="4" fontId="28" fillId="73" borderId="30" applyNumberFormat="0" applyProtection="0">
      <alignment horizontal="right" vertical="center"/>
    </xf>
    <xf numFmtId="4" fontId="36" fillId="73" borderId="37" applyNumberFormat="0" applyProtection="0">
      <alignment horizontal="right" vertical="center"/>
    </xf>
    <xf numFmtId="4" fontId="28" fillId="74" borderId="30" applyNumberFormat="0" applyProtection="0">
      <alignment horizontal="right" vertical="center"/>
    </xf>
    <xf numFmtId="4" fontId="28" fillId="74" borderId="30" applyNumberFormat="0" applyProtection="0">
      <alignment horizontal="right" vertical="center"/>
    </xf>
    <xf numFmtId="4" fontId="36" fillId="74" borderId="37" applyNumberFormat="0" applyProtection="0">
      <alignment horizontal="right" vertical="center"/>
    </xf>
    <xf numFmtId="4" fontId="28" fillId="74" borderId="30" applyNumberFormat="0" applyProtection="0">
      <alignment horizontal="right" vertical="center"/>
    </xf>
    <xf numFmtId="4" fontId="36" fillId="74" borderId="37" applyNumberFormat="0" applyProtection="0">
      <alignment horizontal="right" vertical="center"/>
    </xf>
    <xf numFmtId="4" fontId="28" fillId="75" borderId="30" applyNumberFormat="0" applyProtection="0">
      <alignment horizontal="right" vertical="center"/>
    </xf>
    <xf numFmtId="4" fontId="28" fillId="75" borderId="30" applyNumberFormat="0" applyProtection="0">
      <alignment horizontal="right" vertical="center"/>
    </xf>
    <xf numFmtId="4" fontId="36" fillId="75" borderId="37" applyNumberFormat="0" applyProtection="0">
      <alignment horizontal="right" vertical="center"/>
    </xf>
    <xf numFmtId="4" fontId="28" fillId="75" borderId="30" applyNumberFormat="0" applyProtection="0">
      <alignment horizontal="right" vertical="center"/>
    </xf>
    <xf numFmtId="4" fontId="36" fillId="75" borderId="37" applyNumberFormat="0" applyProtection="0">
      <alignment horizontal="right" vertical="center"/>
    </xf>
    <xf numFmtId="4" fontId="28" fillId="76" borderId="30" applyNumberFormat="0" applyProtection="0">
      <alignment horizontal="right" vertical="center"/>
    </xf>
    <xf numFmtId="4" fontId="28" fillId="76" borderId="30" applyNumberFormat="0" applyProtection="0">
      <alignment horizontal="right" vertical="center"/>
    </xf>
    <xf numFmtId="4" fontId="36" fillId="76" borderId="37" applyNumberFormat="0" applyProtection="0">
      <alignment horizontal="right" vertical="center"/>
    </xf>
    <xf numFmtId="4" fontId="28" fillId="76" borderId="30" applyNumberFormat="0" applyProtection="0">
      <alignment horizontal="right" vertical="center"/>
    </xf>
    <xf numFmtId="4" fontId="36" fillId="76" borderId="37" applyNumberFormat="0" applyProtection="0">
      <alignment horizontal="right" vertical="center"/>
    </xf>
    <xf numFmtId="4" fontId="28" fillId="77" borderId="30" applyNumberFormat="0" applyProtection="0">
      <alignment horizontal="right" vertical="center"/>
    </xf>
    <xf numFmtId="4" fontId="28" fillId="77" borderId="30" applyNumberFormat="0" applyProtection="0">
      <alignment horizontal="right" vertical="center"/>
    </xf>
    <xf numFmtId="4" fontId="36" fillId="77" borderId="37" applyNumberFormat="0" applyProtection="0">
      <alignment horizontal="right" vertical="center"/>
    </xf>
    <xf numFmtId="4" fontId="28" fillId="77" borderId="30" applyNumberFormat="0" applyProtection="0">
      <alignment horizontal="right" vertical="center"/>
    </xf>
    <xf numFmtId="4" fontId="36" fillId="77" borderId="37" applyNumberFormat="0" applyProtection="0">
      <alignment horizontal="right" vertical="center"/>
    </xf>
    <xf numFmtId="4" fontId="28" fillId="78" borderId="30" applyNumberFormat="0" applyProtection="0">
      <alignment horizontal="right" vertical="center"/>
    </xf>
    <xf numFmtId="4" fontId="28" fillId="78" borderId="30" applyNumberFormat="0" applyProtection="0">
      <alignment horizontal="right" vertical="center"/>
    </xf>
    <xf numFmtId="4" fontId="36" fillId="78" borderId="37" applyNumberFormat="0" applyProtection="0">
      <alignment horizontal="right" vertical="center"/>
    </xf>
    <xf numFmtId="4" fontId="28" fillId="78" borderId="30" applyNumberFormat="0" applyProtection="0">
      <alignment horizontal="right" vertical="center"/>
    </xf>
    <xf numFmtId="4" fontId="36" fillId="78" borderId="37" applyNumberFormat="0" applyProtection="0">
      <alignment horizontal="right" vertical="center"/>
    </xf>
    <xf numFmtId="4" fontId="28" fillId="79" borderId="38" applyNumberFormat="0" applyProtection="0">
      <alignment horizontal="left" vertical="center" indent="1"/>
    </xf>
    <xf numFmtId="4" fontId="28" fillId="79" borderId="38" applyNumberFormat="0" applyProtection="0">
      <alignment horizontal="left" vertical="center" indent="1"/>
    </xf>
    <xf numFmtId="4" fontId="46" fillId="79" borderId="39" applyNumberFormat="0" applyProtection="0">
      <alignment horizontal="left" vertical="center" indent="1"/>
    </xf>
    <xf numFmtId="4" fontId="28" fillId="79" borderId="38" applyNumberFormat="0" applyProtection="0">
      <alignment horizontal="left" vertical="center" indent="1"/>
    </xf>
    <xf numFmtId="4" fontId="46" fillId="79" borderId="39" applyNumberFormat="0" applyProtection="0">
      <alignment horizontal="left" vertical="center" indent="1"/>
    </xf>
    <xf numFmtId="4" fontId="4" fillId="80" borderId="38" applyNumberFormat="0" applyProtection="0">
      <alignment horizontal="left" vertical="center" indent="1"/>
    </xf>
    <xf numFmtId="4" fontId="4" fillId="80" borderId="38" applyNumberFormat="0" applyProtection="0">
      <alignment horizontal="left" vertical="center" indent="1"/>
    </xf>
    <xf numFmtId="4" fontId="36" fillId="81" borderId="0" applyNumberFormat="0" applyProtection="0">
      <alignment horizontal="left" vertical="center" indent="1"/>
    </xf>
    <xf numFmtId="4" fontId="36" fillId="81" borderId="0" applyNumberFormat="0" applyProtection="0">
      <alignment horizontal="left" vertical="center" indent="1"/>
    </xf>
    <xf numFmtId="4" fontId="4" fillId="80" borderId="38" applyNumberFormat="0" applyProtection="0">
      <alignment horizontal="left" vertical="center" indent="1"/>
    </xf>
    <xf numFmtId="4" fontId="4" fillId="80" borderId="38" applyNumberFormat="0" applyProtection="0">
      <alignment horizontal="left" vertical="center" indent="1"/>
    </xf>
    <xf numFmtId="4" fontId="50" fillId="82" borderId="0" applyNumberFormat="0" applyProtection="0">
      <alignment horizontal="left" vertical="center" indent="1"/>
    </xf>
    <xf numFmtId="4" fontId="50" fillId="82" borderId="0" applyNumberFormat="0" applyProtection="0">
      <alignment horizontal="left" vertical="center" indent="1"/>
    </xf>
    <xf numFmtId="4" fontId="28" fillId="83" borderId="30" applyNumberFormat="0" applyProtection="0">
      <alignment horizontal="right" vertical="center"/>
    </xf>
    <xf numFmtId="4" fontId="28" fillId="83" borderId="30" applyNumberFormat="0" applyProtection="0">
      <alignment horizontal="right" vertical="center"/>
    </xf>
    <xf numFmtId="4" fontId="36" fillId="83" borderId="37" applyNumberFormat="0" applyProtection="0">
      <alignment horizontal="right" vertical="center"/>
    </xf>
    <xf numFmtId="4" fontId="28" fillId="83" borderId="30" applyNumberFormat="0" applyProtection="0">
      <alignment horizontal="right" vertical="center"/>
    </xf>
    <xf numFmtId="4" fontId="36" fillId="83" borderId="37" applyNumberFormat="0" applyProtection="0">
      <alignment horizontal="right" vertical="center"/>
    </xf>
    <xf numFmtId="4" fontId="28" fillId="81" borderId="38" applyNumberFormat="0" applyProtection="0">
      <alignment horizontal="left" vertical="center" indent="1"/>
    </xf>
    <xf numFmtId="4" fontId="28" fillId="81" borderId="38" applyNumberFormat="0" applyProtection="0">
      <alignment horizontal="left" vertical="center" indent="1"/>
    </xf>
    <xf numFmtId="4" fontId="36" fillId="81" borderId="0" applyNumberFormat="0" applyProtection="0">
      <alignment horizontal="left" vertical="center" indent="1"/>
    </xf>
    <xf numFmtId="4" fontId="36" fillId="81" borderId="0" applyNumberFormat="0" applyProtection="0">
      <alignment horizontal="left" vertical="center" indent="1"/>
    </xf>
    <xf numFmtId="4" fontId="28" fillId="81" borderId="38" applyNumberFormat="0" applyProtection="0">
      <alignment horizontal="left" vertical="center" indent="1"/>
    </xf>
    <xf numFmtId="4" fontId="36" fillId="81" borderId="0" applyNumberFormat="0" applyProtection="0">
      <alignment horizontal="left" vertical="center" indent="1"/>
    </xf>
    <xf numFmtId="4" fontId="28" fillId="83" borderId="38" applyNumberFormat="0" applyProtection="0">
      <alignment horizontal="left" vertical="center" indent="1"/>
    </xf>
    <xf numFmtId="4" fontId="28" fillId="83" borderId="38" applyNumberFormat="0" applyProtection="0">
      <alignment horizontal="left" vertical="center" indent="1"/>
    </xf>
    <xf numFmtId="4" fontId="36" fillId="68" borderId="0" applyNumberFormat="0" applyProtection="0">
      <alignment horizontal="left" vertical="center" indent="1"/>
    </xf>
    <xf numFmtId="4" fontId="36" fillId="68" borderId="0" applyNumberFormat="0" applyProtection="0">
      <alignment horizontal="left" vertical="center" indent="1"/>
    </xf>
    <xf numFmtId="4" fontId="28" fillId="83" borderId="38" applyNumberFormat="0" applyProtection="0">
      <alignment horizontal="left" vertical="center" indent="1"/>
    </xf>
    <xf numFmtId="4" fontId="36" fillId="68" borderId="0" applyNumberFormat="0" applyProtection="0">
      <alignment horizontal="left" vertical="center" indent="1"/>
    </xf>
    <xf numFmtId="0" fontId="28" fillId="84" borderId="30" applyNumberFormat="0" applyProtection="0">
      <alignment horizontal="left" vertical="center" indent="1"/>
    </xf>
    <xf numFmtId="0" fontId="28" fillId="84" borderId="30" applyNumberFormat="0" applyProtection="0">
      <alignment horizontal="left" vertical="center" indent="1"/>
    </xf>
    <xf numFmtId="0" fontId="4" fillId="82" borderId="37" applyNumberFormat="0" applyProtection="0">
      <alignment horizontal="left" vertical="center" indent="1"/>
    </xf>
    <xf numFmtId="0" fontId="4" fillId="82" borderId="37" applyNumberFormat="0" applyProtection="0">
      <alignment horizontal="left" vertical="center" indent="1"/>
    </xf>
    <xf numFmtId="0" fontId="4" fillId="82" borderId="37" applyNumberFormat="0" applyProtection="0">
      <alignment horizontal="left" vertical="center" indent="1"/>
    </xf>
    <xf numFmtId="0" fontId="28" fillId="84" borderId="30" applyNumberFormat="0" applyProtection="0">
      <alignment horizontal="left" vertical="center" indent="1"/>
    </xf>
    <xf numFmtId="0" fontId="4" fillId="82" borderId="37" applyNumberFormat="0" applyProtection="0">
      <alignment horizontal="left" vertical="center" indent="1"/>
    </xf>
    <xf numFmtId="0" fontId="28" fillId="84" borderId="30" applyNumberFormat="0" applyProtection="0">
      <alignment horizontal="left" vertical="center" indent="1"/>
    </xf>
    <xf numFmtId="0" fontId="4" fillId="82" borderId="37" applyNumberFormat="0" applyProtection="0">
      <alignment horizontal="left" vertical="center" indent="1"/>
    </xf>
    <xf numFmtId="0" fontId="28" fillId="80" borderId="37" applyNumberFormat="0" applyProtection="0">
      <alignment horizontal="left" vertical="top" indent="1"/>
    </xf>
    <xf numFmtId="0" fontId="28" fillId="80" borderId="37" applyNumberFormat="0" applyProtection="0">
      <alignment horizontal="left" vertical="top" indent="1"/>
    </xf>
    <xf numFmtId="0" fontId="28" fillId="80" borderId="37" applyNumberFormat="0" applyProtection="0">
      <alignment horizontal="left" vertical="top" indent="1"/>
    </xf>
    <xf numFmtId="0" fontId="28" fillId="80" borderId="37" applyNumberFormat="0" applyProtection="0">
      <alignment horizontal="left" vertical="top" indent="1"/>
    </xf>
    <xf numFmtId="0" fontId="4" fillId="82" borderId="37" applyNumberFormat="0" applyProtection="0">
      <alignment horizontal="left" vertical="top" indent="1"/>
    </xf>
    <xf numFmtId="0" fontId="4" fillId="82" borderId="37" applyNumberFormat="0" applyProtection="0">
      <alignment horizontal="left" vertical="top" indent="1"/>
    </xf>
    <xf numFmtId="0" fontId="4" fillId="82" borderId="37" applyNumberFormat="0" applyProtection="0">
      <alignment horizontal="left" vertical="top" indent="1"/>
    </xf>
    <xf numFmtId="0" fontId="4" fillId="82" borderId="37" applyNumberFormat="0" applyProtection="0">
      <alignment horizontal="left" vertical="top" indent="1"/>
    </xf>
    <xf numFmtId="0" fontId="4" fillId="82" borderId="37" applyNumberFormat="0" applyProtection="0">
      <alignment horizontal="left" vertical="top" indent="1"/>
    </xf>
    <xf numFmtId="0" fontId="28" fillId="85" borderId="30" applyNumberFormat="0" applyProtection="0">
      <alignment horizontal="left" vertical="center" indent="1"/>
    </xf>
    <xf numFmtId="0" fontId="28" fillId="85" borderId="30" applyNumberFormat="0" applyProtection="0">
      <alignment horizontal="left" vertical="center" indent="1"/>
    </xf>
    <xf numFmtId="0" fontId="4" fillId="68" borderId="37" applyNumberFormat="0" applyProtection="0">
      <alignment horizontal="left" vertical="center" indent="1"/>
    </xf>
    <xf numFmtId="0" fontId="4" fillId="68" borderId="37" applyNumberFormat="0" applyProtection="0">
      <alignment horizontal="left" vertical="center" indent="1"/>
    </xf>
    <xf numFmtId="0" fontId="4" fillId="68" borderId="37" applyNumberFormat="0" applyProtection="0">
      <alignment horizontal="left" vertical="center" indent="1"/>
    </xf>
    <xf numFmtId="0" fontId="4" fillId="68" borderId="37" applyNumberFormat="0" applyProtection="0">
      <alignment horizontal="left" vertical="center" indent="1"/>
    </xf>
    <xf numFmtId="0" fontId="28" fillId="85" borderId="30" applyNumberFormat="0" applyProtection="0">
      <alignment horizontal="left" vertical="center" indent="1"/>
    </xf>
    <xf numFmtId="0" fontId="4" fillId="68" borderId="37" applyNumberFormat="0" applyProtection="0">
      <alignment horizontal="left" vertical="center" indent="1"/>
    </xf>
    <xf numFmtId="0" fontId="28" fillId="83" borderId="37" applyNumberFormat="0" applyProtection="0">
      <alignment horizontal="left" vertical="top" indent="1"/>
    </xf>
    <xf numFmtId="0" fontId="28" fillId="83" borderId="37" applyNumberFormat="0" applyProtection="0">
      <alignment horizontal="left" vertical="top" indent="1"/>
    </xf>
    <xf numFmtId="0" fontId="28" fillId="83" borderId="37" applyNumberFormat="0" applyProtection="0">
      <alignment horizontal="left" vertical="top" indent="1"/>
    </xf>
    <xf numFmtId="0" fontId="4" fillId="68" borderId="37" applyNumberFormat="0" applyProtection="0">
      <alignment horizontal="left" vertical="top" indent="1"/>
    </xf>
    <xf numFmtId="0" fontId="4" fillId="68" borderId="37" applyNumberFormat="0" applyProtection="0">
      <alignment horizontal="left" vertical="top" indent="1"/>
    </xf>
    <xf numFmtId="0" fontId="4" fillId="68" borderId="37" applyNumberFormat="0" applyProtection="0">
      <alignment horizontal="left" vertical="top" indent="1"/>
    </xf>
    <xf numFmtId="0" fontId="4" fillId="68" borderId="37" applyNumberFormat="0" applyProtection="0">
      <alignment horizontal="left" vertical="top" indent="1"/>
    </xf>
    <xf numFmtId="0" fontId="4" fillId="68" borderId="37" applyNumberFormat="0" applyProtection="0">
      <alignment horizontal="left" vertical="top" indent="1"/>
    </xf>
    <xf numFmtId="0" fontId="4" fillId="68" borderId="37" applyNumberFormat="0" applyProtection="0">
      <alignment horizontal="left" vertical="top" indent="1"/>
    </xf>
    <xf numFmtId="0" fontId="28" fillId="86" borderId="30" applyNumberFormat="0" applyProtection="0">
      <alignment horizontal="left" vertical="center" indent="1"/>
    </xf>
    <xf numFmtId="0" fontId="28" fillId="86" borderId="30" applyNumberFormat="0" applyProtection="0">
      <alignment horizontal="left" vertical="center" indent="1"/>
    </xf>
    <xf numFmtId="0" fontId="4" fillId="87" borderId="37" applyNumberFormat="0" applyProtection="0">
      <alignment horizontal="left" vertical="center" indent="1"/>
    </xf>
    <xf numFmtId="0" fontId="4" fillId="87" borderId="37" applyNumberFormat="0" applyProtection="0">
      <alignment horizontal="left" vertical="center" indent="1"/>
    </xf>
    <xf numFmtId="0" fontId="4" fillId="87" borderId="37" applyNumberFormat="0" applyProtection="0">
      <alignment horizontal="left" vertical="center" indent="1"/>
    </xf>
    <xf numFmtId="0" fontId="4" fillId="87" borderId="37" applyNumberFormat="0" applyProtection="0">
      <alignment horizontal="left" vertical="center" indent="1"/>
    </xf>
    <xf numFmtId="0" fontId="28" fillId="86" borderId="30" applyNumberFormat="0" applyProtection="0">
      <alignment horizontal="left" vertical="center" indent="1"/>
    </xf>
    <xf numFmtId="0" fontId="4" fillId="87" borderId="37" applyNumberFormat="0" applyProtection="0">
      <alignment horizontal="left" vertical="center" indent="1"/>
    </xf>
    <xf numFmtId="0" fontId="28" fillId="86" borderId="37" applyNumberFormat="0" applyProtection="0">
      <alignment horizontal="left" vertical="top" indent="1"/>
    </xf>
    <xf numFmtId="0" fontId="28" fillId="86" borderId="37" applyNumberFormat="0" applyProtection="0">
      <alignment horizontal="left" vertical="top" indent="1"/>
    </xf>
    <xf numFmtId="0" fontId="28" fillId="86" borderId="37" applyNumberFormat="0" applyProtection="0">
      <alignment horizontal="left" vertical="top" indent="1"/>
    </xf>
    <xf numFmtId="0" fontId="4" fillId="87" borderId="37" applyNumberFormat="0" applyProtection="0">
      <alignment horizontal="left" vertical="top" indent="1"/>
    </xf>
    <xf numFmtId="0" fontId="4" fillId="87" borderId="37" applyNumberFormat="0" applyProtection="0">
      <alignment horizontal="left" vertical="top" indent="1"/>
    </xf>
    <xf numFmtId="0" fontId="4" fillId="87" borderId="37" applyNumberFormat="0" applyProtection="0">
      <alignment horizontal="left" vertical="top" indent="1"/>
    </xf>
    <xf numFmtId="0" fontId="4" fillId="87" borderId="37" applyNumberFormat="0" applyProtection="0">
      <alignment horizontal="left" vertical="top" indent="1"/>
    </xf>
    <xf numFmtId="0" fontId="4" fillId="87" borderId="37" applyNumberFormat="0" applyProtection="0">
      <alignment horizontal="left" vertical="top" indent="1"/>
    </xf>
    <xf numFmtId="0" fontId="4" fillId="87" borderId="37" applyNumberFormat="0" applyProtection="0">
      <alignment horizontal="left" vertical="top" indent="1"/>
    </xf>
    <xf numFmtId="0" fontId="28" fillId="81" borderId="30" applyNumberFormat="0" applyProtection="0">
      <alignment horizontal="left" vertical="center" indent="1"/>
    </xf>
    <xf numFmtId="0" fontId="28" fillId="81" borderId="30" applyNumberFormat="0" applyProtection="0">
      <alignment horizontal="left" vertical="center" indent="1"/>
    </xf>
    <xf numFmtId="0" fontId="4" fillId="88" borderId="37" applyNumberFormat="0" applyProtection="0">
      <alignment horizontal="left" vertical="center" indent="1"/>
    </xf>
    <xf numFmtId="0" fontId="4" fillId="88" borderId="37" applyNumberFormat="0" applyProtection="0">
      <alignment horizontal="left" vertical="center" indent="1"/>
    </xf>
    <xf numFmtId="0" fontId="4" fillId="88" borderId="37" applyNumberFormat="0" applyProtection="0">
      <alignment horizontal="left" vertical="center" indent="1"/>
    </xf>
    <xf numFmtId="0" fontId="4" fillId="88" borderId="37" applyNumberFormat="0" applyProtection="0">
      <alignment horizontal="left" vertical="center" indent="1"/>
    </xf>
    <xf numFmtId="0" fontId="28" fillId="81" borderId="30" applyNumberFormat="0" applyProtection="0">
      <alignment horizontal="left" vertical="center" indent="1"/>
    </xf>
    <xf numFmtId="0" fontId="4" fillId="88" borderId="37" applyNumberFormat="0" applyProtection="0">
      <alignment horizontal="left" vertical="center" indent="1"/>
    </xf>
    <xf numFmtId="0" fontId="28" fillId="81" borderId="37" applyNumberFormat="0" applyProtection="0">
      <alignment horizontal="left" vertical="top" indent="1"/>
    </xf>
    <xf numFmtId="0" fontId="28" fillId="81" borderId="37" applyNumberFormat="0" applyProtection="0">
      <alignment horizontal="left" vertical="top" indent="1"/>
    </xf>
    <xf numFmtId="0" fontId="28" fillId="81" borderId="37" applyNumberFormat="0" applyProtection="0">
      <alignment horizontal="left" vertical="top" indent="1"/>
    </xf>
    <xf numFmtId="0" fontId="4" fillId="88" borderId="37" applyNumberFormat="0" applyProtection="0">
      <alignment horizontal="left" vertical="top" indent="1"/>
    </xf>
    <xf numFmtId="0" fontId="4" fillId="88" borderId="37" applyNumberFormat="0" applyProtection="0">
      <alignment horizontal="left" vertical="top" indent="1"/>
    </xf>
    <xf numFmtId="0" fontId="4" fillId="88" borderId="37" applyNumberFormat="0" applyProtection="0">
      <alignment horizontal="left" vertical="top" indent="1"/>
    </xf>
    <xf numFmtId="0" fontId="4" fillId="88" borderId="37" applyNumberFormat="0" applyProtection="0">
      <alignment horizontal="left" vertical="top" indent="1"/>
    </xf>
    <xf numFmtId="0" fontId="4" fillId="88" borderId="37" applyNumberFormat="0" applyProtection="0">
      <alignment horizontal="left" vertical="top" indent="1"/>
    </xf>
    <xf numFmtId="0" fontId="4" fillId="88" borderId="37" applyNumberFormat="0" applyProtection="0">
      <alignment horizontal="left" vertical="top" indent="1"/>
    </xf>
    <xf numFmtId="0" fontId="28" fillId="89" borderId="40" applyNumberFormat="0">
      <protection locked="0"/>
    </xf>
    <xf numFmtId="0" fontId="28" fillId="89" borderId="40" applyNumberFormat="0">
      <protection locked="0"/>
    </xf>
    <xf numFmtId="0" fontId="28" fillId="89" borderId="40" applyNumberFormat="0">
      <protection locked="0"/>
    </xf>
    <xf numFmtId="0" fontId="4" fillId="0" borderId="0"/>
    <xf numFmtId="0" fontId="28" fillId="89" borderId="40" applyNumberFormat="0">
      <protection locked="0"/>
    </xf>
    <xf numFmtId="0" fontId="4" fillId="0" borderId="0"/>
    <xf numFmtId="0" fontId="4" fillId="0" borderId="0"/>
    <xf numFmtId="0" fontId="29" fillId="80" borderId="41" applyBorder="0"/>
    <xf numFmtId="4" fontId="51" fillId="90" borderId="37" applyNumberFormat="0" applyProtection="0">
      <alignment vertical="center"/>
    </xf>
    <xf numFmtId="4" fontId="51" fillId="90" borderId="37" applyNumberFormat="0" applyProtection="0">
      <alignment vertical="center"/>
    </xf>
    <xf numFmtId="4" fontId="36" fillId="91" borderId="37" applyNumberFormat="0" applyProtection="0">
      <alignment vertical="center"/>
    </xf>
    <xf numFmtId="4" fontId="36" fillId="91" borderId="37" applyNumberFormat="0" applyProtection="0">
      <alignment vertical="center"/>
    </xf>
    <xf numFmtId="4" fontId="47" fillId="91" borderId="29" applyNumberFormat="0" applyProtection="0">
      <alignment vertical="center"/>
    </xf>
    <xf numFmtId="4" fontId="47" fillId="91" borderId="29" applyNumberFormat="0" applyProtection="0">
      <alignment vertical="center"/>
    </xf>
    <xf numFmtId="4" fontId="52" fillId="91" borderId="37" applyNumberFormat="0" applyProtection="0">
      <alignment vertical="center"/>
    </xf>
    <xf numFmtId="4" fontId="52" fillId="91" borderId="37" applyNumberFormat="0" applyProtection="0">
      <alignment vertical="center"/>
    </xf>
    <xf numFmtId="4" fontId="51" fillId="84" borderId="37" applyNumberFormat="0" applyProtection="0">
      <alignment horizontal="left" vertical="center" indent="1"/>
    </xf>
    <xf numFmtId="4" fontId="51" fillId="84" borderId="37" applyNumberFormat="0" applyProtection="0">
      <alignment horizontal="left" vertical="center" indent="1"/>
    </xf>
    <xf numFmtId="4" fontId="36" fillId="91" borderId="37" applyNumberFormat="0" applyProtection="0">
      <alignment horizontal="left" vertical="center" indent="1"/>
    </xf>
    <xf numFmtId="4" fontId="36" fillId="91" borderId="37" applyNumberFormat="0" applyProtection="0">
      <alignment horizontal="left" vertical="center" indent="1"/>
    </xf>
    <xf numFmtId="0" fontId="51" fillId="90" borderId="37" applyNumberFormat="0" applyProtection="0">
      <alignment horizontal="left" vertical="top" indent="1"/>
    </xf>
    <xf numFmtId="0" fontId="51" fillId="90" borderId="37" applyNumberFormat="0" applyProtection="0">
      <alignment horizontal="left" vertical="top" indent="1"/>
    </xf>
    <xf numFmtId="0" fontId="36" fillId="91" borderId="37" applyNumberFormat="0" applyProtection="0">
      <alignment horizontal="left" vertical="top" indent="1"/>
    </xf>
    <xf numFmtId="0" fontId="36" fillId="91" borderId="37" applyNumberFormat="0" applyProtection="0">
      <alignment horizontal="left" vertical="top" indent="1"/>
    </xf>
    <xf numFmtId="4" fontId="28" fillId="0" borderId="30" applyNumberFormat="0" applyProtection="0">
      <alignment horizontal="right" vertical="center"/>
    </xf>
    <xf numFmtId="4" fontId="28" fillId="0" borderId="30" applyNumberFormat="0" applyProtection="0">
      <alignment horizontal="right" vertical="center"/>
    </xf>
    <xf numFmtId="4" fontId="36" fillId="81" borderId="37" applyNumberFormat="0" applyProtection="0">
      <alignment horizontal="right" vertical="center"/>
    </xf>
    <xf numFmtId="4" fontId="28" fillId="0" borderId="30" applyNumberFormat="0" applyProtection="0">
      <alignment horizontal="right" vertical="center"/>
    </xf>
    <xf numFmtId="4" fontId="36" fillId="92" borderId="36" applyNumberFormat="0" applyProtection="0">
      <alignment horizontal="right" vertical="center"/>
    </xf>
    <xf numFmtId="4" fontId="47" fillId="93" borderId="30" applyNumberFormat="0" applyProtection="0">
      <alignment horizontal="right" vertical="center"/>
    </xf>
    <xf numFmtId="4" fontId="47" fillId="93" borderId="30" applyNumberFormat="0" applyProtection="0">
      <alignment horizontal="right" vertical="center"/>
    </xf>
    <xf numFmtId="4" fontId="52" fillId="81" borderId="37" applyNumberFormat="0" applyProtection="0">
      <alignment horizontal="right" vertical="center"/>
    </xf>
    <xf numFmtId="4" fontId="52" fillId="81" borderId="37" applyNumberFormat="0" applyProtection="0">
      <alignment horizontal="right" vertical="center"/>
    </xf>
    <xf numFmtId="4" fontId="28" fillId="67" borderId="30" applyNumberFormat="0" applyProtection="0">
      <alignment horizontal="left" vertical="center" indent="1"/>
    </xf>
    <xf numFmtId="4" fontId="28" fillId="67" borderId="30" applyNumberFormat="0" applyProtection="0">
      <alignment horizontal="left" vertical="center" indent="1"/>
    </xf>
    <xf numFmtId="4" fontId="36" fillId="83" borderId="37" applyNumberFormat="0" applyProtection="0">
      <alignment horizontal="left" vertical="center" indent="1"/>
    </xf>
    <xf numFmtId="4" fontId="36" fillId="83" borderId="37" applyNumberFormat="0" applyProtection="0">
      <alignment horizontal="left" vertical="center" indent="1"/>
    </xf>
    <xf numFmtId="4" fontId="28" fillId="67" borderId="30" applyNumberFormat="0" applyProtection="0">
      <alignment horizontal="left" vertical="center" indent="1"/>
    </xf>
    <xf numFmtId="4" fontId="36" fillId="83" borderId="37" applyNumberFormat="0" applyProtection="0">
      <alignment horizontal="left" vertical="center" indent="1"/>
    </xf>
    <xf numFmtId="0" fontId="51" fillId="83" borderId="37" applyNumberFormat="0" applyProtection="0">
      <alignment horizontal="left" vertical="top" indent="1"/>
    </xf>
    <xf numFmtId="0" fontId="51" fillId="83" borderId="37" applyNumberFormat="0" applyProtection="0">
      <alignment horizontal="left" vertical="top" indent="1"/>
    </xf>
    <xf numFmtId="0" fontId="36" fillId="68" borderId="37" applyNumberFormat="0" applyProtection="0">
      <alignment horizontal="left" vertical="top" indent="1"/>
    </xf>
    <xf numFmtId="0" fontId="36" fillId="68" borderId="37" applyNumberFormat="0" applyProtection="0">
      <alignment horizontal="left" vertical="top" indent="1"/>
    </xf>
    <xf numFmtId="0" fontId="36" fillId="68" borderId="37" applyNumberFormat="0" applyProtection="0">
      <alignment horizontal="left" vertical="top" indent="1"/>
    </xf>
    <xf numFmtId="4" fontId="53" fillId="94" borderId="38" applyNumberFormat="0" applyProtection="0">
      <alignment horizontal="left" vertical="center" indent="1"/>
    </xf>
    <xf numFmtId="4" fontId="53" fillId="94" borderId="38" applyNumberFormat="0" applyProtection="0">
      <alignment horizontal="left" vertical="center" indent="1"/>
    </xf>
    <xf numFmtId="4" fontId="54" fillId="94" borderId="0" applyNumberFormat="0" applyProtection="0">
      <alignment horizontal="left" vertical="center" indent="1"/>
    </xf>
    <xf numFmtId="4" fontId="54" fillId="94" borderId="0" applyNumberFormat="0" applyProtection="0">
      <alignment horizontal="left" vertical="center" indent="1"/>
    </xf>
    <xf numFmtId="0" fontId="28" fillId="95" borderId="29"/>
    <xf numFmtId="0" fontId="28" fillId="95" borderId="29"/>
    <xf numFmtId="4" fontId="55" fillId="89" borderId="30" applyNumberFormat="0" applyProtection="0">
      <alignment horizontal="right" vertical="center"/>
    </xf>
    <xf numFmtId="4" fontId="55" fillId="89" borderId="30" applyNumberFormat="0" applyProtection="0">
      <alignment horizontal="right" vertical="center"/>
    </xf>
    <xf numFmtId="4" fontId="56" fillId="81" borderId="37" applyNumberFormat="0" applyProtection="0">
      <alignment horizontal="right" vertical="center"/>
    </xf>
    <xf numFmtId="4" fontId="56" fillId="81" borderId="37" applyNumberFormat="0" applyProtection="0">
      <alignment horizontal="right" vertical="center"/>
    </xf>
    <xf numFmtId="0" fontId="57" fillId="0" borderId="0" applyNumberFormat="0" applyFill="0" applyBorder="0" applyAlignment="0" applyProtection="0"/>
    <xf numFmtId="0" fontId="38" fillId="0" borderId="42" applyNumberFormat="0" applyFill="0" applyAlignment="0" applyProtection="0"/>
    <xf numFmtId="0" fontId="3" fillId="0" borderId="28" applyNumberFormat="0" applyFill="0" applyAlignment="0" applyProtection="0"/>
    <xf numFmtId="0" fontId="5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41" borderId="0" applyNumberFormat="0" applyBorder="0" applyAlignment="0" applyProtection="0"/>
    <xf numFmtId="0" fontId="32" fillId="4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56" borderId="0" applyNumberFormat="0" applyBorder="0" applyAlignment="0" applyProtection="0"/>
    <xf numFmtId="4" fontId="48" fillId="66" borderId="37" applyNumberFormat="0" applyProtection="0">
      <alignment vertical="center"/>
    </xf>
    <xf numFmtId="4" fontId="46" fillId="66" borderId="37" applyNumberFormat="0" applyProtection="0">
      <alignment horizontal="left" vertical="center" indent="1"/>
    </xf>
    <xf numFmtId="0" fontId="46" fillId="66" borderId="37" applyNumberFormat="0" applyProtection="0">
      <alignment horizontal="left" vertical="top" indent="1"/>
    </xf>
    <xf numFmtId="4" fontId="46" fillId="83" borderId="0" applyNumberFormat="0" applyProtection="0">
      <alignment horizontal="left" vertical="center" indent="1"/>
    </xf>
    <xf numFmtId="0" fontId="4" fillId="80" borderId="37" applyNumberFormat="0" applyProtection="0">
      <alignment horizontal="left" vertical="center" indent="1"/>
    </xf>
    <xf numFmtId="0" fontId="4" fillId="80" borderId="37" applyNumberFormat="0" applyProtection="0">
      <alignment horizontal="left" vertical="top" indent="1"/>
    </xf>
    <xf numFmtId="0" fontId="4" fillId="80" borderId="37" applyNumberFormat="0" applyProtection="0">
      <alignment horizontal="left" vertical="top" indent="1"/>
    </xf>
    <xf numFmtId="0" fontId="4" fillId="83" borderId="37" applyNumberFormat="0" applyProtection="0">
      <alignment horizontal="left" vertical="top" indent="1"/>
    </xf>
    <xf numFmtId="0" fontId="4" fillId="86" borderId="37" applyNumberFormat="0" applyProtection="0">
      <alignment horizontal="left" vertical="top" indent="1"/>
    </xf>
    <xf numFmtId="0" fontId="4" fillId="83" borderId="37" applyNumberFormat="0" applyProtection="0">
      <alignment horizontal="left" vertical="top" indent="1"/>
    </xf>
    <xf numFmtId="4" fontId="50" fillId="80" borderId="0" applyNumberFormat="0" applyProtection="0">
      <alignment horizontal="left" vertical="center" indent="1"/>
    </xf>
    <xf numFmtId="0" fontId="4" fillId="81" borderId="37" applyNumberFormat="0" applyProtection="0">
      <alignment horizontal="left" vertical="top" indent="1"/>
    </xf>
    <xf numFmtId="0" fontId="4" fillId="89" borderId="29" applyNumberFormat="0">
      <protection locked="0"/>
    </xf>
    <xf numFmtId="4" fontId="36" fillId="83" borderId="0" applyNumberFormat="0" applyProtection="0">
      <alignment horizontal="left" vertical="center" indent="1"/>
    </xf>
    <xf numFmtId="0" fontId="4" fillId="80" borderId="37" applyNumberFormat="0" applyProtection="0">
      <alignment horizontal="left" vertical="center" indent="1"/>
    </xf>
    <xf numFmtId="0" fontId="4" fillId="80" borderId="37" applyNumberFormat="0" applyProtection="0">
      <alignment horizontal="left" vertical="top" indent="1"/>
    </xf>
    <xf numFmtId="0" fontId="4" fillId="83" borderId="37" applyNumberFormat="0" applyProtection="0">
      <alignment horizontal="left" vertical="center" indent="1"/>
    </xf>
    <xf numFmtId="0" fontId="4" fillId="83" borderId="37" applyNumberFormat="0" applyProtection="0">
      <alignment horizontal="left" vertical="top" indent="1"/>
    </xf>
    <xf numFmtId="0" fontId="4" fillId="86" borderId="37" applyNumberFormat="0" applyProtection="0">
      <alignment horizontal="left" vertical="center" indent="1"/>
    </xf>
    <xf numFmtId="0" fontId="4" fillId="86" borderId="37" applyNumberFormat="0" applyProtection="0">
      <alignment horizontal="left" vertical="top" indent="1"/>
    </xf>
    <xf numFmtId="0" fontId="4" fillId="81" borderId="37" applyNumberFormat="0" applyProtection="0">
      <alignment horizontal="left" vertical="center" indent="1"/>
    </xf>
    <xf numFmtId="0" fontId="4" fillId="81" borderId="37" applyNumberFormat="0" applyProtection="0">
      <alignment horizontal="left" vertical="top" indent="1"/>
    </xf>
    <xf numFmtId="0" fontId="4" fillId="89" borderId="29" applyNumberFormat="0">
      <protection locked="0"/>
    </xf>
    <xf numFmtId="4" fontId="36" fillId="90" borderId="37" applyNumberFormat="0" applyProtection="0">
      <alignment vertical="center"/>
    </xf>
    <xf numFmtId="4" fontId="52" fillId="90" borderId="37" applyNumberFormat="0" applyProtection="0">
      <alignment vertical="center"/>
    </xf>
    <xf numFmtId="4" fontId="36" fillId="90" borderId="37" applyNumberFormat="0" applyProtection="0">
      <alignment horizontal="left" vertical="center" indent="1"/>
    </xf>
    <xf numFmtId="0" fontId="36" fillId="90" borderId="37" applyNumberFormat="0" applyProtection="0">
      <alignment horizontal="left" vertical="top" indent="1"/>
    </xf>
    <xf numFmtId="0" fontId="4" fillId="86" borderId="37" applyNumberFormat="0" applyProtection="0">
      <alignment horizontal="left" vertical="top" indent="1"/>
    </xf>
    <xf numFmtId="0" fontId="4" fillId="89" borderId="29" applyNumberFormat="0">
      <protection locked="0"/>
    </xf>
    <xf numFmtId="0" fontId="36" fillId="83" borderId="37" applyNumberFormat="0" applyProtection="0">
      <alignment horizontal="left" vertical="top" indent="1"/>
    </xf>
    <xf numFmtId="0" fontId="4" fillId="81" borderId="37" applyNumberFormat="0" applyProtection="0">
      <alignment horizontal="left" vertical="top" indent="1"/>
    </xf>
    <xf numFmtId="0" fontId="4" fillId="89" borderId="29" applyNumberFormat="0">
      <protection locked="0"/>
    </xf>
    <xf numFmtId="0" fontId="4" fillId="80" borderId="37" applyNumberFormat="0" applyProtection="0">
      <alignment horizontal="left" vertical="center" indent="1"/>
    </xf>
    <xf numFmtId="0" fontId="4" fillId="80" borderId="37" applyNumberFormat="0" applyProtection="0">
      <alignment horizontal="left" vertical="center" indent="1"/>
    </xf>
    <xf numFmtId="0" fontId="4" fillId="80" borderId="37" applyNumberFormat="0" applyProtection="0">
      <alignment horizontal="left" vertical="top" indent="1"/>
    </xf>
    <xf numFmtId="0" fontId="4" fillId="80" borderId="37" applyNumberFormat="0" applyProtection="0">
      <alignment horizontal="left" vertical="top" indent="1"/>
    </xf>
    <xf numFmtId="0" fontId="4" fillId="83" borderId="37" applyNumberFormat="0" applyProtection="0">
      <alignment horizontal="left" vertical="top" indent="1"/>
    </xf>
    <xf numFmtId="0" fontId="4" fillId="86" borderId="37" applyNumberFormat="0" applyProtection="0">
      <alignment horizontal="left" vertical="top" indent="1"/>
    </xf>
    <xf numFmtId="0" fontId="4" fillId="83" borderId="37" applyNumberFormat="0" applyProtection="0">
      <alignment horizontal="left" vertical="top" indent="1"/>
    </xf>
    <xf numFmtId="0" fontId="4" fillId="81" borderId="37" applyNumberFormat="0" applyProtection="0">
      <alignment horizontal="left" vertical="top" indent="1"/>
    </xf>
    <xf numFmtId="0" fontId="4" fillId="89" borderId="29" applyNumberFormat="0">
      <protection locked="0"/>
    </xf>
    <xf numFmtId="0" fontId="4" fillId="86" borderId="37" applyNumberFormat="0" applyProtection="0">
      <alignment horizontal="left" vertical="top" indent="1"/>
    </xf>
    <xf numFmtId="0" fontId="4" fillId="81" borderId="37" applyNumberFormat="0" applyProtection="0">
      <alignment horizontal="left" vertical="top" indent="1"/>
    </xf>
    <xf numFmtId="0" fontId="4" fillId="89" borderId="29" applyNumberFormat="0">
      <protection locked="0"/>
    </xf>
    <xf numFmtId="0" fontId="4" fillId="89" borderId="29" applyNumberFormat="0">
      <protection locked="0"/>
    </xf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31" fillId="36" borderId="0" applyNumberFormat="0" applyBorder="0" applyAlignment="0" applyProtection="0"/>
    <xf numFmtId="0" fontId="31" fillId="38" borderId="0" applyNumberFormat="0" applyBorder="0" applyAlignment="0" applyProtection="0"/>
    <xf numFmtId="0" fontId="32" fillId="40" borderId="0" applyNumberFormat="0" applyBorder="0" applyAlignment="0" applyProtection="0"/>
    <xf numFmtId="0" fontId="31" fillId="43" borderId="0" applyNumberFormat="0" applyBorder="0" applyAlignment="0" applyProtection="0"/>
    <xf numFmtId="0" fontId="31" fillId="45" borderId="0" applyNumberFormat="0" applyBorder="0" applyAlignment="0" applyProtection="0"/>
    <xf numFmtId="0" fontId="32" fillId="46" borderId="0" applyNumberFormat="0" applyBorder="0" applyAlignment="0" applyProtection="0"/>
    <xf numFmtId="0" fontId="31" fillId="49" borderId="0" applyNumberFormat="0" applyBorder="0" applyAlignment="0" applyProtection="0"/>
    <xf numFmtId="0" fontId="31" fillId="51" borderId="0" applyNumberFormat="0" applyBorder="0" applyAlignment="0" applyProtection="0"/>
    <xf numFmtId="0" fontId="32" fillId="52" borderId="0" applyNumberFormat="0" applyBorder="0" applyAlignment="0" applyProtection="0"/>
    <xf numFmtId="0" fontId="31" fillId="43" borderId="0" applyNumberFormat="0" applyBorder="0" applyAlignment="0" applyProtection="0"/>
    <xf numFmtId="0" fontId="31" fillId="47" borderId="0" applyNumberFormat="0" applyBorder="0" applyAlignment="0" applyProtection="0"/>
    <xf numFmtId="0" fontId="32" fillId="45" borderId="0" applyNumberFormat="0" applyBorder="0" applyAlignment="0" applyProtection="0"/>
    <xf numFmtId="0" fontId="31" fillId="50" borderId="0" applyNumberFormat="0" applyBorder="0" applyAlignment="0" applyProtection="0"/>
    <xf numFmtId="0" fontId="32" fillId="40" borderId="0" applyNumberFormat="0" applyBorder="0" applyAlignment="0" applyProtection="0"/>
    <xf numFmtId="0" fontId="31" fillId="56" borderId="0" applyNumberFormat="0" applyBorder="0" applyAlignment="0" applyProtection="0"/>
    <xf numFmtId="0" fontId="32" fillId="5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8" fillId="60" borderId="0" applyNumberFormat="0" applyBorder="0" applyAlignment="0" applyProtection="0"/>
    <xf numFmtId="0" fontId="38" fillId="62" borderId="0" applyNumberFormat="0" applyBorder="0" applyAlignment="0" applyProtection="0"/>
    <xf numFmtId="0" fontId="28" fillId="65" borderId="0"/>
    <xf numFmtId="0" fontId="28" fillId="65" borderId="0"/>
    <xf numFmtId="0" fontId="28" fillId="65" borderId="0"/>
    <xf numFmtId="0" fontId="1" fillId="0" borderId="0"/>
    <xf numFmtId="0" fontId="28" fillId="65" borderId="0"/>
    <xf numFmtId="0" fontId="4" fillId="0" borderId="0"/>
    <xf numFmtId="0" fontId="4" fillId="0" borderId="0"/>
    <xf numFmtId="0" fontId="1" fillId="0" borderId="0"/>
    <xf numFmtId="0" fontId="1" fillId="0" borderId="0"/>
    <xf numFmtId="0" fontId="28" fillId="65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65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65" borderId="0"/>
    <xf numFmtId="0" fontId="28" fillId="65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65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65" borderId="0"/>
    <xf numFmtId="0" fontId="28" fillId="65" borderId="0"/>
    <xf numFmtId="0" fontId="4" fillId="0" borderId="0"/>
    <xf numFmtId="0" fontId="4" fillId="0" borderId="0"/>
    <xf numFmtId="0" fontId="4" fillId="0" borderId="0"/>
    <xf numFmtId="0" fontId="28" fillId="65" borderId="0"/>
    <xf numFmtId="0" fontId="28" fillId="65" borderId="0"/>
    <xf numFmtId="0" fontId="28" fillId="65" borderId="0"/>
    <xf numFmtId="0" fontId="28" fillId="55" borderId="30" applyNumberFormat="0" applyFont="0" applyAlignment="0" applyProtection="0"/>
    <xf numFmtId="0" fontId="28" fillId="55" borderId="30" applyNumberFormat="0" applyFont="0" applyAlignment="0" applyProtection="0"/>
    <xf numFmtId="0" fontId="28" fillId="55" borderId="30" applyNumberFormat="0" applyFont="0" applyAlignment="0" applyProtection="0"/>
    <xf numFmtId="0" fontId="1" fillId="10" borderId="27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8" fillId="66" borderId="30" applyNumberFormat="0" applyProtection="0">
      <alignment vertical="center"/>
    </xf>
    <xf numFmtId="4" fontId="28" fillId="66" borderId="30" applyNumberFormat="0" applyProtection="0">
      <alignment vertical="center"/>
    </xf>
    <xf numFmtId="4" fontId="28" fillId="66" borderId="30" applyNumberFormat="0" applyProtection="0">
      <alignment vertical="center"/>
    </xf>
    <xf numFmtId="4" fontId="47" fillId="35" borderId="30" applyNumberFormat="0" applyProtection="0">
      <alignment vertical="center"/>
    </xf>
    <xf numFmtId="4" fontId="28" fillId="35" borderId="30" applyNumberFormat="0" applyProtection="0">
      <alignment horizontal="left" vertical="center" indent="1"/>
    </xf>
    <xf numFmtId="4" fontId="28" fillId="35" borderId="30" applyNumberFormat="0" applyProtection="0">
      <alignment horizontal="left" vertical="center" indent="1"/>
    </xf>
    <xf numFmtId="4" fontId="28" fillId="35" borderId="30" applyNumberFormat="0" applyProtection="0">
      <alignment horizontal="left" vertical="center" indent="1"/>
    </xf>
    <xf numFmtId="0" fontId="49" fillId="66" borderId="37" applyNumberFormat="0" applyProtection="0">
      <alignment horizontal="left" vertical="top" indent="1"/>
    </xf>
    <xf numFmtId="4" fontId="28" fillId="67" borderId="30" applyNumberFormat="0" applyProtection="0">
      <alignment horizontal="left" vertical="center" indent="1"/>
    </xf>
    <xf numFmtId="4" fontId="28" fillId="67" borderId="30" applyNumberFormat="0" applyProtection="0">
      <alignment horizontal="left" vertical="center" indent="1"/>
    </xf>
    <xf numFmtId="4" fontId="28" fillId="67" borderId="30" applyNumberFormat="0" applyProtection="0">
      <alignment horizontal="left" vertical="center" indent="1"/>
    </xf>
    <xf numFmtId="4" fontId="28" fillId="69" borderId="30" applyNumberFormat="0" applyProtection="0">
      <alignment horizontal="right" vertical="center"/>
    </xf>
    <xf numFmtId="4" fontId="28" fillId="69" borderId="30" applyNumberFormat="0" applyProtection="0">
      <alignment horizontal="right" vertical="center"/>
    </xf>
    <xf numFmtId="4" fontId="28" fillId="69" borderId="30" applyNumberFormat="0" applyProtection="0">
      <alignment horizontal="right" vertical="center"/>
    </xf>
    <xf numFmtId="4" fontId="28" fillId="70" borderId="30" applyNumberFormat="0" applyProtection="0">
      <alignment horizontal="right" vertical="center"/>
    </xf>
    <xf numFmtId="4" fontId="28" fillId="70" borderId="30" applyNumberFormat="0" applyProtection="0">
      <alignment horizontal="right" vertical="center"/>
    </xf>
    <xf numFmtId="4" fontId="28" fillId="70" borderId="30" applyNumberFormat="0" applyProtection="0">
      <alignment horizontal="right" vertical="center"/>
    </xf>
    <xf numFmtId="4" fontId="28" fillId="72" borderId="38" applyNumberFormat="0" applyProtection="0">
      <alignment horizontal="right" vertical="center"/>
    </xf>
    <xf numFmtId="4" fontId="28" fillId="72" borderId="38" applyNumberFormat="0" applyProtection="0">
      <alignment horizontal="right" vertical="center"/>
    </xf>
    <xf numFmtId="4" fontId="28" fillId="72" borderId="38" applyNumberFormat="0" applyProtection="0">
      <alignment horizontal="right" vertical="center"/>
    </xf>
    <xf numFmtId="4" fontId="28" fillId="73" borderId="30" applyNumberFormat="0" applyProtection="0">
      <alignment horizontal="right" vertical="center"/>
    </xf>
    <xf numFmtId="4" fontId="28" fillId="73" borderId="30" applyNumberFormat="0" applyProtection="0">
      <alignment horizontal="right" vertical="center"/>
    </xf>
    <xf numFmtId="4" fontId="28" fillId="73" borderId="30" applyNumberFormat="0" applyProtection="0">
      <alignment horizontal="right" vertical="center"/>
    </xf>
    <xf numFmtId="4" fontId="28" fillId="74" borderId="30" applyNumberFormat="0" applyProtection="0">
      <alignment horizontal="right" vertical="center"/>
    </xf>
    <xf numFmtId="4" fontId="28" fillId="74" borderId="30" applyNumberFormat="0" applyProtection="0">
      <alignment horizontal="right" vertical="center"/>
    </xf>
    <xf numFmtId="4" fontId="28" fillId="74" borderId="30" applyNumberFormat="0" applyProtection="0">
      <alignment horizontal="right" vertical="center"/>
    </xf>
    <xf numFmtId="4" fontId="28" fillId="75" borderId="30" applyNumberFormat="0" applyProtection="0">
      <alignment horizontal="right" vertical="center"/>
    </xf>
    <xf numFmtId="4" fontId="28" fillId="75" borderId="30" applyNumberFormat="0" applyProtection="0">
      <alignment horizontal="right" vertical="center"/>
    </xf>
    <xf numFmtId="4" fontId="28" fillId="75" borderId="30" applyNumberFormat="0" applyProtection="0">
      <alignment horizontal="right" vertical="center"/>
    </xf>
    <xf numFmtId="4" fontId="28" fillId="76" borderId="30" applyNumberFormat="0" applyProtection="0">
      <alignment horizontal="right" vertical="center"/>
    </xf>
    <xf numFmtId="4" fontId="28" fillId="76" borderId="30" applyNumberFormat="0" applyProtection="0">
      <alignment horizontal="right" vertical="center"/>
    </xf>
    <xf numFmtId="4" fontId="28" fillId="76" borderId="30" applyNumberFormat="0" applyProtection="0">
      <alignment horizontal="right" vertical="center"/>
    </xf>
    <xf numFmtId="4" fontId="28" fillId="77" borderId="30" applyNumberFormat="0" applyProtection="0">
      <alignment horizontal="right" vertical="center"/>
    </xf>
    <xf numFmtId="4" fontId="28" fillId="77" borderId="30" applyNumberFormat="0" applyProtection="0">
      <alignment horizontal="right" vertical="center"/>
    </xf>
    <xf numFmtId="4" fontId="28" fillId="77" borderId="30" applyNumberFormat="0" applyProtection="0">
      <alignment horizontal="right" vertical="center"/>
    </xf>
    <xf numFmtId="4" fontId="28" fillId="78" borderId="30" applyNumberFormat="0" applyProtection="0">
      <alignment horizontal="right" vertical="center"/>
    </xf>
    <xf numFmtId="4" fontId="28" fillId="78" borderId="30" applyNumberFormat="0" applyProtection="0">
      <alignment horizontal="right" vertical="center"/>
    </xf>
    <xf numFmtId="4" fontId="28" fillId="78" borderId="30" applyNumberFormat="0" applyProtection="0">
      <alignment horizontal="right" vertical="center"/>
    </xf>
    <xf numFmtId="4" fontId="28" fillId="79" borderId="38" applyNumberFormat="0" applyProtection="0">
      <alignment horizontal="left" vertical="center" indent="1"/>
    </xf>
    <xf numFmtId="4" fontId="28" fillId="79" borderId="38" applyNumberFormat="0" applyProtection="0">
      <alignment horizontal="left" vertical="center" indent="1"/>
    </xf>
    <xf numFmtId="4" fontId="28" fillId="79" borderId="38" applyNumberFormat="0" applyProtection="0">
      <alignment horizontal="left" vertical="center" indent="1"/>
    </xf>
    <xf numFmtId="4" fontId="4" fillId="80" borderId="38" applyNumberFormat="0" applyProtection="0">
      <alignment horizontal="left" vertical="center" indent="1"/>
    </xf>
    <xf numFmtId="4" fontId="4" fillId="80" borderId="38" applyNumberFormat="0" applyProtection="0">
      <alignment horizontal="left" vertical="center" indent="1"/>
    </xf>
    <xf numFmtId="4" fontId="28" fillId="83" borderId="30" applyNumberFormat="0" applyProtection="0">
      <alignment horizontal="right" vertical="center"/>
    </xf>
    <xf numFmtId="4" fontId="28" fillId="83" borderId="30" applyNumberFormat="0" applyProtection="0">
      <alignment horizontal="right" vertical="center"/>
    </xf>
    <xf numFmtId="4" fontId="28" fillId="83" borderId="30" applyNumberFormat="0" applyProtection="0">
      <alignment horizontal="right" vertical="center"/>
    </xf>
    <xf numFmtId="4" fontId="28" fillId="81" borderId="38" applyNumberFormat="0" applyProtection="0">
      <alignment horizontal="left" vertical="center" indent="1"/>
    </xf>
    <xf numFmtId="4" fontId="28" fillId="81" borderId="38" applyNumberFormat="0" applyProtection="0">
      <alignment horizontal="left" vertical="center" indent="1"/>
    </xf>
    <xf numFmtId="4" fontId="28" fillId="81" borderId="38" applyNumberFormat="0" applyProtection="0">
      <alignment horizontal="left" vertical="center" indent="1"/>
    </xf>
    <xf numFmtId="4" fontId="28" fillId="83" borderId="38" applyNumberFormat="0" applyProtection="0">
      <alignment horizontal="left" vertical="center" indent="1"/>
    </xf>
    <xf numFmtId="4" fontId="28" fillId="83" borderId="38" applyNumberFormat="0" applyProtection="0">
      <alignment horizontal="left" vertical="center" indent="1"/>
    </xf>
    <xf numFmtId="4" fontId="28" fillId="83" borderId="38" applyNumberFormat="0" applyProtection="0">
      <alignment horizontal="left" vertical="center" indent="1"/>
    </xf>
    <xf numFmtId="0" fontId="28" fillId="84" borderId="30" applyNumberFormat="0" applyProtection="0">
      <alignment horizontal="left" vertical="center" indent="1"/>
    </xf>
    <xf numFmtId="0" fontId="28" fillId="84" borderId="30" applyNumberFormat="0" applyProtection="0">
      <alignment horizontal="left" vertical="center" indent="1"/>
    </xf>
    <xf numFmtId="0" fontId="28" fillId="84" borderId="30" applyNumberFormat="0" applyProtection="0">
      <alignment horizontal="left" vertical="center" indent="1"/>
    </xf>
    <xf numFmtId="0" fontId="28" fillId="80" borderId="37" applyNumberFormat="0" applyProtection="0">
      <alignment horizontal="left" vertical="top" indent="1"/>
    </xf>
    <xf numFmtId="0" fontId="28" fillId="80" borderId="37" applyNumberFormat="0" applyProtection="0">
      <alignment horizontal="left" vertical="top" indent="1"/>
    </xf>
    <xf numFmtId="0" fontId="28" fillId="80" borderId="37" applyNumberFormat="0" applyProtection="0">
      <alignment horizontal="left" vertical="top" indent="1"/>
    </xf>
    <xf numFmtId="0" fontId="28" fillId="85" borderId="30" applyNumberFormat="0" applyProtection="0">
      <alignment horizontal="left" vertical="center" indent="1"/>
    </xf>
    <xf numFmtId="0" fontId="28" fillId="85" borderId="30" applyNumberFormat="0" applyProtection="0">
      <alignment horizontal="left" vertical="center" indent="1"/>
    </xf>
    <xf numFmtId="0" fontId="28" fillId="85" borderId="30" applyNumberFormat="0" applyProtection="0">
      <alignment horizontal="left" vertical="center" indent="1"/>
    </xf>
    <xf numFmtId="0" fontId="28" fillId="83" borderId="37" applyNumberFormat="0" applyProtection="0">
      <alignment horizontal="left" vertical="top" indent="1"/>
    </xf>
    <xf numFmtId="0" fontId="28" fillId="83" borderId="37" applyNumberFormat="0" applyProtection="0">
      <alignment horizontal="left" vertical="top" indent="1"/>
    </xf>
    <xf numFmtId="0" fontId="28" fillId="83" borderId="37" applyNumberFormat="0" applyProtection="0">
      <alignment horizontal="left" vertical="top" indent="1"/>
    </xf>
    <xf numFmtId="0" fontId="28" fillId="86" borderId="30" applyNumberFormat="0" applyProtection="0">
      <alignment horizontal="left" vertical="center" indent="1"/>
    </xf>
    <xf numFmtId="0" fontId="4" fillId="0" borderId="0"/>
    <xf numFmtId="0" fontId="28" fillId="86" borderId="30" applyNumberFormat="0" applyProtection="0">
      <alignment horizontal="left" vertical="center" indent="1"/>
    </xf>
    <xf numFmtId="0" fontId="28" fillId="86" borderId="30" applyNumberFormat="0" applyProtection="0">
      <alignment horizontal="left" vertical="center" indent="1"/>
    </xf>
    <xf numFmtId="0" fontId="28" fillId="86" borderId="37" applyNumberFormat="0" applyProtection="0">
      <alignment horizontal="left" vertical="top" indent="1"/>
    </xf>
    <xf numFmtId="0" fontId="28" fillId="86" borderId="37" applyNumberFormat="0" applyProtection="0">
      <alignment horizontal="left" vertical="top" indent="1"/>
    </xf>
    <xf numFmtId="0" fontId="28" fillId="86" borderId="37" applyNumberFormat="0" applyProtection="0">
      <alignment horizontal="left" vertical="top" indent="1"/>
    </xf>
    <xf numFmtId="0" fontId="28" fillId="81" borderId="30" applyNumberFormat="0" applyProtection="0">
      <alignment horizontal="left" vertical="center" indent="1"/>
    </xf>
    <xf numFmtId="0" fontId="28" fillId="81" borderId="30" applyNumberFormat="0" applyProtection="0">
      <alignment horizontal="left" vertical="center" indent="1"/>
    </xf>
    <xf numFmtId="0" fontId="28" fillId="81" borderId="30" applyNumberFormat="0" applyProtection="0">
      <alignment horizontal="left" vertical="center" indent="1"/>
    </xf>
    <xf numFmtId="0" fontId="28" fillId="81" borderId="37" applyNumberFormat="0" applyProtection="0">
      <alignment horizontal="left" vertical="top" indent="1"/>
    </xf>
    <xf numFmtId="0" fontId="28" fillId="81" borderId="37" applyNumberFormat="0" applyProtection="0">
      <alignment horizontal="left" vertical="top" indent="1"/>
    </xf>
    <xf numFmtId="0" fontId="28" fillId="81" borderId="37" applyNumberFormat="0" applyProtection="0">
      <alignment horizontal="left" vertical="top" indent="1"/>
    </xf>
    <xf numFmtId="0" fontId="28" fillId="89" borderId="40" applyNumberFormat="0">
      <protection locked="0"/>
    </xf>
    <xf numFmtId="0" fontId="28" fillId="89" borderId="40" applyNumberFormat="0">
      <protection locked="0"/>
    </xf>
    <xf numFmtId="0" fontId="28" fillId="89" borderId="40" applyNumberFormat="0">
      <protection locked="0"/>
    </xf>
    <xf numFmtId="4" fontId="51" fillId="90" borderId="37" applyNumberFormat="0" applyProtection="0">
      <alignment vertical="center"/>
    </xf>
    <xf numFmtId="4" fontId="47" fillId="91" borderId="29" applyNumberFormat="0" applyProtection="0">
      <alignment vertical="center"/>
    </xf>
    <xf numFmtId="4" fontId="51" fillId="84" borderId="37" applyNumberFormat="0" applyProtection="0">
      <alignment horizontal="left" vertical="center" indent="1"/>
    </xf>
    <xf numFmtId="0" fontId="51" fillId="90" borderId="37" applyNumberFormat="0" applyProtection="0">
      <alignment horizontal="left" vertical="top" indent="1"/>
    </xf>
    <xf numFmtId="4" fontId="28" fillId="0" borderId="30" applyNumberFormat="0" applyProtection="0">
      <alignment horizontal="right" vertical="center"/>
    </xf>
    <xf numFmtId="4" fontId="28" fillId="0" borderId="30" applyNumberFormat="0" applyProtection="0">
      <alignment horizontal="right" vertical="center"/>
    </xf>
    <xf numFmtId="4" fontId="28" fillId="0" borderId="30" applyNumberFormat="0" applyProtection="0">
      <alignment horizontal="right" vertical="center"/>
    </xf>
    <xf numFmtId="4" fontId="47" fillId="93" borderId="30" applyNumberFormat="0" applyProtection="0">
      <alignment horizontal="right" vertical="center"/>
    </xf>
    <xf numFmtId="4" fontId="28" fillId="67" borderId="30" applyNumberFormat="0" applyProtection="0">
      <alignment horizontal="left" vertical="center" indent="1"/>
    </xf>
    <xf numFmtId="4" fontId="28" fillId="67" borderId="30" applyNumberFormat="0" applyProtection="0">
      <alignment horizontal="left" vertical="center" indent="1"/>
    </xf>
    <xf numFmtId="4" fontId="28" fillId="67" borderId="30" applyNumberFormat="0" applyProtection="0">
      <alignment horizontal="left" vertical="center" indent="1"/>
    </xf>
    <xf numFmtId="0" fontId="51" fillId="83" borderId="37" applyNumberFormat="0" applyProtection="0">
      <alignment horizontal="left" vertical="top" indent="1"/>
    </xf>
    <xf numFmtId="4" fontId="53" fillId="94" borderId="38" applyNumberFormat="0" applyProtection="0">
      <alignment horizontal="left" vertical="center" indent="1"/>
    </xf>
    <xf numFmtId="0" fontId="28" fillId="95" borderId="29"/>
    <xf numFmtId="0" fontId="28" fillId="95" borderId="29"/>
    <xf numFmtId="4" fontId="55" fillId="89" borderId="30" applyNumberFormat="0" applyProtection="0">
      <alignment horizontal="right" vertical="center"/>
    </xf>
    <xf numFmtId="0" fontId="4" fillId="0" borderId="0"/>
    <xf numFmtId="44" fontId="4" fillId="0" borderId="0" applyFont="0" applyFill="0" applyBorder="0" applyAlignment="0" applyProtection="0"/>
    <xf numFmtId="4" fontId="28" fillId="73" borderId="30" applyNumberFormat="0" applyProtection="0">
      <alignment horizontal="right" vertical="center"/>
    </xf>
    <xf numFmtId="0" fontId="4" fillId="87" borderId="37" applyNumberFormat="0" applyProtection="0">
      <alignment horizontal="left" vertical="center" indent="1"/>
    </xf>
    <xf numFmtId="0" fontId="28" fillId="55" borderId="30" applyNumberFormat="0" applyFont="0" applyAlignment="0" applyProtection="0"/>
    <xf numFmtId="0" fontId="4" fillId="87" borderId="37" applyNumberFormat="0" applyProtection="0">
      <alignment horizontal="left" vertical="center" indent="1"/>
    </xf>
    <xf numFmtId="0" fontId="4" fillId="81" borderId="37" applyNumberFormat="0" applyProtection="0">
      <alignment horizontal="left" vertical="top" indent="1"/>
    </xf>
    <xf numFmtId="0" fontId="51" fillId="83" borderId="37" applyNumberFormat="0" applyProtection="0">
      <alignment horizontal="left" vertical="top" indent="1"/>
    </xf>
    <xf numFmtId="0" fontId="43" fillId="56" borderId="30" applyNumberFormat="0" applyAlignment="0" applyProtection="0"/>
    <xf numFmtId="4" fontId="28" fillId="83" borderId="38" applyNumberFormat="0" applyProtection="0">
      <alignment horizontal="left" vertical="center" indent="1"/>
    </xf>
    <xf numFmtId="4" fontId="28" fillId="74" borderId="30" applyNumberFormat="0" applyProtection="0">
      <alignment horizontal="right" vertical="center"/>
    </xf>
    <xf numFmtId="4" fontId="28" fillId="77" borderId="30" applyNumberFormat="0" applyProtection="0">
      <alignment horizontal="right" vertical="center"/>
    </xf>
    <xf numFmtId="0" fontId="49" fillId="66" borderId="37" applyNumberFormat="0" applyProtection="0">
      <alignment horizontal="left" vertical="top" indent="1"/>
    </xf>
    <xf numFmtId="4" fontId="28" fillId="35" borderId="30" applyNumberFormat="0" applyProtection="0">
      <alignment horizontal="left" vertical="center" indent="1"/>
    </xf>
    <xf numFmtId="4" fontId="28" fillId="69" borderId="30" applyNumberFormat="0" applyProtection="0">
      <alignment horizontal="right" vertical="center"/>
    </xf>
    <xf numFmtId="4" fontId="28" fillId="66" borderId="30" applyNumberFormat="0" applyProtection="0">
      <alignment vertical="center"/>
    </xf>
    <xf numFmtId="4" fontId="47" fillId="35" borderId="30" applyNumberFormat="0" applyProtection="0">
      <alignment vertical="center"/>
    </xf>
    <xf numFmtId="4" fontId="28" fillId="70" borderId="30" applyNumberFormat="0" applyProtection="0">
      <alignment horizontal="right" vertical="center"/>
    </xf>
    <xf numFmtId="0" fontId="4" fillId="87" borderId="37" applyNumberFormat="0" applyProtection="0">
      <alignment horizontal="left" vertical="center" indent="1"/>
    </xf>
    <xf numFmtId="4" fontId="28" fillId="66" borderId="30" applyNumberFormat="0" applyProtection="0">
      <alignment vertical="center"/>
    </xf>
    <xf numFmtId="4" fontId="4" fillId="80" borderId="38" applyNumberFormat="0" applyProtection="0">
      <alignment horizontal="left" vertical="center" indent="1"/>
    </xf>
    <xf numFmtId="0" fontId="4" fillId="0" borderId="0"/>
    <xf numFmtId="44" fontId="4" fillId="0" borderId="0" applyFont="0" applyFill="0" applyBorder="0" applyAlignment="0" applyProtection="0"/>
    <xf numFmtId="4" fontId="28" fillId="78" borderId="30" applyNumberFormat="0" applyProtection="0">
      <alignment horizontal="right" vertical="center"/>
    </xf>
    <xf numFmtId="4" fontId="28" fillId="83" borderId="38" applyNumberFormat="0" applyProtection="0">
      <alignment horizontal="left" vertical="center" indent="1"/>
    </xf>
    <xf numFmtId="4" fontId="28" fillId="81" borderId="38" applyNumberFormat="0" applyProtection="0">
      <alignment horizontal="left" vertical="center" indent="1"/>
    </xf>
    <xf numFmtId="4" fontId="28" fillId="79" borderId="38" applyNumberFormat="0" applyProtection="0">
      <alignment horizontal="left" vertical="center" indent="1"/>
    </xf>
    <xf numFmtId="4" fontId="28" fillId="76" borderId="30" applyNumberFormat="0" applyProtection="0">
      <alignment horizontal="right" vertical="center"/>
    </xf>
    <xf numFmtId="4" fontId="28" fillId="76" borderId="30" applyNumberFormat="0" applyProtection="0">
      <alignment horizontal="right" vertical="center"/>
    </xf>
    <xf numFmtId="4" fontId="28" fillId="74" borderId="30" applyNumberFormat="0" applyProtection="0">
      <alignment horizontal="right" vertical="center"/>
    </xf>
    <xf numFmtId="4" fontId="28" fillId="69" borderId="30" applyNumberFormat="0" applyProtection="0">
      <alignment horizontal="right" vertical="center"/>
    </xf>
    <xf numFmtId="4" fontId="28" fillId="69" borderId="30" applyNumberFormat="0" applyProtection="0">
      <alignment horizontal="right" vertical="center"/>
    </xf>
    <xf numFmtId="0" fontId="49" fillId="66" borderId="37" applyNumberFormat="0" applyProtection="0">
      <alignment horizontal="left" vertical="top" indent="1"/>
    </xf>
    <xf numFmtId="0" fontId="28" fillId="55" borderId="30" applyNumberFormat="0" applyFont="0" applyAlignment="0" applyProtection="0"/>
    <xf numFmtId="0" fontId="4" fillId="82" borderId="37" applyNumberFormat="0" applyProtection="0">
      <alignment horizontal="left" vertical="center" indent="1"/>
    </xf>
    <xf numFmtId="0" fontId="28" fillId="86" borderId="30" applyNumberFormat="0" applyProtection="0">
      <alignment horizontal="left" vertical="center" indent="1"/>
    </xf>
    <xf numFmtId="0" fontId="28" fillId="86" borderId="37" applyNumberFormat="0" applyProtection="0">
      <alignment horizontal="left" vertical="top" indent="1"/>
    </xf>
    <xf numFmtId="0" fontId="4" fillId="81" borderId="37" applyNumberFormat="0" applyProtection="0">
      <alignment horizontal="left" vertical="top" indent="1"/>
    </xf>
    <xf numFmtId="0" fontId="4" fillId="81" borderId="37" applyNumberFormat="0" applyProtection="0">
      <alignment horizontal="left" vertical="top" indent="1"/>
    </xf>
    <xf numFmtId="0" fontId="4" fillId="86" borderId="37" applyNumberFormat="0" applyProtection="0">
      <alignment horizontal="left" vertical="top" indent="1"/>
    </xf>
    <xf numFmtId="0" fontId="4" fillId="82" borderId="37" applyNumberFormat="0" applyProtection="0">
      <alignment horizontal="left" vertical="center" indent="1"/>
    </xf>
    <xf numFmtId="4" fontId="28" fillId="0" borderId="30" applyNumberFormat="0" applyProtection="0">
      <alignment horizontal="right" vertical="center"/>
    </xf>
    <xf numFmtId="0" fontId="51" fillId="83" borderId="37" applyNumberFormat="0" applyProtection="0">
      <alignment horizontal="left" vertical="top" indent="1"/>
    </xf>
    <xf numFmtId="4" fontId="36" fillId="91" borderId="37" applyNumberFormat="0" applyProtection="0">
      <alignment horizontal="left" vertical="center" indent="1"/>
    </xf>
    <xf numFmtId="0" fontId="28" fillId="81" borderId="37" applyNumberFormat="0" applyProtection="0">
      <alignment horizontal="left" vertical="top" indent="1"/>
    </xf>
    <xf numFmtId="0" fontId="28" fillId="81" borderId="37" applyNumberFormat="0" applyProtection="0">
      <alignment horizontal="left" vertical="top" indent="1"/>
    </xf>
    <xf numFmtId="4" fontId="28" fillId="79" borderId="38" applyNumberFormat="0" applyProtection="0">
      <alignment horizontal="left" vertical="center" indent="1"/>
    </xf>
    <xf numFmtId="4" fontId="36" fillId="77" borderId="37" applyNumberFormat="0" applyProtection="0">
      <alignment horizontal="right" vertical="center"/>
    </xf>
    <xf numFmtId="4" fontId="36" fillId="74" borderId="37" applyNumberFormat="0" applyProtection="0">
      <alignment horizontal="right" vertical="center"/>
    </xf>
    <xf numFmtId="4" fontId="28" fillId="72" borderId="38" applyNumberFormat="0" applyProtection="0">
      <alignment horizontal="right" vertical="center"/>
    </xf>
    <xf numFmtId="4" fontId="48" fillId="35" borderId="37" applyNumberFormat="0" applyProtection="0">
      <alignment vertical="center"/>
    </xf>
    <xf numFmtId="0" fontId="28" fillId="55" borderId="30" applyNumberFormat="0" applyFont="0" applyAlignment="0" applyProtection="0"/>
    <xf numFmtId="0" fontId="28" fillId="55" borderId="30" applyNumberFormat="0" applyFont="0" applyAlignment="0" applyProtection="0"/>
    <xf numFmtId="4" fontId="46" fillId="66" borderId="37" applyNumberFormat="0" applyProtection="0">
      <alignment vertical="center"/>
    </xf>
    <xf numFmtId="4" fontId="46" fillId="35" borderId="37" applyNumberFormat="0" applyProtection="0">
      <alignment horizontal="left" vertical="center" indent="1"/>
    </xf>
    <xf numFmtId="4" fontId="28" fillId="35" borderId="30" applyNumberFormat="0" applyProtection="0">
      <alignment horizontal="left" vertical="center" indent="1"/>
    </xf>
    <xf numFmtId="4" fontId="28" fillId="69" borderId="30" applyNumberFormat="0" applyProtection="0">
      <alignment horizontal="right" vertical="center"/>
    </xf>
    <xf numFmtId="4" fontId="28" fillId="70" borderId="30" applyNumberFormat="0" applyProtection="0">
      <alignment horizontal="right" vertical="center"/>
    </xf>
    <xf numFmtId="4" fontId="28" fillId="73" borderId="30" applyNumberFormat="0" applyProtection="0">
      <alignment horizontal="right" vertical="center"/>
    </xf>
    <xf numFmtId="4" fontId="28" fillId="75" borderId="30" applyNumberFormat="0" applyProtection="0">
      <alignment horizontal="right" vertical="center"/>
    </xf>
    <xf numFmtId="4" fontId="28" fillId="76" borderId="30" applyNumberFormat="0" applyProtection="0">
      <alignment horizontal="right" vertical="center"/>
    </xf>
    <xf numFmtId="4" fontId="36" fillId="76" borderId="37" applyNumberFormat="0" applyProtection="0">
      <alignment horizontal="right" vertical="center"/>
    </xf>
    <xf numFmtId="4" fontId="4" fillId="80" borderId="38" applyNumberFormat="0" applyProtection="0">
      <alignment horizontal="left" vertical="center" indent="1"/>
    </xf>
    <xf numFmtId="4" fontId="28" fillId="83" borderId="38" applyNumberFormat="0" applyProtection="0">
      <alignment horizontal="left" vertical="center" indent="1"/>
    </xf>
    <xf numFmtId="0" fontId="28" fillId="84" borderId="30" applyNumberFormat="0" applyProtection="0">
      <alignment horizontal="left" vertical="center" indent="1"/>
    </xf>
    <xf numFmtId="4" fontId="47" fillId="91" borderId="43" applyNumberFormat="0" applyProtection="0">
      <alignment vertical="center"/>
    </xf>
    <xf numFmtId="0" fontId="28" fillId="80" borderId="37" applyNumberFormat="0" applyProtection="0">
      <alignment horizontal="left" vertical="top" indent="1"/>
    </xf>
    <xf numFmtId="0" fontId="4" fillId="82" borderId="37" applyNumberFormat="0" applyProtection="0">
      <alignment horizontal="left" vertical="top" indent="1"/>
    </xf>
    <xf numFmtId="0" fontId="28" fillId="83" borderId="37" applyNumberFormat="0" applyProtection="0">
      <alignment horizontal="left" vertical="top" indent="1"/>
    </xf>
    <xf numFmtId="0" fontId="28" fillId="55" borderId="30" applyNumberFormat="0" applyFont="0" applyAlignment="0" applyProtection="0"/>
    <xf numFmtId="4" fontId="36" fillId="71" borderId="37" applyNumberFormat="0" applyProtection="0">
      <alignment horizontal="right" vertical="center"/>
    </xf>
    <xf numFmtId="0" fontId="28" fillId="83" borderId="37" applyNumberFormat="0" applyProtection="0">
      <alignment horizontal="left" vertical="top" indent="1"/>
    </xf>
    <xf numFmtId="4" fontId="36" fillId="90" borderId="37" applyNumberFormat="0" applyProtection="0">
      <alignment horizontal="left" vertical="center" indent="1"/>
    </xf>
    <xf numFmtId="4" fontId="47" fillId="93" borderId="30" applyNumberFormat="0" applyProtection="0">
      <alignment horizontal="right" vertical="center"/>
    </xf>
    <xf numFmtId="4" fontId="36" fillId="91" borderId="37" applyNumberFormat="0" applyProtection="0">
      <alignment vertical="center"/>
    </xf>
    <xf numFmtId="0" fontId="4" fillId="88" borderId="37" applyNumberFormat="0" applyProtection="0">
      <alignment horizontal="left" vertical="top" indent="1"/>
    </xf>
    <xf numFmtId="0" fontId="4" fillId="82" borderId="37" applyNumberFormat="0" applyProtection="0">
      <alignment horizontal="left" vertical="top" indent="1"/>
    </xf>
    <xf numFmtId="0" fontId="28" fillId="84" borderId="30" applyNumberFormat="0" applyProtection="0">
      <alignment horizontal="left" vertical="center" indent="1"/>
    </xf>
    <xf numFmtId="4" fontId="28" fillId="83" borderId="30" applyNumberFormat="0" applyProtection="0">
      <alignment horizontal="right" vertical="center"/>
    </xf>
    <xf numFmtId="4" fontId="28" fillId="72" borderId="38" applyNumberFormat="0" applyProtection="0">
      <alignment horizontal="right" vertical="center"/>
    </xf>
    <xf numFmtId="4" fontId="28" fillId="72" borderId="38" applyNumberFormat="0" applyProtection="0">
      <alignment horizontal="right" vertical="center"/>
    </xf>
    <xf numFmtId="4" fontId="28" fillId="72" borderId="38" applyNumberFormat="0" applyProtection="0">
      <alignment horizontal="right" vertical="center"/>
    </xf>
    <xf numFmtId="4" fontId="28" fillId="70" borderId="30" applyNumberFormat="0" applyProtection="0">
      <alignment horizontal="right" vertical="center"/>
    </xf>
    <xf numFmtId="4" fontId="28" fillId="69" borderId="30" applyNumberFormat="0" applyProtection="0">
      <alignment horizontal="right" vertical="center"/>
    </xf>
    <xf numFmtId="0" fontId="28" fillId="86" borderId="30" applyNumberFormat="0" applyProtection="0">
      <alignment horizontal="left" vertical="center" indent="1"/>
    </xf>
    <xf numFmtId="0" fontId="4" fillId="68" borderId="37" applyNumberFormat="0" applyProtection="0">
      <alignment horizontal="left" vertical="top" indent="1"/>
    </xf>
    <xf numFmtId="4" fontId="4" fillId="80" borderId="38" applyNumberFormat="0" applyProtection="0">
      <alignment horizontal="left" vertical="center" indent="1"/>
    </xf>
    <xf numFmtId="0" fontId="4" fillId="68" borderId="37" applyNumberFormat="0" applyProtection="0">
      <alignment horizontal="left" vertical="center" indent="1"/>
    </xf>
    <xf numFmtId="4" fontId="28" fillId="79" borderId="38" applyNumberFormat="0" applyProtection="0">
      <alignment horizontal="left" vertical="center" indent="1"/>
    </xf>
    <xf numFmtId="0" fontId="28" fillId="86" borderId="30" applyNumberFormat="0" applyProtection="0">
      <alignment horizontal="left" vertical="center" indent="1"/>
    </xf>
    <xf numFmtId="4" fontId="28" fillId="75" borderId="30" applyNumberFormat="0" applyProtection="0">
      <alignment horizontal="right" vertical="center"/>
    </xf>
    <xf numFmtId="4" fontId="28" fillId="81" borderId="38" applyNumberFormat="0" applyProtection="0">
      <alignment horizontal="left" vertical="center" indent="1"/>
    </xf>
    <xf numFmtId="0" fontId="28" fillId="81" borderId="37" applyNumberFormat="0" applyProtection="0">
      <alignment horizontal="left" vertical="top" indent="1"/>
    </xf>
    <xf numFmtId="0" fontId="4" fillId="68" borderId="37" applyNumberFormat="0" applyProtection="0">
      <alignment horizontal="left" vertical="center" indent="1"/>
    </xf>
    <xf numFmtId="4" fontId="28" fillId="67" borderId="30" applyNumberFormat="0" applyProtection="0">
      <alignment horizontal="left" vertical="center" indent="1"/>
    </xf>
    <xf numFmtId="4" fontId="46" fillId="66" borderId="37" applyNumberFormat="0" applyProtection="0">
      <alignment horizontal="left" vertical="center" indent="1"/>
    </xf>
    <xf numFmtId="0" fontId="4" fillId="80" borderId="37" applyNumberFormat="0" applyProtection="0">
      <alignment horizontal="left" vertical="center" indent="1"/>
    </xf>
    <xf numFmtId="0" fontId="28" fillId="86" borderId="37" applyNumberFormat="0" applyProtection="0">
      <alignment horizontal="left" vertical="top" indent="1"/>
    </xf>
    <xf numFmtId="0" fontId="4" fillId="86" borderId="37" applyNumberFormat="0" applyProtection="0">
      <alignment horizontal="left" vertical="center" indent="1"/>
    </xf>
    <xf numFmtId="4" fontId="46" fillId="66" borderId="37" applyNumberFormat="0" applyProtection="0">
      <alignment vertical="center"/>
    </xf>
    <xf numFmtId="0" fontId="36" fillId="91" borderId="37" applyNumberFormat="0" applyProtection="0">
      <alignment horizontal="left" vertical="top" indent="1"/>
    </xf>
    <xf numFmtId="0" fontId="4" fillId="82" borderId="37" applyNumberFormat="0" applyProtection="0">
      <alignment horizontal="left" vertical="top" indent="1"/>
    </xf>
    <xf numFmtId="0" fontId="4" fillId="82" borderId="37" applyNumberFormat="0" applyProtection="0">
      <alignment horizontal="left" vertical="top" indent="1"/>
    </xf>
    <xf numFmtId="44" fontId="4" fillId="0" borderId="0" applyFont="0" applyFill="0" applyBorder="0" applyAlignment="0" applyProtection="0"/>
    <xf numFmtId="0" fontId="36" fillId="68" borderId="37" applyNumberFormat="0" applyProtection="0">
      <alignment horizontal="left" vertical="top" indent="1"/>
    </xf>
    <xf numFmtId="0" fontId="4" fillId="80" borderId="37" applyNumberFormat="0" applyProtection="0">
      <alignment horizontal="left" vertical="top" indent="1"/>
    </xf>
    <xf numFmtId="0" fontId="4" fillId="86" borderId="37" applyNumberFormat="0" applyProtection="0">
      <alignment horizontal="left" vertical="top" indent="1"/>
    </xf>
    <xf numFmtId="0" fontId="28" fillId="83" borderId="37" applyNumberFormat="0" applyProtection="0">
      <alignment horizontal="left" vertical="top" indent="1"/>
    </xf>
    <xf numFmtId="4" fontId="28" fillId="83" borderId="30" applyNumberFormat="0" applyProtection="0">
      <alignment horizontal="right" vertical="center"/>
    </xf>
    <xf numFmtId="4" fontId="28" fillId="78" borderId="30" applyNumberFormat="0" applyProtection="0">
      <alignment horizontal="right" vertical="center"/>
    </xf>
    <xf numFmtId="4" fontId="28" fillId="69" borderId="30" applyNumberFormat="0" applyProtection="0">
      <alignment horizontal="right" vertical="center"/>
    </xf>
    <xf numFmtId="0" fontId="4" fillId="68" borderId="37" applyNumberFormat="0" applyProtection="0">
      <alignment horizontal="left" vertical="center" indent="1"/>
    </xf>
    <xf numFmtId="4" fontId="52" fillId="90" borderId="37" applyNumberFormat="0" applyProtection="0">
      <alignment vertical="center"/>
    </xf>
    <xf numFmtId="0" fontId="4" fillId="80" borderId="37" applyNumberFormat="0" applyProtection="0">
      <alignment horizontal="left" vertical="center" indent="1"/>
    </xf>
    <xf numFmtId="0" fontId="4" fillId="80" borderId="37" applyNumberFormat="0" applyProtection="0">
      <alignment horizontal="left" vertical="top" indent="1"/>
    </xf>
    <xf numFmtId="4" fontId="56" fillId="81" borderId="37" applyNumberFormat="0" applyProtection="0">
      <alignment horizontal="right" vertical="center"/>
    </xf>
    <xf numFmtId="44" fontId="4" fillId="0" borderId="0" applyFont="0" applyFill="0" applyBorder="0" applyAlignment="0" applyProtection="0"/>
    <xf numFmtId="4" fontId="53" fillId="94" borderId="38" applyNumberFormat="0" applyProtection="0">
      <alignment horizontal="left" vertical="center" indent="1"/>
    </xf>
    <xf numFmtId="4" fontId="36" fillId="81" borderId="37" applyNumberFormat="0" applyProtection="0">
      <alignment horizontal="right" vertical="center"/>
    </xf>
    <xf numFmtId="0" fontId="51" fillId="90" borderId="37" applyNumberFormat="0" applyProtection="0">
      <alignment horizontal="left" vertical="top" indent="1"/>
    </xf>
    <xf numFmtId="4" fontId="51" fillId="84" borderId="37" applyNumberFormat="0" applyProtection="0">
      <alignment horizontal="left" vertical="center" indent="1"/>
    </xf>
    <xf numFmtId="4" fontId="51" fillId="90" borderId="37" applyNumberFormat="0" applyProtection="0">
      <alignment vertical="center"/>
    </xf>
    <xf numFmtId="0" fontId="4" fillId="88" borderId="37" applyNumberFormat="0" applyProtection="0">
      <alignment horizontal="left" vertical="top" indent="1"/>
    </xf>
    <xf numFmtId="0" fontId="28" fillId="81" borderId="30" applyNumberFormat="0" applyProtection="0">
      <alignment horizontal="left" vertical="center" indent="1"/>
    </xf>
    <xf numFmtId="0" fontId="4" fillId="87" borderId="37" applyNumberFormat="0" applyProtection="0">
      <alignment horizontal="left" vertical="top" indent="1"/>
    </xf>
    <xf numFmtId="0" fontId="28" fillId="86" borderId="37" applyNumberFormat="0" applyProtection="0">
      <alignment horizontal="left" vertical="top" indent="1"/>
    </xf>
    <xf numFmtId="0" fontId="28" fillId="86" borderId="37" applyNumberFormat="0" applyProtection="0">
      <alignment horizontal="left" vertical="top" indent="1"/>
    </xf>
    <xf numFmtId="0" fontId="4" fillId="82" borderId="37" applyNumberFormat="0" applyProtection="0">
      <alignment horizontal="left" vertical="top" indent="1"/>
    </xf>
    <xf numFmtId="0" fontId="28" fillId="80" borderId="37" applyNumberFormat="0" applyProtection="0">
      <alignment horizontal="left" vertical="top" indent="1"/>
    </xf>
    <xf numFmtId="0" fontId="4" fillId="82" borderId="37" applyNumberFormat="0" applyProtection="0">
      <alignment horizontal="left" vertical="center" indent="1"/>
    </xf>
    <xf numFmtId="0" fontId="28" fillId="84" borderId="30" applyNumberFormat="0" applyProtection="0">
      <alignment horizontal="left" vertical="center" indent="1"/>
    </xf>
    <xf numFmtId="4" fontId="28" fillId="83" borderId="30" applyNumberFormat="0" applyProtection="0">
      <alignment horizontal="right" vertical="center"/>
    </xf>
    <xf numFmtId="4" fontId="28" fillId="77" borderId="30" applyNumberFormat="0" applyProtection="0">
      <alignment horizontal="right" vertical="center"/>
    </xf>
    <xf numFmtId="4" fontId="28" fillId="77" borderId="30" applyNumberFormat="0" applyProtection="0">
      <alignment horizontal="right" vertical="center"/>
    </xf>
    <xf numFmtId="4" fontId="36" fillId="72" borderId="37" applyNumberFormat="0" applyProtection="0">
      <alignment horizontal="right" vertical="center"/>
    </xf>
    <xf numFmtId="4" fontId="36" fillId="69" borderId="37" applyNumberFormat="0" applyProtection="0">
      <alignment horizontal="right" vertical="center"/>
    </xf>
    <xf numFmtId="4" fontId="28" fillId="76" borderId="30" applyNumberFormat="0" applyProtection="0">
      <alignment horizontal="right" vertical="center"/>
    </xf>
    <xf numFmtId="4" fontId="4" fillId="80" borderId="38" applyNumberFormat="0" applyProtection="0">
      <alignment horizontal="left" vertical="center" indent="1"/>
    </xf>
    <xf numFmtId="0" fontId="28" fillId="80" borderId="37" applyNumberFormat="0" applyProtection="0">
      <alignment horizontal="left" vertical="top" indent="1"/>
    </xf>
    <xf numFmtId="4" fontId="28" fillId="66" borderId="30" applyNumberFormat="0" applyProtection="0">
      <alignment vertical="center"/>
    </xf>
    <xf numFmtId="4" fontId="28" fillId="66" borderId="30" applyNumberFormat="0" applyProtection="0">
      <alignment vertical="center"/>
    </xf>
    <xf numFmtId="0" fontId="4" fillId="83" borderId="37" applyNumberFormat="0" applyProtection="0">
      <alignment horizontal="left" vertical="top" indent="1"/>
    </xf>
    <xf numFmtId="4" fontId="28" fillId="77" borderId="30" applyNumberFormat="0" applyProtection="0">
      <alignment horizontal="right" vertical="center"/>
    </xf>
    <xf numFmtId="4" fontId="28" fillId="74" borderId="30" applyNumberFormat="0" applyProtection="0">
      <alignment horizontal="right" vertical="center"/>
    </xf>
    <xf numFmtId="4" fontId="28" fillId="67" borderId="30" applyNumberFormat="0" applyProtection="0">
      <alignment horizontal="left" vertical="center" indent="1"/>
    </xf>
    <xf numFmtId="0" fontId="4" fillId="80" borderId="37" applyNumberFormat="0" applyProtection="0">
      <alignment horizontal="left" vertical="top" indent="1"/>
    </xf>
    <xf numFmtId="4" fontId="52" fillId="81" borderId="37" applyNumberFormat="0" applyProtection="0">
      <alignment horizontal="right" vertical="center"/>
    </xf>
    <xf numFmtId="0" fontId="4" fillId="82" borderId="37" applyNumberFormat="0" applyProtection="0">
      <alignment horizontal="left" vertical="center" indent="1"/>
    </xf>
    <xf numFmtId="4" fontId="28" fillId="81" borderId="38" applyNumberFormat="0" applyProtection="0">
      <alignment horizontal="left" vertical="center" indent="1"/>
    </xf>
    <xf numFmtId="0" fontId="4" fillId="89" borderId="43" applyNumberFormat="0">
      <protection locked="0"/>
    </xf>
    <xf numFmtId="4" fontId="36" fillId="78" borderId="37" applyNumberFormat="0" applyProtection="0">
      <alignment horizontal="right" vertical="center"/>
    </xf>
    <xf numFmtId="0" fontId="28" fillId="80" borderId="37" applyNumberFormat="0" applyProtection="0">
      <alignment horizontal="left" vertical="top" indent="1"/>
    </xf>
    <xf numFmtId="4" fontId="28" fillId="81" borderId="38" applyNumberFormat="0" applyProtection="0">
      <alignment horizontal="left" vertical="center" indent="1"/>
    </xf>
    <xf numFmtId="4" fontId="28" fillId="67" borderId="30" applyNumberFormat="0" applyProtection="0">
      <alignment horizontal="left" vertical="center" indent="1"/>
    </xf>
    <xf numFmtId="4" fontId="28" fillId="70" borderId="30" applyNumberFormat="0" applyProtection="0">
      <alignment horizontal="right" vertical="center"/>
    </xf>
    <xf numFmtId="4" fontId="28" fillId="35" borderId="30" applyNumberFormat="0" applyProtection="0">
      <alignment horizontal="left" vertical="center" indent="1"/>
    </xf>
    <xf numFmtId="0" fontId="4" fillId="86" borderId="37" applyNumberFormat="0" applyProtection="0">
      <alignment horizontal="left" vertical="top" indent="1"/>
    </xf>
    <xf numFmtId="0" fontId="36" fillId="90" borderId="37" applyNumberFormat="0" applyProtection="0">
      <alignment horizontal="left" vertical="top" indent="1"/>
    </xf>
    <xf numFmtId="0" fontId="38" fillId="0" borderId="42" applyNumberFormat="0" applyFill="0" applyAlignment="0" applyProtection="0"/>
    <xf numFmtId="4" fontId="55" fillId="89" borderId="30" applyNumberFormat="0" applyProtection="0">
      <alignment horizontal="right" vertical="center"/>
    </xf>
    <xf numFmtId="4" fontId="28" fillId="67" borderId="30" applyNumberFormat="0" applyProtection="0">
      <alignment horizontal="left" vertical="center" indent="1"/>
    </xf>
    <xf numFmtId="0" fontId="4" fillId="88" borderId="37" applyNumberFormat="0" applyProtection="0">
      <alignment horizontal="left" vertical="top" indent="1"/>
    </xf>
    <xf numFmtId="0" fontId="4" fillId="82" borderId="37" applyNumberFormat="0" applyProtection="0">
      <alignment horizontal="left" vertical="top" indent="1"/>
    </xf>
    <xf numFmtId="4" fontId="4" fillId="80" borderId="38" applyNumberFormat="0" applyProtection="0">
      <alignment horizontal="left" vertical="center" indent="1"/>
    </xf>
    <xf numFmtId="4" fontId="28" fillId="78" borderId="30" applyNumberFormat="0" applyProtection="0">
      <alignment horizontal="right" vertical="center"/>
    </xf>
    <xf numFmtId="4" fontId="28" fillId="74" borderId="30" applyNumberFormat="0" applyProtection="0">
      <alignment horizontal="right" vertical="center"/>
    </xf>
    <xf numFmtId="4" fontId="36" fillId="73" borderId="37" applyNumberFormat="0" applyProtection="0">
      <alignment horizontal="right" vertical="center"/>
    </xf>
    <xf numFmtId="4" fontId="47" fillId="35" borderId="30" applyNumberFormat="0" applyProtection="0">
      <alignment vertical="center"/>
    </xf>
    <xf numFmtId="4" fontId="36" fillId="73" borderId="37" applyNumberFormat="0" applyProtection="0">
      <alignment horizontal="right" vertical="center"/>
    </xf>
    <xf numFmtId="4" fontId="28" fillId="75" borderId="30" applyNumberFormat="0" applyProtection="0">
      <alignment horizontal="right" vertical="center"/>
    </xf>
    <xf numFmtId="4" fontId="28" fillId="76" borderId="30" applyNumberFormat="0" applyProtection="0">
      <alignment horizontal="right" vertical="center"/>
    </xf>
    <xf numFmtId="4" fontId="28" fillId="83" borderId="30" applyNumberFormat="0" applyProtection="0">
      <alignment horizontal="right" vertical="center"/>
    </xf>
    <xf numFmtId="4" fontId="28" fillId="81" borderId="38" applyNumberFormat="0" applyProtection="0">
      <alignment horizontal="left" vertical="center" indent="1"/>
    </xf>
    <xf numFmtId="4" fontId="4" fillId="80" borderId="38" applyNumberFormat="0" applyProtection="0">
      <alignment horizontal="left" vertical="center" indent="1"/>
    </xf>
    <xf numFmtId="0" fontId="4" fillId="82" borderId="37" applyNumberFormat="0" applyProtection="0">
      <alignment horizontal="left" vertical="top" indent="1"/>
    </xf>
    <xf numFmtId="0" fontId="4" fillId="68" borderId="37" applyNumberFormat="0" applyProtection="0">
      <alignment horizontal="left" vertical="top" indent="1"/>
    </xf>
    <xf numFmtId="0" fontId="28" fillId="86" borderId="30" applyNumberFormat="0" applyProtection="0">
      <alignment horizontal="left" vertical="center" indent="1"/>
    </xf>
    <xf numFmtId="0" fontId="4" fillId="0" borderId="0"/>
    <xf numFmtId="0" fontId="28" fillId="95" borderId="43"/>
    <xf numFmtId="0" fontId="4" fillId="80" borderId="37" applyNumberFormat="0" applyProtection="0">
      <alignment horizontal="left" vertical="top" indent="1"/>
    </xf>
    <xf numFmtId="0" fontId="49" fillId="66" borderId="37" applyNumberFormat="0" applyProtection="0">
      <alignment horizontal="left" vertical="top" indent="1"/>
    </xf>
    <xf numFmtId="0" fontId="4" fillId="89" borderId="43" applyNumberFormat="0">
      <protection locked="0"/>
    </xf>
    <xf numFmtId="4" fontId="36" fillId="69" borderId="37" applyNumberFormat="0" applyProtection="0">
      <alignment horizontal="right" vertical="center"/>
    </xf>
    <xf numFmtId="4" fontId="28" fillId="74" borderId="30" applyNumberFormat="0" applyProtection="0">
      <alignment horizontal="right" vertical="center"/>
    </xf>
    <xf numFmtId="0" fontId="4" fillId="89" borderId="43" applyNumberFormat="0">
      <protection locked="0"/>
    </xf>
    <xf numFmtId="4" fontId="28" fillId="83" borderId="38" applyNumberFormat="0" applyProtection="0">
      <alignment horizontal="left" vertical="center" indent="1"/>
    </xf>
    <xf numFmtId="0" fontId="4" fillId="89" borderId="43" applyNumberFormat="0">
      <protection locked="0"/>
    </xf>
    <xf numFmtId="0" fontId="49" fillId="66" borderId="37" applyNumberFormat="0" applyProtection="0">
      <alignment horizontal="left" vertical="top" indent="1"/>
    </xf>
    <xf numFmtId="0" fontId="4" fillId="89" borderId="43" applyNumberFormat="0">
      <protection locked="0"/>
    </xf>
    <xf numFmtId="0" fontId="4" fillId="89" borderId="43" applyNumberFormat="0">
      <protection locked="0"/>
    </xf>
    <xf numFmtId="4" fontId="28" fillId="83" borderId="38" applyNumberFormat="0" applyProtection="0">
      <alignment horizontal="left" vertical="center" indent="1"/>
    </xf>
    <xf numFmtId="4" fontId="28" fillId="81" borderId="38" applyNumberFormat="0" applyProtection="0">
      <alignment horizontal="left" vertical="center" indent="1"/>
    </xf>
    <xf numFmtId="4" fontId="28" fillId="83" borderId="30" applyNumberFormat="0" applyProtection="0">
      <alignment horizontal="right" vertical="center"/>
    </xf>
    <xf numFmtId="4" fontId="28" fillId="75" borderId="30" applyNumberFormat="0" applyProtection="0">
      <alignment horizontal="right" vertical="center"/>
    </xf>
    <xf numFmtId="4" fontId="28" fillId="73" borderId="30" applyNumberFormat="0" applyProtection="0">
      <alignment horizontal="right" vertical="center"/>
    </xf>
    <xf numFmtId="4" fontId="28" fillId="67" borderId="30" applyNumberFormat="0" applyProtection="0">
      <alignment horizontal="left" vertical="center" indent="1"/>
    </xf>
    <xf numFmtId="0" fontId="29" fillId="80" borderId="41" applyBorder="0"/>
    <xf numFmtId="4" fontId="28" fillId="75" borderId="30" applyNumberFormat="0" applyProtection="0">
      <alignment horizontal="right" vertical="center"/>
    </xf>
    <xf numFmtId="4" fontId="28" fillId="74" borderId="30" applyNumberFormat="0" applyProtection="0">
      <alignment horizontal="right" vertical="center"/>
    </xf>
    <xf numFmtId="4" fontId="28" fillId="73" borderId="30" applyNumberFormat="0" applyProtection="0">
      <alignment horizontal="right" vertical="center"/>
    </xf>
    <xf numFmtId="4" fontId="28" fillId="73" borderId="30" applyNumberFormat="0" applyProtection="0">
      <alignment horizontal="right" vertical="center"/>
    </xf>
    <xf numFmtId="4" fontId="36" fillId="71" borderId="37" applyNumberFormat="0" applyProtection="0">
      <alignment horizontal="right" vertical="center"/>
    </xf>
    <xf numFmtId="0" fontId="46" fillId="35" borderId="37" applyNumberFormat="0" applyProtection="0">
      <alignment horizontal="left" vertical="top" indent="1"/>
    </xf>
    <xf numFmtId="0" fontId="46" fillId="35" borderId="37" applyNumberFormat="0" applyProtection="0">
      <alignment horizontal="left" vertical="top" indent="1"/>
    </xf>
    <xf numFmtId="0" fontId="49" fillId="66" borderId="37" applyNumberFormat="0" applyProtection="0">
      <alignment horizontal="left" vertical="top" indent="1"/>
    </xf>
    <xf numFmtId="4" fontId="28" fillId="66" borderId="30" applyNumberFormat="0" applyProtection="0">
      <alignment vertical="center"/>
    </xf>
    <xf numFmtId="4" fontId="46" fillId="66" borderId="37" applyNumberFormat="0" applyProtection="0">
      <alignment vertical="center"/>
    </xf>
    <xf numFmtId="0" fontId="34" fillId="59" borderId="30" applyNumberFormat="0" applyAlignment="0" applyProtection="0"/>
    <xf numFmtId="0" fontId="28" fillId="55" borderId="30" applyNumberFormat="0" applyFont="0" applyAlignment="0" applyProtection="0"/>
    <xf numFmtId="44" fontId="4" fillId="0" borderId="0" applyFont="0" applyFill="0" applyBorder="0" applyAlignment="0" applyProtection="0"/>
    <xf numFmtId="0" fontId="4" fillId="80" borderId="37" applyNumberFormat="0" applyProtection="0">
      <alignment horizontal="left" vertical="center" indent="1"/>
    </xf>
    <xf numFmtId="0" fontId="28" fillId="80" borderId="37" applyNumberFormat="0" applyProtection="0">
      <alignment horizontal="left" vertical="top" indent="1"/>
    </xf>
    <xf numFmtId="0" fontId="4" fillId="82" borderId="37" applyNumberFormat="0" applyProtection="0">
      <alignment horizontal="left" vertical="center" indent="1"/>
    </xf>
    <xf numFmtId="4" fontId="28" fillId="35" borderId="30" applyNumberFormat="0" applyProtection="0">
      <alignment horizontal="left" vertical="center" indent="1"/>
    </xf>
    <xf numFmtId="0" fontId="45" fillId="59" borderId="36" applyNumberFormat="0" applyAlignment="0" applyProtection="0"/>
    <xf numFmtId="0" fontId="28" fillId="83" borderId="37" applyNumberFormat="0" applyProtection="0">
      <alignment horizontal="left" vertical="top" indent="1"/>
    </xf>
    <xf numFmtId="0" fontId="28" fillId="55" borderId="30" applyNumberFormat="0" applyFont="0" applyAlignment="0" applyProtection="0"/>
    <xf numFmtId="4" fontId="28" fillId="35" borderId="30" applyNumberFormat="0" applyProtection="0">
      <alignment horizontal="left" vertical="center" indent="1"/>
    </xf>
    <xf numFmtId="4" fontId="28" fillId="70" borderId="30" applyNumberFormat="0" applyProtection="0">
      <alignment horizontal="right" vertical="center"/>
    </xf>
    <xf numFmtId="0" fontId="28" fillId="55" borderId="30" applyNumberFormat="0" applyFont="0" applyAlignment="0" applyProtection="0"/>
    <xf numFmtId="0" fontId="4" fillId="87" borderId="37" applyNumberFormat="0" applyProtection="0">
      <alignment horizontal="left" vertical="top" indent="1"/>
    </xf>
    <xf numFmtId="0" fontId="28" fillId="84" borderId="30" applyNumberFormat="0" applyProtection="0">
      <alignment horizontal="left" vertical="center" indent="1"/>
    </xf>
    <xf numFmtId="4" fontId="28" fillId="76" borderId="30" applyNumberFormat="0" applyProtection="0">
      <alignment horizontal="right" vertical="center"/>
    </xf>
    <xf numFmtId="4" fontId="47" fillId="35" borderId="30" applyNumberFormat="0" applyProtection="0">
      <alignment vertical="center"/>
    </xf>
    <xf numFmtId="0" fontId="28" fillId="55" borderId="30" applyNumberFormat="0" applyFont="0" applyAlignment="0" applyProtection="0"/>
    <xf numFmtId="0" fontId="28" fillId="84" borderId="30" applyNumberFormat="0" applyProtection="0">
      <alignment horizontal="left" vertical="center" indent="1"/>
    </xf>
    <xf numFmtId="4" fontId="4" fillId="80" borderId="38" applyNumberFormat="0" applyProtection="0">
      <alignment horizontal="left" vertical="center" indent="1"/>
    </xf>
    <xf numFmtId="0" fontId="4" fillId="88" borderId="37" applyNumberFormat="0" applyProtection="0">
      <alignment horizontal="left" vertical="center" indent="1"/>
    </xf>
    <xf numFmtId="0" fontId="4" fillId="87" borderId="37" applyNumberFormat="0" applyProtection="0">
      <alignment horizontal="left" vertical="center" indent="1"/>
    </xf>
    <xf numFmtId="4" fontId="28" fillId="35" borderId="30" applyNumberFormat="0" applyProtection="0">
      <alignment horizontal="left" vertical="center" indent="1"/>
    </xf>
    <xf numFmtId="0" fontId="28" fillId="86" borderId="37" applyNumberFormat="0" applyProtection="0">
      <alignment horizontal="left" vertical="top" indent="1"/>
    </xf>
    <xf numFmtId="4" fontId="28" fillId="0" borderId="30" applyNumberFormat="0" applyProtection="0">
      <alignment horizontal="right" vertical="center"/>
    </xf>
    <xf numFmtId="0" fontId="4" fillId="83" borderId="37" applyNumberFormat="0" applyProtection="0">
      <alignment horizontal="left" vertical="top" indent="1"/>
    </xf>
    <xf numFmtId="4" fontId="28" fillId="83" borderId="38" applyNumberFormat="0" applyProtection="0">
      <alignment horizontal="left" vertical="center" indent="1"/>
    </xf>
    <xf numFmtId="0" fontId="28" fillId="85" borderId="30" applyNumberFormat="0" applyProtection="0">
      <alignment horizontal="left" vertical="center" indent="1"/>
    </xf>
    <xf numFmtId="4" fontId="55" fillId="89" borderId="30" applyNumberFormat="0" applyProtection="0">
      <alignment horizontal="right" vertical="center"/>
    </xf>
    <xf numFmtId="4" fontId="53" fillId="94" borderId="38" applyNumberFormat="0" applyProtection="0">
      <alignment horizontal="left" vertical="center" indent="1"/>
    </xf>
    <xf numFmtId="0" fontId="36" fillId="68" borderId="37" applyNumberFormat="0" applyProtection="0">
      <alignment horizontal="left" vertical="top" indent="1"/>
    </xf>
    <xf numFmtId="0" fontId="51" fillId="90" borderId="37" applyNumberFormat="0" applyProtection="0">
      <alignment horizontal="left" vertical="top" indent="1"/>
    </xf>
    <xf numFmtId="4" fontId="51" fillId="84" borderId="37" applyNumberFormat="0" applyProtection="0">
      <alignment horizontal="left" vertical="center" indent="1"/>
    </xf>
    <xf numFmtId="4" fontId="52" fillId="91" borderId="37" applyNumberFormat="0" applyProtection="0">
      <alignment vertical="center"/>
    </xf>
    <xf numFmtId="4" fontId="51" fillId="90" borderId="37" applyNumberFormat="0" applyProtection="0">
      <alignment vertical="center"/>
    </xf>
    <xf numFmtId="0" fontId="28" fillId="81" borderId="30" applyNumberFormat="0" applyProtection="0">
      <alignment horizontal="left" vertical="center" indent="1"/>
    </xf>
    <xf numFmtId="0" fontId="4" fillId="88" borderId="37" applyNumberFormat="0" applyProtection="0">
      <alignment horizontal="left" vertical="center" indent="1"/>
    </xf>
    <xf numFmtId="0" fontId="4" fillId="88" borderId="37" applyNumberFormat="0" applyProtection="0">
      <alignment horizontal="left" vertical="center" indent="1"/>
    </xf>
    <xf numFmtId="0" fontId="4" fillId="87" borderId="37" applyNumberFormat="0" applyProtection="0">
      <alignment horizontal="left" vertical="top" indent="1"/>
    </xf>
    <xf numFmtId="0" fontId="4" fillId="87" borderId="37" applyNumberFormat="0" applyProtection="0">
      <alignment horizontal="left" vertical="top" indent="1"/>
    </xf>
    <xf numFmtId="0" fontId="28" fillId="86" borderId="37" applyNumberFormat="0" applyProtection="0">
      <alignment horizontal="left" vertical="top" indent="1"/>
    </xf>
    <xf numFmtId="0" fontId="4" fillId="68" borderId="37" applyNumberFormat="0" applyProtection="0">
      <alignment horizontal="left" vertical="top" indent="1"/>
    </xf>
    <xf numFmtId="0" fontId="4" fillId="68" borderId="37" applyNumberFormat="0" applyProtection="0">
      <alignment horizontal="left" vertical="top" indent="1"/>
    </xf>
    <xf numFmtId="0" fontId="28" fillId="85" borderId="30" applyNumberFormat="0" applyProtection="0">
      <alignment horizontal="left" vertical="center" indent="1"/>
    </xf>
    <xf numFmtId="0" fontId="4" fillId="68" borderId="37" applyNumberFormat="0" applyProtection="0">
      <alignment horizontal="left" vertical="center" indent="1"/>
    </xf>
    <xf numFmtId="0" fontId="28" fillId="85" borderId="30" applyNumberFormat="0" applyProtection="0">
      <alignment horizontal="left" vertical="center" indent="1"/>
    </xf>
    <xf numFmtId="0" fontId="28" fillId="80" borderId="37" applyNumberFormat="0" applyProtection="0">
      <alignment horizontal="left" vertical="top" indent="1"/>
    </xf>
    <xf numFmtId="0" fontId="28" fillId="80" borderId="37" applyNumberFormat="0" applyProtection="0">
      <alignment horizontal="left" vertical="top" indent="1"/>
    </xf>
    <xf numFmtId="0" fontId="4" fillId="82" borderId="37" applyNumberFormat="0" applyProtection="0">
      <alignment horizontal="left" vertical="center" indent="1"/>
    </xf>
    <xf numFmtId="4" fontId="28" fillId="81" borderId="38" applyNumberFormat="0" applyProtection="0">
      <alignment horizontal="left" vertical="center" indent="1"/>
    </xf>
    <xf numFmtId="4" fontId="36" fillId="83" borderId="37" applyNumberFormat="0" applyProtection="0">
      <alignment horizontal="right" vertical="center"/>
    </xf>
    <xf numFmtId="4" fontId="28" fillId="79" borderId="38" applyNumberFormat="0" applyProtection="0">
      <alignment horizontal="left" vertical="center" indent="1"/>
    </xf>
    <xf numFmtId="4" fontId="28" fillId="76" borderId="30" applyNumberFormat="0" applyProtection="0">
      <alignment horizontal="right" vertical="center"/>
    </xf>
    <xf numFmtId="4" fontId="36" fillId="76" borderId="37" applyNumberFormat="0" applyProtection="0">
      <alignment horizontal="right" vertical="center"/>
    </xf>
    <xf numFmtId="0" fontId="43" fillId="56" borderId="30" applyNumberFormat="0" applyAlignment="0" applyProtection="0"/>
    <xf numFmtId="0" fontId="45" fillId="59" borderId="36" applyNumberFormat="0" applyAlignment="0" applyProtection="0"/>
    <xf numFmtId="0" fontId="46" fillId="35" borderId="37" applyNumberFormat="0" applyProtection="0">
      <alignment horizontal="left" vertical="top" indent="1"/>
    </xf>
    <xf numFmtId="4" fontId="28" fillId="67" borderId="30" applyNumberFormat="0" applyProtection="0">
      <alignment horizontal="left" vertical="center" indent="1"/>
    </xf>
    <xf numFmtId="4" fontId="28" fillId="74" borderId="30" applyNumberFormat="0" applyProtection="0">
      <alignment horizontal="right" vertical="center"/>
    </xf>
    <xf numFmtId="4" fontId="36" fillId="75" borderId="37" applyNumberFormat="0" applyProtection="0">
      <alignment horizontal="right" vertical="center"/>
    </xf>
    <xf numFmtId="4" fontId="28" fillId="79" borderId="38" applyNumberFormat="0" applyProtection="0">
      <alignment horizontal="left" vertical="center" indent="1"/>
    </xf>
    <xf numFmtId="4" fontId="28" fillId="81" borderId="38" applyNumberFormat="0" applyProtection="0">
      <alignment horizontal="left" vertical="center" indent="1"/>
    </xf>
    <xf numFmtId="0" fontId="28" fillId="85" borderId="30" applyNumberFormat="0" applyProtection="0">
      <alignment horizontal="left" vertical="center" indent="1"/>
    </xf>
    <xf numFmtId="0" fontId="4" fillId="68" borderId="37" applyNumberFormat="0" applyProtection="0">
      <alignment horizontal="left" vertical="center" indent="1"/>
    </xf>
    <xf numFmtId="4" fontId="28" fillId="72" borderId="38" applyNumberFormat="0" applyProtection="0">
      <alignment horizontal="right" vertical="center"/>
    </xf>
    <xf numFmtId="4" fontId="4" fillId="80" borderId="38" applyNumberFormat="0" applyProtection="0">
      <alignment horizontal="left" vertical="center" indent="1"/>
    </xf>
    <xf numFmtId="4" fontId="28" fillId="70" borderId="30" applyNumberFormat="0" applyProtection="0">
      <alignment horizontal="right" vertical="center"/>
    </xf>
    <xf numFmtId="4" fontId="36" fillId="74" borderId="37" applyNumberFormat="0" applyProtection="0">
      <alignment horizontal="right" vertical="center"/>
    </xf>
    <xf numFmtId="0" fontId="4" fillId="86" borderId="37" applyNumberFormat="0" applyProtection="0">
      <alignment horizontal="left" vertical="top" indent="1"/>
    </xf>
    <xf numFmtId="4" fontId="36" fillId="75" borderId="37" applyNumberFormat="0" applyProtection="0">
      <alignment horizontal="right" vertical="center"/>
    </xf>
    <xf numFmtId="4" fontId="28" fillId="66" borderId="30" applyNumberFormat="0" applyProtection="0">
      <alignment vertical="center"/>
    </xf>
    <xf numFmtId="0" fontId="4" fillId="87" borderId="37" applyNumberFormat="0" applyProtection="0">
      <alignment horizontal="left" vertical="center" indent="1"/>
    </xf>
    <xf numFmtId="44" fontId="4" fillId="0" borderId="0" applyFont="0" applyFill="0" applyBorder="0" applyAlignment="0" applyProtection="0"/>
    <xf numFmtId="0" fontId="4" fillId="0" borderId="0"/>
    <xf numFmtId="4" fontId="28" fillId="72" borderId="38" applyNumberFormat="0" applyProtection="0">
      <alignment horizontal="right" vertical="center"/>
    </xf>
    <xf numFmtId="0" fontId="28" fillId="84" borderId="30" applyNumberFormat="0" applyProtection="0">
      <alignment horizontal="left" vertical="center" indent="1"/>
    </xf>
    <xf numFmtId="0" fontId="4" fillId="83" borderId="37" applyNumberFormat="0" applyProtection="0">
      <alignment horizontal="left" vertical="center" indent="1"/>
    </xf>
    <xf numFmtId="4" fontId="28" fillId="77" borderId="30" applyNumberFormat="0" applyProtection="0">
      <alignment horizontal="right" vertical="center"/>
    </xf>
    <xf numFmtId="0" fontId="4" fillId="68" borderId="37" applyNumberFormat="0" applyProtection="0">
      <alignment horizontal="left" vertical="center" indent="1"/>
    </xf>
    <xf numFmtId="0" fontId="4" fillId="89" borderId="43" applyNumberFormat="0">
      <protection locked="0"/>
    </xf>
    <xf numFmtId="4" fontId="28" fillId="35" borderId="30" applyNumberFormat="0" applyProtection="0">
      <alignment horizontal="left" vertical="center" indent="1"/>
    </xf>
    <xf numFmtId="0" fontId="4" fillId="88" borderId="37" applyNumberFormat="0" applyProtection="0">
      <alignment horizontal="left" vertical="center" indent="1"/>
    </xf>
    <xf numFmtId="4" fontId="28" fillId="77" borderId="30" applyNumberFormat="0" applyProtection="0">
      <alignment horizontal="right" vertical="center"/>
    </xf>
    <xf numFmtId="4" fontId="28" fillId="73" borderId="30" applyNumberFormat="0" applyProtection="0">
      <alignment horizontal="right" vertical="center"/>
    </xf>
    <xf numFmtId="0" fontId="28" fillId="86" borderId="30" applyNumberFormat="0" applyProtection="0">
      <alignment horizontal="left" vertical="center" indent="1"/>
    </xf>
    <xf numFmtId="0" fontId="4" fillId="82" borderId="37" applyNumberFormat="0" applyProtection="0">
      <alignment horizontal="left" vertical="center" indent="1"/>
    </xf>
    <xf numFmtId="4" fontId="28" fillId="75" borderId="30" applyNumberFormat="0" applyProtection="0">
      <alignment horizontal="right" vertical="center"/>
    </xf>
    <xf numFmtId="4" fontId="47" fillId="35" borderId="30" applyNumberFormat="0" applyProtection="0">
      <alignment vertical="center"/>
    </xf>
    <xf numFmtId="4" fontId="28" fillId="72" borderId="38" applyNumberFormat="0" applyProtection="0">
      <alignment horizontal="right" vertical="center"/>
    </xf>
    <xf numFmtId="0" fontId="28" fillId="83" borderId="37" applyNumberFormat="0" applyProtection="0">
      <alignment horizontal="left" vertical="top" indent="1"/>
    </xf>
    <xf numFmtId="0" fontId="28" fillId="85" borderId="30" applyNumberFormat="0" applyProtection="0">
      <alignment horizontal="left" vertical="center" indent="1"/>
    </xf>
    <xf numFmtId="0" fontId="28" fillId="84" borderId="30" applyNumberFormat="0" applyProtection="0">
      <alignment horizontal="left" vertical="center" indent="1"/>
    </xf>
    <xf numFmtId="0" fontId="4" fillId="88" borderId="37" applyNumberFormat="0" applyProtection="0">
      <alignment horizontal="left" vertical="top" indent="1"/>
    </xf>
    <xf numFmtId="4" fontId="28" fillId="83" borderId="38" applyNumberFormat="0" applyProtection="0">
      <alignment horizontal="left" vertical="center" indent="1"/>
    </xf>
    <xf numFmtId="0" fontId="28" fillId="86" borderId="30" applyNumberFormat="0" applyProtection="0">
      <alignment horizontal="left" vertical="center" indent="1"/>
    </xf>
    <xf numFmtId="0" fontId="4" fillId="80" borderId="37" applyNumberFormat="0" applyProtection="0">
      <alignment horizontal="left" vertical="top" indent="1"/>
    </xf>
    <xf numFmtId="4" fontId="36" fillId="78" borderId="37" applyNumberFormat="0" applyProtection="0">
      <alignment horizontal="right" vertical="center"/>
    </xf>
    <xf numFmtId="4" fontId="28" fillId="67" borderId="30" applyNumberFormat="0" applyProtection="0">
      <alignment horizontal="left" vertical="center" indent="1"/>
    </xf>
    <xf numFmtId="4" fontId="28" fillId="73" borderId="30" applyNumberFormat="0" applyProtection="0">
      <alignment horizontal="right" vertical="center"/>
    </xf>
    <xf numFmtId="0" fontId="28" fillId="95" borderId="43"/>
    <xf numFmtId="0" fontId="36" fillId="83" borderId="37" applyNumberFormat="0" applyProtection="0">
      <alignment horizontal="left" vertical="top" indent="1"/>
    </xf>
    <xf numFmtId="4" fontId="28" fillId="75" borderId="30" applyNumberFormat="0" applyProtection="0">
      <alignment horizontal="right" vertical="center"/>
    </xf>
    <xf numFmtId="4" fontId="28" fillId="66" borderId="30" applyNumberFormat="0" applyProtection="0">
      <alignment vertical="center"/>
    </xf>
    <xf numFmtId="0" fontId="4" fillId="68" borderId="37" applyNumberFormat="0" applyProtection="0">
      <alignment horizontal="left" vertical="top" indent="1"/>
    </xf>
    <xf numFmtId="0" fontId="4" fillId="83" borderId="37" applyNumberFormat="0" applyProtection="0">
      <alignment horizontal="left" vertical="top" indent="1"/>
    </xf>
    <xf numFmtId="4" fontId="46" fillId="35" borderId="37" applyNumberFormat="0" applyProtection="0">
      <alignment horizontal="left" vertical="center" indent="1"/>
    </xf>
    <xf numFmtId="0" fontId="28" fillId="85" borderId="30" applyNumberFormat="0" applyProtection="0">
      <alignment horizontal="left" vertical="center" indent="1"/>
    </xf>
    <xf numFmtId="0" fontId="28" fillId="84" borderId="30" applyNumberFormat="0" applyProtection="0">
      <alignment horizontal="left" vertical="center" indent="1"/>
    </xf>
    <xf numFmtId="4" fontId="28" fillId="79" borderId="38" applyNumberFormat="0" applyProtection="0">
      <alignment horizontal="left" vertical="center" indent="1"/>
    </xf>
    <xf numFmtId="4" fontId="28" fillId="78" borderId="30" applyNumberFormat="0" applyProtection="0">
      <alignment horizontal="right" vertical="center"/>
    </xf>
    <xf numFmtId="4" fontId="28" fillId="78" borderId="30" applyNumberFormat="0" applyProtection="0">
      <alignment horizontal="right" vertical="center"/>
    </xf>
    <xf numFmtId="4" fontId="28" fillId="77" borderId="30" applyNumberFormat="0" applyProtection="0">
      <alignment horizontal="right" vertical="center"/>
    </xf>
    <xf numFmtId="4" fontId="28" fillId="75" borderId="30" applyNumberFormat="0" applyProtection="0">
      <alignment horizontal="right" vertical="center"/>
    </xf>
    <xf numFmtId="4" fontId="28" fillId="74" borderId="30" applyNumberFormat="0" applyProtection="0">
      <alignment horizontal="right" vertical="center"/>
    </xf>
    <xf numFmtId="4" fontId="28" fillId="67" borderId="30" applyNumberFormat="0" applyProtection="0">
      <alignment horizontal="left" vertical="center" indent="1"/>
    </xf>
    <xf numFmtId="4" fontId="28" fillId="70" borderId="30" applyNumberFormat="0" applyProtection="0">
      <alignment horizontal="right" vertical="center"/>
    </xf>
    <xf numFmtId="4" fontId="28" fillId="35" borderId="30" applyNumberFormat="0" applyProtection="0">
      <alignment horizontal="left" vertical="center" indent="1"/>
    </xf>
    <xf numFmtId="0" fontId="28" fillId="84" borderId="30" applyNumberFormat="0" applyProtection="0">
      <alignment horizontal="left" vertical="center" indent="1"/>
    </xf>
    <xf numFmtId="0" fontId="28" fillId="83" borderId="37" applyNumberFormat="0" applyProtection="0">
      <alignment horizontal="left" vertical="top" indent="1"/>
    </xf>
    <xf numFmtId="0" fontId="4" fillId="68" borderId="37" applyNumberFormat="0" applyProtection="0">
      <alignment horizontal="left" vertical="top" indent="1"/>
    </xf>
    <xf numFmtId="0" fontId="4" fillId="81" borderId="37" applyNumberFormat="0" applyProtection="0">
      <alignment horizontal="left" vertical="top" indent="1"/>
    </xf>
    <xf numFmtId="0" fontId="4" fillId="83" borderId="37" applyNumberFormat="0" applyProtection="0">
      <alignment horizontal="left" vertical="top" indent="1"/>
    </xf>
    <xf numFmtId="0" fontId="4" fillId="86" borderId="37" applyNumberFormat="0" applyProtection="0">
      <alignment horizontal="left" vertical="top" indent="1"/>
    </xf>
    <xf numFmtId="4" fontId="36" fillId="90" borderId="37" applyNumberFormat="0" applyProtection="0">
      <alignment vertical="center"/>
    </xf>
    <xf numFmtId="0" fontId="4" fillId="81" borderId="37" applyNumberFormat="0" applyProtection="0">
      <alignment horizontal="left" vertical="top" indent="1"/>
    </xf>
    <xf numFmtId="0" fontId="4" fillId="83" borderId="37" applyNumberFormat="0" applyProtection="0">
      <alignment horizontal="left" vertical="top" indent="1"/>
    </xf>
    <xf numFmtId="4" fontId="47" fillId="93" borderId="30" applyNumberFormat="0" applyProtection="0">
      <alignment horizontal="right" vertical="center"/>
    </xf>
    <xf numFmtId="0" fontId="4" fillId="68" borderId="37" applyNumberFormat="0" applyProtection="0">
      <alignment horizontal="left" vertical="top" indent="1"/>
    </xf>
    <xf numFmtId="0" fontId="4" fillId="87" borderId="37" applyNumberFormat="0" applyProtection="0">
      <alignment horizontal="left" vertical="center" indent="1"/>
    </xf>
    <xf numFmtId="4" fontId="28" fillId="83" borderId="38" applyNumberFormat="0" applyProtection="0">
      <alignment horizontal="left" vertical="center" indent="1"/>
    </xf>
    <xf numFmtId="4" fontId="28" fillId="67" borderId="30" applyNumberFormat="0" applyProtection="0">
      <alignment horizontal="left" vertical="center" indent="1"/>
    </xf>
    <xf numFmtId="4" fontId="46" fillId="66" borderId="37" applyNumberFormat="0" applyProtection="0">
      <alignment vertical="center"/>
    </xf>
    <xf numFmtId="0" fontId="46" fillId="35" borderId="37" applyNumberFormat="0" applyProtection="0">
      <alignment horizontal="left" vertical="top" indent="1"/>
    </xf>
    <xf numFmtId="4" fontId="28" fillId="83" borderId="30" applyNumberFormat="0" applyProtection="0">
      <alignment horizontal="right" vertical="center"/>
    </xf>
    <xf numFmtId="4" fontId="47" fillId="91" borderId="43" applyNumberFormat="0" applyProtection="0">
      <alignment vertical="center"/>
    </xf>
    <xf numFmtId="0" fontId="4" fillId="82" borderId="37" applyNumberFormat="0" applyProtection="0">
      <alignment horizontal="left" vertical="top" indent="1"/>
    </xf>
    <xf numFmtId="0" fontId="28" fillId="85" borderId="30" applyNumberFormat="0" applyProtection="0">
      <alignment horizontal="left" vertical="center" indent="1"/>
    </xf>
    <xf numFmtId="0" fontId="34" fillId="59" borderId="30" applyNumberFormat="0" applyAlignment="0" applyProtection="0"/>
    <xf numFmtId="4" fontId="28" fillId="77" borderId="30" applyNumberFormat="0" applyProtection="0">
      <alignment horizontal="right" vertical="center"/>
    </xf>
    <xf numFmtId="0" fontId="4" fillId="82" borderId="37" applyNumberFormat="0" applyProtection="0">
      <alignment horizontal="left" vertical="center" indent="1"/>
    </xf>
    <xf numFmtId="0" fontId="28" fillId="80" borderId="37" applyNumberFormat="0" applyProtection="0">
      <alignment horizontal="left" vertical="top" indent="1"/>
    </xf>
    <xf numFmtId="4" fontId="28" fillId="83" borderId="38" applyNumberFormat="0" applyProtection="0">
      <alignment horizontal="left" vertical="center" indent="1"/>
    </xf>
    <xf numFmtId="4" fontId="4" fillId="80" borderId="38" applyNumberFormat="0" applyProtection="0">
      <alignment horizontal="left" vertical="center" indent="1"/>
    </xf>
    <xf numFmtId="4" fontId="28" fillId="79" borderId="38" applyNumberFormat="0" applyProtection="0">
      <alignment horizontal="left" vertical="center" indent="1"/>
    </xf>
    <xf numFmtId="0" fontId="46" fillId="66" borderId="37" applyNumberFormat="0" applyProtection="0">
      <alignment horizontal="left" vertical="top" indent="1"/>
    </xf>
    <xf numFmtId="4" fontId="36" fillId="83" borderId="37" applyNumberFormat="0" applyProtection="0">
      <alignment horizontal="left" vertical="center" indent="1"/>
    </xf>
    <xf numFmtId="4" fontId="28" fillId="76" borderId="30" applyNumberFormat="0" applyProtection="0">
      <alignment horizontal="right" vertical="center"/>
    </xf>
    <xf numFmtId="4" fontId="28" fillId="74" borderId="30" applyNumberFormat="0" applyProtection="0">
      <alignment horizontal="right" vertical="center"/>
    </xf>
    <xf numFmtId="4" fontId="28" fillId="70" borderId="30" applyNumberFormat="0" applyProtection="0">
      <alignment horizontal="right" vertical="center"/>
    </xf>
    <xf numFmtId="4" fontId="28" fillId="69" borderId="30" applyNumberFormat="0" applyProtection="0">
      <alignment horizontal="right" vertical="center"/>
    </xf>
    <xf numFmtId="4" fontId="28" fillId="67" borderId="30" applyNumberFormat="0" applyProtection="0">
      <alignment horizontal="left" vertical="center" indent="1"/>
    </xf>
    <xf numFmtId="4" fontId="28" fillId="66" borderId="30" applyNumberFormat="0" applyProtection="0">
      <alignment vertical="center"/>
    </xf>
    <xf numFmtId="4" fontId="47" fillId="35" borderId="30" applyNumberFormat="0" applyProtection="0">
      <alignment vertical="center"/>
    </xf>
    <xf numFmtId="0" fontId="4" fillId="0" borderId="0"/>
    <xf numFmtId="4" fontId="28" fillId="70" borderId="30" applyNumberFormat="0" applyProtection="0">
      <alignment horizontal="right" vertical="center"/>
    </xf>
    <xf numFmtId="4" fontId="28" fillId="72" borderId="38" applyNumberFormat="0" applyProtection="0">
      <alignment horizontal="right" vertical="center"/>
    </xf>
    <xf numFmtId="4" fontId="28" fillId="69" borderId="30" applyNumberFormat="0" applyProtection="0">
      <alignment horizontal="right" vertical="center"/>
    </xf>
    <xf numFmtId="4" fontId="28" fillId="72" borderId="38" applyNumberFormat="0" applyProtection="0">
      <alignment horizontal="right" vertical="center"/>
    </xf>
    <xf numFmtId="4" fontId="28" fillId="35" borderId="30" applyNumberFormat="0" applyProtection="0">
      <alignment horizontal="left" vertical="center" indent="1"/>
    </xf>
    <xf numFmtId="4" fontId="48" fillId="66" borderId="37" applyNumberFormat="0" applyProtection="0">
      <alignment vertical="center"/>
    </xf>
    <xf numFmtId="4" fontId="28" fillId="76" borderId="30" applyNumberFormat="0" applyProtection="0">
      <alignment horizontal="right" vertical="center"/>
    </xf>
    <xf numFmtId="4" fontId="28" fillId="78" borderId="30" applyNumberFormat="0" applyProtection="0">
      <alignment horizontal="right" vertical="center"/>
    </xf>
    <xf numFmtId="4" fontId="36" fillId="83" borderId="37" applyNumberFormat="0" applyProtection="0">
      <alignment horizontal="left" vertical="center" indent="1"/>
    </xf>
    <xf numFmtId="0" fontId="28" fillId="81" borderId="30" applyNumberFormat="0" applyProtection="0">
      <alignment horizontal="left" vertical="center" indent="1"/>
    </xf>
    <xf numFmtId="0" fontId="4" fillId="87" borderId="37" applyNumberFormat="0" applyProtection="0">
      <alignment horizontal="left" vertical="center" indent="1"/>
    </xf>
    <xf numFmtId="0" fontId="28" fillId="83" borderId="37" applyNumberFormat="0" applyProtection="0">
      <alignment horizontal="left" vertical="top" indent="1"/>
    </xf>
    <xf numFmtId="0" fontId="28" fillId="85" borderId="30" applyNumberFormat="0" applyProtection="0">
      <alignment horizontal="left" vertical="center" indent="1"/>
    </xf>
    <xf numFmtId="0" fontId="4" fillId="68" borderId="37" applyNumberFormat="0" applyProtection="0">
      <alignment horizontal="left" vertical="center" indent="1"/>
    </xf>
    <xf numFmtId="4" fontId="28" fillId="83" borderId="30" applyNumberFormat="0" applyProtection="0">
      <alignment horizontal="right" vertical="center"/>
    </xf>
    <xf numFmtId="4" fontId="28" fillId="78" borderId="30" applyNumberFormat="0" applyProtection="0">
      <alignment horizontal="right" vertical="center"/>
    </xf>
    <xf numFmtId="4" fontId="4" fillId="80" borderId="38" applyNumberFormat="0" applyProtection="0">
      <alignment horizontal="left" vertical="center" indent="1"/>
    </xf>
    <xf numFmtId="4" fontId="48" fillId="35" borderId="37" applyNumberFormat="0" applyProtection="0">
      <alignment vertical="center"/>
    </xf>
    <xf numFmtId="4" fontId="28" fillId="73" borderId="30" applyNumberFormat="0" applyProtection="0">
      <alignment horizontal="right" vertical="center"/>
    </xf>
    <xf numFmtId="4" fontId="36" fillId="77" borderId="37" applyNumberFormat="0" applyProtection="0">
      <alignment horizontal="right" vertical="center"/>
    </xf>
    <xf numFmtId="4" fontId="28" fillId="83" borderId="30" applyNumberFormat="0" applyProtection="0">
      <alignment horizontal="right" vertical="center"/>
    </xf>
    <xf numFmtId="4" fontId="28" fillId="83" borderId="30" applyNumberFormat="0" applyProtection="0">
      <alignment horizontal="right" vertical="center"/>
    </xf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80" borderId="37" applyNumberFormat="0" applyProtection="0">
      <alignment horizontal="left" vertical="center" indent="1"/>
    </xf>
    <xf numFmtId="4" fontId="28" fillId="78" borderId="30" applyNumberFormat="0" applyProtection="0">
      <alignment horizontal="right" vertical="center"/>
    </xf>
    <xf numFmtId="4" fontId="28" fillId="69" borderId="30" applyNumberFormat="0" applyProtection="0">
      <alignment horizontal="right" vertical="center"/>
    </xf>
    <xf numFmtId="4" fontId="28" fillId="67" borderId="30" applyNumberFormat="0" applyProtection="0">
      <alignment horizontal="left" vertical="center" indent="1"/>
    </xf>
    <xf numFmtId="4" fontId="28" fillId="66" borderId="30" applyNumberFormat="0" applyProtection="0">
      <alignment vertical="center"/>
    </xf>
    <xf numFmtId="4" fontId="28" fillId="0" borderId="30" applyNumberFormat="0" applyProtection="0">
      <alignment horizontal="right" vertical="center"/>
    </xf>
    <xf numFmtId="0" fontId="4" fillId="81" borderId="37" applyNumberFormat="0" applyProtection="0">
      <alignment horizontal="left" vertical="center" indent="1"/>
    </xf>
    <xf numFmtId="4" fontId="36" fillId="72" borderId="37" applyNumberFormat="0" applyProtection="0">
      <alignment horizontal="right" vertical="center"/>
    </xf>
    <xf numFmtId="4" fontId="28" fillId="75" borderId="30" applyNumberFormat="0" applyProtection="0">
      <alignment horizontal="right" vertical="center"/>
    </xf>
    <xf numFmtId="4" fontId="28" fillId="77" borderId="30" applyNumberFormat="0" applyProtection="0">
      <alignment horizontal="right" vertical="center"/>
    </xf>
    <xf numFmtId="4" fontId="28" fillId="78" borderId="30" applyNumberFormat="0" applyProtection="0">
      <alignment horizontal="right" vertical="center"/>
    </xf>
    <xf numFmtId="4" fontId="28" fillId="79" borderId="38" applyNumberFormat="0" applyProtection="0">
      <alignment horizontal="left" vertical="center" indent="1"/>
    </xf>
    <xf numFmtId="4" fontId="28" fillId="79" borderId="38" applyNumberFormat="0" applyProtection="0">
      <alignment horizontal="left" vertical="center" indent="1"/>
    </xf>
    <xf numFmtId="4" fontId="36" fillId="83" borderId="37" applyNumberFormat="0" applyProtection="0">
      <alignment horizontal="right" vertical="center"/>
    </xf>
    <xf numFmtId="4" fontId="28" fillId="81" borderId="38" applyNumberFormat="0" applyProtection="0">
      <alignment horizontal="left" vertical="center" indent="1"/>
    </xf>
    <xf numFmtId="4" fontId="47" fillId="91" borderId="43" applyNumberFormat="0" applyProtection="0">
      <alignment vertical="center"/>
    </xf>
    <xf numFmtId="0" fontId="28" fillId="80" borderId="37" applyNumberFormat="0" applyProtection="0">
      <alignment horizontal="left" vertical="top" indent="1"/>
    </xf>
    <xf numFmtId="0" fontId="28" fillId="85" borderId="30" applyNumberFormat="0" applyProtection="0">
      <alignment horizontal="left" vertical="center" indent="1"/>
    </xf>
    <xf numFmtId="0" fontId="4" fillId="68" borderId="37" applyNumberFormat="0" applyProtection="0">
      <alignment horizontal="left" vertical="center" indent="1"/>
    </xf>
    <xf numFmtId="0" fontId="28" fillId="83" borderId="37" applyNumberFormat="0" applyProtection="0">
      <alignment horizontal="left" vertical="top" indent="1"/>
    </xf>
    <xf numFmtId="0" fontId="4" fillId="68" borderId="37" applyNumberFormat="0" applyProtection="0">
      <alignment horizontal="left" vertical="top" indent="1"/>
    </xf>
    <xf numFmtId="0" fontId="4" fillId="87" borderId="37" applyNumberFormat="0" applyProtection="0">
      <alignment horizontal="left" vertical="center" indent="1"/>
    </xf>
    <xf numFmtId="44" fontId="4" fillId="0" borderId="0" applyFont="0" applyFill="0" applyBorder="0" applyAlignment="0" applyProtection="0"/>
    <xf numFmtId="0" fontId="28" fillId="95" borderId="43"/>
    <xf numFmtId="0" fontId="28" fillId="95" borderId="43"/>
    <xf numFmtId="4" fontId="28" fillId="73" borderId="30" applyNumberFormat="0" applyProtection="0">
      <alignment horizontal="right" vertical="center"/>
    </xf>
    <xf numFmtId="4" fontId="28" fillId="67" borderId="30" applyNumberFormat="0" applyProtection="0">
      <alignment horizontal="left" vertical="center" indent="1"/>
    </xf>
    <xf numFmtId="0" fontId="28" fillId="83" borderId="37" applyNumberFormat="0" applyProtection="0">
      <alignment horizontal="left" vertical="top" indent="1"/>
    </xf>
    <xf numFmtId="0" fontId="28" fillId="86" borderId="30" applyNumberFormat="0" applyProtection="0">
      <alignment horizontal="left" vertical="center" indent="1"/>
    </xf>
    <xf numFmtId="0" fontId="28" fillId="86" borderId="30" applyNumberFormat="0" applyProtection="0">
      <alignment horizontal="left" vertical="center" indent="1"/>
    </xf>
    <xf numFmtId="0" fontId="28" fillId="86" borderId="30" applyNumberFormat="0" applyProtection="0">
      <alignment horizontal="left" vertical="center" indent="1"/>
    </xf>
    <xf numFmtId="0" fontId="28" fillId="86" borderId="37" applyNumberFormat="0" applyProtection="0">
      <alignment horizontal="left" vertical="top" indent="1"/>
    </xf>
    <xf numFmtId="0" fontId="28" fillId="86" borderId="37" applyNumberFormat="0" applyProtection="0">
      <alignment horizontal="left" vertical="top" indent="1"/>
    </xf>
    <xf numFmtId="0" fontId="28" fillId="86" borderId="37" applyNumberFormat="0" applyProtection="0">
      <alignment horizontal="left" vertical="top" indent="1"/>
    </xf>
    <xf numFmtId="0" fontId="28" fillId="81" borderId="30" applyNumberFormat="0" applyProtection="0">
      <alignment horizontal="left" vertical="center" indent="1"/>
    </xf>
    <xf numFmtId="0" fontId="28" fillId="81" borderId="30" applyNumberFormat="0" applyProtection="0">
      <alignment horizontal="left" vertical="center" indent="1"/>
    </xf>
    <xf numFmtId="0" fontId="28" fillId="81" borderId="30" applyNumberFormat="0" applyProtection="0">
      <alignment horizontal="left" vertical="center" indent="1"/>
    </xf>
    <xf numFmtId="0" fontId="28" fillId="81" borderId="37" applyNumberFormat="0" applyProtection="0">
      <alignment horizontal="left" vertical="top" indent="1"/>
    </xf>
    <xf numFmtId="0" fontId="28" fillId="81" borderId="37" applyNumberFormat="0" applyProtection="0">
      <alignment horizontal="left" vertical="top" indent="1"/>
    </xf>
    <xf numFmtId="0" fontId="28" fillId="81" borderId="37" applyNumberFormat="0" applyProtection="0">
      <alignment horizontal="left" vertical="top" indent="1"/>
    </xf>
    <xf numFmtId="4" fontId="51" fillId="90" borderId="37" applyNumberFormat="0" applyProtection="0">
      <alignment vertical="center"/>
    </xf>
    <xf numFmtId="4" fontId="51" fillId="84" borderId="37" applyNumberFormat="0" applyProtection="0">
      <alignment horizontal="left" vertical="center" indent="1"/>
    </xf>
    <xf numFmtId="0" fontId="51" fillId="90" borderId="37" applyNumberFormat="0" applyProtection="0">
      <alignment horizontal="left" vertical="top" indent="1"/>
    </xf>
    <xf numFmtId="4" fontId="28" fillId="0" borderId="30" applyNumberFormat="0" applyProtection="0">
      <alignment horizontal="right" vertical="center"/>
    </xf>
    <xf numFmtId="4" fontId="28" fillId="0" borderId="30" applyNumberFormat="0" applyProtection="0">
      <alignment horizontal="right" vertical="center"/>
    </xf>
    <xf numFmtId="4" fontId="28" fillId="0" borderId="30" applyNumberFormat="0" applyProtection="0">
      <alignment horizontal="right" vertical="center"/>
    </xf>
    <xf numFmtId="4" fontId="47" fillId="93" borderId="30" applyNumberFormat="0" applyProtection="0">
      <alignment horizontal="right" vertical="center"/>
    </xf>
    <xf numFmtId="4" fontId="28" fillId="67" borderId="30" applyNumberFormat="0" applyProtection="0">
      <alignment horizontal="left" vertical="center" indent="1"/>
    </xf>
    <xf numFmtId="4" fontId="28" fillId="67" borderId="30" applyNumberFormat="0" applyProtection="0">
      <alignment horizontal="left" vertical="center" indent="1"/>
    </xf>
    <xf numFmtId="4" fontId="28" fillId="67" borderId="30" applyNumberFormat="0" applyProtection="0">
      <alignment horizontal="left" vertical="center" indent="1"/>
    </xf>
    <xf numFmtId="0" fontId="51" fillId="83" borderId="37" applyNumberFormat="0" applyProtection="0">
      <alignment horizontal="left" vertical="top" indent="1"/>
    </xf>
    <xf numFmtId="4" fontId="53" fillId="94" borderId="38" applyNumberFormat="0" applyProtection="0">
      <alignment horizontal="left" vertical="center" indent="1"/>
    </xf>
    <xf numFmtId="0" fontId="4" fillId="0" borderId="0"/>
    <xf numFmtId="4" fontId="55" fillId="89" borderId="30" applyNumberFormat="0" applyProtection="0">
      <alignment horizontal="right" vertical="center"/>
    </xf>
    <xf numFmtId="0" fontId="4" fillId="87" borderId="37" applyNumberFormat="0" applyProtection="0">
      <alignment horizontal="left" vertical="top" indent="1"/>
    </xf>
    <xf numFmtId="0" fontId="4" fillId="87" borderId="37" applyNumberFormat="0" applyProtection="0">
      <alignment horizontal="left" vertical="top" indent="1"/>
    </xf>
    <xf numFmtId="0" fontId="4" fillId="87" borderId="37" applyNumberFormat="0" applyProtection="0">
      <alignment horizontal="left" vertical="top" indent="1"/>
    </xf>
    <xf numFmtId="0" fontId="4" fillId="87" borderId="37" applyNumberFormat="0" applyProtection="0">
      <alignment horizontal="left" vertical="top" indent="1"/>
    </xf>
    <xf numFmtId="0" fontId="28" fillId="81" borderId="30" applyNumberFormat="0" applyProtection="0">
      <alignment horizontal="left" vertical="center" indent="1"/>
    </xf>
    <xf numFmtId="0" fontId="28" fillId="81" borderId="30" applyNumberFormat="0" applyProtection="0">
      <alignment horizontal="left" vertical="center" indent="1"/>
    </xf>
    <xf numFmtId="0" fontId="4" fillId="88" borderId="37" applyNumberFormat="0" applyProtection="0">
      <alignment horizontal="left" vertical="center" indent="1"/>
    </xf>
    <xf numFmtId="0" fontId="4" fillId="88" borderId="37" applyNumberFormat="0" applyProtection="0">
      <alignment horizontal="left" vertical="center" indent="1"/>
    </xf>
    <xf numFmtId="0" fontId="4" fillId="88" borderId="37" applyNumberFormat="0" applyProtection="0">
      <alignment horizontal="left" vertical="center" indent="1"/>
    </xf>
    <xf numFmtId="0" fontId="4" fillId="88" borderId="37" applyNumberFormat="0" applyProtection="0">
      <alignment horizontal="left" vertical="center" indent="1"/>
    </xf>
    <xf numFmtId="0" fontId="28" fillId="81" borderId="30" applyNumberFormat="0" applyProtection="0">
      <alignment horizontal="left" vertical="center" indent="1"/>
    </xf>
    <xf numFmtId="0" fontId="28" fillId="81" borderId="37" applyNumberFormat="0" applyProtection="0">
      <alignment horizontal="left" vertical="top" indent="1"/>
    </xf>
    <xf numFmtId="0" fontId="28" fillId="81" borderId="37" applyNumberFormat="0" applyProtection="0">
      <alignment horizontal="left" vertical="top" indent="1"/>
    </xf>
    <xf numFmtId="0" fontId="28" fillId="81" borderId="37" applyNumberFormat="0" applyProtection="0">
      <alignment horizontal="left" vertical="top" indent="1"/>
    </xf>
    <xf numFmtId="0" fontId="4" fillId="88" borderId="37" applyNumberFormat="0" applyProtection="0">
      <alignment horizontal="left" vertical="top" indent="1"/>
    </xf>
    <xf numFmtId="0" fontId="4" fillId="88" borderId="37" applyNumberFormat="0" applyProtection="0">
      <alignment horizontal="left" vertical="top" indent="1"/>
    </xf>
    <xf numFmtId="0" fontId="4" fillId="88" borderId="37" applyNumberFormat="0" applyProtection="0">
      <alignment horizontal="left" vertical="top" indent="1"/>
    </xf>
    <xf numFmtId="0" fontId="4" fillId="88" borderId="37" applyNumberFormat="0" applyProtection="0">
      <alignment horizontal="left" vertical="top" indent="1"/>
    </xf>
    <xf numFmtId="0" fontId="29" fillId="80" borderId="41" applyBorder="0"/>
    <xf numFmtId="4" fontId="51" fillId="90" borderId="37" applyNumberFormat="0" applyProtection="0">
      <alignment vertical="center"/>
    </xf>
    <xf numFmtId="4" fontId="51" fillId="90" borderId="37" applyNumberFormat="0" applyProtection="0">
      <alignment vertical="center"/>
    </xf>
    <xf numFmtId="4" fontId="36" fillId="91" borderId="37" applyNumberFormat="0" applyProtection="0">
      <alignment vertical="center"/>
    </xf>
    <xf numFmtId="4" fontId="47" fillId="91" borderId="43" applyNumberFormat="0" applyProtection="0">
      <alignment vertical="center"/>
    </xf>
    <xf numFmtId="4" fontId="47" fillId="91" borderId="43" applyNumberFormat="0" applyProtection="0">
      <alignment vertical="center"/>
    </xf>
    <xf numFmtId="4" fontId="52" fillId="91" borderId="37" applyNumberFormat="0" applyProtection="0">
      <alignment vertical="center"/>
    </xf>
    <xf numFmtId="4" fontId="51" fillId="84" borderId="37" applyNumberFormat="0" applyProtection="0">
      <alignment horizontal="left" vertical="center" indent="1"/>
    </xf>
    <xf numFmtId="4" fontId="51" fillId="84" borderId="37" applyNumberFormat="0" applyProtection="0">
      <alignment horizontal="left" vertical="center" indent="1"/>
    </xf>
    <xf numFmtId="4" fontId="36" fillId="91" borderId="37" applyNumberFormat="0" applyProtection="0">
      <alignment horizontal="left" vertical="center" indent="1"/>
    </xf>
    <xf numFmtId="0" fontId="51" fillId="90" borderId="37" applyNumberFormat="0" applyProtection="0">
      <alignment horizontal="left" vertical="top" indent="1"/>
    </xf>
    <xf numFmtId="0" fontId="51" fillId="90" borderId="37" applyNumberFormat="0" applyProtection="0">
      <alignment horizontal="left" vertical="top" indent="1"/>
    </xf>
    <xf numFmtId="0" fontId="36" fillId="91" borderId="37" applyNumberFormat="0" applyProtection="0">
      <alignment horizontal="left" vertical="top" indent="1"/>
    </xf>
    <xf numFmtId="4" fontId="28" fillId="0" borderId="30" applyNumberFormat="0" applyProtection="0">
      <alignment horizontal="right" vertical="center"/>
    </xf>
    <xf numFmtId="4" fontId="28" fillId="0" borderId="30" applyNumberFormat="0" applyProtection="0">
      <alignment horizontal="right" vertical="center"/>
    </xf>
    <xf numFmtId="4" fontId="36" fillId="81" borderId="37" applyNumberFormat="0" applyProtection="0">
      <alignment horizontal="right" vertical="center"/>
    </xf>
    <xf numFmtId="4" fontId="28" fillId="0" borderId="30" applyNumberFormat="0" applyProtection="0">
      <alignment horizontal="right" vertical="center"/>
    </xf>
    <xf numFmtId="4" fontId="47" fillId="93" borderId="30" applyNumberFormat="0" applyProtection="0">
      <alignment horizontal="right" vertical="center"/>
    </xf>
    <xf numFmtId="4" fontId="47" fillId="93" borderId="30" applyNumberFormat="0" applyProtection="0">
      <alignment horizontal="right" vertical="center"/>
    </xf>
    <xf numFmtId="4" fontId="52" fillId="81" borderId="37" applyNumberFormat="0" applyProtection="0">
      <alignment horizontal="right" vertical="center"/>
    </xf>
    <xf numFmtId="4" fontId="28" fillId="67" borderId="30" applyNumberFormat="0" applyProtection="0">
      <alignment horizontal="left" vertical="center" indent="1"/>
    </xf>
    <xf numFmtId="4" fontId="28" fillId="67" borderId="30" applyNumberFormat="0" applyProtection="0">
      <alignment horizontal="left" vertical="center" indent="1"/>
    </xf>
    <xf numFmtId="4" fontId="36" fillId="83" borderId="37" applyNumberFormat="0" applyProtection="0">
      <alignment horizontal="left" vertical="center" indent="1"/>
    </xf>
    <xf numFmtId="4" fontId="36" fillId="83" borderId="37" applyNumberFormat="0" applyProtection="0">
      <alignment horizontal="left" vertical="center" indent="1"/>
    </xf>
    <xf numFmtId="4" fontId="28" fillId="67" borderId="30" applyNumberFormat="0" applyProtection="0">
      <alignment horizontal="left" vertical="center" indent="1"/>
    </xf>
    <xf numFmtId="0" fontId="51" fillId="83" borderId="37" applyNumberFormat="0" applyProtection="0">
      <alignment horizontal="left" vertical="top" indent="1"/>
    </xf>
    <xf numFmtId="0" fontId="51" fillId="83" borderId="37" applyNumberFormat="0" applyProtection="0">
      <alignment horizontal="left" vertical="top" indent="1"/>
    </xf>
    <xf numFmtId="0" fontId="36" fillId="68" borderId="37" applyNumberFormat="0" applyProtection="0">
      <alignment horizontal="left" vertical="top" indent="1"/>
    </xf>
    <xf numFmtId="0" fontId="36" fillId="68" borderId="37" applyNumberFormat="0" applyProtection="0">
      <alignment horizontal="left" vertical="top" indent="1"/>
    </xf>
    <xf numFmtId="4" fontId="53" fillId="94" borderId="38" applyNumberFormat="0" applyProtection="0">
      <alignment horizontal="left" vertical="center" indent="1"/>
    </xf>
    <xf numFmtId="4" fontId="53" fillId="94" borderId="38" applyNumberFormat="0" applyProtection="0">
      <alignment horizontal="left" vertical="center" indent="1"/>
    </xf>
    <xf numFmtId="0" fontId="28" fillId="95" borderId="43"/>
    <xf numFmtId="0" fontId="28" fillId="95" borderId="43"/>
    <xf numFmtId="4" fontId="55" fillId="89" borderId="30" applyNumberFormat="0" applyProtection="0">
      <alignment horizontal="right" vertical="center"/>
    </xf>
    <xf numFmtId="4" fontId="55" fillId="89" borderId="30" applyNumberFormat="0" applyProtection="0">
      <alignment horizontal="right" vertical="center"/>
    </xf>
    <xf numFmtId="4" fontId="56" fillId="81" borderId="37" applyNumberFormat="0" applyProtection="0">
      <alignment horizontal="right" vertical="center"/>
    </xf>
    <xf numFmtId="0" fontId="38" fillId="0" borderId="42" applyNumberFormat="0" applyFill="0" applyAlignment="0" applyProtection="0"/>
    <xf numFmtId="4" fontId="48" fillId="66" borderId="37" applyNumberFormat="0" applyProtection="0">
      <alignment vertical="center"/>
    </xf>
    <xf numFmtId="4" fontId="46" fillId="66" borderId="37" applyNumberFormat="0" applyProtection="0">
      <alignment horizontal="left" vertical="center" indent="1"/>
    </xf>
    <xf numFmtId="0" fontId="46" fillId="66" borderId="37" applyNumberFormat="0" applyProtection="0">
      <alignment horizontal="left" vertical="top" indent="1"/>
    </xf>
    <xf numFmtId="0" fontId="4" fillId="80" borderId="37" applyNumberFormat="0" applyProtection="0">
      <alignment horizontal="left" vertical="center" indent="1"/>
    </xf>
    <xf numFmtId="0" fontId="4" fillId="80" borderId="37" applyNumberFormat="0" applyProtection="0">
      <alignment horizontal="left" vertical="top" indent="1"/>
    </xf>
    <xf numFmtId="0" fontId="4" fillId="80" borderId="37" applyNumberFormat="0" applyProtection="0">
      <alignment horizontal="left" vertical="top" indent="1"/>
    </xf>
    <xf numFmtId="0" fontId="4" fillId="83" borderId="37" applyNumberFormat="0" applyProtection="0">
      <alignment horizontal="left" vertical="top" indent="1"/>
    </xf>
    <xf numFmtId="0" fontId="4" fillId="86" borderId="37" applyNumberFormat="0" applyProtection="0">
      <alignment horizontal="left" vertical="top" indent="1"/>
    </xf>
    <xf numFmtId="0" fontId="4" fillId="83" borderId="37" applyNumberFormat="0" applyProtection="0">
      <alignment horizontal="left" vertical="top" indent="1"/>
    </xf>
    <xf numFmtId="0" fontId="4" fillId="81" borderId="37" applyNumberFormat="0" applyProtection="0">
      <alignment horizontal="left" vertical="top" indent="1"/>
    </xf>
    <xf numFmtId="0" fontId="4" fillId="89" borderId="43" applyNumberFormat="0">
      <protection locked="0"/>
    </xf>
    <xf numFmtId="0" fontId="4" fillId="80" borderId="37" applyNumberFormat="0" applyProtection="0">
      <alignment horizontal="left" vertical="center" indent="1"/>
    </xf>
    <xf numFmtId="0" fontId="4" fillId="80" borderId="37" applyNumberFormat="0" applyProtection="0">
      <alignment horizontal="left" vertical="top" indent="1"/>
    </xf>
    <xf numFmtId="0" fontId="4" fillId="83" borderId="37" applyNumberFormat="0" applyProtection="0">
      <alignment horizontal="left" vertical="center" indent="1"/>
    </xf>
    <xf numFmtId="0" fontId="4" fillId="83" borderId="37" applyNumberFormat="0" applyProtection="0">
      <alignment horizontal="left" vertical="top" indent="1"/>
    </xf>
    <xf numFmtId="0" fontId="4" fillId="86" borderId="37" applyNumberFormat="0" applyProtection="0">
      <alignment horizontal="left" vertical="center" indent="1"/>
    </xf>
    <xf numFmtId="0" fontId="4" fillId="86" borderId="37" applyNumberFormat="0" applyProtection="0">
      <alignment horizontal="left" vertical="top" indent="1"/>
    </xf>
    <xf numFmtId="0" fontId="4" fillId="81" borderId="37" applyNumberFormat="0" applyProtection="0">
      <alignment horizontal="left" vertical="center" indent="1"/>
    </xf>
    <xf numFmtId="0" fontId="4" fillId="81" borderId="37" applyNumberFormat="0" applyProtection="0">
      <alignment horizontal="left" vertical="top" indent="1"/>
    </xf>
    <xf numFmtId="0" fontId="4" fillId="89" borderId="43" applyNumberFormat="0">
      <protection locked="0"/>
    </xf>
    <xf numFmtId="4" fontId="36" fillId="90" borderId="37" applyNumberFormat="0" applyProtection="0">
      <alignment vertical="center"/>
    </xf>
    <xf numFmtId="4" fontId="52" fillId="90" borderId="37" applyNumberFormat="0" applyProtection="0">
      <alignment vertical="center"/>
    </xf>
    <xf numFmtId="4" fontId="36" fillId="90" borderId="37" applyNumberFormat="0" applyProtection="0">
      <alignment horizontal="left" vertical="center" indent="1"/>
    </xf>
    <xf numFmtId="0" fontId="36" fillId="90" borderId="37" applyNumberFormat="0" applyProtection="0">
      <alignment horizontal="left" vertical="top" indent="1"/>
    </xf>
    <xf numFmtId="0" fontId="4" fillId="86" borderId="37" applyNumberFormat="0" applyProtection="0">
      <alignment horizontal="left" vertical="top" indent="1"/>
    </xf>
    <xf numFmtId="0" fontId="4" fillId="89" borderId="43" applyNumberFormat="0">
      <protection locked="0"/>
    </xf>
    <xf numFmtId="0" fontId="36" fillId="83" borderId="37" applyNumberFormat="0" applyProtection="0">
      <alignment horizontal="left" vertical="top" indent="1"/>
    </xf>
    <xf numFmtId="0" fontId="4" fillId="81" borderId="37" applyNumberFormat="0" applyProtection="0">
      <alignment horizontal="left" vertical="top" indent="1"/>
    </xf>
    <xf numFmtId="0" fontId="4" fillId="89" borderId="43" applyNumberFormat="0">
      <protection locked="0"/>
    </xf>
    <xf numFmtId="0" fontId="4" fillId="80" borderId="37" applyNumberFormat="0" applyProtection="0">
      <alignment horizontal="left" vertical="center" indent="1"/>
    </xf>
    <xf numFmtId="0" fontId="4" fillId="80" borderId="37" applyNumberFormat="0" applyProtection="0">
      <alignment horizontal="left" vertical="center" indent="1"/>
    </xf>
    <xf numFmtId="0" fontId="4" fillId="80" borderId="37" applyNumberFormat="0" applyProtection="0">
      <alignment horizontal="left" vertical="top" indent="1"/>
    </xf>
    <xf numFmtId="0" fontId="4" fillId="80" borderId="37" applyNumberFormat="0" applyProtection="0">
      <alignment horizontal="left" vertical="top" indent="1"/>
    </xf>
    <xf numFmtId="0" fontId="4" fillId="83" borderId="37" applyNumberFormat="0" applyProtection="0">
      <alignment horizontal="left" vertical="top" indent="1"/>
    </xf>
    <xf numFmtId="0" fontId="4" fillId="86" borderId="37" applyNumberFormat="0" applyProtection="0">
      <alignment horizontal="left" vertical="top" indent="1"/>
    </xf>
    <xf numFmtId="0" fontId="4" fillId="83" borderId="37" applyNumberFormat="0" applyProtection="0">
      <alignment horizontal="left" vertical="top" indent="1"/>
    </xf>
    <xf numFmtId="0" fontId="4" fillId="81" borderId="37" applyNumberFormat="0" applyProtection="0">
      <alignment horizontal="left" vertical="top" indent="1"/>
    </xf>
    <xf numFmtId="0" fontId="4" fillId="89" borderId="43" applyNumberFormat="0">
      <protection locked="0"/>
    </xf>
    <xf numFmtId="0" fontId="4" fillId="86" borderId="37" applyNumberFormat="0" applyProtection="0">
      <alignment horizontal="left" vertical="top" indent="1"/>
    </xf>
    <xf numFmtId="0" fontId="4" fillId="81" borderId="37" applyNumberFormat="0" applyProtection="0">
      <alignment horizontal="left" vertical="top" indent="1"/>
    </xf>
    <xf numFmtId="0" fontId="4" fillId="89" borderId="43" applyNumberFormat="0">
      <protection locked="0"/>
    </xf>
    <xf numFmtId="0" fontId="4" fillId="89" borderId="43" applyNumberFormat="0">
      <protection locked="0"/>
    </xf>
    <xf numFmtId="0" fontId="28" fillId="55" borderId="30" applyNumberFormat="0" applyFont="0" applyAlignment="0" applyProtection="0"/>
    <xf numFmtId="0" fontId="28" fillId="55" borderId="30" applyNumberFormat="0" applyFont="0" applyAlignment="0" applyProtection="0"/>
    <xf numFmtId="0" fontId="28" fillId="55" borderId="30" applyNumberFormat="0" applyFont="0" applyAlignment="0" applyProtection="0"/>
    <xf numFmtId="4" fontId="28" fillId="66" borderId="30" applyNumberFormat="0" applyProtection="0">
      <alignment vertical="center"/>
    </xf>
    <xf numFmtId="4" fontId="28" fillId="66" borderId="30" applyNumberFormat="0" applyProtection="0">
      <alignment vertical="center"/>
    </xf>
    <xf numFmtId="4" fontId="28" fillId="66" borderId="30" applyNumberFormat="0" applyProtection="0">
      <alignment vertical="center"/>
    </xf>
    <xf numFmtId="4" fontId="47" fillId="35" borderId="30" applyNumberFormat="0" applyProtection="0">
      <alignment vertical="center"/>
    </xf>
    <xf numFmtId="4" fontId="28" fillId="35" borderId="30" applyNumberFormat="0" applyProtection="0">
      <alignment horizontal="left" vertical="center" indent="1"/>
    </xf>
    <xf numFmtId="4" fontId="28" fillId="35" borderId="30" applyNumberFormat="0" applyProtection="0">
      <alignment horizontal="left" vertical="center" indent="1"/>
    </xf>
    <xf numFmtId="4" fontId="28" fillId="35" borderId="30" applyNumberFormat="0" applyProtection="0">
      <alignment horizontal="left" vertical="center" indent="1"/>
    </xf>
    <xf numFmtId="0" fontId="49" fillId="66" borderId="37" applyNumberFormat="0" applyProtection="0">
      <alignment horizontal="left" vertical="top" indent="1"/>
    </xf>
    <xf numFmtId="4" fontId="28" fillId="67" borderId="30" applyNumberFormat="0" applyProtection="0">
      <alignment horizontal="left" vertical="center" indent="1"/>
    </xf>
    <xf numFmtId="4" fontId="28" fillId="67" borderId="30" applyNumberFormat="0" applyProtection="0">
      <alignment horizontal="left" vertical="center" indent="1"/>
    </xf>
    <xf numFmtId="4" fontId="28" fillId="67" borderId="30" applyNumberFormat="0" applyProtection="0">
      <alignment horizontal="left" vertical="center" indent="1"/>
    </xf>
    <xf numFmtId="4" fontId="28" fillId="69" borderId="30" applyNumberFormat="0" applyProtection="0">
      <alignment horizontal="right" vertical="center"/>
    </xf>
    <xf numFmtId="4" fontId="28" fillId="69" borderId="30" applyNumberFormat="0" applyProtection="0">
      <alignment horizontal="right" vertical="center"/>
    </xf>
    <xf numFmtId="4" fontId="28" fillId="69" borderId="30" applyNumberFormat="0" applyProtection="0">
      <alignment horizontal="right" vertical="center"/>
    </xf>
    <xf numFmtId="4" fontId="28" fillId="70" borderId="30" applyNumberFormat="0" applyProtection="0">
      <alignment horizontal="right" vertical="center"/>
    </xf>
    <xf numFmtId="4" fontId="28" fillId="70" borderId="30" applyNumberFormat="0" applyProtection="0">
      <alignment horizontal="right" vertical="center"/>
    </xf>
    <xf numFmtId="4" fontId="28" fillId="70" borderId="30" applyNumberFormat="0" applyProtection="0">
      <alignment horizontal="right" vertical="center"/>
    </xf>
    <xf numFmtId="4" fontId="28" fillId="72" borderId="38" applyNumberFormat="0" applyProtection="0">
      <alignment horizontal="right" vertical="center"/>
    </xf>
    <xf numFmtId="4" fontId="28" fillId="72" borderId="38" applyNumberFormat="0" applyProtection="0">
      <alignment horizontal="right" vertical="center"/>
    </xf>
    <xf numFmtId="4" fontId="28" fillId="72" borderId="38" applyNumberFormat="0" applyProtection="0">
      <alignment horizontal="right" vertical="center"/>
    </xf>
    <xf numFmtId="4" fontId="28" fillId="73" borderId="30" applyNumberFormat="0" applyProtection="0">
      <alignment horizontal="right" vertical="center"/>
    </xf>
    <xf numFmtId="4" fontId="28" fillId="73" borderId="30" applyNumberFormat="0" applyProtection="0">
      <alignment horizontal="right" vertical="center"/>
    </xf>
    <xf numFmtId="4" fontId="28" fillId="73" borderId="30" applyNumberFormat="0" applyProtection="0">
      <alignment horizontal="right" vertical="center"/>
    </xf>
    <xf numFmtId="4" fontId="28" fillId="74" borderId="30" applyNumberFormat="0" applyProtection="0">
      <alignment horizontal="right" vertical="center"/>
    </xf>
    <xf numFmtId="4" fontId="28" fillId="74" borderId="30" applyNumberFormat="0" applyProtection="0">
      <alignment horizontal="right" vertical="center"/>
    </xf>
    <xf numFmtId="4" fontId="28" fillId="74" borderId="30" applyNumberFormat="0" applyProtection="0">
      <alignment horizontal="right" vertical="center"/>
    </xf>
    <xf numFmtId="4" fontId="28" fillId="75" borderId="30" applyNumberFormat="0" applyProtection="0">
      <alignment horizontal="right" vertical="center"/>
    </xf>
    <xf numFmtId="4" fontId="28" fillId="75" borderId="30" applyNumberFormat="0" applyProtection="0">
      <alignment horizontal="right" vertical="center"/>
    </xf>
    <xf numFmtId="4" fontId="28" fillId="75" borderId="30" applyNumberFormat="0" applyProtection="0">
      <alignment horizontal="right" vertical="center"/>
    </xf>
    <xf numFmtId="4" fontId="28" fillId="76" borderId="30" applyNumberFormat="0" applyProtection="0">
      <alignment horizontal="right" vertical="center"/>
    </xf>
    <xf numFmtId="4" fontId="28" fillId="76" borderId="30" applyNumberFormat="0" applyProtection="0">
      <alignment horizontal="right" vertical="center"/>
    </xf>
    <xf numFmtId="4" fontId="28" fillId="76" borderId="30" applyNumberFormat="0" applyProtection="0">
      <alignment horizontal="right" vertical="center"/>
    </xf>
    <xf numFmtId="4" fontId="28" fillId="77" borderId="30" applyNumberFormat="0" applyProtection="0">
      <alignment horizontal="right" vertical="center"/>
    </xf>
    <xf numFmtId="4" fontId="28" fillId="77" borderId="30" applyNumberFormat="0" applyProtection="0">
      <alignment horizontal="right" vertical="center"/>
    </xf>
    <xf numFmtId="4" fontId="28" fillId="77" borderId="30" applyNumberFormat="0" applyProtection="0">
      <alignment horizontal="right" vertical="center"/>
    </xf>
    <xf numFmtId="4" fontId="28" fillId="78" borderId="30" applyNumberFormat="0" applyProtection="0">
      <alignment horizontal="right" vertical="center"/>
    </xf>
    <xf numFmtId="4" fontId="28" fillId="78" borderId="30" applyNumberFormat="0" applyProtection="0">
      <alignment horizontal="right" vertical="center"/>
    </xf>
    <xf numFmtId="4" fontId="28" fillId="78" borderId="30" applyNumberFormat="0" applyProtection="0">
      <alignment horizontal="right" vertical="center"/>
    </xf>
    <xf numFmtId="4" fontId="28" fillId="79" borderId="38" applyNumberFormat="0" applyProtection="0">
      <alignment horizontal="left" vertical="center" indent="1"/>
    </xf>
    <xf numFmtId="4" fontId="28" fillId="79" borderId="38" applyNumberFormat="0" applyProtection="0">
      <alignment horizontal="left" vertical="center" indent="1"/>
    </xf>
    <xf numFmtId="4" fontId="28" fillId="79" borderId="38" applyNumberFormat="0" applyProtection="0">
      <alignment horizontal="left" vertical="center" indent="1"/>
    </xf>
    <xf numFmtId="4" fontId="4" fillId="80" borderId="38" applyNumberFormat="0" applyProtection="0">
      <alignment horizontal="left" vertical="center" indent="1"/>
    </xf>
    <xf numFmtId="4" fontId="4" fillId="80" borderId="38" applyNumberFormat="0" applyProtection="0">
      <alignment horizontal="left" vertical="center" indent="1"/>
    </xf>
    <xf numFmtId="4" fontId="28" fillId="83" borderId="30" applyNumberFormat="0" applyProtection="0">
      <alignment horizontal="right" vertical="center"/>
    </xf>
    <xf numFmtId="4" fontId="28" fillId="83" borderId="30" applyNumberFormat="0" applyProtection="0">
      <alignment horizontal="right" vertical="center"/>
    </xf>
    <xf numFmtId="4" fontId="28" fillId="83" borderId="30" applyNumberFormat="0" applyProtection="0">
      <alignment horizontal="right" vertical="center"/>
    </xf>
    <xf numFmtId="4" fontId="28" fillId="81" borderId="38" applyNumberFormat="0" applyProtection="0">
      <alignment horizontal="left" vertical="center" indent="1"/>
    </xf>
    <xf numFmtId="4" fontId="28" fillId="81" borderId="38" applyNumberFormat="0" applyProtection="0">
      <alignment horizontal="left" vertical="center" indent="1"/>
    </xf>
    <xf numFmtId="4" fontId="28" fillId="81" borderId="38" applyNumberFormat="0" applyProtection="0">
      <alignment horizontal="left" vertical="center" indent="1"/>
    </xf>
    <xf numFmtId="4" fontId="28" fillId="83" borderId="38" applyNumberFormat="0" applyProtection="0">
      <alignment horizontal="left" vertical="center" indent="1"/>
    </xf>
    <xf numFmtId="4" fontId="28" fillId="83" borderId="38" applyNumberFormat="0" applyProtection="0">
      <alignment horizontal="left" vertical="center" indent="1"/>
    </xf>
    <xf numFmtId="4" fontId="28" fillId="83" borderId="38" applyNumberFormat="0" applyProtection="0">
      <alignment horizontal="left" vertical="center" indent="1"/>
    </xf>
    <xf numFmtId="0" fontId="28" fillId="84" borderId="30" applyNumberFormat="0" applyProtection="0">
      <alignment horizontal="left" vertical="center" indent="1"/>
    </xf>
    <xf numFmtId="0" fontId="28" fillId="84" borderId="30" applyNumberFormat="0" applyProtection="0">
      <alignment horizontal="left" vertical="center" indent="1"/>
    </xf>
    <xf numFmtId="0" fontId="28" fillId="84" borderId="30" applyNumberFormat="0" applyProtection="0">
      <alignment horizontal="left" vertical="center" indent="1"/>
    </xf>
    <xf numFmtId="0" fontId="28" fillId="80" borderId="37" applyNumberFormat="0" applyProtection="0">
      <alignment horizontal="left" vertical="top" indent="1"/>
    </xf>
    <xf numFmtId="0" fontId="28" fillId="80" borderId="37" applyNumberFormat="0" applyProtection="0">
      <alignment horizontal="left" vertical="top" indent="1"/>
    </xf>
    <xf numFmtId="0" fontId="28" fillId="80" borderId="37" applyNumberFormat="0" applyProtection="0">
      <alignment horizontal="left" vertical="top" indent="1"/>
    </xf>
    <xf numFmtId="0" fontId="28" fillId="85" borderId="30" applyNumberFormat="0" applyProtection="0">
      <alignment horizontal="left" vertical="center" indent="1"/>
    </xf>
    <xf numFmtId="0" fontId="28" fillId="85" borderId="30" applyNumberFormat="0" applyProtection="0">
      <alignment horizontal="left" vertical="center" indent="1"/>
    </xf>
    <xf numFmtId="0" fontId="28" fillId="85" borderId="30" applyNumberFormat="0" applyProtection="0">
      <alignment horizontal="left" vertical="center" indent="1"/>
    </xf>
    <xf numFmtId="0" fontId="28" fillId="83" borderId="37" applyNumberFormat="0" applyProtection="0">
      <alignment horizontal="left" vertical="top" indent="1"/>
    </xf>
    <xf numFmtId="0" fontId="28" fillId="83" borderId="37" applyNumberFormat="0" applyProtection="0">
      <alignment horizontal="left" vertical="top" indent="1"/>
    </xf>
    <xf numFmtId="0" fontId="28" fillId="83" borderId="37" applyNumberFormat="0" applyProtection="0">
      <alignment horizontal="left" vertical="top" indent="1"/>
    </xf>
    <xf numFmtId="0" fontId="28" fillId="86" borderId="30" applyNumberFormat="0" applyProtection="0">
      <alignment horizontal="left" vertical="center" indent="1"/>
    </xf>
    <xf numFmtId="0" fontId="28" fillId="86" borderId="30" applyNumberFormat="0" applyProtection="0">
      <alignment horizontal="left" vertical="center" indent="1"/>
    </xf>
    <xf numFmtId="0" fontId="28" fillId="86" borderId="30" applyNumberFormat="0" applyProtection="0">
      <alignment horizontal="left" vertical="center" indent="1"/>
    </xf>
    <xf numFmtId="0" fontId="28" fillId="86" borderId="37" applyNumberFormat="0" applyProtection="0">
      <alignment horizontal="left" vertical="top" indent="1"/>
    </xf>
    <xf numFmtId="0" fontId="28" fillId="86" borderId="37" applyNumberFormat="0" applyProtection="0">
      <alignment horizontal="left" vertical="top" indent="1"/>
    </xf>
    <xf numFmtId="0" fontId="28" fillId="86" borderId="37" applyNumberFormat="0" applyProtection="0">
      <alignment horizontal="left" vertical="top" indent="1"/>
    </xf>
    <xf numFmtId="0" fontId="28" fillId="81" borderId="30" applyNumberFormat="0" applyProtection="0">
      <alignment horizontal="left" vertical="center" indent="1"/>
    </xf>
    <xf numFmtId="0" fontId="28" fillId="81" borderId="30" applyNumberFormat="0" applyProtection="0">
      <alignment horizontal="left" vertical="center" indent="1"/>
    </xf>
    <xf numFmtId="0" fontId="28" fillId="81" borderId="30" applyNumberFormat="0" applyProtection="0">
      <alignment horizontal="left" vertical="center" indent="1"/>
    </xf>
    <xf numFmtId="0" fontId="28" fillId="81" borderId="37" applyNumberFormat="0" applyProtection="0">
      <alignment horizontal="left" vertical="top" indent="1"/>
    </xf>
    <xf numFmtId="0" fontId="28" fillId="81" borderId="37" applyNumberFormat="0" applyProtection="0">
      <alignment horizontal="left" vertical="top" indent="1"/>
    </xf>
    <xf numFmtId="0" fontId="28" fillId="81" borderId="37" applyNumberFormat="0" applyProtection="0">
      <alignment horizontal="left" vertical="top" indent="1"/>
    </xf>
    <xf numFmtId="4" fontId="51" fillId="90" borderId="37" applyNumberFormat="0" applyProtection="0">
      <alignment vertical="center"/>
    </xf>
    <xf numFmtId="4" fontId="47" fillId="91" borderId="43" applyNumberFormat="0" applyProtection="0">
      <alignment vertical="center"/>
    </xf>
    <xf numFmtId="4" fontId="51" fillId="84" borderId="37" applyNumberFormat="0" applyProtection="0">
      <alignment horizontal="left" vertical="center" indent="1"/>
    </xf>
    <xf numFmtId="0" fontId="51" fillId="90" borderId="37" applyNumberFormat="0" applyProtection="0">
      <alignment horizontal="left" vertical="top" indent="1"/>
    </xf>
    <xf numFmtId="4" fontId="28" fillId="0" borderId="30" applyNumberFormat="0" applyProtection="0">
      <alignment horizontal="right" vertical="center"/>
    </xf>
    <xf numFmtId="4" fontId="28" fillId="0" borderId="30" applyNumberFormat="0" applyProtection="0">
      <alignment horizontal="right" vertical="center"/>
    </xf>
    <xf numFmtId="4" fontId="28" fillId="0" borderId="30" applyNumberFormat="0" applyProtection="0">
      <alignment horizontal="right" vertical="center"/>
    </xf>
    <xf numFmtId="4" fontId="47" fillId="93" borderId="30" applyNumberFormat="0" applyProtection="0">
      <alignment horizontal="right" vertical="center"/>
    </xf>
    <xf numFmtId="4" fontId="28" fillId="67" borderId="30" applyNumberFormat="0" applyProtection="0">
      <alignment horizontal="left" vertical="center" indent="1"/>
    </xf>
    <xf numFmtId="4" fontId="28" fillId="67" borderId="30" applyNumberFormat="0" applyProtection="0">
      <alignment horizontal="left" vertical="center" indent="1"/>
    </xf>
    <xf numFmtId="4" fontId="28" fillId="67" borderId="30" applyNumberFormat="0" applyProtection="0">
      <alignment horizontal="left" vertical="center" indent="1"/>
    </xf>
    <xf numFmtId="0" fontId="51" fillId="83" borderId="37" applyNumberFormat="0" applyProtection="0">
      <alignment horizontal="left" vertical="top" indent="1"/>
    </xf>
    <xf numFmtId="4" fontId="53" fillId="94" borderId="38" applyNumberFormat="0" applyProtection="0">
      <alignment horizontal="left" vertical="center" indent="1"/>
    </xf>
    <xf numFmtId="0" fontId="28" fillId="95" borderId="43"/>
    <xf numFmtId="0" fontId="28" fillId="95" borderId="43"/>
    <xf numFmtId="4" fontId="55" fillId="89" borderId="30" applyNumberFormat="0" applyProtection="0">
      <alignment horizontal="right" vertical="center"/>
    </xf>
  </cellStyleXfs>
  <cellXfs count="243">
    <xf numFmtId="0" fontId="0" fillId="0" borderId="0" xfId="0"/>
    <xf numFmtId="164" fontId="0" fillId="0" borderId="0" xfId="1" applyNumberFormat="1" applyFont="1"/>
    <xf numFmtId="3" fontId="0" fillId="0" borderId="0" xfId="0" applyNumberFormat="1"/>
    <xf numFmtId="164" fontId="0" fillId="0" borderId="0" xfId="0" applyNumberFormat="1"/>
    <xf numFmtId="43" fontId="0" fillId="0" borderId="0" xfId="0" applyNumberFormat="1"/>
    <xf numFmtId="165" fontId="0" fillId="0" borderId="0" xfId="2" applyNumberFormat="1" applyFont="1"/>
    <xf numFmtId="0" fontId="3" fillId="0" borderId="0" xfId="0" applyFont="1"/>
    <xf numFmtId="0" fontId="5" fillId="0" borderId="0" xfId="3" applyFont="1"/>
    <xf numFmtId="0" fontId="4" fillId="0" borderId="0" xfId="3"/>
    <xf numFmtId="0" fontId="4" fillId="0" borderId="0" xfId="3" applyAlignment="1"/>
    <xf numFmtId="164" fontId="10" fillId="0" borderId="0" xfId="1" applyNumberFormat="1" applyFont="1"/>
    <xf numFmtId="3" fontId="8" fillId="0" borderId="0" xfId="3" applyNumberFormat="1" applyFont="1" applyFill="1" applyBorder="1" applyAlignment="1">
      <alignment horizontal="center"/>
    </xf>
    <xf numFmtId="0" fontId="0" fillId="0" borderId="0" xfId="0" applyFill="1"/>
    <xf numFmtId="0" fontId="4" fillId="0" borderId="0" xfId="3" applyFill="1"/>
    <xf numFmtId="0" fontId="4" fillId="0" borderId="0" xfId="3" applyFill="1" applyAlignment="1"/>
    <xf numFmtId="0" fontId="3" fillId="0" borderId="0" xfId="0" applyFont="1" applyAlignment="1">
      <alignment horizontal="center"/>
    </xf>
    <xf numFmtId="166" fontId="0" fillId="0" borderId="0" xfId="0" applyNumberFormat="1"/>
    <xf numFmtId="0" fontId="8" fillId="2" borderId="0" xfId="3" applyFont="1" applyFill="1" applyAlignment="1">
      <alignment horizontal="center"/>
    </xf>
    <xf numFmtId="0" fontId="8" fillId="2" borderId="0" xfId="3" applyFont="1" applyFill="1" applyAlignment="1"/>
    <xf numFmtId="3" fontId="8" fillId="2" borderId="0" xfId="3" applyNumberFormat="1" applyFont="1" applyFill="1" applyBorder="1" applyAlignment="1"/>
    <xf numFmtId="0" fontId="4" fillId="2" borderId="0" xfId="3" applyFill="1"/>
    <xf numFmtId="3" fontId="9" fillId="2" borderId="5" xfId="3" applyNumberFormat="1" applyFont="1" applyFill="1" applyBorder="1" applyAlignment="1">
      <alignment horizontal="center"/>
    </xf>
    <xf numFmtId="3" fontId="9" fillId="2" borderId="0" xfId="3" applyNumberFormat="1" applyFont="1" applyFill="1" applyBorder="1" applyAlignment="1">
      <alignment horizontal="center"/>
    </xf>
    <xf numFmtId="165" fontId="9" fillId="2" borderId="6" xfId="2" applyNumberFormat="1" applyFont="1" applyFill="1" applyBorder="1" applyAlignment="1">
      <alignment horizontal="center"/>
    </xf>
    <xf numFmtId="0" fontId="5" fillId="2" borderId="0" xfId="3" applyFont="1" applyFill="1"/>
    <xf numFmtId="0" fontId="6" fillId="2" borderId="0" xfId="3" quotePrefix="1" applyFont="1" applyFill="1" applyBorder="1" applyAlignment="1">
      <alignment horizontal="center"/>
    </xf>
    <xf numFmtId="0" fontId="7" fillId="2" borderId="0" xfId="3" quotePrefix="1" applyFont="1" applyFill="1" applyBorder="1" applyAlignment="1">
      <alignment horizontal="center"/>
    </xf>
    <xf numFmtId="3" fontId="8" fillId="2" borderId="0" xfId="3" applyNumberFormat="1" applyFont="1" applyFill="1" applyBorder="1" applyAlignment="1">
      <alignment horizontal="center"/>
    </xf>
    <xf numFmtId="3" fontId="4" fillId="2" borderId="5" xfId="3" applyNumberFormat="1" applyFill="1" applyBorder="1"/>
    <xf numFmtId="3" fontId="4" fillId="2" borderId="0" xfId="3" applyNumberFormat="1" applyFill="1" applyBorder="1"/>
    <xf numFmtId="3" fontId="4" fillId="2" borderId="6" xfId="3" applyNumberFormat="1" applyFill="1" applyBorder="1"/>
    <xf numFmtId="3" fontId="8" fillId="2" borderId="5" xfId="3" applyNumberFormat="1" applyFont="1" applyFill="1" applyBorder="1"/>
    <xf numFmtId="0" fontId="4" fillId="2" borderId="0" xfId="3" applyFill="1" applyBorder="1"/>
    <xf numFmtId="0" fontId="4" fillId="2" borderId="6" xfId="3" applyFill="1" applyBorder="1"/>
    <xf numFmtId="3" fontId="4" fillId="2" borderId="5" xfId="3" applyNumberFormat="1" applyFill="1" applyBorder="1" applyAlignment="1">
      <alignment horizontal="center"/>
    </xf>
    <xf numFmtId="3" fontId="4" fillId="2" borderId="0" xfId="3" applyNumberFormat="1" applyFill="1" applyBorder="1" applyAlignment="1">
      <alignment horizontal="center"/>
    </xf>
    <xf numFmtId="3" fontId="8" fillId="2" borderId="5" xfId="3" applyNumberFormat="1" applyFont="1" applyFill="1" applyBorder="1" applyAlignment="1">
      <alignment horizontal="center"/>
    </xf>
    <xf numFmtId="1" fontId="9" fillId="2" borderId="0" xfId="2" quotePrefix="1" applyNumberFormat="1" applyFont="1" applyFill="1" applyBorder="1" applyAlignment="1">
      <alignment horizontal="center"/>
    </xf>
    <xf numFmtId="164" fontId="9" fillId="2" borderId="0" xfId="1" quotePrefix="1" applyNumberFormat="1" applyFont="1" applyFill="1" applyBorder="1" applyAlignment="1">
      <alignment horizontal="center"/>
    </xf>
    <xf numFmtId="0" fontId="5" fillId="3" borderId="0" xfId="3" applyFont="1" applyFill="1"/>
    <xf numFmtId="0" fontId="6" fillId="3" borderId="0" xfId="3" quotePrefix="1" applyFont="1" applyFill="1" applyBorder="1" applyAlignment="1">
      <alignment horizontal="center"/>
    </xf>
    <xf numFmtId="0" fontId="4" fillId="3" borderId="0" xfId="3" applyFill="1"/>
    <xf numFmtId="0" fontId="7" fillId="3" borderId="0" xfId="3" quotePrefix="1" applyFont="1" applyFill="1" applyBorder="1" applyAlignment="1">
      <alignment horizontal="center"/>
    </xf>
    <xf numFmtId="0" fontId="8" fillId="3" borderId="0" xfId="3" applyFont="1" applyFill="1" applyAlignment="1">
      <alignment horizontal="center"/>
    </xf>
    <xf numFmtId="3" fontId="8" fillId="3" borderId="0" xfId="3" applyNumberFormat="1" applyFont="1" applyFill="1" applyBorder="1" applyAlignment="1">
      <alignment horizontal="center"/>
    </xf>
    <xf numFmtId="0" fontId="8" fillId="3" borderId="0" xfId="3" applyFont="1" applyFill="1" applyAlignment="1"/>
    <xf numFmtId="3" fontId="8" fillId="3" borderId="0" xfId="3" applyNumberFormat="1" applyFont="1" applyFill="1" applyBorder="1" applyAlignment="1"/>
    <xf numFmtId="3" fontId="8" fillId="3" borderId="6" xfId="3" applyNumberFormat="1" applyFont="1" applyFill="1" applyBorder="1" applyAlignment="1"/>
    <xf numFmtId="3" fontId="4" fillId="3" borderId="5" xfId="3" applyNumberFormat="1" applyFill="1" applyBorder="1"/>
    <xf numFmtId="3" fontId="4" fillId="3" borderId="0" xfId="3" applyNumberFormat="1" applyFill="1" applyBorder="1"/>
    <xf numFmtId="3" fontId="4" fillId="3" borderId="6" xfId="3" applyNumberFormat="1" applyFill="1" applyBorder="1"/>
    <xf numFmtId="3" fontId="8" fillId="3" borderId="5" xfId="3" applyNumberFormat="1" applyFont="1" applyFill="1" applyBorder="1"/>
    <xf numFmtId="0" fontId="4" fillId="3" borderId="0" xfId="3" applyFill="1" applyBorder="1"/>
    <xf numFmtId="0" fontId="4" fillId="3" borderId="6" xfId="3" applyFill="1" applyBorder="1"/>
    <xf numFmtId="3" fontId="9" fillId="3" borderId="5" xfId="3" applyNumberFormat="1" applyFont="1" applyFill="1" applyBorder="1" applyAlignment="1">
      <alignment horizontal="center"/>
    </xf>
    <xf numFmtId="3" fontId="9" fillId="3" borderId="0" xfId="3" applyNumberFormat="1" applyFont="1" applyFill="1" applyBorder="1" applyAlignment="1">
      <alignment horizontal="center"/>
    </xf>
    <xf numFmtId="165" fontId="9" fillId="3" borderId="6" xfId="2" applyNumberFormat="1" applyFont="1" applyFill="1" applyBorder="1" applyAlignment="1">
      <alignment horizontal="center"/>
    </xf>
    <xf numFmtId="3" fontId="4" fillId="3" borderId="5" xfId="3" applyNumberFormat="1" applyFill="1" applyBorder="1" applyAlignment="1">
      <alignment horizontal="center"/>
    </xf>
    <xf numFmtId="3" fontId="4" fillId="3" borderId="0" xfId="3" applyNumberFormat="1" applyFill="1" applyBorder="1" applyAlignment="1">
      <alignment horizontal="center"/>
    </xf>
    <xf numFmtId="3" fontId="8" fillId="3" borderId="5" xfId="3" applyNumberFormat="1" applyFont="1" applyFill="1" applyBorder="1" applyAlignment="1">
      <alignment horizontal="center"/>
    </xf>
    <xf numFmtId="1" fontId="9" fillId="3" borderId="0" xfId="2" quotePrefix="1" applyNumberFormat="1" applyFont="1" applyFill="1" applyBorder="1" applyAlignment="1">
      <alignment horizontal="center"/>
    </xf>
    <xf numFmtId="164" fontId="9" fillId="3" borderId="0" xfId="1" quotePrefix="1" applyNumberFormat="1" applyFont="1" applyFill="1" applyBorder="1" applyAlignment="1">
      <alignment horizontal="center"/>
    </xf>
    <xf numFmtId="0" fontId="2" fillId="0" borderId="0" xfId="0" applyFont="1"/>
    <xf numFmtId="3" fontId="9" fillId="2" borderId="1" xfId="3" applyNumberFormat="1" applyFont="1" applyFill="1" applyBorder="1" applyAlignment="1">
      <alignment horizontal="center"/>
    </xf>
    <xf numFmtId="165" fontId="9" fillId="2" borderId="7" xfId="2" applyNumberFormat="1" applyFont="1" applyFill="1" applyBorder="1" applyAlignment="1">
      <alignment horizontal="center"/>
    </xf>
    <xf numFmtId="3" fontId="9" fillId="2" borderId="8" xfId="3" applyNumberFormat="1" applyFont="1" applyFill="1" applyBorder="1" applyAlignment="1">
      <alignment horizontal="center"/>
    </xf>
    <xf numFmtId="3" fontId="9" fillId="3" borderId="1" xfId="3" applyNumberFormat="1" applyFont="1" applyFill="1" applyBorder="1" applyAlignment="1">
      <alignment horizontal="center"/>
    </xf>
    <xf numFmtId="165" fontId="9" fillId="3" borderId="7" xfId="2" applyNumberFormat="1" applyFont="1" applyFill="1" applyBorder="1" applyAlignment="1">
      <alignment horizontal="center"/>
    </xf>
    <xf numFmtId="165" fontId="9" fillId="3" borderId="5" xfId="2" applyNumberFormat="1" applyFont="1" applyFill="1" applyBorder="1" applyAlignment="1">
      <alignment horizontal="center"/>
    </xf>
    <xf numFmtId="165" fontId="9" fillId="3" borderId="8" xfId="2" applyNumberFormat="1" applyFont="1" applyFill="1" applyBorder="1" applyAlignment="1">
      <alignment horizontal="center"/>
    </xf>
    <xf numFmtId="165" fontId="9" fillId="2" borderId="5" xfId="2" applyNumberFormat="1" applyFont="1" applyFill="1" applyBorder="1" applyAlignment="1">
      <alignment horizontal="center"/>
    </xf>
    <xf numFmtId="165" fontId="9" fillId="2" borderId="8" xfId="2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5" fontId="9" fillId="3" borderId="0" xfId="2" applyNumberFormat="1" applyFont="1" applyFill="1" applyBorder="1" applyAlignment="1">
      <alignment horizontal="center"/>
    </xf>
    <xf numFmtId="165" fontId="9" fillId="3" borderId="1" xfId="2" applyNumberFormat="1" applyFont="1" applyFill="1" applyBorder="1" applyAlignment="1">
      <alignment horizontal="center"/>
    </xf>
    <xf numFmtId="165" fontId="9" fillId="2" borderId="0" xfId="2" applyNumberFormat="1" applyFont="1" applyFill="1" applyBorder="1" applyAlignment="1">
      <alignment horizontal="center"/>
    </xf>
    <xf numFmtId="165" fontId="9" fillId="2" borderId="1" xfId="2" applyNumberFormat="1" applyFont="1" applyFill="1" applyBorder="1" applyAlignment="1">
      <alignment horizontal="center"/>
    </xf>
    <xf numFmtId="3" fontId="8" fillId="2" borderId="11" xfId="3" applyNumberFormat="1" applyFont="1" applyFill="1" applyBorder="1" applyAlignment="1"/>
    <xf numFmtId="3" fontId="4" fillId="2" borderId="8" xfId="3" applyNumberFormat="1" applyFill="1" applyBorder="1" applyAlignment="1">
      <alignment horizontal="center"/>
    </xf>
    <xf numFmtId="3" fontId="8" fillId="2" borderId="8" xfId="3" applyNumberFormat="1" applyFont="1" applyFill="1" applyBorder="1" applyAlignment="1">
      <alignment horizontal="center"/>
    </xf>
    <xf numFmtId="3" fontId="8" fillId="2" borderId="1" xfId="3" applyNumberFormat="1" applyFont="1" applyFill="1" applyBorder="1" applyAlignment="1">
      <alignment horizontal="center"/>
    </xf>
    <xf numFmtId="3" fontId="9" fillId="3" borderId="8" xfId="3" applyNumberFormat="1" applyFont="1" applyFill="1" applyBorder="1" applyAlignment="1">
      <alignment horizontal="center"/>
    </xf>
    <xf numFmtId="3" fontId="8" fillId="3" borderId="8" xfId="3" applyNumberFormat="1" applyFont="1" applyFill="1" applyBorder="1" applyAlignment="1">
      <alignment horizontal="center"/>
    </xf>
    <xf numFmtId="3" fontId="8" fillId="3" borderId="1" xfId="3" applyNumberFormat="1" applyFont="1" applyFill="1" applyBorder="1" applyAlignment="1">
      <alignment horizontal="center"/>
    </xf>
    <xf numFmtId="3" fontId="4" fillId="3" borderId="8" xfId="3" applyNumberFormat="1" applyFill="1" applyBorder="1" applyAlignment="1">
      <alignment horizontal="center"/>
    </xf>
    <xf numFmtId="3" fontId="8" fillId="3" borderId="0" xfId="3" applyNumberFormat="1" applyFont="1" applyFill="1" applyAlignment="1">
      <alignment horizontal="center"/>
    </xf>
    <xf numFmtId="3" fontId="8" fillId="3" borderId="0" xfId="3" applyNumberFormat="1" applyFont="1" applyFill="1" applyAlignment="1"/>
    <xf numFmtId="165" fontId="4" fillId="3" borderId="0" xfId="2" applyNumberFormat="1" applyFont="1" applyFill="1" applyAlignment="1">
      <alignment horizontal="center"/>
    </xf>
    <xf numFmtId="0" fontId="8" fillId="3" borderId="12" xfId="3" applyFont="1" applyFill="1" applyBorder="1" applyAlignment="1">
      <alignment horizontal="center"/>
    </xf>
    <xf numFmtId="0" fontId="8" fillId="3" borderId="13" xfId="3" applyFont="1" applyFill="1" applyBorder="1" applyAlignment="1"/>
    <xf numFmtId="0" fontId="4" fillId="3" borderId="13" xfId="3" applyFill="1" applyBorder="1"/>
    <xf numFmtId="0" fontId="8" fillId="3" borderId="13" xfId="3" applyFont="1" applyFill="1" applyBorder="1" applyAlignment="1">
      <alignment horizontal="center"/>
    </xf>
    <xf numFmtId="0" fontId="8" fillId="3" borderId="14" xfId="3" applyFont="1" applyFill="1" applyBorder="1" applyAlignment="1">
      <alignment horizontal="center"/>
    </xf>
    <xf numFmtId="0" fontId="8" fillId="2" borderId="12" xfId="3" applyFont="1" applyFill="1" applyBorder="1" applyAlignment="1">
      <alignment horizontal="center"/>
    </xf>
    <xf numFmtId="3" fontId="8" fillId="2" borderId="0" xfId="3" applyNumberFormat="1" applyFont="1" applyFill="1" applyAlignment="1">
      <alignment horizontal="center"/>
    </xf>
    <xf numFmtId="0" fontId="8" fillId="2" borderId="13" xfId="3" applyFont="1" applyFill="1" applyBorder="1" applyAlignment="1"/>
    <xf numFmtId="3" fontId="8" fillId="2" borderId="0" xfId="3" applyNumberFormat="1" applyFont="1" applyFill="1" applyAlignment="1"/>
    <xf numFmtId="0" fontId="8" fillId="2" borderId="13" xfId="3" applyFont="1" applyFill="1" applyBorder="1" applyAlignment="1">
      <alignment horizontal="center"/>
    </xf>
    <xf numFmtId="165" fontId="4" fillId="2" borderId="0" xfId="2" applyNumberFormat="1" applyFont="1" applyFill="1" applyAlignment="1">
      <alignment horizontal="center"/>
    </xf>
    <xf numFmtId="0" fontId="8" fillId="2" borderId="14" xfId="3" applyFont="1" applyFill="1" applyBorder="1" applyAlignment="1">
      <alignment horizontal="center"/>
    </xf>
    <xf numFmtId="0" fontId="6" fillId="3" borderId="0" xfId="3" quotePrefix="1" applyFont="1" applyFill="1" applyBorder="1" applyAlignment="1">
      <alignment horizontal="center"/>
    </xf>
    <xf numFmtId="0" fontId="6" fillId="2" borderId="0" xfId="3" quotePrefix="1" applyFont="1" applyFill="1" applyBorder="1" applyAlignment="1">
      <alignment horizontal="center"/>
    </xf>
    <xf numFmtId="166" fontId="14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center" wrapText="1"/>
    </xf>
    <xf numFmtId="1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15" xfId="0" applyFont="1" applyBorder="1"/>
    <xf numFmtId="3" fontId="0" fillId="0" borderId="15" xfId="0" applyNumberFormat="1" applyBorder="1"/>
    <xf numFmtId="43" fontId="0" fillId="0" borderId="15" xfId="0" applyNumberFormat="1" applyBorder="1"/>
    <xf numFmtId="165" fontId="0" fillId="0" borderId="15" xfId="2" applyNumberFormat="1" applyFont="1" applyBorder="1"/>
    <xf numFmtId="0" fontId="0" fillId="0" borderId="15" xfId="0" applyBorder="1"/>
    <xf numFmtId="1" fontId="0" fillId="0" borderId="15" xfId="0" applyNumberFormat="1" applyBorder="1"/>
    <xf numFmtId="0" fontId="3" fillId="0" borderId="0" xfId="0" quotePrefix="1" applyFont="1" applyAlignment="1">
      <alignment horizontal="right"/>
    </xf>
    <xf numFmtId="166" fontId="2" fillId="0" borderId="0" xfId="0" applyNumberFormat="1" applyFont="1"/>
    <xf numFmtId="0" fontId="3" fillId="0" borderId="0" xfId="0" applyFont="1" applyAlignment="1">
      <alignment horizontal="center"/>
    </xf>
    <xf numFmtId="165" fontId="9" fillId="3" borderId="0" xfId="3" applyNumberFormat="1" applyFont="1" applyFill="1" applyBorder="1" applyAlignment="1">
      <alignment horizontal="center"/>
    </xf>
    <xf numFmtId="165" fontId="9" fillId="3" borderId="1" xfId="3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" fontId="4" fillId="0" borderId="15" xfId="0" applyNumberFormat="1" applyFont="1" applyBorder="1" applyAlignment="1">
      <alignment horizontal="center"/>
    </xf>
    <xf numFmtId="166" fontId="0" fillId="0" borderId="15" xfId="0" applyNumberFormat="1" applyBorder="1"/>
    <xf numFmtId="3" fontId="8" fillId="3" borderId="0" xfId="3" quotePrefix="1" applyNumberFormat="1" applyFont="1" applyFill="1" applyBorder="1" applyAlignment="1">
      <alignment horizontal="left"/>
    </xf>
    <xf numFmtId="3" fontId="0" fillId="0" borderId="0" xfId="0" quotePrefix="1" applyNumberFormat="1" applyAlignment="1">
      <alignment horizontal="left"/>
    </xf>
    <xf numFmtId="3" fontId="8" fillId="2" borderId="0" xfId="3" quotePrefix="1" applyNumberFormat="1" applyFont="1" applyFill="1" applyAlignment="1">
      <alignment horizontal="left"/>
    </xf>
    <xf numFmtId="3" fontId="8" fillId="3" borderId="0" xfId="3" quotePrefix="1" applyNumberFormat="1" applyFont="1" applyFill="1" applyAlignment="1">
      <alignment horizontal="left"/>
    </xf>
    <xf numFmtId="0" fontId="0" fillId="0" borderId="0" xfId="0" quotePrefix="1" applyAlignment="1">
      <alignment horizontal="left"/>
    </xf>
    <xf numFmtId="0" fontId="3" fillId="0" borderId="0" xfId="0" applyFont="1" applyAlignment="1">
      <alignment horizontal="center"/>
    </xf>
    <xf numFmtId="165" fontId="9" fillId="0" borderId="0" xfId="2" applyNumberFormat="1" applyFont="1" applyFill="1" applyBorder="1" applyAlignment="1">
      <alignment horizontal="center"/>
    </xf>
    <xf numFmtId="0" fontId="4" fillId="0" borderId="0" xfId="3" applyBorder="1" applyAlignment="1"/>
    <xf numFmtId="0" fontId="8" fillId="3" borderId="15" xfId="3" applyFont="1" applyFill="1" applyBorder="1" applyAlignment="1">
      <alignment horizontal="center"/>
    </xf>
    <xf numFmtId="3" fontId="9" fillId="3" borderId="16" xfId="3" applyNumberFormat="1" applyFont="1" applyFill="1" applyBorder="1" applyAlignment="1">
      <alignment horizontal="center"/>
    </xf>
    <xf numFmtId="3" fontId="9" fillId="3" borderId="15" xfId="3" applyNumberFormat="1" applyFont="1" applyFill="1" applyBorder="1" applyAlignment="1">
      <alignment horizontal="center"/>
    </xf>
    <xf numFmtId="165" fontId="9" fillId="3" borderId="17" xfId="2" applyNumberFormat="1" applyFont="1" applyFill="1" applyBorder="1" applyAlignment="1">
      <alignment horizontal="center"/>
    </xf>
    <xf numFmtId="3" fontId="4" fillId="3" borderId="16" xfId="3" applyNumberFormat="1" applyFill="1" applyBorder="1" applyAlignment="1">
      <alignment horizontal="center"/>
    </xf>
    <xf numFmtId="3" fontId="8" fillId="3" borderId="16" xfId="3" applyNumberFormat="1" applyFont="1" applyFill="1" applyBorder="1" applyAlignment="1">
      <alignment horizontal="center"/>
    </xf>
    <xf numFmtId="3" fontId="8" fillId="3" borderId="15" xfId="3" applyNumberFormat="1" applyFont="1" applyFill="1" applyBorder="1" applyAlignment="1">
      <alignment horizontal="center"/>
    </xf>
    <xf numFmtId="1" fontId="9" fillId="3" borderId="15" xfId="2" quotePrefix="1" applyNumberFormat="1" applyFont="1" applyFill="1" applyBorder="1" applyAlignment="1">
      <alignment horizontal="center"/>
    </xf>
    <xf numFmtId="164" fontId="9" fillId="3" borderId="15" xfId="1" quotePrefix="1" applyNumberFormat="1" applyFont="1" applyFill="1" applyBorder="1" applyAlignment="1">
      <alignment horizontal="center"/>
    </xf>
    <xf numFmtId="164" fontId="10" fillId="0" borderId="15" xfId="1" applyNumberFormat="1" applyFont="1" applyBorder="1"/>
    <xf numFmtId="165" fontId="9" fillId="0" borderId="15" xfId="2" applyNumberFormat="1" applyFont="1" applyFill="1" applyBorder="1" applyAlignment="1">
      <alignment horizontal="center"/>
    </xf>
    <xf numFmtId="0" fontId="8" fillId="2" borderId="15" xfId="3" applyFont="1" applyFill="1" applyBorder="1" applyAlignment="1">
      <alignment horizontal="center"/>
    </xf>
    <xf numFmtId="3" fontId="9" fillId="2" borderId="16" xfId="3" applyNumberFormat="1" applyFont="1" applyFill="1" applyBorder="1" applyAlignment="1">
      <alignment horizontal="center"/>
    </xf>
    <xf numFmtId="3" fontId="9" fillId="2" borderId="15" xfId="3" applyNumberFormat="1" applyFont="1" applyFill="1" applyBorder="1" applyAlignment="1">
      <alignment horizontal="center"/>
    </xf>
    <xf numFmtId="165" fontId="9" fillId="2" borderId="17" xfId="2" applyNumberFormat="1" applyFont="1" applyFill="1" applyBorder="1" applyAlignment="1">
      <alignment horizontal="center"/>
    </xf>
    <xf numFmtId="3" fontId="4" fillId="2" borderId="16" xfId="3" applyNumberFormat="1" applyFill="1" applyBorder="1" applyAlignment="1">
      <alignment horizontal="center"/>
    </xf>
    <xf numFmtId="3" fontId="8" fillId="2" borderId="16" xfId="3" applyNumberFormat="1" applyFont="1" applyFill="1" applyBorder="1" applyAlignment="1">
      <alignment horizontal="center"/>
    </xf>
    <xf numFmtId="3" fontId="8" fillId="2" borderId="15" xfId="3" applyNumberFormat="1" applyFont="1" applyFill="1" applyBorder="1" applyAlignment="1">
      <alignment horizontal="center"/>
    </xf>
    <xf numFmtId="1" fontId="9" fillId="2" borderId="15" xfId="2" quotePrefix="1" applyNumberFormat="1" applyFont="1" applyFill="1" applyBorder="1" applyAlignment="1">
      <alignment horizontal="center"/>
    </xf>
    <xf numFmtId="164" fontId="9" fillId="2" borderId="15" xfId="1" quotePrefix="1" applyNumberFormat="1" applyFont="1" applyFill="1" applyBorder="1" applyAlignment="1">
      <alignment horizontal="center"/>
    </xf>
    <xf numFmtId="166" fontId="2" fillId="0" borderId="18" xfId="0" applyNumberFormat="1" applyFont="1" applyBorder="1"/>
    <xf numFmtId="0" fontId="3" fillId="0" borderId="0" xfId="0" applyFont="1" applyBorder="1"/>
    <xf numFmtId="3" fontId="0" fillId="0" borderId="0" xfId="0" applyNumberFormat="1" applyBorder="1"/>
    <xf numFmtId="164" fontId="0" fillId="0" borderId="0" xfId="0" applyNumberFormat="1" applyBorder="1"/>
    <xf numFmtId="43" fontId="0" fillId="0" borderId="0" xfId="0" applyNumberFormat="1" applyBorder="1"/>
    <xf numFmtId="165" fontId="0" fillId="0" borderId="0" xfId="2" applyNumberFormat="1" applyFont="1" applyBorder="1"/>
    <xf numFmtId="0" fontId="0" fillId="0" borderId="0" xfId="0" applyBorder="1"/>
    <xf numFmtId="1" fontId="0" fillId="0" borderId="0" xfId="0" applyNumberFormat="1" applyBorder="1"/>
    <xf numFmtId="165" fontId="0" fillId="0" borderId="0" xfId="2" applyNumberFormat="1" applyFont="1" applyFill="1"/>
    <xf numFmtId="3" fontId="0" fillId="0" borderId="0" xfId="0" applyNumberFormat="1" applyFill="1" applyBorder="1"/>
    <xf numFmtId="0" fontId="3" fillId="0" borderId="1" xfId="0" applyFont="1" applyBorder="1"/>
    <xf numFmtId="3" fontId="0" fillId="0" borderId="1" xfId="0" applyNumberFormat="1" applyBorder="1"/>
    <xf numFmtId="43" fontId="0" fillId="0" borderId="1" xfId="0" applyNumberFormat="1" applyBorder="1"/>
    <xf numFmtId="165" fontId="0" fillId="0" borderId="1" xfId="2" applyNumberFormat="1" applyFont="1" applyBorder="1"/>
    <xf numFmtId="0" fontId="0" fillId="0" borderId="1" xfId="0" applyBorder="1"/>
    <xf numFmtId="1" fontId="0" fillId="0" borderId="1" xfId="0" applyNumberFormat="1" applyBorder="1"/>
    <xf numFmtId="3" fontId="8" fillId="3" borderId="5" xfId="3" quotePrefix="1" applyNumberFormat="1" applyFont="1" applyFill="1" applyBorder="1" applyAlignment="1">
      <alignment horizontal="left"/>
    </xf>
    <xf numFmtId="3" fontId="8" fillId="2" borderId="9" xfId="3" quotePrefix="1" applyNumberFormat="1" applyFont="1" applyFill="1" applyBorder="1" applyAlignment="1">
      <alignment horizontal="left"/>
    </xf>
    <xf numFmtId="3" fontId="8" fillId="2" borderId="10" xfId="3" quotePrefix="1" applyNumberFormat="1" applyFont="1" applyFill="1" applyBorder="1" applyAlignment="1">
      <alignment horizontal="left"/>
    </xf>
    <xf numFmtId="14" fontId="0" fillId="0" borderId="0" xfId="0" applyNumberFormat="1"/>
    <xf numFmtId="14" fontId="3" fillId="0" borderId="0" xfId="0" applyNumberFormat="1" applyFont="1" applyBorder="1"/>
    <xf numFmtId="164" fontId="0" fillId="0" borderId="0" xfId="1" applyNumberFormat="1" applyFont="1" applyBorder="1"/>
    <xf numFmtId="166" fontId="0" fillId="0" borderId="0" xfId="0" applyNumberFormat="1" applyBorder="1"/>
    <xf numFmtId="166" fontId="2" fillId="0" borderId="0" xfId="0" applyNumberFormat="1" applyFont="1" applyBorder="1"/>
    <xf numFmtId="10" fontId="0" fillId="0" borderId="0" xfId="2" applyNumberFormat="1" applyFont="1"/>
    <xf numFmtId="164" fontId="3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15" fillId="0" borderId="0" xfId="0" applyNumberFormat="1" applyFont="1" applyBorder="1"/>
    <xf numFmtId="0" fontId="8" fillId="3" borderId="0" xfId="3" applyFont="1" applyFill="1" applyBorder="1" applyAlignment="1">
      <alignment horizontal="center"/>
    </xf>
    <xf numFmtId="164" fontId="10" fillId="0" borderId="0" xfId="1" applyNumberFormat="1" applyFont="1" applyBorder="1"/>
    <xf numFmtId="0" fontId="4" fillId="0" borderId="0" xfId="3" applyBorder="1"/>
    <xf numFmtId="166" fontId="2" fillId="0" borderId="19" xfId="0" applyNumberFormat="1" applyFont="1" applyBorder="1"/>
    <xf numFmtId="0" fontId="8" fillId="2" borderId="0" xfId="3" applyFont="1" applyFill="1" applyBorder="1" applyAlignment="1">
      <alignment horizontal="center"/>
    </xf>
    <xf numFmtId="3" fontId="8" fillId="3" borderId="0" xfId="3" quotePrefix="1" applyNumberFormat="1" applyFont="1" applyFill="1" applyBorder="1" applyAlignment="1">
      <alignment horizontal="center"/>
    </xf>
    <xf numFmtId="3" fontId="8" fillId="2" borderId="0" xfId="3" quotePrefix="1" applyNumberFormat="1" applyFont="1" applyFill="1" applyBorder="1" applyAlignment="1">
      <alignment horizontal="left"/>
    </xf>
    <xf numFmtId="0" fontId="3" fillId="0" borderId="0" xfId="0" applyFont="1" applyFill="1" applyAlignment="1">
      <alignment horizontal="center" wrapText="1"/>
    </xf>
    <xf numFmtId="0" fontId="0" fillId="0" borderId="2" xfId="0" applyBorder="1"/>
    <xf numFmtId="0" fontId="0" fillId="0" borderId="3" xfId="0" applyBorder="1"/>
    <xf numFmtId="165" fontId="0" fillId="0" borderId="3" xfId="2" applyNumberFormat="1" applyFont="1" applyBorder="1"/>
    <xf numFmtId="165" fontId="0" fillId="0" borderId="4" xfId="2" applyNumberFormat="1" applyFont="1" applyBorder="1"/>
    <xf numFmtId="166" fontId="2" fillId="0" borderId="15" xfId="0" applyNumberFormat="1" applyFont="1" applyBorder="1"/>
    <xf numFmtId="0" fontId="0" fillId="0" borderId="2" xfId="0" quotePrefix="1" applyBorder="1" applyAlignment="1">
      <alignment horizontal="left"/>
    </xf>
    <xf numFmtId="10" fontId="0" fillId="0" borderId="3" xfId="2" applyNumberFormat="1" applyFont="1" applyBorder="1"/>
    <xf numFmtId="10" fontId="0" fillId="0" borderId="4" xfId="2" applyNumberFormat="1" applyFont="1" applyBorder="1"/>
    <xf numFmtId="10" fontId="0" fillId="0" borderId="0" xfId="0" applyNumberFormat="1"/>
    <xf numFmtId="0" fontId="3" fillId="0" borderId="0" xfId="0" applyFont="1" applyAlignment="1">
      <alignment horizontal="center"/>
    </xf>
    <xf numFmtId="43" fontId="4" fillId="3" borderId="0" xfId="1" applyFont="1" applyFill="1" applyAlignment="1">
      <alignment horizontal="center"/>
    </xf>
    <xf numFmtId="166" fontId="15" fillId="0" borderId="15" xfId="0" applyNumberFormat="1" applyFont="1" applyBorder="1"/>
    <xf numFmtId="3" fontId="0" fillId="0" borderId="15" xfId="0" applyNumberFormat="1" applyFill="1" applyBorder="1"/>
    <xf numFmtId="3" fontId="0" fillId="0" borderId="1" xfId="0" applyNumberFormat="1" applyFill="1" applyBorder="1"/>
    <xf numFmtId="164" fontId="0" fillId="0" borderId="1" xfId="0" applyNumberFormat="1" applyFill="1" applyBorder="1"/>
    <xf numFmtId="164" fontId="0" fillId="0" borderId="15" xfId="0" applyNumberFormat="1" applyFill="1" applyBorder="1"/>
    <xf numFmtId="165" fontId="0" fillId="0" borderId="1" xfId="2" applyNumberFormat="1" applyFont="1" applyFill="1" applyBorder="1"/>
    <xf numFmtId="0" fontId="0" fillId="0" borderId="15" xfId="0" applyFill="1" applyBorder="1"/>
    <xf numFmtId="165" fontId="0" fillId="0" borderId="15" xfId="2" applyNumberFormat="1" applyFont="1" applyFill="1" applyBorder="1"/>
    <xf numFmtId="167" fontId="0" fillId="0" borderId="0" xfId="1" applyNumberFormat="1" applyFont="1"/>
    <xf numFmtId="43" fontId="0" fillId="0" borderId="0" xfId="1" applyFont="1"/>
    <xf numFmtId="37" fontId="0" fillId="0" borderId="0" xfId="1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3" fontId="8" fillId="3" borderId="2" xfId="3" applyNumberFormat="1" applyFont="1" applyFill="1" applyBorder="1" applyAlignment="1">
      <alignment horizontal="center"/>
    </xf>
    <xf numFmtId="3" fontId="8" fillId="3" borderId="3" xfId="3" applyNumberFormat="1" applyFont="1" applyFill="1" applyBorder="1" applyAlignment="1">
      <alignment horizontal="center"/>
    </xf>
    <xf numFmtId="3" fontId="8" fillId="3" borderId="4" xfId="3" applyNumberFormat="1" applyFont="1" applyFill="1" applyBorder="1" applyAlignment="1">
      <alignment horizontal="center"/>
    </xf>
    <xf numFmtId="0" fontId="6" fillId="3" borderId="0" xfId="3" quotePrefix="1" applyFont="1" applyFill="1" applyBorder="1" applyAlignment="1">
      <alignment horizontal="center"/>
    </xf>
    <xf numFmtId="0" fontId="7" fillId="3" borderId="1" xfId="3" quotePrefix="1" applyFont="1" applyFill="1" applyBorder="1" applyAlignment="1">
      <alignment horizontal="center"/>
    </xf>
    <xf numFmtId="3" fontId="8" fillId="2" borderId="2" xfId="3" applyNumberFormat="1" applyFont="1" applyFill="1" applyBorder="1" applyAlignment="1">
      <alignment horizontal="center"/>
    </xf>
    <xf numFmtId="3" fontId="8" fillId="2" borderId="3" xfId="3" applyNumberFormat="1" applyFont="1" applyFill="1" applyBorder="1" applyAlignment="1">
      <alignment horizontal="center"/>
    </xf>
    <xf numFmtId="3" fontId="8" fillId="2" borderId="4" xfId="3" applyNumberFormat="1" applyFont="1" applyFill="1" applyBorder="1" applyAlignment="1">
      <alignment horizontal="center"/>
    </xf>
    <xf numFmtId="0" fontId="6" fillId="2" borderId="0" xfId="3" quotePrefix="1" applyFont="1" applyFill="1" applyBorder="1" applyAlignment="1">
      <alignment horizontal="center"/>
    </xf>
    <xf numFmtId="0" fontId="7" fillId="2" borderId="1" xfId="3" quotePrefix="1" applyFont="1" applyFill="1" applyBorder="1" applyAlignment="1">
      <alignment horizontal="center"/>
    </xf>
    <xf numFmtId="166" fontId="0" fillId="96" borderId="0" xfId="0" applyNumberFormat="1" applyFill="1"/>
    <xf numFmtId="164" fontId="0" fillId="96" borderId="15" xfId="1" applyNumberFormat="1" applyFont="1" applyFill="1" applyBorder="1"/>
    <xf numFmtId="3" fontId="0" fillId="96" borderId="0" xfId="0" applyNumberFormat="1" applyFill="1"/>
    <xf numFmtId="164" fontId="0" fillId="96" borderId="0" xfId="0" applyNumberFormat="1" applyFill="1"/>
    <xf numFmtId="165" fontId="0" fillId="96" borderId="0" xfId="2" applyNumberFormat="1" applyFont="1" applyFill="1"/>
    <xf numFmtId="3" fontId="0" fillId="96" borderId="15" xfId="0" applyNumberFormat="1" applyFill="1" applyBorder="1"/>
    <xf numFmtId="3" fontId="15" fillId="96" borderId="15" xfId="0" applyNumberFormat="1" applyFont="1" applyFill="1" applyBorder="1"/>
    <xf numFmtId="164" fontId="0" fillId="96" borderId="1" xfId="1" applyNumberFormat="1" applyFont="1" applyFill="1" applyBorder="1"/>
    <xf numFmtId="3" fontId="0" fillId="96" borderId="0" xfId="0" applyNumberFormat="1" applyFill="1" applyBorder="1"/>
    <xf numFmtId="3" fontId="2" fillId="96" borderId="1" xfId="0" applyNumberFormat="1" applyFont="1" applyFill="1" applyBorder="1"/>
    <xf numFmtId="3" fontId="15" fillId="96" borderId="1" xfId="0" applyNumberFormat="1" applyFont="1" applyFill="1" applyBorder="1"/>
    <xf numFmtId="3" fontId="0" fillId="96" borderId="1" xfId="0" applyNumberFormat="1" applyFill="1" applyBorder="1"/>
  </cellXfs>
  <cellStyles count="1501">
    <cellStyle name="20% - Accent1 2" xfId="12" xr:uid="{543C6E26-C664-4300-9F6C-CBFB74315974}"/>
    <cellStyle name="20% - Accent1 2 2" xfId="667" xr:uid="{3E7BE5C4-FCF9-4BB1-B807-18DD8A125ACB}"/>
    <cellStyle name="20% - Accent2 2" xfId="13" xr:uid="{7DA44855-BCD7-4172-94AB-2564D288CE51}"/>
    <cellStyle name="20% - Accent2 2 2" xfId="668" xr:uid="{CBE8D60D-D837-417B-A95A-AA1A40903702}"/>
    <cellStyle name="20% - Accent3 2" xfId="14" xr:uid="{5B61039A-052A-47C2-A5BC-38A342A20BA3}"/>
    <cellStyle name="20% - Accent3 2 2" xfId="669" xr:uid="{EB8EE9DA-2BB6-4DC2-9D57-915EF1DFB208}"/>
    <cellStyle name="20% - Accent4 2" xfId="15" xr:uid="{8341561E-F926-473B-8168-AC310809D980}"/>
    <cellStyle name="20% - Accent4 2 2" xfId="670" xr:uid="{735C7E6F-DE42-42F4-BF61-4751D9A64069}"/>
    <cellStyle name="20% - Accent5 2" xfId="16" xr:uid="{C796F514-49DE-4024-8357-A07AD8C67417}"/>
    <cellStyle name="20% - Accent5 2 2" xfId="671" xr:uid="{B5D7E3BB-3AEE-4D79-96AC-93691D92EB6D}"/>
    <cellStyle name="20% - Accent6 2" xfId="17" xr:uid="{DD70C9B7-A729-4A86-B9A8-CB799A108722}"/>
    <cellStyle name="20% - Accent6 2 2" xfId="672" xr:uid="{3763DB70-20E2-406B-9DB2-28196CC95E4E}"/>
    <cellStyle name="40% - Accent1 2" xfId="18" xr:uid="{7E853357-874A-40B1-9E18-9F3A13004F34}"/>
    <cellStyle name="40% - Accent1 2 2" xfId="673" xr:uid="{A8057E93-03F2-4812-BA4E-7EF048DEE4F8}"/>
    <cellStyle name="40% - Accent2 2" xfId="19" xr:uid="{ED85A2C6-40C6-4F96-803E-8BB4B296291B}"/>
    <cellStyle name="40% - Accent2 2 2" xfId="674" xr:uid="{70EF0A72-2C85-4EE9-B4D9-742F3A3CC2BD}"/>
    <cellStyle name="40% - Accent3 2" xfId="20" xr:uid="{8DBD09E1-CB6D-447F-A630-86B12C0CF8CB}"/>
    <cellStyle name="40% - Accent3 2 2" xfId="675" xr:uid="{B10443FE-DE24-4987-9A64-1CF0108869CF}"/>
    <cellStyle name="40% - Accent4 2" xfId="21" xr:uid="{68AF9422-584E-4618-A20A-1DF31578A3DA}"/>
    <cellStyle name="40% - Accent4 2 2" xfId="676" xr:uid="{AB62124D-8A09-4354-9165-F2C75170BB9F}"/>
    <cellStyle name="40% - Accent5 2" xfId="22" xr:uid="{58023B05-E30B-43D2-A7D8-83449298BB98}"/>
    <cellStyle name="40% - Accent5 2 2" xfId="677" xr:uid="{183DE1DC-C9FB-48C4-A032-2DC075E5EE4D}"/>
    <cellStyle name="40% - Accent6 2" xfId="23" xr:uid="{23D3E6EF-2C01-44E5-ABDD-084DDFB4DB7A}"/>
    <cellStyle name="40% - Accent6 2 2" xfId="678" xr:uid="{FA5FF717-4368-4563-88F5-F3062D72268C}"/>
    <cellStyle name="60% - Accent1 2" xfId="24" xr:uid="{9BBBA871-B8CE-44F4-981C-2C63DC40FFB2}"/>
    <cellStyle name="60% - Accent2 2" xfId="25" xr:uid="{AE706083-F0C4-44A9-99E8-91594E7F001A}"/>
    <cellStyle name="60% - Accent3 2" xfId="26" xr:uid="{591E5024-B497-45EF-AE59-12987AEE56DA}"/>
    <cellStyle name="60% - Accent4 2" xfId="27" xr:uid="{33EC21B3-A0CC-4938-BFDA-6DBE8BB346DB}"/>
    <cellStyle name="60% - Accent5 2" xfId="28" xr:uid="{2CAE0BC2-1017-498B-A79A-1C6EFB38FE0B}"/>
    <cellStyle name="60% - Accent6 2" xfId="29" xr:uid="{1DBC2116-2A66-4707-9BB1-88571FC3082A}"/>
    <cellStyle name="Accent1 - 20%" xfId="30" xr:uid="{AAF79B87-4A75-451F-BD28-8CED0BC7781C}"/>
    <cellStyle name="Accent1 - 20% 2" xfId="31" xr:uid="{DB612DF2-9346-4E41-ADC3-3D8DC23A4DF0}"/>
    <cellStyle name="Accent1 - 20% 3" xfId="32" xr:uid="{E1BFFA24-5F9D-4014-BA89-584C483DC09D}"/>
    <cellStyle name="Accent1 - 20% 4" xfId="33" xr:uid="{C6E6C917-3E0C-4AD4-93E5-2559DB459F9C}"/>
    <cellStyle name="Accent1 - 20% 5" xfId="679" xr:uid="{D165EC15-5BC5-436E-9DA6-9BFCF94F11DD}"/>
    <cellStyle name="Accent1 - 20%_Actuals by Storm IO" xfId="34" xr:uid="{148622AF-FC18-462E-8586-7AD310AB850B}"/>
    <cellStyle name="Accent1 - 40%" xfId="35" xr:uid="{5F83A4B5-1723-4B1D-8E75-1808B82C09CC}"/>
    <cellStyle name="Accent1 - 40% 2" xfId="36" xr:uid="{50E4CBF7-7037-420C-B838-C9B75B9CFF62}"/>
    <cellStyle name="Accent1 - 40% 3" xfId="37" xr:uid="{506A8647-9F14-4529-B778-D0246F8DB6DF}"/>
    <cellStyle name="Accent1 - 40% 4" xfId="38" xr:uid="{3402AEE2-A8F8-430C-9D64-39B7D7B40772}"/>
    <cellStyle name="Accent1 - 40% 5" xfId="680" xr:uid="{9494A107-9E90-45F3-8927-7F2A801ACB3A}"/>
    <cellStyle name="Accent1 - 40%_Actuals by Storm IO" xfId="39" xr:uid="{3AAF2B31-15C8-45F5-9A19-55223B685304}"/>
    <cellStyle name="Accent1 - 60%" xfId="40" xr:uid="{0EE397D5-952E-4C8D-AA2A-C23ED42AE1AF}"/>
    <cellStyle name="Accent1 - 60% 2" xfId="41" xr:uid="{C22CBB44-A01C-4C5E-8088-44BD58BF5CC1}"/>
    <cellStyle name="Accent1 - 60% 3" xfId="616" xr:uid="{D7D81A18-747B-4FC6-BB3A-AD052101E1DB}"/>
    <cellStyle name="Accent1 - 60% 4" xfId="681" xr:uid="{F32C8E4B-F3B7-4DD8-9302-E10183968E5D}"/>
    <cellStyle name="Accent1 - 60%_Actuals by Storm IO" xfId="42" xr:uid="{1EA0BCE0-690B-4571-A6FD-B94D5881C504}"/>
    <cellStyle name="Accent1 10" xfId="43" xr:uid="{688BC5B4-C1A9-4D0A-A8A4-BC000E03DA9E}"/>
    <cellStyle name="Accent1 11" xfId="44" xr:uid="{3D2B4FE9-F2D8-44A4-8CAB-D6AC26A4AE56}"/>
    <cellStyle name="Accent1 12" xfId="45" xr:uid="{E140D1B7-B86A-4709-AD81-B3E5AAB2F699}"/>
    <cellStyle name="Accent1 13" xfId="46" xr:uid="{25E43B81-5951-4665-8702-6F01F12AF6A0}"/>
    <cellStyle name="Accent1 14" xfId="47" xr:uid="{788D3BAC-84BE-440F-812F-6C17B7AF8DB6}"/>
    <cellStyle name="Accent1 15" xfId="48" xr:uid="{559C3C2E-0806-425D-A35B-82829411F9DE}"/>
    <cellStyle name="Accent1 16" xfId="49" xr:uid="{D0A3CC30-494A-4E08-B76F-584DEB37ABC6}"/>
    <cellStyle name="Accent1 17" xfId="50" xr:uid="{91ADE910-73F9-4209-B153-740B82F19184}"/>
    <cellStyle name="Accent1 18" xfId="51" xr:uid="{48E162AD-323D-4CC0-A13E-AC5CA7DB2F59}"/>
    <cellStyle name="Accent1 2" xfId="52" xr:uid="{C596C715-75BF-4B36-A9CD-6C26E6C6F003}"/>
    <cellStyle name="Accent1 3" xfId="53" xr:uid="{47108A5C-EE74-41CC-BAF6-49EEE47E2E90}"/>
    <cellStyle name="Accent1 4" xfId="54" xr:uid="{2E020BE4-7E2E-4635-828F-2BD06E21F45E}"/>
    <cellStyle name="Accent1 5" xfId="55" xr:uid="{B43E9B67-C7DD-4FEA-B026-6566D92652A2}"/>
    <cellStyle name="Accent1 6" xfId="56" xr:uid="{CB776F2E-1512-4499-AFD6-D52203135588}"/>
    <cellStyle name="Accent1 7" xfId="57" xr:uid="{458B61D2-170E-4F9B-A914-DD614116ABD0}"/>
    <cellStyle name="Accent1 8" xfId="58" xr:uid="{9CA43667-29D5-4FCF-8512-6639D5590F74}"/>
    <cellStyle name="Accent1 9" xfId="59" xr:uid="{5151473C-596A-41BB-8D29-34E04579CEB0}"/>
    <cellStyle name="Accent2 - 20%" xfId="60" xr:uid="{6E17EC1C-415B-45D5-B9EB-8615D40A4002}"/>
    <cellStyle name="Accent2 - 20% 2" xfId="61" xr:uid="{13539DE3-8B3F-48A4-A77E-DD3D622746AB}"/>
    <cellStyle name="Accent2 - 20% 3" xfId="62" xr:uid="{E56FAB0F-C48A-4091-B649-77471CAFCB6D}"/>
    <cellStyle name="Accent2 - 20% 4" xfId="63" xr:uid="{8D37F1D4-8B95-4C2F-8B47-D935C2B193AC}"/>
    <cellStyle name="Accent2 - 20% 5" xfId="682" xr:uid="{C8E42773-E1C8-4765-A5AE-8DC1ADAB5317}"/>
    <cellStyle name="Accent2 - 20%_Actuals by Storm IO" xfId="64" xr:uid="{43D64F92-EB04-45EF-B765-80D4D041F3F6}"/>
    <cellStyle name="Accent2 - 40%" xfId="65" xr:uid="{2DC2C2E8-EE06-48CA-BCF3-8617EB918F93}"/>
    <cellStyle name="Accent2 - 40% 2" xfId="66" xr:uid="{950BD24B-A250-4C94-B68E-98BC44C1CA89}"/>
    <cellStyle name="Accent2 - 40% 3" xfId="67" xr:uid="{9C5393FB-D50D-4801-AFE4-C7D9095B14ED}"/>
    <cellStyle name="Accent2 - 40% 4" xfId="68" xr:uid="{8D364935-DC7A-4E4A-9D22-66055524E049}"/>
    <cellStyle name="Accent2 - 40% 5" xfId="683" xr:uid="{CBD7E922-C22A-46D3-A14A-4509DD2D44D6}"/>
    <cellStyle name="Accent2 - 40%_Actuals by Storm IO" xfId="69" xr:uid="{7293F843-3E30-48A0-978B-5BC2A9DF6063}"/>
    <cellStyle name="Accent2 - 60%" xfId="70" xr:uid="{AD25166E-5B93-416C-B34C-C1A6641B93FF}"/>
    <cellStyle name="Accent2 - 60% 2" xfId="71" xr:uid="{DBD02780-6BF8-4ADB-88B3-4B8F02A89541}"/>
    <cellStyle name="Accent2 - 60% 3" xfId="617" xr:uid="{C238A686-2643-4FBF-9F95-7F9F0299FA94}"/>
    <cellStyle name="Accent2 - 60% 4" xfId="684" xr:uid="{6ED4037A-60BF-4C57-B6C1-7B389390DAE1}"/>
    <cellStyle name="Accent2 - 60%_Actuals by Storm IO" xfId="72" xr:uid="{C6900500-EF31-43AB-BA78-3AB72FF460C7}"/>
    <cellStyle name="Accent2 10" xfId="73" xr:uid="{20C54A5D-84AC-4FB7-93D0-404B5FCDE1F8}"/>
    <cellStyle name="Accent2 11" xfId="74" xr:uid="{6AC4094A-9CB6-4AED-9D1D-2E0E05DF9509}"/>
    <cellStyle name="Accent2 12" xfId="75" xr:uid="{8D2C632C-B114-41D5-9CAD-82EA998BA6A8}"/>
    <cellStyle name="Accent2 13" xfId="76" xr:uid="{AABCBC46-9206-4243-BA20-DEDB7C1382FC}"/>
    <cellStyle name="Accent2 14" xfId="77" xr:uid="{C0234D30-3D26-4D7D-AB85-65FA7813D2CC}"/>
    <cellStyle name="Accent2 15" xfId="78" xr:uid="{9ED878C5-72F1-4855-995B-1F02AEBAE88C}"/>
    <cellStyle name="Accent2 16" xfId="79" xr:uid="{18D244D6-0B4E-4943-A4A5-986C34EF0EB0}"/>
    <cellStyle name="Accent2 17" xfId="80" xr:uid="{199939AE-055A-4842-8BCE-C782B598A964}"/>
    <cellStyle name="Accent2 18" xfId="81" xr:uid="{07D3E6FF-5C22-47E1-8522-C19C441D7B09}"/>
    <cellStyle name="Accent2 2" xfId="82" xr:uid="{DC7E2463-119A-4A14-A0B8-F4B504120D66}"/>
    <cellStyle name="Accent2 3" xfId="83" xr:uid="{D9AA7A47-6073-4B88-A4EC-C9523653699E}"/>
    <cellStyle name="Accent2 4" xfId="84" xr:uid="{AE6E227D-EF74-490B-BFFF-C2251EDD41B7}"/>
    <cellStyle name="Accent2 5" xfId="85" xr:uid="{1FA2C60E-DE77-4A90-AA5F-C6A3CD540B75}"/>
    <cellStyle name="Accent2 6" xfId="86" xr:uid="{76DE3D07-7EF1-43CC-A565-DDC9430C9CD7}"/>
    <cellStyle name="Accent2 7" xfId="87" xr:uid="{D3571B4B-83B1-4141-9C57-19C5FFF3DC4C}"/>
    <cellStyle name="Accent2 8" xfId="88" xr:uid="{72834CC4-A924-4515-A4E8-A4D7AD77C1AA}"/>
    <cellStyle name="Accent2 9" xfId="89" xr:uid="{6C51DF03-597A-4761-8052-BC50EBBB7C2F}"/>
    <cellStyle name="Accent3 - 20%" xfId="90" xr:uid="{0BF9278D-35A4-44D3-AFDE-570D66433EF5}"/>
    <cellStyle name="Accent3 - 20% 2" xfId="91" xr:uid="{F9B81B37-9B6B-4D2E-A899-7808B341EB16}"/>
    <cellStyle name="Accent3 - 20% 3" xfId="92" xr:uid="{79C63B39-53F6-4F0E-9DBC-84D2EED81AD4}"/>
    <cellStyle name="Accent3 - 20% 4" xfId="93" xr:uid="{2E2FD997-9BBA-4D3D-A1E8-B0D7E0877D67}"/>
    <cellStyle name="Accent3 - 20% 5" xfId="685" xr:uid="{154ACB8E-D629-40B3-9B88-2F9CDF487CA4}"/>
    <cellStyle name="Accent3 - 20%_Actuals by Storm IO" xfId="94" xr:uid="{5290058F-68C1-49EC-A3EA-BA98A3C0247C}"/>
    <cellStyle name="Accent3 - 40%" xfId="95" xr:uid="{ADFD1D24-81C7-44CD-B390-77A324CF2028}"/>
    <cellStyle name="Accent3 - 40% 2" xfId="96" xr:uid="{1C9566AC-91D3-45A2-B807-05127845E8C2}"/>
    <cellStyle name="Accent3 - 40% 3" xfId="97" xr:uid="{1859477F-0F7C-4E62-A079-77E7F06B0812}"/>
    <cellStyle name="Accent3 - 40% 4" xfId="98" xr:uid="{6A8B30BD-4069-4F8B-AF93-0921C870F0E2}"/>
    <cellStyle name="Accent3 - 40% 5" xfId="686" xr:uid="{8819987D-08BF-45F1-A6A2-51CDF259ED68}"/>
    <cellStyle name="Accent3 - 40%_Actuals by Storm IO" xfId="99" xr:uid="{EC2BFEFC-DEE1-4E29-9977-B37452CB6D16}"/>
    <cellStyle name="Accent3 - 60%" xfId="100" xr:uid="{D3E7CBEE-675B-4E43-ACCF-62DD0693FE5F}"/>
    <cellStyle name="Accent3 - 60% 2" xfId="101" xr:uid="{7BF99E66-43FF-44A9-AA28-A792EF0DA871}"/>
    <cellStyle name="Accent3 - 60% 3" xfId="618" xr:uid="{8CBB5AAB-19DF-476A-A772-8D37021A3CB1}"/>
    <cellStyle name="Accent3 - 60% 4" xfId="687" xr:uid="{6B1417D6-85AD-401E-859C-3A20BF2F34E9}"/>
    <cellStyle name="Accent3 - 60%_Actuals by Storm IO" xfId="102" xr:uid="{2F28C3B4-DCFC-478F-88A1-25E6A77E2D92}"/>
    <cellStyle name="Accent3 10" xfId="103" xr:uid="{9381EBF5-3F2D-46C8-BD71-73629D154814}"/>
    <cellStyle name="Accent3 11" xfId="104" xr:uid="{8B96A56E-0635-42E6-9094-B18689B3E536}"/>
    <cellStyle name="Accent3 12" xfId="105" xr:uid="{39113F87-F6C9-4252-9B1E-95F8AE9F813A}"/>
    <cellStyle name="Accent3 13" xfId="106" xr:uid="{F85591BC-3FA0-47C2-8EFC-CC0628B44BF9}"/>
    <cellStyle name="Accent3 14" xfId="107" xr:uid="{08576050-CDF1-489E-9984-0D541F2DD79A}"/>
    <cellStyle name="Accent3 15" xfId="108" xr:uid="{9B93B340-BF25-47C4-8D4B-A38161D5DEC8}"/>
    <cellStyle name="Accent3 16" xfId="109" xr:uid="{2FF42058-5F38-47AB-B436-F73C9A284425}"/>
    <cellStyle name="Accent3 17" xfId="110" xr:uid="{165091FB-5531-457D-A599-6465810E0D3E}"/>
    <cellStyle name="Accent3 18" xfId="111" xr:uid="{BA6D0413-C3E1-4A9E-8342-02B03E44BAEA}"/>
    <cellStyle name="Accent3 2" xfId="112" xr:uid="{62B6B0A9-0ABD-44A0-9AC6-9E1D5F7EA543}"/>
    <cellStyle name="Accent3 3" xfId="113" xr:uid="{C6576869-F54B-4044-AC78-AAB7479CA9DC}"/>
    <cellStyle name="Accent3 4" xfId="114" xr:uid="{3854930E-711A-422E-96FB-AB3FA7C46145}"/>
    <cellStyle name="Accent3 5" xfId="115" xr:uid="{8FED3E6D-58C4-4ECA-8A63-E8B1C09F2C91}"/>
    <cellStyle name="Accent3 6" xfId="116" xr:uid="{C85046A3-6C15-4891-AC39-AA32CB70664F}"/>
    <cellStyle name="Accent3 7" xfId="117" xr:uid="{B11DF59D-6FF6-4D3B-8809-2371AAFA3C25}"/>
    <cellStyle name="Accent3 8" xfId="118" xr:uid="{FDA64F00-95AC-40DC-A1DE-5495EEA4063B}"/>
    <cellStyle name="Accent3 9" xfId="119" xr:uid="{4EA385C7-8071-4E01-BAD9-51C848963239}"/>
    <cellStyle name="Accent4 - 20%" xfId="120" xr:uid="{739C2444-E48C-492E-B800-E80A61289F5B}"/>
    <cellStyle name="Accent4 - 20% 2" xfId="121" xr:uid="{2DD3767D-48A8-4158-9DDB-225A327112D2}"/>
    <cellStyle name="Accent4 - 20% 3" xfId="122" xr:uid="{67861659-2242-4339-9CBB-D5796EB15EA1}"/>
    <cellStyle name="Accent4 - 20% 4" xfId="123" xr:uid="{A594F53D-D555-4EBE-A086-7553A90B5C79}"/>
    <cellStyle name="Accent4 - 20% 5" xfId="688" xr:uid="{EBF6E410-7F3B-4981-8771-F70A2F995F20}"/>
    <cellStyle name="Accent4 - 20%_Actuals by Storm IO" xfId="124" xr:uid="{BB13405F-2343-4420-86D6-73877CA239D5}"/>
    <cellStyle name="Accent4 - 40%" xfId="125" xr:uid="{643EF235-4EB3-47CD-BFF9-721F20CC3BAB}"/>
    <cellStyle name="Accent4 - 40% 2" xfId="126" xr:uid="{E0545A3B-CB94-4C4F-A26F-3D5B54DB2548}"/>
    <cellStyle name="Accent4 - 40% 3" xfId="127" xr:uid="{36BA68F5-96E0-4DF3-8A98-1347B6DE779A}"/>
    <cellStyle name="Accent4 - 40% 4" xfId="128" xr:uid="{EEEE9ADB-17D0-4848-9DA3-95A279D5839D}"/>
    <cellStyle name="Accent4 - 40% 5" xfId="689" xr:uid="{2E97B457-33BF-42ED-8F59-EB472E5FC047}"/>
    <cellStyle name="Accent4 - 40%_Actuals by Storm IO" xfId="129" xr:uid="{48E0FB15-731C-47D8-B1E7-1885182F2AC5}"/>
    <cellStyle name="Accent4 - 60%" xfId="130" xr:uid="{FFE807E3-4AF9-4BED-95E0-A768A4005E90}"/>
    <cellStyle name="Accent4 - 60% 2" xfId="131" xr:uid="{51B03A98-7900-4357-BE62-341325106135}"/>
    <cellStyle name="Accent4 - 60% 3" xfId="619" xr:uid="{7412FDD6-B242-4AB2-9B5A-C7FE298244DF}"/>
    <cellStyle name="Accent4 - 60% 4" xfId="690" xr:uid="{FE7191C9-CEBF-413D-9B0F-5A5B7DD1FB99}"/>
    <cellStyle name="Accent4 - 60%_Actuals by Storm IO" xfId="132" xr:uid="{B38B57DA-AFC5-49D5-AC0A-11486A7CCF23}"/>
    <cellStyle name="Accent4 10" xfId="133" xr:uid="{8D482AB9-E6AF-46D7-9B99-175FE0CB7F50}"/>
    <cellStyle name="Accent4 11" xfId="134" xr:uid="{F300A780-DF34-4B87-BBBF-BBE4C30EDD4A}"/>
    <cellStyle name="Accent4 12" xfId="135" xr:uid="{FCA1DC11-BA53-4977-A3E6-963713C4EABD}"/>
    <cellStyle name="Accent4 13" xfId="136" xr:uid="{BA192305-9522-400E-8C26-E116A911639C}"/>
    <cellStyle name="Accent4 14" xfId="137" xr:uid="{70F3332F-3425-46C3-8EFB-D2B86F50E166}"/>
    <cellStyle name="Accent4 15" xfId="138" xr:uid="{16ABF38D-A71B-4F71-A47F-84BF4F5E552C}"/>
    <cellStyle name="Accent4 16" xfId="139" xr:uid="{600FB325-ED50-4246-ABB7-F2A83F0DAAC7}"/>
    <cellStyle name="Accent4 17" xfId="140" xr:uid="{EDFFC495-763D-40AF-A860-DA4AB4509458}"/>
    <cellStyle name="Accent4 18" xfId="141" xr:uid="{7D713BF6-C8BD-477E-A14F-811BA9825796}"/>
    <cellStyle name="Accent4 2" xfId="142" xr:uid="{293A31DC-3BA8-4805-A999-0DE0E4C8F005}"/>
    <cellStyle name="Accent4 3" xfId="143" xr:uid="{BDD5D41E-8772-4B3E-ACDB-6633896A6999}"/>
    <cellStyle name="Accent4 4" xfId="144" xr:uid="{8E885232-A248-4400-94ED-D14626229C92}"/>
    <cellStyle name="Accent4 5" xfId="145" xr:uid="{A4AD0431-519D-4A1D-B827-CBA3C5A889BF}"/>
    <cellStyle name="Accent4 6" xfId="146" xr:uid="{0A83C471-FE71-4FDA-A102-0A6944CDA151}"/>
    <cellStyle name="Accent4 7" xfId="147" xr:uid="{09B37946-14A0-4869-828A-72E5782FAF9C}"/>
    <cellStyle name="Accent4 8" xfId="148" xr:uid="{1A57FBE2-ED79-4ED4-9833-A9253E38D6A2}"/>
    <cellStyle name="Accent4 9" xfId="149" xr:uid="{0FA36BF8-B942-4032-B313-D6E1FBF8D3C4}"/>
    <cellStyle name="Accent5 - 20%" xfId="150" xr:uid="{F47BE3F9-6BF0-411F-BEFC-42D72B24CC72}"/>
    <cellStyle name="Accent5 - 20% 2" xfId="151" xr:uid="{A23E519D-1E02-4D4D-A7E8-CE7D89D24597}"/>
    <cellStyle name="Accent5 - 20% 3" xfId="152" xr:uid="{82750215-9DE8-4911-A62E-3BA9200BBEA1}"/>
    <cellStyle name="Accent5 - 20% 4" xfId="153" xr:uid="{6A70EDCF-5102-40D3-9F90-B23AF4032B3D}"/>
    <cellStyle name="Accent5 - 20% 5" xfId="691" xr:uid="{2D96CA18-22F0-47BE-BB9A-F363DD5B6836}"/>
    <cellStyle name="Accent5 - 20%_Actuals by Storm IO" xfId="154" xr:uid="{3010CEA3-E825-4A68-9D60-88ED9242439C}"/>
    <cellStyle name="Accent5 - 40%" xfId="155" xr:uid="{B09200F2-D40C-40EB-9CF1-3EBC33D7F504}"/>
    <cellStyle name="Accent5 - 40% 2" xfId="156" xr:uid="{E1E5389F-CD2D-4EF0-BAEA-D6B4D57C3312}"/>
    <cellStyle name="Accent5 - 40% 3" xfId="157" xr:uid="{D47AE635-2274-4AF4-AD76-9F9F923F8EA4}"/>
    <cellStyle name="Accent5 - 60%" xfId="158" xr:uid="{6844010D-7D04-4E74-913E-16F56C30414B}"/>
    <cellStyle name="Accent5 - 60% 2" xfId="159" xr:uid="{80AF4511-C4DF-407D-92CB-9A1689F4852E}"/>
    <cellStyle name="Accent5 - 60% 3" xfId="620" xr:uid="{D4309BCC-1009-4052-8334-20D7918365E2}"/>
    <cellStyle name="Accent5 - 60% 4" xfId="692" xr:uid="{F0055F34-41FA-49F7-BB86-4EDA05B83C84}"/>
    <cellStyle name="Accent5 - 60%_Actuals by Storm IO" xfId="160" xr:uid="{4F307A73-7760-49B3-8601-283556BD9179}"/>
    <cellStyle name="Accent5 10" xfId="161" xr:uid="{AEB666F5-C233-4A06-B3B3-1B554A71F1FA}"/>
    <cellStyle name="Accent5 11" xfId="162" xr:uid="{8FAC94E8-2F02-4467-8B02-4D36D1E23A21}"/>
    <cellStyle name="Accent5 12" xfId="163" xr:uid="{7093733F-64EF-4AD6-9071-82FF61E220A7}"/>
    <cellStyle name="Accent5 13" xfId="164" xr:uid="{1C40E208-4DE0-4BD6-A5F7-AFC5B5975D10}"/>
    <cellStyle name="Accent5 14" xfId="165" xr:uid="{13B92C90-9C15-485D-B35A-EB25EAF0DA7C}"/>
    <cellStyle name="Accent5 15" xfId="166" xr:uid="{EA50D1C3-2EB4-46FB-8DD6-91F1983A114E}"/>
    <cellStyle name="Accent5 16" xfId="167" xr:uid="{7741580C-7E71-4C85-B6C5-7CB9E55D94EF}"/>
    <cellStyle name="Accent5 17" xfId="168" xr:uid="{55086EA1-125B-4657-B962-84FF27715821}"/>
    <cellStyle name="Accent5 18" xfId="169" xr:uid="{B65C56A3-BAB6-45D7-BC53-99AB23B73508}"/>
    <cellStyle name="Accent5 2" xfId="170" xr:uid="{AD2D17AF-0233-4E7D-82B9-B6945F09B854}"/>
    <cellStyle name="Accent5 3" xfId="171" xr:uid="{E2865F9E-0BDC-4DB8-A658-F0C0D60E003C}"/>
    <cellStyle name="Accent5 4" xfId="172" xr:uid="{90DED5F0-9E92-4ECE-9B85-B6B16CB1B48D}"/>
    <cellStyle name="Accent5 5" xfId="173" xr:uid="{BB6256E9-82B8-4CED-8CD0-9DC90D21502C}"/>
    <cellStyle name="Accent5 6" xfId="174" xr:uid="{FDCF3CF8-3A90-4639-B604-D4BA66275410}"/>
    <cellStyle name="Accent5 7" xfId="175" xr:uid="{12DC098C-2CB3-42E3-8C95-87641392F08C}"/>
    <cellStyle name="Accent5 8" xfId="176" xr:uid="{FBDE5C8A-0884-4C7A-99B8-A1479841259E}"/>
    <cellStyle name="Accent5 9" xfId="177" xr:uid="{4A13587A-7248-449D-A4AA-587F63D748BA}"/>
    <cellStyle name="Accent6 - 20%" xfId="178" xr:uid="{2F7148D5-E2DC-4C3A-8B3A-31DBE028F59D}"/>
    <cellStyle name="Accent6 - 20% 2" xfId="179" xr:uid="{5589046A-FB62-45CD-B485-5041A204351F}"/>
    <cellStyle name="Accent6 - 20% 3" xfId="180" xr:uid="{E09AF5BD-3A84-43DB-8CC7-BD80ACE4EB84}"/>
    <cellStyle name="Accent6 - 40%" xfId="181" xr:uid="{C1D47BF6-77E2-4C8A-A67B-7BC345B355D6}"/>
    <cellStyle name="Accent6 - 40% 2" xfId="182" xr:uid="{EF518F0D-B3D4-46A4-A427-88455E2173B9}"/>
    <cellStyle name="Accent6 - 40% 3" xfId="183" xr:uid="{C4A53642-145F-4D7F-A0F2-C37418B1C9C5}"/>
    <cellStyle name="Accent6 - 40% 4" xfId="184" xr:uid="{4A7D5EB2-0D98-4796-AFC7-247C9690E730}"/>
    <cellStyle name="Accent6 - 40% 5" xfId="693" xr:uid="{667E1EBA-1159-4D8F-BFB8-6B30165D62BF}"/>
    <cellStyle name="Accent6 - 40%_Actuals by Storm IO" xfId="185" xr:uid="{153301AC-68A7-4923-B5E2-0235F5FEC58A}"/>
    <cellStyle name="Accent6 - 60%" xfId="186" xr:uid="{46105532-CA36-4F88-80C7-38507D6ACD04}"/>
    <cellStyle name="Accent6 - 60% 2" xfId="187" xr:uid="{C2720E76-DEA1-41DA-B284-ED3ECCFA41B8}"/>
    <cellStyle name="Accent6 - 60% 3" xfId="621" xr:uid="{9E483D69-C787-4F10-98C6-608889DC9CE3}"/>
    <cellStyle name="Accent6 - 60% 4" xfId="694" xr:uid="{8EED9CDE-B966-466F-8216-BDCAED1B8336}"/>
    <cellStyle name="Accent6 - 60%_Actuals by Storm IO" xfId="188" xr:uid="{621C0C22-36C6-45B3-AEDD-A00FA00D6760}"/>
    <cellStyle name="Accent6 10" xfId="189" xr:uid="{70C9FF23-926A-4390-8A7F-9525CEC940EF}"/>
    <cellStyle name="Accent6 11" xfId="190" xr:uid="{BBEB1EFE-D9C4-44C1-A68E-988774DDDA7D}"/>
    <cellStyle name="Accent6 12" xfId="191" xr:uid="{2A71AD25-0B6C-4E15-8295-063F75A23DD9}"/>
    <cellStyle name="Accent6 13" xfId="192" xr:uid="{5212E7DD-4C89-44D9-A93C-28B53B977D25}"/>
    <cellStyle name="Accent6 14" xfId="193" xr:uid="{4BADDB96-00FB-443C-896C-66A120A75072}"/>
    <cellStyle name="Accent6 15" xfId="194" xr:uid="{3653AFE2-057C-4408-A19D-DE4F180549BA}"/>
    <cellStyle name="Accent6 16" xfId="195" xr:uid="{7B1AFAAA-B341-4EE1-841C-CA5F556E6349}"/>
    <cellStyle name="Accent6 17" xfId="196" xr:uid="{16C98597-8304-4797-B4AA-8E149F8799DC}"/>
    <cellStyle name="Accent6 18" xfId="197" xr:uid="{29B03374-B72C-4A49-A414-CC8F0C2E53CF}"/>
    <cellStyle name="Accent6 2" xfId="198" xr:uid="{F32D1BFC-5709-4475-B43A-33DF3D278BCA}"/>
    <cellStyle name="Accent6 3" xfId="199" xr:uid="{165F26D9-B5B7-444B-8473-F4C79281DB19}"/>
    <cellStyle name="Accent6 4" xfId="200" xr:uid="{DBC37C56-6FCD-4D74-84C1-0D742FBF9D95}"/>
    <cellStyle name="Accent6 5" xfId="201" xr:uid="{A84B81F0-D1D1-43E8-BCEE-4B677BC4452E}"/>
    <cellStyle name="Accent6 6" xfId="202" xr:uid="{660D7EA5-82C5-4051-96C1-21D32CF4AB61}"/>
    <cellStyle name="Accent6 7" xfId="203" xr:uid="{A2533A16-D491-4584-8448-2E982BA0CC9A}"/>
    <cellStyle name="Accent6 8" xfId="204" xr:uid="{7BC74E7E-91C2-46B4-AABF-109D70E1AEBC}"/>
    <cellStyle name="Accent6 9" xfId="205" xr:uid="{DB861532-C02A-4D9D-A4A0-97C6D5016FD5}"/>
    <cellStyle name="Bad 2" xfId="206" xr:uid="{B87FEDBF-AF96-490D-A9CA-EB0F49CB1B98}"/>
    <cellStyle name="Bad 3" xfId="207" xr:uid="{D455F35C-3B6F-4F4E-8477-9AAD32DC7DDA}"/>
    <cellStyle name="Calculation 2" xfId="208" xr:uid="{E85BFAD2-03F7-42F9-902B-5BF5F8B20763}"/>
    <cellStyle name="Calculation 2 2" xfId="1211" xr:uid="{5C9C647B-F6D7-4294-8785-727E1B989BC2}"/>
    <cellStyle name="Calculation 2 3" xfId="1074" xr:uid="{5ADC0192-3AA8-4640-93F0-96CA172EDF1A}"/>
    <cellStyle name="Calculation 3" xfId="209" xr:uid="{66FFF651-451C-43F7-A13B-1AA66A8BEEE8}"/>
    <cellStyle name="Check Cell 2" xfId="210" xr:uid="{B8C20621-CA37-43D3-91C6-157D2BFE50F9}"/>
    <cellStyle name="Check Cell 3" xfId="211" xr:uid="{7020B1E5-BFE3-4341-BC8B-228971561DEE}"/>
    <cellStyle name="Comma" xfId="1" builtinId="3"/>
    <cellStyle name="Comma [0] 2" xfId="212" xr:uid="{CA1DA73E-F193-4F61-BBD9-F7619B9C300B}"/>
    <cellStyle name="Comma [0] 3" xfId="213" xr:uid="{BE2EF2CC-6011-4E24-BC6C-C3EDDAE1A6BD}"/>
    <cellStyle name="Comma 10" xfId="214" xr:uid="{B29ACD4A-8CCE-49C7-BDF9-DB0E5F0D467C}"/>
    <cellStyle name="Comma 11" xfId="215" xr:uid="{2294F760-04EF-4D8E-A063-40D1B309C23B}"/>
    <cellStyle name="Comma 12" xfId="1250" xr:uid="{FDC4CDBC-5C48-4F58-A3F3-8FC9CCC2BF5C}"/>
    <cellStyle name="Comma 13" xfId="1252" xr:uid="{9425CA51-85D5-444C-BEF5-C3F8C6B0680F}"/>
    <cellStyle name="Comma 16" xfId="216" xr:uid="{69DB46D2-9EE6-4D22-AE30-6A52E4543F84}"/>
    <cellStyle name="Comma 16 2" xfId="695" xr:uid="{BA49902F-30E3-45EB-AAA7-AEF65DF0F9E8}"/>
    <cellStyle name="Comma 17" xfId="217" xr:uid="{F2B8E39E-E2A5-473D-97E1-490716272D35}"/>
    <cellStyle name="Comma 17 2" xfId="696" xr:uid="{631C9C0A-F18B-45C2-A69E-584F0DD235D9}"/>
    <cellStyle name="Comma 2" xfId="218" xr:uid="{BE3B12D8-E2BB-4E8B-8A6E-9DFE702A9835}"/>
    <cellStyle name="Comma 2 2" xfId="219" xr:uid="{D8E47F5D-2D84-4D9E-8774-4DC77BBA404B}"/>
    <cellStyle name="Comma 2 2 2" xfId="220" xr:uid="{826E4A60-4FFC-4A7A-8E8B-6BCA0010AE6B}"/>
    <cellStyle name="Comma 2 2_Actuals by Storm IO" xfId="221" xr:uid="{01B68C7A-34B1-48BF-92D7-56A8FD47EF17}"/>
    <cellStyle name="Comma 2 3" xfId="222" xr:uid="{57EC9296-D426-40B5-99C7-D9C955578AA2}"/>
    <cellStyle name="Comma 2 4" xfId="223" xr:uid="{9018134C-D357-4190-99AA-AA5FB62DA4D8}"/>
    <cellStyle name="Comma 2 5" xfId="224" xr:uid="{357E7AC6-4E53-4AD3-AD32-0E9E16F84195}"/>
    <cellStyle name="Comma 2 5 2" xfId="697" xr:uid="{1A40434C-E81B-4115-A825-11D7E4F3181A}"/>
    <cellStyle name="Comma 3" xfId="225" xr:uid="{841287E8-D5E3-42B3-9B48-E1B2750C79A1}"/>
    <cellStyle name="Comma 3 2" xfId="226" xr:uid="{0AB4231D-E76F-44E1-A321-1CD464D7AD18}"/>
    <cellStyle name="Comma 3_Actuals by Storm IO" xfId="227" xr:uid="{9ED7D2D7-59B3-4B4D-947F-7DC5F4DD5BF6}"/>
    <cellStyle name="Comma 4" xfId="228" xr:uid="{9026ACDC-979F-4F7A-B27C-F571F7E8EE1D}"/>
    <cellStyle name="Comma 4 2" xfId="229" xr:uid="{015F7082-0AA1-4535-95F7-609CB53034BE}"/>
    <cellStyle name="Comma 4_Actuals by Storm IO" xfId="230" xr:uid="{A93BB657-B6A9-422E-BCCA-D0F072F3E453}"/>
    <cellStyle name="Comma 5" xfId="231" xr:uid="{42B847F2-C6BE-4AE6-8290-8D7588114156}"/>
    <cellStyle name="Comma 6" xfId="232" xr:uid="{8733AEA5-80AC-4957-B5C4-6AB88FADF67E}"/>
    <cellStyle name="Comma 6 2" xfId="233" xr:uid="{81E77AC7-9323-4E4A-BDF6-83D24CB328AD}"/>
    <cellStyle name="Comma 7" xfId="234" xr:uid="{0A2CC2E1-9157-4072-AF03-6B25C21DAC03}"/>
    <cellStyle name="Comma 7 2" xfId="235" xr:uid="{14F2CDCA-F669-4C9B-B453-7ACE71478F0A}"/>
    <cellStyle name="Comma 8" xfId="236" xr:uid="{C3312260-75DD-42A8-ACBA-06E145147D97}"/>
    <cellStyle name="Comma 9" xfId="237" xr:uid="{04044AEA-CC0E-4ACA-8B6D-C0CCF708F9CE}"/>
    <cellStyle name="comma, 0" xfId="238" xr:uid="{96275527-ADCD-4EDC-B5B6-509B63EB7866}"/>
    <cellStyle name="Currency [0] 2" xfId="239" xr:uid="{FFA87F85-3B25-432B-90F5-E43CB0C7B6C8}"/>
    <cellStyle name="Currency [0] 2 2" xfId="240" xr:uid="{A320E2AD-F3C8-4CCB-BC9E-F53E5C9B1B83}"/>
    <cellStyle name="Currency [0] 3" xfId="241" xr:uid="{5BD03E8A-7DC5-4A7B-BF98-C4D6D4B30614}"/>
    <cellStyle name="Currency [0] 3 2" xfId="698" xr:uid="{88026516-D4F3-4E6E-873B-11E359AAD2D0}"/>
    <cellStyle name="Currency [0] 4" xfId="242" xr:uid="{EC715CA6-B8F1-4DB2-8110-F8A1BB783F86}"/>
    <cellStyle name="Currency 10" xfId="970" xr:uid="{64973668-1FC6-418B-95F5-630B6CE84921}"/>
    <cellStyle name="Currency 11" xfId="1076" xr:uid="{302CF447-E1E3-4CBB-8A09-E05A9F6D6C8A}"/>
    <cellStyle name="Currency 12" xfId="889" xr:uid="{2586994E-C2CB-456A-9EA3-E91EAF62A465}"/>
    <cellStyle name="Currency 13" xfId="243" xr:uid="{321652AC-291C-47AF-85DC-470CD4638524}"/>
    <cellStyle name="Currency 14" xfId="1277" xr:uid="{F378F590-B80C-4316-8B28-5E4A7E7D455E}"/>
    <cellStyle name="Currency 15" xfId="983" xr:uid="{9ABA9E9D-720B-48A6-9CFE-10BE47BBF82A}"/>
    <cellStyle name="Currency 2" xfId="244" xr:uid="{8CDA2333-7C9D-48A2-A589-F2410BB96182}"/>
    <cellStyle name="Currency 2 2" xfId="245" xr:uid="{65CEAA2E-38F9-4125-AE31-C2DDD3F5BAAB}"/>
    <cellStyle name="Currency 2 3" xfId="246" xr:uid="{3CAD516C-29FA-4555-A2E0-B72BD1280D32}"/>
    <cellStyle name="Currency 2 4" xfId="247" xr:uid="{E91FA65C-5572-4E41-8A61-528D59B45B4F}"/>
    <cellStyle name="Currency 2 5" xfId="699" xr:uid="{085E0A5C-14A5-4445-A7CB-E5E450C7EC05}"/>
    <cellStyle name="Currency 3" xfId="248" xr:uid="{4D723869-CC93-4F44-B197-2A9E53EA5F4A}"/>
    <cellStyle name="Currency 3 5" xfId="249" xr:uid="{AB02C4B8-4962-4A57-91E2-C0DD267FFEEE}"/>
    <cellStyle name="Currency 3_Actuals by Storm IO" xfId="250" xr:uid="{D471C111-0B56-4348-93B8-2BEC4C347957}"/>
    <cellStyle name="Currency 4" xfId="251" xr:uid="{0E3EDBD1-AFC3-4D34-9EC5-D98747DE3B04}"/>
    <cellStyle name="Currency 4 2" xfId="252" xr:uid="{694F6EBC-2CF5-459A-9C33-CF6589494C99}"/>
    <cellStyle name="Currency 5" xfId="253" xr:uid="{3D72B619-F79C-420E-B722-5EDDC43FC83A}"/>
    <cellStyle name="Currency 6" xfId="254" xr:uid="{46D75E81-6191-4E49-ABD2-D4FBC62ADE36}"/>
    <cellStyle name="Currency 7" xfId="6" xr:uid="{922917B9-B243-4126-8993-7D8FEA03770F}"/>
    <cellStyle name="Currency 8" xfId="868" xr:uid="{39FCDC53-AAFF-4119-B49E-646C7961159F}"/>
    <cellStyle name="Currency 9" xfId="1146" xr:uid="{C3A608B8-4837-444B-8DB0-5DC25E31CE3B}"/>
    <cellStyle name="Currency.oo" xfId="255" xr:uid="{375B1DD7-B8DC-4ACA-8AFC-F6B82BCAAA91}"/>
    <cellStyle name="Emphasis 1" xfId="256" xr:uid="{49AB07C8-F29F-4AFB-B0DC-966011C5D110}"/>
    <cellStyle name="Emphasis 1 2" xfId="257" xr:uid="{7A28BF17-27C7-4D09-807A-2FAD5F88040B}"/>
    <cellStyle name="Emphasis 1 3" xfId="258" xr:uid="{642286DD-F04F-4A4D-9133-CFF3E0EA4411}"/>
    <cellStyle name="Emphasis 1 4" xfId="259" xr:uid="{DF63E1AF-589B-4C77-8888-6A92F9E2740B}"/>
    <cellStyle name="Emphasis 1 5" xfId="700" xr:uid="{2461B078-80B4-48A0-9EAA-98F0772CFAAA}"/>
    <cellStyle name="Emphasis 1_Actuals by Storm IO" xfId="260" xr:uid="{7C279CAE-0EE7-40C5-B8C4-49D3CA325C98}"/>
    <cellStyle name="Emphasis 2" xfId="261" xr:uid="{2C23B9EF-1778-45B1-9223-12BB717F1AE1}"/>
    <cellStyle name="Emphasis 2 2" xfId="262" xr:uid="{90ACF97E-928C-4132-8B7E-C75E2DD19256}"/>
    <cellStyle name="Emphasis 2 3" xfId="263" xr:uid="{4AFB31D3-6978-44F1-8822-C48CEF01EF22}"/>
    <cellStyle name="Emphasis 2 4" xfId="264" xr:uid="{2ECCD344-C265-498E-AD2F-2EA2AC713F78}"/>
    <cellStyle name="Emphasis 2 5" xfId="701" xr:uid="{96E2B8D5-2D2F-46BC-B3BC-7EB8833917ED}"/>
    <cellStyle name="Emphasis 2_Actuals by Storm IO" xfId="265" xr:uid="{8E1342EE-079A-4169-B652-73DF7146875C}"/>
    <cellStyle name="Emphasis 3" xfId="266" xr:uid="{0BE98017-FBC6-4049-AA04-98D85222E6D8}"/>
    <cellStyle name="Emphasis 3 2" xfId="267" xr:uid="{AB594BA6-F3D7-4AD7-8DFB-CB37D62AB133}"/>
    <cellStyle name="Emphasis 3 3" xfId="268" xr:uid="{81FDDFC4-CA93-4456-B5CD-9F389DA19D1B}"/>
    <cellStyle name="Explanatory Text 2" xfId="269" xr:uid="{133D14F7-6052-4112-AAE0-A4203A638CC4}"/>
    <cellStyle name="Good 2" xfId="270" xr:uid="{E6FC0D5D-C171-4396-B2E8-722C3FDAFACA}"/>
    <cellStyle name="Good 3" xfId="271" xr:uid="{08E38ADA-C336-4EC6-A911-838027ACDC6C}"/>
    <cellStyle name="Heading 1 2" xfId="272" xr:uid="{2E41FFDC-BEFA-4698-A750-7F8C28F46410}"/>
    <cellStyle name="Heading 1 3" xfId="273" xr:uid="{3983AFE2-48A0-4C08-9A5F-8D47C597C4C3}"/>
    <cellStyle name="Heading 2 2" xfId="274" xr:uid="{42E54637-CF17-4AC3-816B-3345763955D9}"/>
    <cellStyle name="Heading 2 3" xfId="275" xr:uid="{EC783912-38BB-4560-ADBC-91BDA1F662DA}"/>
    <cellStyle name="Heading 3 2" xfId="276" xr:uid="{3C9AB2AA-4B18-410A-9376-8A913D38081D}"/>
    <cellStyle name="Heading 3 3" xfId="277" xr:uid="{F64B7341-F832-4429-ABC5-36FC1B5AC24F}"/>
    <cellStyle name="Heading 4 2" xfId="278" xr:uid="{8CDD6339-3176-47FB-BEAA-7CC109A11C95}"/>
    <cellStyle name="Heading 4 3" xfId="279" xr:uid="{C7CC3CF4-011C-4C03-9E29-9A6E63960369}"/>
    <cellStyle name="Hyperlink 2" xfId="280" xr:uid="{F5059960-4CFA-49AD-BB63-392338A3B8E0}"/>
    <cellStyle name="Input 2" xfId="281" xr:uid="{D831F6D8-2783-48E1-999C-FB634E2BD543}"/>
    <cellStyle name="Input 2 2" xfId="875" xr:uid="{6F212614-9CE5-4F30-974E-D9FFDBA46B5F}"/>
    <cellStyle name="Input 2 3" xfId="1128" xr:uid="{58BE0027-D03E-4A5B-9AA3-39F5889288A7}"/>
    <cellStyle name="Input 3" xfId="282" xr:uid="{E6557E4D-1B14-4C36-9586-B09DD48DB924}"/>
    <cellStyle name="Linked Cell 2" xfId="283" xr:uid="{D71B801F-7899-42D9-B437-3DE6C2CF70B4}"/>
    <cellStyle name="Linked Cell 3" xfId="284" xr:uid="{C16A1D32-784E-4DAB-904B-138FBCB2E006}"/>
    <cellStyle name="n" xfId="285" xr:uid="{5835341E-8917-4D47-856E-AF0238A2A06B}"/>
    <cellStyle name="n_2003 Wkld MASTER" xfId="286" xr:uid="{388043D1-3298-4FB0-B273-9F20152534DA}"/>
    <cellStyle name="n_2003 Wkld Master In Progress V5" xfId="287" xr:uid="{3AB39287-2D59-40EC-91E1-0078F1AB042D}"/>
    <cellStyle name="n_2003 Wkld Master In Progress V5_Arborist Pmts YTD APR - EAC 692 as of 4-23-10" xfId="288" xr:uid="{18EDC862-969E-4BF4-BD0B-E5A538FFBB09}"/>
    <cellStyle name="n_2003 Wkld Master In Progress V5_Arborist Pmts YTD MAR - EAC 692 as of 3-25-10" xfId="289" xr:uid="{512E349A-608D-4E8B-B883-0D7B2A20CCE1}"/>
    <cellStyle name="n_2003 Wkld Master In Progress V5_Debris Pmts MAY as of 5-21-10" xfId="290" xr:uid="{9AF035E0-B0F9-443C-80C1-78E819C70A5F}"/>
    <cellStyle name="n_2003 Wkld Master In Progress V5_Q1 Reconciliation forecast 3-12-10 v2" xfId="291" xr:uid="{3F237B6F-F7C9-426B-B643-95A89ECAA2B3}"/>
    <cellStyle name="n_2003 Wkld Master In Progress V5_Q1 Reconciliation forecast 3-18-10 v3" xfId="292" xr:uid="{EE9EFE05-C525-4104-94DB-80F9E1757A0F}"/>
    <cellStyle name="n_2003 Wkld Master In Progress V5_Q1 Reconciliation forecast 3-28-10 v6" xfId="293" xr:uid="{EAEC59EE-0A6F-4695-84F0-BA4DA83AC5C3}"/>
    <cellStyle name="n_2003 Wkld Master In Progress V5_Q2 Reconciliation Detail 6-29-10" xfId="294" xr:uid="{310B2B4C-1FC3-49E0-B728-8C822D6D82A1}"/>
    <cellStyle name="n_2003 Wkld Master In Progress V5_Q2 Reconciliation forecast 4-6-10" xfId="295" xr:uid="{C89B6F87-F81A-42E1-A4EB-1C1CD0767747}"/>
    <cellStyle name="n_2003 Wkld Master In Progress V5_Revised 2010 VM Budget cash flows and drivers 4-5-10" xfId="296" xr:uid="{19B8EBE2-D41A-45C7-94B8-B93D24D0D93D}"/>
    <cellStyle name="n_2003 Wkld Master In Progress V5_T&amp;M Accrual Estimate" xfId="297" xr:uid="{1CA40769-E8F7-4421-9B5F-57019E42ABE7}"/>
    <cellStyle name="n_2003 Wkld Master In Progress V5_Vegetation 01_January Accrual EOM" xfId="298" xr:uid="{110BEFE9-F475-4E2C-9384-E87F76297979}"/>
    <cellStyle name="n_2003 Wkld Master In Progress V5_Vegetation 02_February Forecast EOM" xfId="299" xr:uid="{E5FD62D8-B99F-4F20-8746-CDCA5736D8BB}"/>
    <cellStyle name="n_2003 Wkld Master In Progress V5_Vegetation 03_March Forecast" xfId="300" xr:uid="{5D6042CA-079E-452B-868B-4EC24739CBD2}"/>
    <cellStyle name="n_2003 Wkld Master In Progress V5_Vegetation 04_April Forecast" xfId="301" xr:uid="{DA580E14-FE22-4D4C-8FE5-CE97E9AB48C5}"/>
    <cellStyle name="n_2003 Wkld Master In Progress V5_Vegetation 06_June Accrual EOM" xfId="302" xr:uid="{0517A3F9-F838-4E58-AE11-4D6B0565E67C}"/>
    <cellStyle name="n_2003 Wkld Master In Progress V5_Vegetation 08 August Accrual" xfId="303" xr:uid="{9BFC4196-3ADF-4531-B2AE-FCE01DB753C7}"/>
    <cellStyle name="n_2003 Wkld Master In Progress V5_Vegetation 08_August Accrual EOM IN PROGRESS DO NOT USE" xfId="304" xr:uid="{49FA59B8-80E5-464B-95A8-7AF0CA695FC4}"/>
    <cellStyle name="n_2003 Wkld Master In Progress V5_VM Cashflows_2010 Final" xfId="305" xr:uid="{2F165E83-28B8-4C7E-98E2-DCDBF4369078}"/>
    <cellStyle name="n_2003 Wkld MASTER_Arborist Pmts YTD APR - EAC 692 as of 4-23-10" xfId="306" xr:uid="{E336A875-BC33-4503-BB3D-2E1A15146D14}"/>
    <cellStyle name="n_2003 Wkld MASTER_Arborist Pmts YTD MAR - EAC 692 as of 3-25-10" xfId="307" xr:uid="{85667044-562F-483D-90DA-0C41D95AE61A}"/>
    <cellStyle name="n_2003 Wkld MASTER_Debris Pmts MAY as of 5-21-10" xfId="308" xr:uid="{70DDE1A5-C9AE-4FC9-AA98-8CB6E57CEBDC}"/>
    <cellStyle name="n_2003 Wkld MASTER_Q1 Reconciliation forecast 3-12-10 v2" xfId="309" xr:uid="{43591FE2-D893-495E-8CFD-5A8812F22DD1}"/>
    <cellStyle name="n_2003 Wkld MASTER_Q1 Reconciliation forecast 3-18-10 v3" xfId="310" xr:uid="{8D5C9761-7BF3-4549-9A88-DA66E03DA4A3}"/>
    <cellStyle name="n_2003 Wkld MASTER_Q1 Reconciliation forecast 3-28-10 v6" xfId="311" xr:uid="{7DB7684D-8A79-447C-A920-A4DE24B42348}"/>
    <cellStyle name="n_2003 Wkld MASTER_Q2 Reconciliation Detail 6-29-10" xfId="312" xr:uid="{907912DB-6AA4-4200-BDCC-7806E54CB1C8}"/>
    <cellStyle name="n_2003 Wkld MASTER_Q2 Reconciliation forecast 4-6-10" xfId="313" xr:uid="{8C58DF10-2965-42B3-9A46-D669857FF1E2}"/>
    <cellStyle name="n_2003 Wkld MASTER_Revised 2010 VM Budget cash flows and drivers 4-5-10" xfId="314" xr:uid="{6642C503-B43E-441D-BCED-5852F9A7A397}"/>
    <cellStyle name="n_2003 Wkld MASTER_T&amp;M Accrual Estimate" xfId="315" xr:uid="{E20ABB64-778E-4489-AA3A-07FAF513094B}"/>
    <cellStyle name="n_2003 Wkld MASTER_Vegetation 01_January Accrual EOM" xfId="316" xr:uid="{AA75A29F-B1E7-416D-8D57-D2FE63B9247F}"/>
    <cellStyle name="n_2003 Wkld MASTER_Vegetation 02_February Forecast EOM" xfId="317" xr:uid="{212B50AE-D2BD-4A64-BAE5-5D61028D53B9}"/>
    <cellStyle name="n_2003 Wkld MASTER_Vegetation 03_March Forecast" xfId="318" xr:uid="{CF7AA127-CC17-4354-B5BF-63B5D3343F3B}"/>
    <cellStyle name="n_2003 Wkld MASTER_Vegetation 04_April Forecast" xfId="319" xr:uid="{8CA744BB-C261-4150-B4A9-8C1A6A80440D}"/>
    <cellStyle name="n_2003 Wkld MASTER_Vegetation 06_June Accrual EOM" xfId="320" xr:uid="{5545A92E-291F-4A6B-90B2-7B5EEC296C4F}"/>
    <cellStyle name="n_2003 Wkld MASTER_Vegetation 08 August Accrual" xfId="321" xr:uid="{751CAB8C-4356-45F4-A931-607A2B5EE585}"/>
    <cellStyle name="n_2003 Wkld MASTER_Vegetation 08_August Accrual EOM IN PROGRESS DO NOT USE" xfId="322" xr:uid="{4F989F7C-7A94-45A3-9797-3050D1C5436A}"/>
    <cellStyle name="n_2003 Wkld MASTER_VM Cashflows_2010 Final" xfId="323" xr:uid="{4CF06916-4E37-4E90-84D8-6FFA5FC7E92F}"/>
    <cellStyle name="n_4th Q Reconcilation Detail - 1-19-10" xfId="324" xr:uid="{FBBAB9B7-AA95-4247-88C4-ED05EC9A3DBF}"/>
    <cellStyle name="n_Arborist Pmts YTD APR - EAC 692 as of 4-23-10" xfId="325" xr:uid="{6E097C11-3264-4008-8831-2FFE6912F6CF}"/>
    <cellStyle name="n_Arborist Pmts YTD MAR - EAC 692 as of 3-25-10" xfId="326" xr:uid="{6AEE53B2-69F4-4CF6-B5D0-DCD0984862EE}"/>
    <cellStyle name="n_Debris Pmts MAY as of 5-21-10" xfId="327" xr:uid="{1010B6DA-AD7B-45A5-95C1-FE381FFFB06B}"/>
    <cellStyle name="n_Q1 Reconciliation forecast 3-12-10 v2" xfId="328" xr:uid="{8EA31CBA-D16F-4D72-BABF-D3DFD5149628}"/>
    <cellStyle name="n_Q1 Reconciliation forecast 3-18-10 v3" xfId="329" xr:uid="{DA93F4A1-B039-4C37-8ECC-17E112B598CC}"/>
    <cellStyle name="n_Q1 Reconciliation forecast 3-30-10 v7" xfId="330" xr:uid="{AD8ECEC4-0C07-4B74-AF50-98C6E71A9490}"/>
    <cellStyle name="n_Q2 Reconciliation Detail 6-29-10" xfId="331" xr:uid="{94E46DFC-BDF0-49DA-BCE6-6D5125E40FF3}"/>
    <cellStyle name="n_Q2 Reconciliation forecast 4-6-10" xfId="332" xr:uid="{B243FF6B-250E-428B-B168-EA5CC7324ED8}"/>
    <cellStyle name="n_Revised 2010 VM Budget cash flows and drivers 4-5-10" xfId="333" xr:uid="{8EDFFB1E-6B9B-483B-8C5A-3AB6014D8147}"/>
    <cellStyle name="n_T&amp;M Accrual Estimate" xfId="334" xr:uid="{46A18249-775E-4386-9E59-4AD9D4804C8B}"/>
    <cellStyle name="n_Vegetation 01_January Accrual EOM" xfId="335" xr:uid="{C461C8F6-6DE9-48CD-859E-28EE5E814E87}"/>
    <cellStyle name="n_Vegetation 02_February Forecast EOM" xfId="336" xr:uid="{7A6761F5-9680-4FC2-96F3-DFE04F9A0EC5}"/>
    <cellStyle name="n_Vegetation 03_March Forecast" xfId="337" xr:uid="{BDADD5DC-2AB8-4CAC-AD3A-E377E7A0778B}"/>
    <cellStyle name="n_Vegetation 04_April Forecast" xfId="338" xr:uid="{CF9AD669-2C9D-4CA5-BFBE-4D174EAC27DE}"/>
    <cellStyle name="n_Vegetation 06_June Accrual EOM" xfId="339" xr:uid="{4362F742-9F76-4900-B9E5-4267BAE75D74}"/>
    <cellStyle name="n_Vegetation 08 August Accrual" xfId="340" xr:uid="{E50BD194-0DE2-43B5-A544-03272795FEE5}"/>
    <cellStyle name="n_Vegetation 08_August Accrual EOM IN PROGRESS DO NOT USE" xfId="341" xr:uid="{486E4183-CEA3-4F19-A664-B38E32D27A70}"/>
    <cellStyle name="n_VM Cashflows_2010 Final" xfId="342" xr:uid="{BA4DB6A5-D7D8-471A-BC94-62E8826F9E0B}"/>
    <cellStyle name="Neutral 2" xfId="343" xr:uid="{C10E0E65-84D0-4078-861E-CFD233E7BE4A}"/>
    <cellStyle name="Neutral 3" xfId="344" xr:uid="{618E0373-2F45-40E4-BAE6-B71DC483CCDF}"/>
    <cellStyle name="Normal" xfId="0" builtinId="0"/>
    <cellStyle name="Normal - Style1 2" xfId="345" xr:uid="{AABAEFFA-5083-45ED-9ACE-A3BD10599E87}"/>
    <cellStyle name="Normal 10" xfId="11" xr:uid="{B46A20DE-E14A-4780-AB7D-687C25032C1C}"/>
    <cellStyle name="Normal 10 2 10" xfId="4" xr:uid="{54ABF300-B292-4A92-B8A5-FA8D33B7B6C4}"/>
    <cellStyle name="Normal 11" xfId="10" xr:uid="{E4C79B65-1C07-4697-A2ED-D9BB78B60344}"/>
    <cellStyle name="Normal 12" xfId="346" xr:uid="{EEECBE6C-35DE-45BB-A960-F7D345E3E298}"/>
    <cellStyle name="Normal 12 2" xfId="347" xr:uid="{68F7FCA3-951D-47AD-B49F-DDAB3C8B3975}"/>
    <cellStyle name="Normal 12 2 2" xfId="702" xr:uid="{2E302D3D-53AA-4AB3-A603-C30FE91B0136}"/>
    <cellStyle name="Normal 13" xfId="348" xr:uid="{112B3EC3-3258-497F-AF71-349FDC9999A9}"/>
    <cellStyle name="Normal 13 2" xfId="349" xr:uid="{0CD32B11-E4EF-4982-A4D9-D8656B6B0486}"/>
    <cellStyle name="Normal 13 2 2" xfId="703" xr:uid="{22155650-C449-4A9C-A20C-45BEDB9746EB}"/>
    <cellStyle name="Normal 14" xfId="350" xr:uid="{BC3D7B8D-62E3-4150-B865-B4257CDDB7DC}"/>
    <cellStyle name="Normal 15" xfId="351" xr:uid="{F2530698-3E82-4FAE-BCD6-D03293ED6A56}"/>
    <cellStyle name="Normal 15 2" xfId="704" xr:uid="{F9C0D606-33A5-4262-856A-6DC43141174B}"/>
    <cellStyle name="Normal 16" xfId="352" xr:uid="{2496DC3C-640B-4F87-AA11-D3288C033393}"/>
    <cellStyle name="Normal 16 2" xfId="705" xr:uid="{35C38581-73CB-41AD-AD7A-5A74ADC691ED}"/>
    <cellStyle name="Normal 17" xfId="353" xr:uid="{FCC47877-2AE7-42EC-9FF3-740E361DF083}"/>
    <cellStyle name="Normal 17 2" xfId="706" xr:uid="{38B2A936-938C-489E-B54B-F39B996D18BB}"/>
    <cellStyle name="Normal 18" xfId="707" xr:uid="{56B73DFA-D85F-4D22-A1FC-2F6F8AB40BBE}"/>
    <cellStyle name="Normal 19" xfId="708" xr:uid="{C381EAD3-0CA4-465D-A295-91DAD3041E4A}"/>
    <cellStyle name="Normal 2" xfId="7" xr:uid="{AA0E7A1F-0C9B-4D3F-919C-A5413EFA7ACD}"/>
    <cellStyle name="Normal 2 19" xfId="355" xr:uid="{AF4B0BA5-BB25-4037-81EF-F2AA624491A7}"/>
    <cellStyle name="Normal 2 19 2" xfId="710" xr:uid="{1C18A568-2C76-4711-A0CB-FC76A052EC05}"/>
    <cellStyle name="Normal 2 2" xfId="3" xr:uid="{00000000-0005-0000-0000-000002000000}"/>
    <cellStyle name="Normal 2 3" xfId="356" xr:uid="{C933A57E-26A0-4965-81CE-887F45E18DC7}"/>
    <cellStyle name="Normal 2 3 2" xfId="711" xr:uid="{568850D0-C288-4DD1-AA34-0D873340DA7B}"/>
    <cellStyle name="Normal 2 4" xfId="709" xr:uid="{533B86FE-9A6A-4CB3-B723-3D1D5F7FE7C2}"/>
    <cellStyle name="Normal 2 5" xfId="354" xr:uid="{B905DAD2-B9A9-4AF9-892E-E7CC01BC3BEB}"/>
    <cellStyle name="Normal 2 6" xfId="1251" xr:uid="{4DFBB7D4-60F6-45A4-BDC3-2440D7D3C93A}"/>
    <cellStyle name="Normal 2_2011 Phase III Estimate Irene_Distr_June2012Accrual" xfId="357" xr:uid="{3FAA134A-1FBC-45CE-9478-87F1C0FB8594}"/>
    <cellStyle name="Normal 20" xfId="712" xr:uid="{AE22133E-FB83-4B81-B642-F0ED6163734C}"/>
    <cellStyle name="Normal 21" xfId="713" xr:uid="{7EA13D33-F98E-4590-B629-227BDB939B78}"/>
    <cellStyle name="Normal 22" xfId="358" xr:uid="{AAA7C5EA-34E6-459B-9CDB-9644F8B12BC5}"/>
    <cellStyle name="Normal 22 2" xfId="714" xr:uid="{91B259A8-BAC2-4038-83EC-A751AAB08F7C}"/>
    <cellStyle name="Normal 23" xfId="359" xr:uid="{1993BB7C-F554-4AF5-B998-DACD891B2838}"/>
    <cellStyle name="Normal 23 2" xfId="715" xr:uid="{AB33ABB3-CCFE-4B62-B4C2-248A012FD785}"/>
    <cellStyle name="Normal 24" xfId="360" xr:uid="{0B5A8FD7-3537-4EDB-89DA-8C11291284DC}"/>
    <cellStyle name="Normal 24 2" xfId="716" xr:uid="{7B107E47-01FB-471B-9B07-016A77DC0AB3}"/>
    <cellStyle name="Normal 25" xfId="717" xr:uid="{3C902752-E264-4A53-AD34-F75EA24DA1E8}"/>
    <cellStyle name="Normal 26" xfId="718" xr:uid="{90B9D896-3A37-4466-A7FD-423ACBDEF17D}"/>
    <cellStyle name="Normal 27" xfId="719" xr:uid="{B55D1280-6D70-430F-9B45-C2ECA22D92D7}"/>
    <cellStyle name="Normal 28" xfId="720" xr:uid="{350CFB34-7510-497D-BFF6-9D868E140BCC}"/>
    <cellStyle name="Normal 29" xfId="721" xr:uid="{6295A8A9-486E-408C-9B0D-4F8B41F7216E}"/>
    <cellStyle name="Normal 3" xfId="8" xr:uid="{A27A3E93-296C-490D-925D-A693536B59E3}"/>
    <cellStyle name="Normal 3 2" xfId="362" xr:uid="{E215986B-8176-4C1F-98BD-BFA482FDCB88}"/>
    <cellStyle name="Normal 3 2 2" xfId="723" xr:uid="{326476A3-0F97-4290-AC06-F8D4B24C508B}"/>
    <cellStyle name="Normal 3 3" xfId="722" xr:uid="{A85D5F26-DC6A-4E96-82EC-94D165D6487F}"/>
    <cellStyle name="Normal 3 4" xfId="361" xr:uid="{CDFC1290-5296-4CDE-9AA9-A94840FD1B0D}"/>
    <cellStyle name="Normal 3_Actuals by Storm IO" xfId="363" xr:uid="{3AB2A497-F7A8-4AF8-9D58-2AB0F9B936AE}"/>
    <cellStyle name="Normal 30" xfId="724" xr:uid="{4D5A5CE6-442D-4115-A825-CCBEF9F853B5}"/>
    <cellStyle name="Normal 31" xfId="725" xr:uid="{943E80C1-63B1-4F9E-8916-5E2829B5810A}"/>
    <cellStyle name="Normal 32" xfId="726" xr:uid="{E61B34F6-8DEF-4AEA-AE78-CD7E58FA67C9}"/>
    <cellStyle name="Normal 33" xfId="727" xr:uid="{4FE6DD26-A371-438C-8711-FA1B6B228C3C}"/>
    <cellStyle name="Normal 34" xfId="728" xr:uid="{6F4EEBE3-FA30-4046-83A2-F34EB1B21692}"/>
    <cellStyle name="Normal 35" xfId="729" xr:uid="{B386AA40-DCF2-49A9-AB40-50545DCCFB1D}"/>
    <cellStyle name="Normal 36" xfId="730" xr:uid="{F2698520-A540-4C49-A51E-290E036174CD}"/>
    <cellStyle name="Normal 37" xfId="731" xr:uid="{10AE9A28-5C7C-406F-95DF-5B09F860FAAD}"/>
    <cellStyle name="Normal 38" xfId="732" xr:uid="{DFBF788C-7D81-4C56-AC2C-ED31C03A645F}"/>
    <cellStyle name="Normal 39" xfId="733" xr:uid="{B72A434C-73E7-49E7-9943-9A8B704ACFF5}"/>
    <cellStyle name="Normal 4" xfId="9" xr:uid="{95621D60-8702-4495-B218-45B2D4EB3108}"/>
    <cellStyle name="Normal 4 2" xfId="365" xr:uid="{43116DB8-DA09-4659-AB6A-C19BF1477C9E}"/>
    <cellStyle name="Normal 4 2 2" xfId="735" xr:uid="{A9CCD9A1-B1AE-464E-A9D6-C892B8EBB607}"/>
    <cellStyle name="Normal 4 3" xfId="734" xr:uid="{59C76A54-86EC-4D3A-A132-94B30F808D8A}"/>
    <cellStyle name="Normal 4 4" xfId="364" xr:uid="{BD94AC9F-7DAE-4249-88AA-D9027FC98C4D}"/>
    <cellStyle name="Normal 4_Actuals by Storm IO" xfId="366" xr:uid="{3481D974-F2DA-4107-BF65-0B4285BE039C}"/>
    <cellStyle name="Normal 40" xfId="736" xr:uid="{9762BE9D-841D-4D6B-980B-66DB0B43A20A}"/>
    <cellStyle name="Normal 41" xfId="737" xr:uid="{67E6443B-B357-4103-B863-19723242D682}"/>
    <cellStyle name="Normal 42" xfId="738" xr:uid="{A5E3C7CB-DCC7-43AB-8C3A-CD7CAA060CB5}"/>
    <cellStyle name="Normal 43" xfId="739" xr:uid="{8EDB41EE-6D30-44CF-AA11-09FB7EA50AC7}"/>
    <cellStyle name="Normal 44" xfId="740" xr:uid="{B73DC261-9237-43F1-8B61-B39C9F7C5F89}"/>
    <cellStyle name="Normal 45" xfId="741" xr:uid="{DB7D0486-BDE2-4F09-82D7-C90E8ADDD75A}"/>
    <cellStyle name="Normal 46" xfId="742" xr:uid="{9F693F1B-55BB-4926-A5ED-328E273CA3A7}"/>
    <cellStyle name="Normal 47" xfId="743" xr:uid="{DF69EC82-0A31-4DA0-AAFC-B15D1B6439DE}"/>
    <cellStyle name="Normal 48" xfId="744" xr:uid="{F68508B7-E6F2-4F7F-B0D2-273CB223C657}"/>
    <cellStyle name="Normal 49" xfId="745" xr:uid="{8744609B-0E2F-4806-BC89-19F3850F629F}"/>
    <cellStyle name="Normal 5" xfId="367" xr:uid="{9EF4C4DE-18A2-4103-A471-E4B0395527A7}"/>
    <cellStyle name="Normal 5 2" xfId="746" xr:uid="{DD649684-1BB7-4B8D-B16A-DCD157149EDA}"/>
    <cellStyle name="Normal 50" xfId="747" xr:uid="{528D6088-D47E-4D1D-88A5-B9587E894ACC}"/>
    <cellStyle name="Normal 51" xfId="748" xr:uid="{4C7DF71F-46A9-43FD-A1AA-78A771BBA830}"/>
    <cellStyle name="Normal 52" xfId="749" xr:uid="{9F8B3160-C65E-4486-AE1C-74227A6CEF8F}"/>
    <cellStyle name="Normal 53" xfId="750" xr:uid="{92F35B2D-A1CB-468D-870A-7D8CE52B7B36}"/>
    <cellStyle name="Normal 54" xfId="751" xr:uid="{C5D98A65-73C5-4940-B9D5-94FD92588C98}"/>
    <cellStyle name="Normal 55" xfId="752" xr:uid="{D1B5B0D3-3FAE-415A-A3B4-5671DEEDF241}"/>
    <cellStyle name="Normal 56" xfId="753" xr:uid="{E583ECC4-6611-4DD1-8FBD-B855A97B9AED}"/>
    <cellStyle name="Normal 57" xfId="754" xr:uid="{DB31D510-432B-4BCC-872C-31E51F662339}"/>
    <cellStyle name="Normal 58" xfId="755" xr:uid="{9A233E9F-F965-4A35-9614-695719E2D1FA}"/>
    <cellStyle name="Normal 59" xfId="756" xr:uid="{EE8A616C-C7DB-44E0-BFE6-7EF45DE158C5}"/>
    <cellStyle name="Normal 6" xfId="368" xr:uid="{A135B019-C03A-4C4E-9423-F79B699D9628}"/>
    <cellStyle name="Normal 6 2" xfId="369" xr:uid="{14AE32F8-FAC5-4849-9286-06BC3B5250C9}"/>
    <cellStyle name="Normal 6 2 2" xfId="758" xr:uid="{01F5A881-6835-431B-9F45-A0880FE48217}"/>
    <cellStyle name="Normal 6 3" xfId="757" xr:uid="{CD85CF4C-032A-4B3F-87B4-01FE25D900C1}"/>
    <cellStyle name="Normal 60" xfId="759" xr:uid="{799EB3D2-9ED4-4EEB-9D01-FA9F9FFB5DB1}"/>
    <cellStyle name="Normal 61" xfId="760" xr:uid="{3D2CDEA8-9F29-433E-B925-651A1479342D}"/>
    <cellStyle name="Normal 62" xfId="761" xr:uid="{37AFE496-25C0-4DEE-B4E9-9417EF0E7E5E}"/>
    <cellStyle name="Normal 63" xfId="836" xr:uid="{D71BB275-4AD4-488E-AE35-14C1E2CD6DEA}"/>
    <cellStyle name="Normal 64" xfId="5" xr:uid="{419D933A-C379-4544-9AB1-9215D873310D}"/>
    <cellStyle name="Normal 65" xfId="1253" xr:uid="{54673B1A-2F26-487E-A574-BA5278F09C22}"/>
    <cellStyle name="Normal 66" xfId="867" xr:uid="{DC4D6B35-A2ED-4B1F-AC78-07359ED3B90F}"/>
    <cellStyle name="Normal 67" xfId="1147" xr:uid="{279DF90D-30D7-4C23-BA47-20646C75345B}"/>
    <cellStyle name="Normal 68" xfId="1254" xr:uid="{B81313C3-8023-4335-AB59-72CE4DCEABF3}"/>
    <cellStyle name="Normal 69" xfId="1227" xr:uid="{6CFA7ACD-D900-4D93-A9B5-21AB9ED0D444}"/>
    <cellStyle name="Normal 7" xfId="370" xr:uid="{A42CDEC2-340A-4F7B-8255-96A2664B4E1E}"/>
    <cellStyle name="Normal 7 2" xfId="762" xr:uid="{5B9CF2D0-EAAE-4D47-B02C-0080088C4E66}"/>
    <cellStyle name="Normal 70" xfId="888" xr:uid="{5B5F0815-4029-4255-B3F4-004552CB7E3D}"/>
    <cellStyle name="Normal 71" xfId="1044" xr:uid="{64595A05-875E-45B7-BB63-FFDC661368F6}"/>
    <cellStyle name="Normal 72" xfId="1307" xr:uid="{61D62C0B-D0F6-4132-A281-A6DC397F29B1}"/>
    <cellStyle name="Normal 8" xfId="371" xr:uid="{71DE94EF-AD7E-4FD1-8F55-613BD19D0DF4}"/>
    <cellStyle name="Normal 8 2" xfId="763" xr:uid="{C36965E6-215D-4222-9B31-91C0FB1FD371}"/>
    <cellStyle name="Normal 9" xfId="372" xr:uid="{5FAB965C-B1C3-4A1F-B30F-3684B00B648F}"/>
    <cellStyle name="Normal 9 2" xfId="764" xr:uid="{78E4EF5E-C101-4873-BEB6-06AED2F4ACB8}"/>
    <cellStyle name="Nor濭al_Sheet1_1" xfId="373" xr:uid="{1C0350CE-BBA0-44FF-8112-D5EE0C5ED69D}"/>
    <cellStyle name="Note 2" xfId="374" xr:uid="{6F5C6ABA-7E64-47F0-A603-D3F4CC617DC5}"/>
    <cellStyle name="Note 2 2" xfId="765" xr:uid="{FAA38015-A22A-45A4-AEC5-299D8D2B5EA0}"/>
    <cellStyle name="Note 2 2 2" xfId="1083" xr:uid="{7C5635F8-5A09-41B0-85E6-38C2D30AFFB9}"/>
    <cellStyle name="Note 2 2 3" xfId="1406" xr:uid="{1B84CBDE-ED19-4B71-B945-41FEA884BCA4}"/>
    <cellStyle name="Note 2 3" xfId="936" xr:uid="{49E0789C-C3E5-4F6E-A113-F90A7A740311}"/>
    <cellStyle name="Note 2 4" xfId="918" xr:uid="{F8C3A948-386D-4236-B7B6-BD81C42B40F3}"/>
    <cellStyle name="Note 3" xfId="375" xr:uid="{ECE0CF2E-D916-4A79-BFE2-A8741FFA8D98}"/>
    <cellStyle name="Note 3 2" xfId="376" xr:uid="{FA66C475-1465-453B-96E1-426223A376B6}"/>
    <cellStyle name="Note 3 2 2" xfId="767" xr:uid="{6FA2E7A9-1C9C-4898-9751-CA8E3F31BBE5}"/>
    <cellStyle name="Note 3 2 2 2" xfId="871" xr:uid="{B7DBC808-8D54-44F6-9BAC-C45D399DA944}"/>
    <cellStyle name="Note 3 2 2 3" xfId="1408" xr:uid="{99DF0A67-F951-4892-AE90-6AC930A51FB4}"/>
    <cellStyle name="Note 3 2 3" xfId="1086" xr:uid="{D19A13B3-9E7D-491A-9175-8F6523056FF1}"/>
    <cellStyle name="Note 3 2 4" xfId="919" xr:uid="{68542FB1-CCAF-43D3-86E1-B493BE292D54}"/>
    <cellStyle name="Note 3 3" xfId="766" xr:uid="{1401EB5E-BCC0-4F83-AE56-47AE47608F9B}"/>
    <cellStyle name="Note 3 3 2" xfId="900" xr:uid="{100EE556-D503-40FC-90E9-7550B0A90596}"/>
    <cellStyle name="Note 3 3 3" xfId="1407" xr:uid="{29172979-284F-4003-B3A0-3B628E24ED24}"/>
    <cellStyle name="Note 3 4" xfId="1091" xr:uid="{17B51F21-8193-40DC-B0AB-7DF3588858CA}"/>
    <cellStyle name="Note 3 5" xfId="1075" xr:uid="{B5376566-3660-499A-8355-89B34595849B}"/>
    <cellStyle name="Note 4" xfId="377" xr:uid="{339295EF-887A-4FF0-A656-63D659F72F42}"/>
    <cellStyle name="Note 4 2" xfId="768" xr:uid="{F42C6C08-1E8C-4F99-8E19-A6091FD0619C}"/>
    <cellStyle name="Output 2" xfId="378" xr:uid="{EC174862-9459-46CD-84D7-C53AB74040BB}"/>
    <cellStyle name="Output 2 2" xfId="1081" xr:uid="{715641E4-A302-4DF9-8F65-57DA20147A2E}"/>
    <cellStyle name="Output 2 3" xfId="1129" xr:uid="{EEA40BA4-439E-44ED-9445-A9AD55146C55}"/>
    <cellStyle name="Output 3" xfId="379" xr:uid="{C80224DF-D247-4CF6-9B5B-8B609ABB89B0}"/>
    <cellStyle name="Percent" xfId="2" builtinId="5"/>
    <cellStyle name="Percent 10" xfId="380" xr:uid="{0445ACFD-6B0E-4126-9433-9F9546BE0B26}"/>
    <cellStyle name="Percent 2" xfId="381" xr:uid="{53C9C033-0AE6-4704-8F9D-8B1675A320B1}"/>
    <cellStyle name="Percent 2 2" xfId="382" xr:uid="{7C801509-F1B2-4753-940D-865AC77E9D1D}"/>
    <cellStyle name="Percent 3" xfId="383" xr:uid="{FA35112B-31D1-4FC9-AB17-56A75888887A}"/>
    <cellStyle name="Percent 3 2" xfId="384" xr:uid="{7BE7B52B-FE7A-46AC-AA7C-96AE3A3E083C}"/>
    <cellStyle name="Percent 4" xfId="385" xr:uid="{40F4F642-1D3C-42AE-B019-0EE015BB1523}"/>
    <cellStyle name="Percent 8" xfId="386" xr:uid="{0DE3F3DB-FA17-4201-A593-81D92FC4A7B6}"/>
    <cellStyle name="Percent 8 2" xfId="769" xr:uid="{6A75538C-ED0D-4E77-8548-07CA1435D81A}"/>
    <cellStyle name="Percent 9" xfId="387" xr:uid="{515A949D-E1CE-4B00-ADAB-72F33CA2ADDF}"/>
    <cellStyle name="Percent 9 2" xfId="770" xr:uid="{C485DBA6-ACEA-41A1-80FF-E6B5ECF2FA33}"/>
    <cellStyle name="SAPBEXaggData" xfId="388" xr:uid="{F6216FAE-A061-4F14-BAA4-6F64566CBF52}"/>
    <cellStyle name="SAPBEXaggData 2" xfId="389" xr:uid="{77E5B728-4919-4C9D-983E-61FEAFCD4614}"/>
    <cellStyle name="SAPBEXaggData 2 2" xfId="771" xr:uid="{F3C32304-D365-4EB7-98F7-8283C55AC0C4}"/>
    <cellStyle name="SAPBEXaggData 2 2 2" xfId="882" xr:uid="{AB7F5C6E-B00D-4666-B78C-BCE730D263DD}"/>
    <cellStyle name="SAPBEXaggData 2 2 3" xfId="1409" xr:uid="{CC832417-A3C3-452B-B7FE-5D5F981F16E9}"/>
    <cellStyle name="SAPBEXaggData 2 3" xfId="1144" xr:uid="{1B010B6E-D7CB-421D-B7E7-4A065B189CF5}"/>
    <cellStyle name="SAPBEXaggData 2 4" xfId="1006" xr:uid="{974891E3-40B8-4C2C-8E1B-9D8F6C2C35FB}"/>
    <cellStyle name="SAPBEXaggData 3" xfId="390" xr:uid="{4163ECB4-5E0F-4C4B-8B36-39FB761EB0B5}"/>
    <cellStyle name="SAPBEXaggData 3 2" xfId="966" xr:uid="{982EDF4C-2D48-498A-9AF1-6D3D492AD678}"/>
    <cellStyle name="SAPBEXaggData 3 3" xfId="920" xr:uid="{9AEB9B7D-95DB-4C75-BA87-450A3757C1C1}"/>
    <cellStyle name="SAPBEXaggData 4" xfId="391" xr:uid="{E1712BC4-D9AE-40DA-A356-7B2BD04702B0}"/>
    <cellStyle name="SAPBEXaggData 4 2" xfId="1073" xr:uid="{1C346900-74FC-47E8-B2FA-9294984B6735}"/>
    <cellStyle name="SAPBEXaggData 4 3" xfId="1205" xr:uid="{79CA1E1C-BE8F-403F-9816-27D4CC45CA08}"/>
    <cellStyle name="SAPBEXaggData 5" xfId="392" xr:uid="{9A8EA271-5DEF-4C29-81A2-0EA7AA850BD6}"/>
    <cellStyle name="SAPBEXaggData 5 2" xfId="772" xr:uid="{6D6BEE36-C90A-4BD1-BEF5-53305D13BECE}"/>
    <cellStyle name="SAPBEXaggData 5 2 2" xfId="1176" xr:uid="{2689FA18-83E2-4E01-8F6C-63A0A443D858}"/>
    <cellStyle name="SAPBEXaggData 5 2 3" xfId="1410" xr:uid="{F1F02A6D-455F-4D0D-B9DA-260F3C79FF33}"/>
    <cellStyle name="SAPBEXaggData 5 3" xfId="1072" xr:uid="{ED0BE23F-F2DB-47AD-AC75-C3BE21931F60}"/>
    <cellStyle name="SAPBEXaggData 5 4" xfId="1259" xr:uid="{19D03E4D-2B7D-40E3-A126-5B78FC00C3EB}"/>
    <cellStyle name="SAPBEXaggData 6" xfId="773" xr:uid="{ADB40BC7-D228-4A75-8906-E93CB0D6C0A0}"/>
    <cellStyle name="SAPBEXaggData 6 2" xfId="1007" xr:uid="{BD290C30-20CE-482A-B1E1-AA559B035415}"/>
    <cellStyle name="SAPBEXaggData 6 3" xfId="1411" xr:uid="{6C43B5E3-C633-4F20-B3A9-C14175F7525A}"/>
    <cellStyle name="SAPBEXaggData 7" xfId="1225" xr:uid="{44EDD312-115D-468A-848A-19A5E4A01D2C}"/>
    <cellStyle name="SAPBEXaggData 8" xfId="886" xr:uid="{00B655D5-6C52-4106-AE3E-1775A8D86896}"/>
    <cellStyle name="SAPBEXaggData_Actuals by Storm IO" xfId="393" xr:uid="{980FC02D-916E-422A-AAF6-3623C0486001}"/>
    <cellStyle name="SAPBEXaggDataEmph" xfId="394" xr:uid="{2396CD04-81CB-4F6E-A3B0-3B6AAB251712}"/>
    <cellStyle name="SAPBEXaggDataEmph 2" xfId="395" xr:uid="{503A00CE-8F66-402B-9576-AFC005EA9B39}"/>
    <cellStyle name="SAPBEXaggDataEmph 2 2" xfId="1034" xr:uid="{A1F945A0-B9A9-498E-A914-D7698CD72637}"/>
    <cellStyle name="SAPBEXaggDataEmph 2 3" xfId="1161" xr:uid="{D8AF5AFA-FC69-421F-860B-2C39DBF3B4E0}"/>
    <cellStyle name="SAPBEXaggDataEmph 3" xfId="396" xr:uid="{3FF647C5-6C23-4499-8CE5-407FAC45964D}"/>
    <cellStyle name="SAPBEXaggDataEmph 3 2" xfId="917" xr:uid="{D0B65F6C-2A74-48DE-9104-482C457511D3}"/>
    <cellStyle name="SAPBEXaggDataEmph 3 3" xfId="1245" xr:uid="{5DD90CEE-6D86-4F83-976F-1B624BC8C548}"/>
    <cellStyle name="SAPBEXaggDataEmph 4" xfId="622" xr:uid="{2346FD9F-5E72-4E47-A110-30A9410DE3D2}"/>
    <cellStyle name="SAPBEXaggDataEmph 4 2" xfId="1233" xr:uid="{E368F71A-DD5E-48C8-8762-22498BA8092D}"/>
    <cellStyle name="SAPBEXaggDataEmph 4 3" xfId="1364" xr:uid="{9E6FAD86-22A5-44DA-86CE-B13A54C0232D}"/>
    <cellStyle name="SAPBEXaggDataEmph 5" xfId="774" xr:uid="{BBD1E1AD-8936-4C05-9880-F9FA1FE6031A}"/>
    <cellStyle name="SAPBEXaggDataEmph 5 2" xfId="883" xr:uid="{867877D5-8FB9-40B0-BB5C-61E29D019B5D}"/>
    <cellStyle name="SAPBEXaggDataEmph 5 3" xfId="1412" xr:uid="{41B6B043-1097-42A8-B90A-F2AFA489C335}"/>
    <cellStyle name="SAPBEXaggDataEmph 6" xfId="1090" xr:uid="{1B174926-013E-4834-8DB3-B1C95C859390}"/>
    <cellStyle name="SAPBEXaggDataEmph 7" xfId="1226" xr:uid="{02257221-7BA6-4284-9748-DD5ED4DDF562}"/>
    <cellStyle name="SAPBEXaggDataEmph_Actuals by Storm IO" xfId="397" xr:uid="{FF9DF617-6C90-4CEF-806E-084E88B635CE}"/>
    <cellStyle name="SAPBEXaggItem" xfId="398" xr:uid="{1ADEEBEE-7934-41D4-9277-45679F1B24E7}"/>
    <cellStyle name="SAPBEXaggItem 2" xfId="399" xr:uid="{265C3FAD-BC63-40B1-A0FD-84B8F0C03102}"/>
    <cellStyle name="SAPBEXaggItem 2 2" xfId="775" xr:uid="{92B7881E-6D8C-47F6-AAA5-6915CC48562F}"/>
    <cellStyle name="SAPBEXaggItem 2 2 2" xfId="880" xr:uid="{3762FB7E-B50C-413D-AC3A-6B863F0169FF}"/>
    <cellStyle name="SAPBEXaggItem 2 2 3" xfId="1413" xr:uid="{E77FFB04-F501-4067-88BF-60A7D538528C}"/>
    <cellStyle name="SAPBEXaggItem 2 3" xfId="1096" xr:uid="{36B530C0-663E-4A9F-B16F-507BAAC97D4C}"/>
    <cellStyle name="SAPBEXaggItem 2 4" xfId="922" xr:uid="{D30D5C25-92EF-47D6-B31F-51ADAB99EE53}"/>
    <cellStyle name="SAPBEXaggItem 3" xfId="400" xr:uid="{6AE7988B-4E0A-4680-B769-105E371F66B1}"/>
    <cellStyle name="SAPBEXaggItem 3 2" xfId="1179" xr:uid="{B7F1FFF7-40D6-4E5E-B2B2-E02381326938}"/>
    <cellStyle name="SAPBEXaggItem 3 3" xfId="921" xr:uid="{12C35895-4511-45D2-BADD-777120D0BC62}"/>
    <cellStyle name="SAPBEXaggItem 4" xfId="401" xr:uid="{64075988-0C71-451C-98A0-E5C450870A2A}"/>
    <cellStyle name="SAPBEXaggItem 4 2" xfId="776" xr:uid="{07DE22B3-7918-4DCC-89A1-CA4BFE72D265}"/>
    <cellStyle name="SAPBEXaggItem 4 2 2" xfId="1190" xr:uid="{97C2C501-8074-4C0E-962D-4A60EF8A10E2}"/>
    <cellStyle name="SAPBEXaggItem 4 2 3" xfId="1414" xr:uid="{57938AC2-479C-4F12-A851-C6E4EB7F841C}"/>
    <cellStyle name="SAPBEXaggItem 4 3" xfId="1084" xr:uid="{9433D666-4612-4558-878F-E3A14BC4EB41}"/>
    <cellStyle name="SAPBEXaggItem 4 4" xfId="1154" xr:uid="{2181B512-4B63-4616-9071-F84852B088B2}"/>
    <cellStyle name="SAPBEXaggItem 5" xfId="623" xr:uid="{EFFEF95D-C23E-476F-9FF6-AC1E70AC6E45}"/>
    <cellStyle name="SAPBEXaggItem 5 2" xfId="962" xr:uid="{9779A4C7-D8D2-473E-A217-CB58A137EA9E}"/>
    <cellStyle name="SAPBEXaggItem 5 3" xfId="1365" xr:uid="{598EB62C-952F-4E12-BA96-6123592855DB}"/>
    <cellStyle name="SAPBEXaggItem 6" xfId="777" xr:uid="{BED450E5-0063-47BD-BFD7-6CE5FADB1E46}"/>
    <cellStyle name="SAPBEXaggItem 6 2" xfId="1022" xr:uid="{14244320-3A14-4F44-A706-EEA4EBC10C35}"/>
    <cellStyle name="SAPBEXaggItem 6 3" xfId="1415" xr:uid="{93A0CA63-CFC5-474B-881F-57072534FDAF}"/>
    <cellStyle name="SAPBEXaggItem 7" xfId="1080" xr:uid="{5272923C-F904-4646-A518-21FC86C07AC6}"/>
    <cellStyle name="SAPBEXaggItem 8" xfId="1232" xr:uid="{2EDD02EB-96CE-46DC-A61A-4FF2A79EA281}"/>
    <cellStyle name="SAPBEXaggItem_Actuals by Storm IO" xfId="402" xr:uid="{9B428EAE-3820-4FAD-8099-A3F0C8D9C1B6}"/>
    <cellStyle name="SAPBEXaggItemX" xfId="403" xr:uid="{806F5830-F996-404B-A0EC-6C464230A2C4}"/>
    <cellStyle name="SAPBEXaggItemX 2" xfId="404" xr:uid="{5D8A22E0-D599-4663-A879-462F9263CA3E}"/>
    <cellStyle name="SAPBEXaggItemX 2 2" xfId="1071" xr:uid="{E51513C7-624A-4F4E-A369-A09E674E781F}"/>
    <cellStyle name="SAPBEXaggItemX 2 3" xfId="1054" xr:uid="{9ECA1A29-B174-4C07-9F69-EF41160894A7}"/>
    <cellStyle name="SAPBEXaggItemX 3" xfId="405" xr:uid="{1A22BB8D-56F7-4799-BCE9-676A8AF41445}"/>
    <cellStyle name="SAPBEXaggItemX 3 2" xfId="1070" xr:uid="{ED952CA0-914E-400B-B3DE-B22BE58C192A}"/>
    <cellStyle name="SAPBEXaggItemX 3 3" xfId="1130" xr:uid="{A6BD1388-AC48-43EA-BDF9-6331F8157A47}"/>
    <cellStyle name="SAPBEXaggItemX 4" xfId="406" xr:uid="{188496AC-C2F1-47C4-8B03-E0B01478CC6B}"/>
    <cellStyle name="SAPBEXaggItemX 4 2" xfId="1069" xr:uid="{0346BCE5-64FE-4C96-8B4F-7A428F5B6D8B}"/>
    <cellStyle name="SAPBEXaggItemX 4 3" xfId="1206" xr:uid="{D92B0BE6-0EB7-4BBF-9BD7-16D259CA1E20}"/>
    <cellStyle name="SAPBEXaggItemX 5" xfId="624" xr:uid="{53AF583B-87B0-4709-94BB-0A379CA78280}"/>
    <cellStyle name="SAPBEXaggItemX 5 2" xfId="1218" xr:uid="{B67A8DBF-ABBC-4CEC-A31D-75E11983D022}"/>
    <cellStyle name="SAPBEXaggItemX 5 3" xfId="1366" xr:uid="{F22619B3-C146-4D9F-ADA1-15BC11B20831}"/>
    <cellStyle name="SAPBEXaggItemX 6" xfId="778" xr:uid="{019EC56F-6E10-41AD-AA83-2F2FF0F8DBCF}"/>
    <cellStyle name="SAPBEXaggItemX 6 2" xfId="899" xr:uid="{E4664332-446B-4CF2-A3AD-D78E9D060258}"/>
    <cellStyle name="SAPBEXaggItemX 6 3" xfId="1416" xr:uid="{660E04DF-446A-4285-B0A0-B9C51FBC39A3}"/>
    <cellStyle name="SAPBEXaggItemX 7" xfId="879" xr:uid="{18B311BD-6D27-4268-90DF-5C299135262D}"/>
    <cellStyle name="SAPBEXaggItemX 8" xfId="1047" xr:uid="{D659F259-27B6-408A-A326-41C227807017}"/>
    <cellStyle name="SAPBEXaggItemX_Actuals by Storm IO" xfId="407" xr:uid="{CD88CB97-521F-4D1D-98BB-EE28810BD4C4}"/>
    <cellStyle name="SAPBEXchaText" xfId="408" xr:uid="{AC2E643C-07E0-4E72-B373-D30E15580505}"/>
    <cellStyle name="SAPBEXchaText 2" xfId="409" xr:uid="{355D1247-0638-432B-9C38-695E1FCD6F5F}"/>
    <cellStyle name="SAPBEXchaText 2 2" xfId="779" xr:uid="{CBFE1AF6-F66B-4287-9E09-4CFA8E5AD773}"/>
    <cellStyle name="SAPBEXchaText 2 2 2" xfId="1020" xr:uid="{90B39883-2BCC-4030-8648-59349B6F9E5C}"/>
    <cellStyle name="SAPBEXchaText 2 2 3" xfId="1417" xr:uid="{53FB822E-4CF5-40A2-8D34-4055095DC1D5}"/>
    <cellStyle name="SAPBEXchaText 2 3" xfId="1224" xr:uid="{05D5E22E-CDE4-4B8A-892E-A62EF51BFD3A}"/>
    <cellStyle name="SAPBEXchaText 2 4" xfId="1131" xr:uid="{AEF10604-4E3D-484A-965A-D192DB07E1B5}"/>
    <cellStyle name="SAPBEXchaText 3" xfId="410" xr:uid="{2CA3BE90-1630-4535-909E-7FFEA2F819D9}"/>
    <cellStyle name="SAPBEXchaText 4" xfId="411" xr:uid="{25CCDEC9-BD07-4B29-BD34-B33093869A1C}"/>
    <cellStyle name="SAPBEXchaText 4 2" xfId="780" xr:uid="{DE331C7C-99D4-4E9B-9465-32441F4CF4AD}"/>
    <cellStyle name="SAPBEXchaText 4 2 2" xfId="1188" xr:uid="{A7C14064-44CB-478C-BF32-AF43214D1324}"/>
    <cellStyle name="SAPBEXchaText 4 2 3" xfId="1418" xr:uid="{611BB812-7DE2-4FB7-BCFA-95BA8568CCD3}"/>
    <cellStyle name="SAPBEXchaText 4 3" xfId="1204" xr:uid="{CB18B9AA-D6AE-4381-8595-18AE9D41838B}"/>
    <cellStyle name="SAPBEXchaText 4 4" xfId="1171" xr:uid="{4D8A3A64-A6AB-4995-9AB4-5400D77E7B28}"/>
    <cellStyle name="SAPBEXchaText 5" xfId="625" xr:uid="{14FB742F-D276-4B67-9D41-48B763004F77}"/>
    <cellStyle name="SAPBEXchaText 6" xfId="781" xr:uid="{48975145-91D8-4421-B762-9E9EC1A3300C}"/>
    <cellStyle name="SAPBEXchaText 6 2" xfId="1011" xr:uid="{95EF5AF5-1FFE-4664-A74F-7FA0909C2A17}"/>
    <cellStyle name="SAPBEXchaText 6 3" xfId="1419" xr:uid="{A5D59D9A-2972-4753-8A7E-E5E39D17B2A8}"/>
    <cellStyle name="SAPBEXchaText 7" xfId="961" xr:uid="{A88079DE-E4A7-4B36-BDA0-CFC662E35B6E}"/>
    <cellStyle name="SAPBEXchaText 8" xfId="1258" xr:uid="{627AB438-3BB9-4072-A899-9473B404A341}"/>
    <cellStyle name="SAPBEXchaText_Actuals by Storm IO" xfId="412" xr:uid="{DB07EB85-1F8D-42AF-9DCB-EE99D6B1EA3F}"/>
    <cellStyle name="SAPBEXexcBad7" xfId="413" xr:uid="{7C5581D4-8F2E-46EE-BD5C-29B6F7E0863E}"/>
    <cellStyle name="SAPBEXexcBad7 2" xfId="414" xr:uid="{BC9B1644-5092-48CC-8FF2-064A5901786C}"/>
    <cellStyle name="SAPBEXexcBad7 2 2" xfId="782" xr:uid="{D85D38CE-4854-40D1-9D0B-A0C8B97F00F7}"/>
    <cellStyle name="SAPBEXexcBad7 2 2 2" xfId="977" xr:uid="{60117BE1-F2A7-4D86-8E3D-3E1DD3BC094D}"/>
    <cellStyle name="SAPBEXexcBad7 2 2 3" xfId="1420" xr:uid="{4A1AA8D3-7270-4788-B716-B765C71B0EC1}"/>
    <cellStyle name="SAPBEXexcBad7 2 3" xfId="950" xr:uid="{AC633B4E-A91B-48C9-81B1-F2FFEE6B9621}"/>
    <cellStyle name="SAPBEXexcBad7 2 4" xfId="1257" xr:uid="{D34594E8-94D7-422D-8151-20BCC21B400E}"/>
    <cellStyle name="SAPBEXexcBad7 3" xfId="415" xr:uid="{6826207A-4925-4A07-A273-B505B4A42BB0}"/>
    <cellStyle name="SAPBEXexcBad7 3 2" xfId="1002" xr:uid="{751F430C-0377-4A40-8E09-0B27025E5D42}"/>
    <cellStyle name="SAPBEXexcBad7 3 3" xfId="1049" xr:uid="{1F80B578-956F-48A0-BA8C-9387E4B04A66}"/>
    <cellStyle name="SAPBEXexcBad7 4" xfId="416" xr:uid="{1AF44BA5-985F-4C45-A7CE-B78A756AD179}"/>
    <cellStyle name="SAPBEXexcBad7 4 2" xfId="783" xr:uid="{A5F158A5-FAEB-47DD-9D0B-FFB47BC02083}"/>
    <cellStyle name="SAPBEXexcBad7 4 2 2" xfId="898" xr:uid="{5759C95B-7D44-49E5-B470-FA9191C0C003}"/>
    <cellStyle name="SAPBEXexcBad7 4 2 3" xfId="1421" xr:uid="{BA2FF364-0FEB-43F4-8496-562DB0D5CF37}"/>
    <cellStyle name="SAPBEXexcBad7 4 3" xfId="1230" xr:uid="{5663DC2A-8B68-46BC-888B-2C6615DFEC01}"/>
    <cellStyle name="SAPBEXexcBad7 4 4" xfId="881" xr:uid="{22B3E772-6372-4169-89D8-A841E8900462}"/>
    <cellStyle name="SAPBEXexcBad7 5" xfId="784" xr:uid="{CAC9ADF0-7AAE-4F6F-B87A-D4526D2D770E}"/>
    <cellStyle name="SAPBEXexcBad7 5 2" xfId="897" xr:uid="{B864D4F9-FB58-4DAF-87E9-FE4EDB44730C}"/>
    <cellStyle name="SAPBEXexcBad7 5 3" xfId="1422" xr:uid="{E7BAF1B5-193B-4FDC-8C9D-806E5FD444E2}"/>
    <cellStyle name="SAPBEXexcBad7 6" xfId="1223" xr:uid="{59C0322A-9E2A-487D-8017-66DE76B9258D}"/>
    <cellStyle name="SAPBEXexcBad7 7" xfId="923" xr:uid="{F3BCE51F-546D-4D5F-A507-A7CE3D2779C4}"/>
    <cellStyle name="SAPBEXexcBad7_Actuals by Storm IO" xfId="417" xr:uid="{A4B46D11-BBF2-4E54-BD64-1C8EFF63679E}"/>
    <cellStyle name="SAPBEXexcBad8" xfId="418" xr:uid="{F0CFD0AA-7E69-4A95-BD94-329A17CD0387}"/>
    <cellStyle name="SAPBEXexcBad8 2" xfId="419" xr:uid="{E92EBD6F-298E-4AF5-A74F-8A82B8D20628}"/>
    <cellStyle name="SAPBEXexcBad8 2 2" xfId="785" xr:uid="{F07ABE80-9971-440F-854D-A61929B1BF25}"/>
    <cellStyle name="SAPBEXexcBad8 2 2 2" xfId="1189" xr:uid="{E9D1775D-9A65-4008-9AD5-0B5845EFEA7C}"/>
    <cellStyle name="SAPBEXexcBad8 2 2 3" xfId="1423" xr:uid="{EB0546E1-E7E3-4EE7-B97D-150428A551D5}"/>
    <cellStyle name="SAPBEXexcBad8 2 3" xfId="1085" xr:uid="{C7CE19DC-E7E4-4ED1-8E57-2AAB316428BB}"/>
    <cellStyle name="SAPBEXexcBad8 2 4" xfId="1140" xr:uid="{AF112E98-7D35-4898-979C-BD0CCB792D39}"/>
    <cellStyle name="SAPBEXexcBad8 3" xfId="420" xr:uid="{EE9246F7-8CC3-45EC-805F-4EB1EE5C2C2C}"/>
    <cellStyle name="SAPBEXexcBad8 3 2" xfId="1068" xr:uid="{52800E49-EE6D-45AE-8CAA-2B1971F6928D}"/>
    <cellStyle name="SAPBEXexcBad8 3 3" xfId="937" xr:uid="{AB489E73-EBB7-4578-A1D5-60821DB409FE}"/>
    <cellStyle name="SAPBEXexcBad8 4" xfId="421" xr:uid="{F663D447-0893-48D2-ABAD-04E0295596C9}"/>
    <cellStyle name="SAPBEXexcBad8 4 2" xfId="786" xr:uid="{A055DAE6-2CEF-4748-B062-28C9EFD28499}"/>
    <cellStyle name="SAPBEXexcBad8 4 2 2" xfId="1021" xr:uid="{CED08F15-5824-4D81-ADCB-4ECE5EF3E3CA}"/>
    <cellStyle name="SAPBEXexcBad8 4 2 3" xfId="1424" xr:uid="{C00D5129-2EC0-474C-8D66-EE63E201A900}"/>
    <cellStyle name="SAPBEXexcBad8 4 3" xfId="1222" xr:uid="{73D24730-A4C4-4E48-81BD-37DD3FABF63F}"/>
    <cellStyle name="SAPBEXexcBad8 4 4" xfId="1228" xr:uid="{1004C292-6518-4116-9F62-E2D0C60D0923}"/>
    <cellStyle name="SAPBEXexcBad8 5" xfId="787" xr:uid="{53BF61E2-D4FC-4AA9-8EF2-2B06F11E4B9D}"/>
    <cellStyle name="SAPBEXexcBad8 5 2" xfId="884" xr:uid="{E2D7A7F6-1FC2-4F94-9324-3F0E01149B66}"/>
    <cellStyle name="SAPBEXexcBad8 5 3" xfId="1425" xr:uid="{C3757A43-88FA-4151-8F93-5938E0CFEBAA}"/>
    <cellStyle name="SAPBEXexcBad8 6" xfId="949" xr:uid="{5F144145-D4D3-486C-943B-AE55EBE94114}"/>
    <cellStyle name="SAPBEXexcBad8 7" xfId="924" xr:uid="{0E94CF4F-DE09-4FE3-910B-32AE65B78E6F}"/>
    <cellStyle name="SAPBEXexcBad8_Actuals by Storm IO" xfId="422" xr:uid="{F1399E07-4C4A-47FE-845C-8F38AA550EFB}"/>
    <cellStyle name="SAPBEXexcBad9" xfId="423" xr:uid="{78645AAB-D022-4E53-989F-7F1E9562F906}"/>
    <cellStyle name="SAPBEXexcBad9 2" xfId="424" xr:uid="{C6DC47F6-1CAD-4023-8DC8-419DB1E60D67}"/>
    <cellStyle name="SAPBEXexcBad9 2 2" xfId="788" xr:uid="{03AA068F-F64D-4873-8C9A-FD82C27C3A29}"/>
    <cellStyle name="SAPBEXexcBad9 2 2 2" xfId="946" xr:uid="{AC3988BD-1FEF-492A-BFBA-F6D9B3717DAF}"/>
    <cellStyle name="SAPBEXexcBad9 2 2 3" xfId="1426" xr:uid="{65D390CF-90AC-45E6-85F4-DCC845FB381A}"/>
    <cellStyle name="SAPBEXexcBad9 2 3" xfId="1229" xr:uid="{60F1DE67-1FB3-4761-83D0-63071384DFD3}"/>
    <cellStyle name="SAPBEXexcBad9 2 4" xfId="1162" xr:uid="{B465F6C9-0995-4BE8-B6DF-18DE4801E846}"/>
    <cellStyle name="SAPBEXexcBad9 3" xfId="425" xr:uid="{791FBFF6-0DD9-46DE-B528-CE5836EDBEF0}"/>
    <cellStyle name="SAPBEXexcBad9 3 2" xfId="1001" xr:uid="{F40038D9-4AA3-4AC6-AF5A-C723F1EEC800}"/>
    <cellStyle name="SAPBEXexcBad9 3 3" xfId="1262" xr:uid="{DDB5DFAC-4B5A-484E-91F1-E612B121F250}"/>
    <cellStyle name="SAPBEXexcBad9 4" xfId="426" xr:uid="{A97C0C89-56A8-4D6E-9B8E-7126EC578C1A}"/>
    <cellStyle name="SAPBEXexcBad9 4 2" xfId="789" xr:uid="{B48EE039-4273-4C20-A337-66616BEFC4F0}"/>
    <cellStyle name="SAPBEXexcBad9 4 2 2" xfId="1138" xr:uid="{6DE2A964-4F0F-48A7-AF33-D315DF22DD4F}"/>
    <cellStyle name="SAPBEXexcBad9 4 2 3" xfId="1427" xr:uid="{1BBDA289-8555-4A23-AFC0-6FEE49A19629}"/>
    <cellStyle name="SAPBEXexcBad9 4 3" xfId="948" xr:uid="{88608E80-6142-44A1-83B6-0A216A0A1669}"/>
    <cellStyle name="SAPBEXexcBad9 4 4" xfId="947" xr:uid="{B12B4D90-F0A4-42FF-B5C1-996CC394D46A}"/>
    <cellStyle name="SAPBEXexcBad9 5" xfId="790" xr:uid="{2C7CE78B-A0A4-47E5-8DBE-58BD968950CA}"/>
    <cellStyle name="SAPBEXexcBad9 5 2" xfId="1231" xr:uid="{71A650C8-92E2-47BB-9418-0E8C15736D1B}"/>
    <cellStyle name="SAPBEXexcBad9 5 3" xfId="1428" xr:uid="{EE95CE90-E8B4-4EA4-BCF8-9C5A1BFDF0AB}"/>
    <cellStyle name="SAPBEXexcBad9 6" xfId="916" xr:uid="{B8CE7775-91AC-458E-B103-A376D7A1F849}"/>
    <cellStyle name="SAPBEXexcBad9 7" xfId="1148" xr:uid="{FE79F10B-7624-4622-B65C-041B31116147}"/>
    <cellStyle name="SAPBEXexcBad9_Actuals by Storm IO" xfId="427" xr:uid="{DF0AEDE1-43AD-4F2E-9591-AE60D1C638FE}"/>
    <cellStyle name="SAPBEXexcCritical4" xfId="428" xr:uid="{A369D052-EB9F-49EF-A303-8B6BFE0AF8E2}"/>
    <cellStyle name="SAPBEXexcCritical4 2" xfId="429" xr:uid="{9BC16230-23C7-4C1B-ADE4-5421E2F73593}"/>
    <cellStyle name="SAPBEXexcCritical4 2 2" xfId="791" xr:uid="{800F6ACB-F1A4-46E9-8110-3A3ACF3BA15E}"/>
    <cellStyle name="SAPBEXexcCritical4 2 2 2" xfId="1157" xr:uid="{BC0095FD-AFD5-432F-B9F9-4261F75F533A}"/>
    <cellStyle name="SAPBEXexcCritical4 2 2 3" xfId="1429" xr:uid="{FFA10633-0A41-40FE-BB0B-F3B426463A2C}"/>
    <cellStyle name="SAPBEXexcCritical4 2 3" xfId="1066" xr:uid="{CC139EE5-C7EB-49D3-8A0D-D205FD56AC57}"/>
    <cellStyle name="SAPBEXexcCritical4 2 4" xfId="1172" xr:uid="{E43A9990-8011-4AB5-805F-4D04010A4A6A}"/>
    <cellStyle name="SAPBEXexcCritical4 3" xfId="430" xr:uid="{3F9CFDC6-C6C2-41E8-B06A-177B59DFC318}"/>
    <cellStyle name="SAPBEXexcCritical4 3 2" xfId="1033" xr:uid="{516A1664-24A0-45AC-9E48-C59D91258958}"/>
    <cellStyle name="SAPBEXexcCritical4 3 3" xfId="1035" xr:uid="{0F9B8DE2-ED61-425C-B87D-A0DB417553D5}"/>
    <cellStyle name="SAPBEXexcCritical4 4" xfId="431" xr:uid="{167E5DEB-CCAD-4D21-922B-EC63A147C55E}"/>
    <cellStyle name="SAPBEXexcCritical4 4 2" xfId="792" xr:uid="{01EF349E-382E-4BF2-ADC3-9B37B6E80684}"/>
    <cellStyle name="SAPBEXexcCritical4 4 2 2" xfId="869" xr:uid="{8E1E9DF1-8655-4589-A3AB-C600673DBD42}"/>
    <cellStyle name="SAPBEXexcCritical4 4 2 3" xfId="1430" xr:uid="{AAF1B582-CFBD-4CEA-83EF-DB50D0FEF71A}"/>
    <cellStyle name="SAPBEXexcCritical4 4 3" xfId="1280" xr:uid="{188ED120-8F49-458F-9325-FA23ABF73612}"/>
    <cellStyle name="SAPBEXexcCritical4 4 4" xfId="925" xr:uid="{137DC0B8-3073-4A6A-9E53-AC0BC3ED3B32}"/>
    <cellStyle name="SAPBEXexcCritical4 5" xfId="793" xr:uid="{528741F3-17B5-4E46-A77A-34DA5B4993F5}"/>
    <cellStyle name="SAPBEXexcCritical4 5 2" xfId="1061" xr:uid="{2F4BB155-1AE9-40F1-85D1-C83FE399DC90}"/>
    <cellStyle name="SAPBEXexcCritical4 5 3" xfId="1431" xr:uid="{B0D6F6C7-1B52-401C-B25A-07CE9A6712A4}"/>
    <cellStyle name="SAPBEXexcCritical4 6" xfId="1067" xr:uid="{5DD6FCE7-4743-47F1-85A7-072191EB77B5}"/>
    <cellStyle name="SAPBEXexcCritical4 7" xfId="1246" xr:uid="{81242269-A7B1-424F-9C6C-C296607BD4C2}"/>
    <cellStyle name="SAPBEXexcCritical4_Actuals by Storm IO" xfId="432" xr:uid="{A1E2F068-1B77-446F-9E7F-EB3FAB137E01}"/>
    <cellStyle name="SAPBEXexcCritical5" xfId="433" xr:uid="{870CE510-4B7B-413B-94F1-85083EF8E524}"/>
    <cellStyle name="SAPBEXexcCritical5 2" xfId="434" xr:uid="{B19A11E2-C075-40FF-8D47-5531AFA8488B}"/>
    <cellStyle name="SAPBEXexcCritical5 2 2" xfId="794" xr:uid="{B686E0A4-493C-424C-B630-6B7770081C94}"/>
    <cellStyle name="SAPBEXexcCritical5 2 2 2" xfId="896" xr:uid="{45EAA1E7-D62E-42A2-8A47-6854FCCEBDD9}"/>
    <cellStyle name="SAPBEXexcCritical5 2 2 3" xfId="1432" xr:uid="{8F99012C-C415-48E1-ADD2-7B67CF36952A}"/>
    <cellStyle name="SAPBEXexcCritical5 2 3" xfId="1065" xr:uid="{DFCD3C1D-2AFC-411A-A909-3E5F4F50C8EF}"/>
    <cellStyle name="SAPBEXexcCritical5 2 4" xfId="1050" xr:uid="{BBC314F9-B669-40E6-A1C0-AF1543609878}"/>
    <cellStyle name="SAPBEXexcCritical5 3" xfId="435" xr:uid="{3F3095EE-812C-4CFA-B9EE-ACDF125A5FA8}"/>
    <cellStyle name="SAPBEXexcCritical5 3 2" xfId="915" xr:uid="{B5E56299-9E39-48BD-9225-A69F1025CD6D}"/>
    <cellStyle name="SAPBEXexcCritical5 3 3" xfId="1141" xr:uid="{6A657494-3B3E-4E16-BC62-4B2FA13266DD}"/>
    <cellStyle name="SAPBEXexcCritical5 4" xfId="436" xr:uid="{39AE7C77-F28D-421D-B995-A11F6364F27B}"/>
    <cellStyle name="SAPBEXexcCritical5 4 2" xfId="795" xr:uid="{E8FB6ED0-C4A9-4B39-8E62-684878D6A9A1}"/>
    <cellStyle name="SAPBEXexcCritical5 4 2 2" xfId="1187" xr:uid="{29AA90BC-2B84-401A-AC05-A956F74E6D00}"/>
    <cellStyle name="SAPBEXexcCritical5 4 2 3" xfId="1433" xr:uid="{C4C85791-5974-468F-85C9-7E8C2517C1A6}"/>
    <cellStyle name="SAPBEXexcCritical5 4 3" xfId="1032" xr:uid="{FB4D44A5-14CA-475F-A1AE-80EA3455B5B7}"/>
    <cellStyle name="SAPBEXexcCritical5 4 4" xfId="877" xr:uid="{0A22DD4B-79AA-4376-AF66-3C66298EB42E}"/>
    <cellStyle name="SAPBEXexcCritical5 5" xfId="796" xr:uid="{8A79CC1F-550A-4D2B-992E-4256030F9B34}"/>
    <cellStyle name="SAPBEXexcCritical5 5 2" xfId="1010" xr:uid="{6273F994-B3FE-4430-A19D-1AEB040B6682}"/>
    <cellStyle name="SAPBEXexcCritical5 5 3" xfId="1434" xr:uid="{6B6FEEAC-3756-4730-BBBD-5F7473A1BA39}"/>
    <cellStyle name="SAPBEXexcCritical5 6" xfId="1221" xr:uid="{B6B40459-49B2-48DA-A582-3118E923A87F}"/>
    <cellStyle name="SAPBEXexcCritical5 7" xfId="1132" xr:uid="{E4AC13C2-50F0-4990-A280-95D89DD90071}"/>
    <cellStyle name="SAPBEXexcCritical5_Actuals by Storm IO" xfId="437" xr:uid="{9D14ECF0-F0C6-4C05-B43F-7F7D868A3F23}"/>
    <cellStyle name="SAPBEXexcCritical6" xfId="438" xr:uid="{A41213B3-0C0B-4D73-A9F5-C91FA559C50E}"/>
    <cellStyle name="SAPBEXexcCritical6 2" xfId="439" xr:uid="{1F503B6F-6E1A-41E6-B949-B4221A4E20C6}"/>
    <cellStyle name="SAPBEXexcCritical6 2 2" xfId="797" xr:uid="{03F1DF52-7F2C-4C9E-BEE0-D84E0C3CE978}"/>
    <cellStyle name="SAPBEXexcCritical6 2 2 2" xfId="1175" xr:uid="{A9C3CB9A-4189-4E54-AA08-BECFC3E41F3D}"/>
    <cellStyle name="SAPBEXexcCritical6 2 2 3" xfId="1435" xr:uid="{8817D621-F0BA-4D6A-B1D2-607DE764C705}"/>
    <cellStyle name="SAPBEXexcCritical6 2 3" xfId="957" xr:uid="{5CD5474F-CD0F-449F-A441-1824A0BEA6C7}"/>
    <cellStyle name="SAPBEXexcCritical6 2 4" xfId="926" xr:uid="{C6F2165A-1C6B-4638-A93C-D080A4B7F107}"/>
    <cellStyle name="SAPBEXexcCritical6 3" xfId="440" xr:uid="{3899CF72-3166-422E-AF4E-33337EA7A1A9}"/>
    <cellStyle name="SAPBEXexcCritical6 3 2" xfId="1143" xr:uid="{745F414F-E12C-4F4C-BE29-76B97E117C1D}"/>
    <cellStyle name="SAPBEXexcCritical6 3 3" xfId="1133" xr:uid="{DD26A3B0-8494-4185-944B-E2F39BA70464}"/>
    <cellStyle name="SAPBEXexcCritical6 4" xfId="441" xr:uid="{532C3375-44FB-434B-A764-B12459B0C8F6}"/>
    <cellStyle name="SAPBEXexcCritical6 4 2" xfId="798" xr:uid="{5E413F89-CED6-46D8-937E-CE7834BF06AE}"/>
    <cellStyle name="SAPBEXexcCritical6 4 2 2" xfId="1186" xr:uid="{C6F2656A-7C90-4B97-8291-49C1C1500922}"/>
    <cellStyle name="SAPBEXexcCritical6 4 2 3" xfId="1436" xr:uid="{2F173BDC-50BF-40AD-8345-2745984A8166}"/>
    <cellStyle name="SAPBEXexcCritical6 4 3" xfId="1064" xr:uid="{E061E429-10C0-4E02-BD61-14D4C99346A2}"/>
    <cellStyle name="SAPBEXexcCritical6 4 4" xfId="1263" xr:uid="{B38D7AB2-C63D-4285-A8FD-5B92A700BE24}"/>
    <cellStyle name="SAPBEXexcCritical6 5" xfId="799" xr:uid="{164599A0-84A2-4E69-9D97-D7D0DE00505F}"/>
    <cellStyle name="SAPBEXexcCritical6 5 2" xfId="1060" xr:uid="{0DB9C3B4-DC80-44BB-BA51-46FDD9C28954}"/>
    <cellStyle name="SAPBEXexcCritical6 5 3" xfId="1437" xr:uid="{27606675-0DE0-47E4-8685-6040CDFBF1AC}"/>
    <cellStyle name="SAPBEXexcCritical6 6" xfId="1160" xr:uid="{E3B98F41-3493-43AA-A7AF-E822A0032AA5}"/>
    <cellStyle name="SAPBEXexcCritical6 7" xfId="1036" xr:uid="{7885BDCD-DFEC-4D9C-89DA-9E3C6FC4A61F}"/>
    <cellStyle name="SAPBEXexcCritical6_Actuals by Storm IO" xfId="442" xr:uid="{D125E7C0-B20C-4B4B-A630-282EE0A7AB65}"/>
    <cellStyle name="SAPBEXexcGood1" xfId="443" xr:uid="{D9B0D2A9-9E3A-4DC0-9FDE-FB298959D9D0}"/>
    <cellStyle name="SAPBEXexcGood1 2" xfId="444" xr:uid="{9E3A25B2-C6B3-49A5-B05E-F2C446CBA075}"/>
    <cellStyle name="SAPBEXexcGood1 2 2" xfId="800" xr:uid="{4C782195-9688-4160-A8F4-681117C34C81}"/>
    <cellStyle name="SAPBEXexcGood1 2 2 2" xfId="895" xr:uid="{948BC4F0-D058-445D-A1BF-F078F8717DAE}"/>
    <cellStyle name="SAPBEXexcGood1 2 2 3" xfId="1438" xr:uid="{966EE250-6B61-49A5-A026-46F512C011D7}"/>
    <cellStyle name="SAPBEXexcGood1 2 3" xfId="1220" xr:uid="{46BA732C-BB73-463A-A898-66F5CC37396F}"/>
    <cellStyle name="SAPBEXexcGood1 2 4" xfId="927" xr:uid="{DE384170-E9D4-41F8-B39C-DC863E6202C1}"/>
    <cellStyle name="SAPBEXexcGood1 3" xfId="445" xr:uid="{61931843-94BB-4658-87DC-1D7F525B0D9C}"/>
    <cellStyle name="SAPBEXexcGood1 3 2" xfId="1127" xr:uid="{790E0DCA-5F8B-4C2C-8B23-059FAD90D941}"/>
    <cellStyle name="SAPBEXexcGood1 3 3" xfId="928" xr:uid="{5D8159FE-1D9C-4154-AB31-675D4BD73222}"/>
    <cellStyle name="SAPBEXexcGood1 4" xfId="446" xr:uid="{A1D274EE-D4DB-4DC4-8F2A-7DF27216C518}"/>
    <cellStyle name="SAPBEXexcGood1 4 2" xfId="801" xr:uid="{C96EE45D-AFFB-458B-8C03-57BC04244647}"/>
    <cellStyle name="SAPBEXexcGood1 4 2 2" xfId="1234" xr:uid="{2E8811CB-61AB-4CE8-AD80-EDCFB7F5FD1E}"/>
    <cellStyle name="SAPBEXexcGood1 4 2 3" xfId="1439" xr:uid="{C18DFC75-8E1F-460C-AEDF-90FF7D332C39}"/>
    <cellStyle name="SAPBEXexcGood1 4 3" xfId="1089" xr:uid="{D296F8B6-4EEA-4264-A56F-0521D8D5F42C}"/>
    <cellStyle name="SAPBEXexcGood1 4 4" xfId="1003" xr:uid="{79728C6A-1785-4247-ACDA-DF19439D6135}"/>
    <cellStyle name="SAPBEXexcGood1 5" xfId="802" xr:uid="{4F8B0957-76AA-49FE-A5F4-2CD87DE6772E}"/>
    <cellStyle name="SAPBEXexcGood1 5 2" xfId="894" xr:uid="{1C9352EC-E554-486A-97B2-3DDFC8114EA8}"/>
    <cellStyle name="SAPBEXexcGood1 5 3" xfId="1440" xr:uid="{4D897005-2100-41C0-AD51-FFB9D87DC3B5}"/>
    <cellStyle name="SAPBEXexcGood1 6" xfId="1126" xr:uid="{0592E969-E215-41C7-A7BF-872491BCD569}"/>
    <cellStyle name="SAPBEXexcGood1 7" xfId="1037" xr:uid="{59516384-DBDA-4319-9835-65BCA6808664}"/>
    <cellStyle name="SAPBEXexcGood1_Actuals by Storm IO" xfId="447" xr:uid="{0825FD95-1BC5-4501-BD06-B937AAE3B86E}"/>
    <cellStyle name="SAPBEXexcGood2" xfId="448" xr:uid="{ABC24372-313B-41E1-8272-E92D2DDE9540}"/>
    <cellStyle name="SAPBEXexcGood2 2" xfId="449" xr:uid="{70DC7473-3CBD-4975-A81E-1109BDB5878F}"/>
    <cellStyle name="SAPBEXexcGood2 2 2" xfId="803" xr:uid="{AFB0BD7D-66B6-4835-B72D-E7A5A38794D5}"/>
    <cellStyle name="SAPBEXexcGood2 2 2 2" xfId="1009" xr:uid="{7AFAB31D-2754-4E20-B3B9-66105193D14A}"/>
    <cellStyle name="SAPBEXexcGood2 2 2 3" xfId="1441" xr:uid="{925A5264-E64B-4C3E-96DA-17718151CB26}"/>
    <cellStyle name="SAPBEXexcGood2 2 3" xfId="878" xr:uid="{F3ED6665-94D0-456A-82EC-00E20A375F12}"/>
    <cellStyle name="SAPBEXexcGood2 2 4" xfId="1264" xr:uid="{79C459DA-3F11-4205-8F57-E3D13F982039}"/>
    <cellStyle name="SAPBEXexcGood2 3" xfId="450" xr:uid="{2599C438-6D91-4E1C-A8A4-4BC2856F981C}"/>
    <cellStyle name="SAPBEXexcGood2 3 2" xfId="914" xr:uid="{36043730-0B1A-409E-8BE4-CB9F27A53644}"/>
    <cellStyle name="SAPBEXexcGood2 3 3" xfId="1247" xr:uid="{88FA19E2-FF83-43E1-A2F3-B2D0E60F45E2}"/>
    <cellStyle name="SAPBEXexcGood2 4" xfId="451" xr:uid="{0210554A-99DA-48D3-9C30-2054F0CEFAA4}"/>
    <cellStyle name="SAPBEXexcGood2 4 2" xfId="804" xr:uid="{D00458EC-0F04-4BC8-9083-435A6399C066}"/>
    <cellStyle name="SAPBEXexcGood2 4 2 2" xfId="1156" xr:uid="{C8F9002A-0F34-4A36-A659-9C544CDCB006}"/>
    <cellStyle name="SAPBEXexcGood2 4 2 3" xfId="1442" xr:uid="{9B57B03E-8722-4112-888B-1BF85A0F6DD8}"/>
    <cellStyle name="SAPBEXexcGood2 4 3" xfId="999" xr:uid="{C14279E5-FC26-491F-84F0-C28E7BA73904}"/>
    <cellStyle name="SAPBEXexcGood2 4 4" xfId="1151" xr:uid="{A912FA6A-0067-4ED4-841D-041347646565}"/>
    <cellStyle name="SAPBEXexcGood2 5" xfId="805" xr:uid="{DC069674-C18E-428B-B6E2-68F919B9BDFB}"/>
    <cellStyle name="SAPBEXexcGood2 5 2" xfId="1185" xr:uid="{FFC59D4F-DC0D-40BD-A42E-6DA3A090DB59}"/>
    <cellStyle name="SAPBEXexcGood2 5 3" xfId="1443" xr:uid="{D3E72CB2-4F5C-4413-A9D0-B4A92FFBD88D}"/>
    <cellStyle name="SAPBEXexcGood2 6" xfId="1000" xr:uid="{23C8FF0C-2936-4D68-A30A-C8ADCE8843B9}"/>
    <cellStyle name="SAPBEXexcGood2 7" xfId="1212" xr:uid="{06394906-7512-4CDD-9C1C-75991B44ED1F}"/>
    <cellStyle name="SAPBEXexcGood2_Actuals by Storm IO" xfId="452" xr:uid="{1E155259-B1BC-42AE-A77E-A8A4FA19BF79}"/>
    <cellStyle name="SAPBEXexcGood3" xfId="453" xr:uid="{2EA2B8A5-4424-4155-9884-CCAD9CCC3FC8}"/>
    <cellStyle name="SAPBEXexcGood3 2" xfId="454" xr:uid="{A9B5EAF8-8B3E-463D-9D3E-7D2968FF6E13}"/>
    <cellStyle name="SAPBEXexcGood3 2 2" xfId="806" xr:uid="{85506976-6F12-49B2-A595-254315954E02}"/>
    <cellStyle name="SAPBEXexcGood3 2 2 2" xfId="1184" xr:uid="{4A18225C-EDD0-4618-A72A-D0A29AE1681A}"/>
    <cellStyle name="SAPBEXexcGood3 2 2 3" xfId="1444" xr:uid="{56433E43-83FD-47E1-B233-506C8504720E}"/>
    <cellStyle name="SAPBEXexcGood3 2 3" xfId="1031" xr:uid="{8E0DC579-78D1-4ADA-A3E7-C39E02CE7417}"/>
    <cellStyle name="SAPBEXexcGood3 2 4" xfId="1256" xr:uid="{262790D5-C839-4EA0-9D72-52F05CBFCFB8}"/>
    <cellStyle name="SAPBEXexcGood3 3" xfId="455" xr:uid="{31646F90-7267-46A3-B43A-D6CD1575AD04}"/>
    <cellStyle name="SAPBEXexcGood3 3 2" xfId="1017" xr:uid="{172690D0-744E-4122-8432-4C211B6BB06C}"/>
    <cellStyle name="SAPBEXexcGood3 3 3" xfId="1170" xr:uid="{C9873D9D-9057-4B8C-957F-4CE62AA461D2}"/>
    <cellStyle name="SAPBEXexcGood3 4" xfId="456" xr:uid="{BF418F9D-D980-4CFF-86A9-2BB2BF9B0CE4}"/>
    <cellStyle name="SAPBEXexcGood3 4 2" xfId="807" xr:uid="{E1B13E31-385F-43E4-ABB0-7C1F4FD34C55}"/>
    <cellStyle name="SAPBEXexcGood3 4 2 2" xfId="1183" xr:uid="{E700B78B-D340-4168-B14E-A9D9E40DC05B}"/>
    <cellStyle name="SAPBEXexcGood3 4 2 3" xfId="1445" xr:uid="{C0A93332-C321-46FA-8028-3E4C7C02F08F}"/>
    <cellStyle name="SAPBEXexcGood3 4 3" xfId="890" xr:uid="{8D1E4FC5-25A7-4E60-963A-11164D4458FA}"/>
    <cellStyle name="SAPBEXexcGood3 4 4" xfId="1235" xr:uid="{3729F7C9-C1F1-4594-BEFF-0F66C3ECCA15}"/>
    <cellStyle name="SAPBEXexcGood3 5" xfId="808" xr:uid="{AF8960CC-0077-418D-B83C-DD93055FDFAF}"/>
    <cellStyle name="SAPBEXexcGood3 5 2" xfId="976" xr:uid="{58BC9399-C4CA-4277-8CAC-A90B5AC73576}"/>
    <cellStyle name="SAPBEXexcGood3 5 3" xfId="1446" xr:uid="{88FEF148-ADCE-4EFA-841A-C8547C5F1303}"/>
    <cellStyle name="SAPBEXexcGood3 6" xfId="1243" xr:uid="{5330AF85-3CC5-4A48-9689-56635F6BC050}"/>
    <cellStyle name="SAPBEXexcGood3 7" xfId="1265" xr:uid="{DBC93923-F5F8-41EC-AF49-517A1ED104D4}"/>
    <cellStyle name="SAPBEXexcGood3_Actuals by Storm IO" xfId="457" xr:uid="{863CDF4C-FD00-4F7F-AC37-D4F8081B4FA3}"/>
    <cellStyle name="SAPBEXfilterDrill" xfId="458" xr:uid="{00DC55DD-0147-4189-83C7-12CA20E541A8}"/>
    <cellStyle name="SAPBEXfilterDrill 2" xfId="459" xr:uid="{6B9ED126-B83A-4C4B-8800-B2E00B090038}"/>
    <cellStyle name="SAPBEXfilterDrill 2 2" xfId="809" xr:uid="{81675847-CEFA-4706-8C61-ABE5E582AE89}"/>
    <cellStyle name="SAPBEXfilterDrill 2 2 2" xfId="893" xr:uid="{DC680FC2-56E8-48BA-B5FF-81AC964320FC}"/>
    <cellStyle name="SAPBEXfilterDrill 2 2 3" xfId="1447" xr:uid="{09563E6B-241B-4868-B49F-9AE8B294D0C6}"/>
    <cellStyle name="SAPBEXfilterDrill 2 3" xfId="1125" xr:uid="{B2B753F2-EC4B-42CA-BF65-1D975ABB223D}"/>
    <cellStyle name="SAPBEXfilterDrill 2 4" xfId="1266" xr:uid="{711EA98A-3176-4D7D-AC3A-89CBBB52C3E6}"/>
    <cellStyle name="SAPBEXfilterDrill 3" xfId="460" xr:uid="{20FB9A42-E492-44F3-B336-D1A12DB27084}"/>
    <cellStyle name="SAPBEXfilterDrill 4" xfId="461" xr:uid="{14AC6F72-2E7B-4644-B630-60510C4A8DC5}"/>
    <cellStyle name="SAPBEXfilterDrill 4 2" xfId="810" xr:uid="{D474E00B-4262-44D1-BF1F-430381A77A34}"/>
    <cellStyle name="SAPBEXfilterDrill 4 2 2" xfId="1217" xr:uid="{99464757-68BF-4888-BB29-795C6516705C}"/>
    <cellStyle name="SAPBEXfilterDrill 4 2 3" xfId="1448" xr:uid="{32D0A432-C811-4059-AD72-DAA43CD93AE0}"/>
    <cellStyle name="SAPBEXfilterDrill 4 3" xfId="955" xr:uid="{E4A48352-AEE4-4B2D-A31E-66332AE102DD}"/>
    <cellStyle name="SAPBEXfilterDrill 4 4" xfId="1134" xr:uid="{20E0F591-2B42-4774-86EF-5558C592104E}"/>
    <cellStyle name="SAPBEXfilterDrill 5" xfId="811" xr:uid="{71D8F916-47E7-4DEC-80EE-528D9ADDD95A}"/>
    <cellStyle name="SAPBEXfilterDrill 5 2" xfId="1182" xr:uid="{327CFD5B-4445-4374-937B-CC0BF71EAE71}"/>
    <cellStyle name="SAPBEXfilterDrill 5 3" xfId="1449" xr:uid="{8E37F62B-65BC-4374-BD0F-E2D8E4807B4B}"/>
    <cellStyle name="SAPBEXfilterDrill 6" xfId="913" xr:uid="{1FE66467-7A1A-4C67-B86D-45EF46506FFD}"/>
    <cellStyle name="SAPBEXfilterDrill 7" xfId="1267" xr:uid="{01EF9595-4299-4E58-BA3E-C6E4A699E201}"/>
    <cellStyle name="SAPBEXfilterDrill_Actuals by Storm IO" xfId="462" xr:uid="{C8FA2BF9-7B95-4C42-924A-90E0002E3838}"/>
    <cellStyle name="SAPBEXfilterItem" xfId="463" xr:uid="{51FAE1C8-E810-420E-BF35-0A46969E795C}"/>
    <cellStyle name="SAPBEXfilterItem 2" xfId="464" xr:uid="{344D1D48-E875-4DAE-AE69-E2B27DD74E73}"/>
    <cellStyle name="SAPBEXfilterItem 2 2" xfId="1030" xr:uid="{16604A11-1D0B-4926-9088-0471575E4991}"/>
    <cellStyle name="SAPBEXfilterItem 2 3" xfId="929" xr:uid="{D34FA790-89A9-40C0-92C0-B5A858D80A98}"/>
    <cellStyle name="SAPBEXfilterItem 3" xfId="465" xr:uid="{BEDD67C6-374B-435E-9C3C-98F77E159C6A}"/>
    <cellStyle name="SAPBEXfilterItem 4" xfId="812" xr:uid="{6FFB897D-1483-4C16-AAAA-89D077F04E81}"/>
    <cellStyle name="SAPBEXfilterItem 4 2" xfId="1216" xr:uid="{DAB69F72-5CA3-400C-88FC-7446F3E43753}"/>
    <cellStyle name="SAPBEXfilterItem 4 3" xfId="1450" xr:uid="{6F2912D2-0271-4AB9-977D-6DBFCC59CDD3}"/>
    <cellStyle name="SAPBEXfilterItem 5" xfId="1244" xr:uid="{419C8E3C-3F98-49DF-8C6F-5674519B2D4D}"/>
    <cellStyle name="SAPBEXfilterItem 6" xfId="1040" xr:uid="{130A171E-5245-455D-A01E-25230882819F}"/>
    <cellStyle name="SAPBEXfilterItem_Actuals by Storm IO" xfId="466" xr:uid="{31329FF4-15A4-4FAE-9DBF-8AFA50E7B821}"/>
    <cellStyle name="SAPBEXfilterText" xfId="467" xr:uid="{C024DA94-8797-43A1-94BD-4EE300F9A1D7}"/>
    <cellStyle name="SAPBEXfilterText 2" xfId="468" xr:uid="{591CFDB6-4BD3-4C58-A929-3E6B7EC1B932}"/>
    <cellStyle name="SAPBEXfilterText 2 2" xfId="953" xr:uid="{32B1E982-D941-469C-87E2-A7DED3997AB1}"/>
    <cellStyle name="SAPBEXfilterText 2 3" xfId="1004" xr:uid="{CCAECA5A-BBFA-4E7E-BFE7-52B6FBC8C3C3}"/>
    <cellStyle name="SAPBEXfilterText 3" xfId="469" xr:uid="{BC67646C-99E0-42B6-9C37-BF5E8BD3FAB5}"/>
    <cellStyle name="SAPBEXfilterText 4" xfId="632" xr:uid="{C17CE9E0-FD71-4573-A4C2-F6F62DD00A1B}"/>
    <cellStyle name="SAPBEXfilterText 5" xfId="813" xr:uid="{CB8079E0-D484-4801-991D-B93546D76FAF}"/>
    <cellStyle name="SAPBEXfilterText 5 2" xfId="1093" xr:uid="{D682591E-CDF6-4E57-BD8E-DC568F7B1F5D}"/>
    <cellStyle name="SAPBEXfilterText 5 3" xfId="1451" xr:uid="{DBCA0943-56C1-46BD-8E71-3133725470FE}"/>
    <cellStyle name="SAPBEXfilterText 6" xfId="887" xr:uid="{BA101F89-C607-4B09-A113-1068BC23C84C}"/>
    <cellStyle name="SAPBEXfilterText 7" xfId="1139" xr:uid="{C7267351-BC89-4952-A5D5-4F1A023152FA}"/>
    <cellStyle name="SAPBEXfilterText_Actuals by Storm IO" xfId="470" xr:uid="{05D5786A-697D-4672-9770-C7944B69884D}"/>
    <cellStyle name="SAPBEXformats" xfId="471" xr:uid="{A9E84ADE-050C-4D7D-855B-972170D0B501}"/>
    <cellStyle name="SAPBEXformats 2" xfId="472" xr:uid="{3AA16D86-E8D7-4C37-AA7C-07B3BBB3071E}"/>
    <cellStyle name="SAPBEXformats 2 2" xfId="814" xr:uid="{A9A92DF1-6721-4323-85CB-9BEC259C6022}"/>
    <cellStyle name="SAPBEXformats 2 2 2" xfId="1059" xr:uid="{78D42F02-E180-443B-9E65-BCB2331AC7EB}"/>
    <cellStyle name="SAPBEXformats 2 2 3" xfId="1452" xr:uid="{BEDE2642-F4FF-4FB9-81BD-6861FBF4DEDC}"/>
    <cellStyle name="SAPBEXformats 2 3" xfId="998" xr:uid="{EF0ECB2C-C42F-4519-B11E-76A9664C6B47}"/>
    <cellStyle name="SAPBEXformats 2 4" xfId="1207" xr:uid="{AD2FEEB5-75A0-4EBA-8011-EA09DA3D11AD}"/>
    <cellStyle name="SAPBEXformats 3" xfId="473" xr:uid="{0FFDA6BF-B840-45B3-87C3-9025DD41FD3E}"/>
    <cellStyle name="SAPBEXformats 3 2" xfId="1124" xr:uid="{E6A9EFBF-0DA9-4797-92D1-A297950E0321}"/>
    <cellStyle name="SAPBEXformats 3 3" xfId="1268" xr:uid="{B6F17DD7-981D-4818-BA2A-E9F1839B07F3}"/>
    <cellStyle name="SAPBEXformats 4" xfId="474" xr:uid="{C4814FC2-C091-47DA-8729-BA567C247141}"/>
    <cellStyle name="SAPBEXformats 4 2" xfId="815" xr:uid="{9AF9B47B-C78C-4883-BE28-5C262CD2CECD}"/>
    <cellStyle name="SAPBEXformats 4 2 2" xfId="975" xr:uid="{13992A54-FE0B-4ADF-A0E1-E7F86BFAC31B}"/>
    <cellStyle name="SAPBEXformats 4 2 3" xfId="1453" xr:uid="{E12EA16B-6E59-4347-A141-3EA6E9C51C25}"/>
    <cellStyle name="SAPBEXformats 4 3" xfId="1242" xr:uid="{A17129C5-82D2-4360-A938-A69CFC9C387F}"/>
    <cellStyle name="SAPBEXformats 4 4" xfId="1038" xr:uid="{21C74778-535F-40C1-8895-3A64DBE07B48}"/>
    <cellStyle name="SAPBEXformats 5" xfId="816" xr:uid="{7CD4DA47-7CA3-4C42-9095-92AD9ADF3C96}"/>
    <cellStyle name="SAPBEXformats 5 2" xfId="945" xr:uid="{0FC43F12-00DC-4808-B82F-329CAA59C83D}"/>
    <cellStyle name="SAPBEXformats 5 3" xfId="1454" xr:uid="{D0B34AB7-D47B-48B5-8CF0-0F76C4E42236}"/>
    <cellStyle name="SAPBEXformats 6" xfId="1249" xr:uid="{68698461-D5B7-4EE6-AAAD-CA6B1D53B3A0}"/>
    <cellStyle name="SAPBEXformats 7" xfId="1248" xr:uid="{DCB4BE4C-CF96-4085-A954-95D8A1FA7107}"/>
    <cellStyle name="SAPBEXformats_Actuals by Storm IO" xfId="475" xr:uid="{CCB007B5-8C6E-490A-A38F-32F2795AFD4C}"/>
    <cellStyle name="SAPBEXheaderItem" xfId="476" xr:uid="{7EE666AF-A112-4823-B62E-40081CB954B3}"/>
    <cellStyle name="SAPBEXheaderItem 2" xfId="477" xr:uid="{D7E11909-FC23-4451-A8C8-DF79E5D6F446}"/>
    <cellStyle name="SAPBEXheaderItem 2 2" xfId="478" xr:uid="{8215B67C-F621-4B54-96D7-6B0CF0510558}"/>
    <cellStyle name="SAPBEXheaderItem 2 3" xfId="817" xr:uid="{E29EDC14-7BA8-49DD-B64D-AE8B69C813AE}"/>
    <cellStyle name="SAPBEXheaderItem 2 3 2" xfId="1019" xr:uid="{5F941BD5-9577-4913-960A-1C5B4B85AAD2}"/>
    <cellStyle name="SAPBEXheaderItem 2 3 3" xfId="1455" xr:uid="{9DACF704-C542-4D35-94AB-0392DA91417B}"/>
    <cellStyle name="SAPBEXheaderItem 2 4" xfId="958" xr:uid="{98562788-F952-4D15-BF8C-796D866FEF1F}"/>
    <cellStyle name="SAPBEXheaderItem 2 5" xfId="1135" xr:uid="{B10BE115-071A-4077-BEE1-9F8A9970852A}"/>
    <cellStyle name="SAPBEXheaderItem 3" xfId="479" xr:uid="{4F18F9B4-66B9-464C-B72F-DEA2334E7344}"/>
    <cellStyle name="SAPBEXheaderItem 4" xfId="480" xr:uid="{18604889-68F4-464E-B8EB-A8ED6004FAB2}"/>
    <cellStyle name="SAPBEXheaderItem 4 2" xfId="818" xr:uid="{5627E625-CBAB-4463-92DE-5D09318020BD}"/>
    <cellStyle name="SAPBEXheaderItem 4 2 2" xfId="1058" xr:uid="{2BC2ABA0-6FCB-4796-B651-C10238E9939E}"/>
    <cellStyle name="SAPBEXheaderItem 4 2 3" xfId="1456" xr:uid="{D548034A-B5BC-4CB8-818A-A06AF889D2B6}"/>
    <cellStyle name="SAPBEXheaderItem 4 3" xfId="1123" xr:uid="{1A7A5AE9-9E21-45BA-BA3C-B18698F7EF91}"/>
    <cellStyle name="SAPBEXheaderItem 4 4" xfId="1039" xr:uid="{08E62CDD-AC45-415C-8B1B-7AD2A78E8D03}"/>
    <cellStyle name="SAPBEXheaderItem 5" xfId="819" xr:uid="{65E30C77-3064-4CF7-BD09-BF134455310F}"/>
    <cellStyle name="SAPBEXheaderItem 5 2" xfId="892" xr:uid="{8A5207D0-9AB6-4C5B-8E15-4BF99BB8157B}"/>
    <cellStyle name="SAPBEXheaderItem 5 3" xfId="1457" xr:uid="{C1C8A92F-A294-48E3-A940-7DF9BEAC8A7D}"/>
    <cellStyle name="SAPBEXheaderItem 6" xfId="1015" xr:uid="{E0FE9939-389E-454F-8918-C171BE601DD9}"/>
    <cellStyle name="SAPBEXheaderItem 7" xfId="1269" xr:uid="{5FBEB976-BC36-4698-85FE-19ED706D5535}"/>
    <cellStyle name="SAPBEXheaderItem_Actuals by Storm IO" xfId="481" xr:uid="{F48A66C3-B500-42F7-B218-248B3AC035FB}"/>
    <cellStyle name="SAPBEXheaderText" xfId="482" xr:uid="{077630FD-FB32-47FB-A6F9-154BA4B1C5FD}"/>
    <cellStyle name="SAPBEXheaderText 2" xfId="483" xr:uid="{7B76E57A-B9E9-4A88-88F7-EFD5691343D3}"/>
    <cellStyle name="SAPBEXheaderText 2 2" xfId="484" xr:uid="{723BCA5A-4C1C-44E3-9760-B87E8DAA8149}"/>
    <cellStyle name="SAPBEXheaderText 2 3" xfId="820" xr:uid="{B8518CCD-EAE6-46CC-A236-A122EFDC6886}"/>
    <cellStyle name="SAPBEXheaderText 2 3 2" xfId="1215" xr:uid="{74FA1236-462C-4F25-8264-24A283248118}"/>
    <cellStyle name="SAPBEXheaderText 2 3 3" xfId="1458" xr:uid="{30A42B28-2237-4B46-9B94-9F41A7A40D96}"/>
    <cellStyle name="SAPBEXheaderText 2 4" xfId="1100" xr:uid="{0BE04B7B-78BE-4D56-B573-0BD57B28F1DB}"/>
    <cellStyle name="SAPBEXheaderText 2 5" xfId="876" xr:uid="{B8AA4F12-2F9E-4E03-9C49-15EFDDAAC10E}"/>
    <cellStyle name="SAPBEXheaderText 3" xfId="485" xr:uid="{6B2820DE-81F5-4A54-B36E-4E5CC3E10DED}"/>
    <cellStyle name="SAPBEXheaderText 4" xfId="486" xr:uid="{A5E37573-5EA2-4018-A861-038BCD2835BE}"/>
    <cellStyle name="SAPBEXheaderText 4 2" xfId="821" xr:uid="{F1639715-E8C2-4941-B1AA-0AB3BD1BAB6F}"/>
    <cellStyle name="SAPBEXheaderText 4 2 2" xfId="891" xr:uid="{8BF1B12D-7DB8-464F-8155-0688A77FB854}"/>
    <cellStyle name="SAPBEXheaderText 4 2 3" xfId="1459" xr:uid="{CCE11E7D-2E45-4D4A-BDCA-6D4099CAE3A8}"/>
    <cellStyle name="SAPBEXheaderText 4 3" xfId="1167" xr:uid="{285C5976-6398-404B-9B4F-F525B81224EF}"/>
    <cellStyle name="SAPBEXheaderText 4 4" xfId="1052" xr:uid="{63FCEC45-1DCD-4D9C-8909-9CAF5908A871}"/>
    <cellStyle name="SAPBEXheaderText 5" xfId="635" xr:uid="{CD9D741E-283A-416F-89D0-B7C609E1AD05}"/>
    <cellStyle name="SAPBEXheaderText 6" xfId="822" xr:uid="{8A089151-4A40-4745-AFE0-EFDE413E412C}"/>
    <cellStyle name="SAPBEXheaderText 6 2" xfId="1057" xr:uid="{580E803F-9A6E-4AD4-8EFB-51B37B6AA26A}"/>
    <cellStyle name="SAPBEXheaderText 6 3" xfId="1460" xr:uid="{EC7380DB-E8B0-409D-9F3E-8B85FECA073A}"/>
    <cellStyle name="SAPBEXheaderText 7" xfId="1203" xr:uid="{8EC1A7E2-18D8-412E-A071-E7EFF00963FA}"/>
    <cellStyle name="SAPBEXheaderText 8" xfId="930" xr:uid="{1B711008-D0E5-449B-A3DA-A2D97FA4A819}"/>
    <cellStyle name="SAPBEXheaderText_Actuals by Storm IO" xfId="487" xr:uid="{7BAEAA25-360F-4CF7-A5C5-BFB55D1DC5FB}"/>
    <cellStyle name="SAPBEXHLevel0" xfId="488" xr:uid="{221996CB-C286-4917-8CC3-C733D5AF85CC}"/>
    <cellStyle name="SAPBEXHLevel0 10" xfId="654" xr:uid="{BA3F4602-DC14-4725-81E2-D2663DB14018}"/>
    <cellStyle name="SAPBEXHLevel0 10 2" xfId="963" xr:uid="{AE7CE6EB-6C9B-419F-B919-991C45C56EA1}"/>
    <cellStyle name="SAPBEXHLevel0 10 3" xfId="1393" xr:uid="{C63EE94A-F9FD-431C-BCF1-C4C7E9012BE8}"/>
    <cellStyle name="SAPBEXHLevel0 11" xfId="823" xr:uid="{9FC6A58C-3078-4D11-9E02-ED05F673AC8F}"/>
    <cellStyle name="SAPBEXHLevel0 11 2" xfId="1181" xr:uid="{41E7B567-B6C5-487E-8095-967D64CF2FC4}"/>
    <cellStyle name="SAPBEXHLevel0 11 3" xfId="1461" xr:uid="{308085E8-938D-4C1E-ABFA-5106ED796322}"/>
    <cellStyle name="SAPBEXHLevel0 12" xfId="997" xr:uid="{BE8FE14B-153C-43BA-8355-FAC9E185A005}"/>
    <cellStyle name="SAPBEXHLevel0 13" xfId="931" xr:uid="{AB8FA7C6-7DDB-4021-A2C5-70FE70BDA724}"/>
    <cellStyle name="SAPBEXHLevel0 2" xfId="489" xr:uid="{DB573DD0-E575-4D6E-8C26-29D48B6D769A}"/>
    <cellStyle name="SAPBEXHLevel0 2 2" xfId="824" xr:uid="{F47E1853-F3B4-49FE-9421-8BF8CF1F09C3}"/>
    <cellStyle name="SAPBEXHLevel0 2 2 2" xfId="1088" xr:uid="{2E130291-DF1F-42C2-BC16-E66FEA2F7899}"/>
    <cellStyle name="SAPBEXHLevel0 2 2 3" xfId="1462" xr:uid="{75BE4D7C-CF9C-43CF-BFEF-632D5A947F88}"/>
    <cellStyle name="SAPBEXHLevel0 2 3" xfId="1165" xr:uid="{854B6053-E654-426E-9696-3962F4C60F08}"/>
    <cellStyle name="SAPBEXHLevel0 2 4" xfId="1191" xr:uid="{FDE17011-A74D-4DF6-95A1-9AF4D9FCE8FF}"/>
    <cellStyle name="SAPBEXHLevel0 3" xfId="490" xr:uid="{C21CB5C2-0723-43A5-B6BF-C4396327C493}"/>
    <cellStyle name="SAPBEXHLevel0 3 2" xfId="1159" xr:uid="{48DE65A4-CCD7-43D2-8BB4-18061E6296C0}"/>
    <cellStyle name="SAPBEXHLevel0 3 3" xfId="907" xr:uid="{798F5834-E4CA-48C3-BCE3-8BA6A6281F7A}"/>
    <cellStyle name="SAPBEXHLevel0 4" xfId="491" xr:uid="{081E7412-4544-4542-9E7D-9D23D6869D7F}"/>
    <cellStyle name="SAPBEXHLevel0 4 2" xfId="492" xr:uid="{89743EA0-AE9A-44CA-9637-8AA603B3458D}"/>
    <cellStyle name="SAPBEXHLevel0 4 2 2" xfId="1014" xr:uid="{32865014-0D15-4F95-B386-F353492E8FBE}"/>
    <cellStyle name="SAPBEXHLevel0 4 2 3" xfId="1213" xr:uid="{182E3FCA-DC3A-4FD8-9537-EB4F616922F3}"/>
    <cellStyle name="SAPBEXHLevel0 4 3" xfId="996" xr:uid="{84DCE503-FA35-4DA5-A720-A54148ACC512}"/>
    <cellStyle name="SAPBEXHLevel0 4 4" xfId="1079" xr:uid="{9DD2EF6E-777F-4BD7-8847-8A52496FA927}"/>
    <cellStyle name="SAPBEXHLevel0 4_Actuals by Storm IO" xfId="493" xr:uid="{31225C70-431F-4320-9B9C-29FD6BBBA9B0}"/>
    <cellStyle name="SAPBEXHLevel0 5" xfId="494" xr:uid="{A9F8D3DA-2E95-4F2A-93A2-FB45489B80D0}"/>
    <cellStyle name="SAPBEXHLevel0 5 2" xfId="1122" xr:uid="{6FF494A9-D347-4AD3-9512-28DD05D669ED}"/>
    <cellStyle name="SAPBEXHLevel0 5 3" xfId="901" xr:uid="{4709D977-8B1E-4A51-BD98-479C2EE7625F}"/>
    <cellStyle name="SAPBEXHLevel0 6" xfId="495" xr:uid="{0A10048B-8153-4A28-9380-29F20B9F8921}"/>
    <cellStyle name="SAPBEXHLevel0 6 2" xfId="825" xr:uid="{5D5A9E1B-63B1-4BFD-98D2-172D3E3BEACD}"/>
    <cellStyle name="SAPBEXHLevel0 6 2 2" xfId="1092" xr:uid="{E537D037-4679-4B01-9BDB-41548165532C}"/>
    <cellStyle name="SAPBEXHLevel0 6 2 3" xfId="1463" xr:uid="{5C2DD0AB-56A0-40FC-BAA9-FAAE4E61B451}"/>
    <cellStyle name="SAPBEXHLevel0 6 3" xfId="1149" xr:uid="{A76728B3-BADA-4517-976E-325E907A14FE}"/>
    <cellStyle name="SAPBEXHLevel0 6 4" xfId="944" xr:uid="{69C13CDE-142E-4FE1-894D-341CC65C2701}"/>
    <cellStyle name="SAPBEXHLevel0 7" xfId="636" xr:uid="{A3A1FDA1-5D50-4C28-9687-EE0217C80C7F}"/>
    <cellStyle name="SAPBEXHLevel0 7 2" xfId="980" xr:uid="{4CBEAB34-32B3-49D8-9B97-71B53C6BDE6D}"/>
    <cellStyle name="SAPBEXHLevel0 7 3" xfId="1375" xr:uid="{BAEB612A-54CE-4B5B-9FB1-1E5FB18D9FED}"/>
    <cellStyle name="SAPBEXHLevel0 8" xfId="655" xr:uid="{1F0D501E-735B-4862-82D0-27618063DD1A}"/>
    <cellStyle name="SAPBEXHLevel0 8 2" xfId="1255" xr:uid="{C2B7BCFF-BE13-4C0A-833E-AE8DFB8A3A04}"/>
    <cellStyle name="SAPBEXHLevel0 8 3" xfId="1394" xr:uid="{44DDA951-FEAC-4FCE-9DF8-29BFADD03B43}"/>
    <cellStyle name="SAPBEXHLevel0 9" xfId="626" xr:uid="{DE42EC70-9A38-423B-A247-9ACC6C097A92}"/>
    <cellStyle name="SAPBEXHLevel0 9 2" xfId="1077" xr:uid="{926E543C-7E70-413D-91B8-3EE1E3BC7DFD}"/>
    <cellStyle name="SAPBEXHLevel0 9 3" xfId="1367" xr:uid="{1175F885-FC21-466D-A860-3C3AEF8C4152}"/>
    <cellStyle name="SAPBEXHLevel0_Actuals by Storm IO" xfId="496" xr:uid="{B118941B-5994-4524-B830-D0F7A92886D8}"/>
    <cellStyle name="SAPBEXHLevel0X" xfId="497" xr:uid="{B46C6129-9846-4CB8-938E-7636B30974A0}"/>
    <cellStyle name="SAPBEXHLevel0X 10" xfId="628" xr:uid="{3416B281-36A0-497A-AB9A-C4263FAFDB6C}"/>
    <cellStyle name="SAPBEXHLevel0X 10 2" xfId="981" xr:uid="{C622135F-68D6-48FF-BBAB-04E905128F64}"/>
    <cellStyle name="SAPBEXHLevel0X 10 3" xfId="1369" xr:uid="{3D158B82-E42F-4145-ACF6-98A4D5551302}"/>
    <cellStyle name="SAPBEXHLevel0X 11" xfId="826" xr:uid="{B89E8785-E9E7-4166-8E52-667B69008CD6}"/>
    <cellStyle name="SAPBEXHLevel0X 11 2" xfId="1078" xr:uid="{C348D95C-4DA8-4DFE-82AA-E8E3A939E26D}"/>
    <cellStyle name="SAPBEXHLevel0X 11 3" xfId="1464" xr:uid="{EA7B354A-FC1C-40C7-975C-30F265A83841}"/>
    <cellStyle name="SAPBEXHLevel0X 12" xfId="995" xr:uid="{98532FA0-A2A2-4F94-954F-DCC2797B3082}"/>
    <cellStyle name="SAPBEXHLevel0X 13" xfId="933" xr:uid="{E0C6FF39-34A4-4EF7-A1F3-ED16956733BE}"/>
    <cellStyle name="SAPBEXHLevel0X 2" xfId="498" xr:uid="{A78A12DE-5C1D-4D20-95DE-8318C21DBB37}"/>
    <cellStyle name="SAPBEXHLevel0X 2 2" xfId="499" xr:uid="{3C751E3E-9BAA-44A2-8306-2433F3FC48E5}"/>
    <cellStyle name="SAPBEXHLevel0X 2 2 2" xfId="828" xr:uid="{611BE179-C5F7-40EA-9B3F-2BF04176D24D}"/>
    <cellStyle name="SAPBEXHLevel0X 2 2 2 2" xfId="1005" xr:uid="{CA0A8BDC-F64A-4819-8F4D-A9BF7AEA7019}"/>
    <cellStyle name="SAPBEXHLevel0X 2 2 2 3" xfId="1466" xr:uid="{07B27327-3CF5-4125-B4F2-EAFD08B548BC}"/>
    <cellStyle name="SAPBEXHLevel0X 2 2 3" xfId="1120" xr:uid="{85BDEC39-8B3C-49AA-95F8-299FCC374D58}"/>
    <cellStyle name="SAPBEXHLevel0X 2 2 4" xfId="1271" xr:uid="{674E21B0-8409-4F15-A799-779E33615C01}"/>
    <cellStyle name="SAPBEXHLevel0X 2 3" xfId="827" xr:uid="{57252F7F-DB51-4DB0-A335-B99DA7854BB2}"/>
    <cellStyle name="SAPBEXHLevel0X 2 3 2" xfId="1018" xr:uid="{93BE89F5-FD76-465B-8838-20EB285D8F67}"/>
    <cellStyle name="SAPBEXHLevel0X 2 3 3" xfId="1465" xr:uid="{2864FD16-EBE8-4D7C-9751-9F3DE0BAE3B0}"/>
    <cellStyle name="SAPBEXHLevel0X 2 4" xfId="1121" xr:uid="{D7DB0660-FA4D-4319-B62B-0312EB20ADA8}"/>
    <cellStyle name="SAPBEXHLevel0X 2 5" xfId="1214" xr:uid="{BEFFA9C9-DBE4-48D9-A1CD-89AB9BDC8903}"/>
    <cellStyle name="SAPBEXHLevel0X 2_Actuals by Storm IO" xfId="500" xr:uid="{34EBA657-287D-4471-A029-F7322B013109}"/>
    <cellStyle name="SAPBEXHLevel0X 3" xfId="501" xr:uid="{DE0448BA-CE66-4449-A56F-653DD793C184}"/>
    <cellStyle name="SAPBEXHLevel0X 3 2" xfId="994" xr:uid="{8E7E6709-66C0-4BC3-8EE7-EBA17260BE80}"/>
    <cellStyle name="SAPBEXHLevel0X 3 3" xfId="1041" xr:uid="{D13EA11A-37B7-4982-9617-BF0E826B69CB}"/>
    <cellStyle name="SAPBEXHLevel0X 4" xfId="502" xr:uid="{622FBC5C-766A-431A-BD07-3B863E4F2250}"/>
    <cellStyle name="SAPBEXHLevel0X 4 2" xfId="503" xr:uid="{1EEFABE7-601A-4615-ABB6-1316D08C5CB1}"/>
    <cellStyle name="SAPBEXHLevel0X 4 2 2" xfId="1029" xr:uid="{C95B63EC-BFCF-45EB-B014-E1EEE522326F}"/>
    <cellStyle name="SAPBEXHLevel0X 4 2 3" xfId="1209" xr:uid="{3E380C13-4152-4DD2-8942-3056D855D781}"/>
    <cellStyle name="SAPBEXHLevel0X 4 3" xfId="968" xr:uid="{0E9C78FF-F1CB-484E-81DE-1ADC4CBDDBF3}"/>
    <cellStyle name="SAPBEXHLevel0X 4 4" xfId="969" xr:uid="{868067E9-3EBB-4E1C-89C9-9987BB8AC182}"/>
    <cellStyle name="SAPBEXHLevel0X 5" xfId="504" xr:uid="{F6F1B4D3-DE04-4D22-96CB-FE6C71AF25DB}"/>
    <cellStyle name="SAPBEXHLevel0X 5 2" xfId="943" xr:uid="{2B8E179A-1161-439B-BC29-38E7A9B7AB6B}"/>
    <cellStyle name="SAPBEXHLevel0X 5 3" xfId="934" xr:uid="{C20E33E0-27EA-4C29-81DC-CB5E99121208}"/>
    <cellStyle name="SAPBEXHLevel0X 6" xfId="637" xr:uid="{FAF0CF94-CBF9-4D71-A02D-813E6D9CD94B}"/>
    <cellStyle name="SAPBEXHLevel0X 6 2" xfId="1012" xr:uid="{8C088A8A-59A0-4CA0-83AF-71C1FE0C7771}"/>
    <cellStyle name="SAPBEXHLevel0X 6 3" xfId="1376" xr:uid="{1354FDDA-32AE-4D87-A840-B4D05766A170}"/>
    <cellStyle name="SAPBEXHLevel0X 7" xfId="656" xr:uid="{960A7A42-B567-440D-845F-A60F6BDEC80E}"/>
    <cellStyle name="SAPBEXHLevel0X 7 2" xfId="1046" xr:uid="{081F1C95-C242-44CC-ACCE-77BE8151A1EA}"/>
    <cellStyle name="SAPBEXHLevel0X 7 3" xfId="1395" xr:uid="{5E8B88D2-1982-4D08-880A-03EBDD79AAAC}"/>
    <cellStyle name="SAPBEXHLevel0X 8" xfId="627" xr:uid="{3C9E8746-FF84-4F05-87B6-75CEB0A4E96A}"/>
    <cellStyle name="SAPBEXHLevel0X 8 2" xfId="972" xr:uid="{23740874-D1EE-4B9C-9E8D-BB3AF58FDAF5}"/>
    <cellStyle name="SAPBEXHLevel0X 8 3" xfId="1368" xr:uid="{6A2370B9-0109-4B28-9AAA-2ABC6B4C8DF0}"/>
    <cellStyle name="SAPBEXHLevel0X 9" xfId="657" xr:uid="{70A2149E-4D7D-4101-8CE1-C1DFFB6C29EB}"/>
    <cellStyle name="SAPBEXHLevel0X 9 2" xfId="1169" xr:uid="{E76FBA5E-8096-4A55-9D35-0C2DA5299DAA}"/>
    <cellStyle name="SAPBEXHLevel0X 9 3" xfId="1396" xr:uid="{75714B5F-52C8-432C-8789-9E70E085054F}"/>
    <cellStyle name="SAPBEXHLevel0X_Actuals by Storm IO" xfId="505" xr:uid="{5202496A-8427-4B41-8ECC-45C0A2601D67}"/>
    <cellStyle name="SAPBEXHLevel1" xfId="506" xr:uid="{DAC0063F-A2AF-498E-A721-FB03779B32E6}"/>
    <cellStyle name="SAPBEXHLevel1 10" xfId="1272" xr:uid="{9694C946-6AD5-4166-B99E-A355CEE5346E}"/>
    <cellStyle name="SAPBEXHLevel1 2" xfId="507" xr:uid="{963E9C06-D789-443B-BE14-F906D660934F}"/>
    <cellStyle name="SAPBEXHLevel1 2 2" xfId="829" xr:uid="{7D3833D7-34A7-4CB4-A310-74F578F004D4}"/>
    <cellStyle name="SAPBEXHLevel1 2 2 2" xfId="1180" xr:uid="{1E1C966F-79A3-46C4-920A-FF08D321FEAF}"/>
    <cellStyle name="SAPBEXHLevel1 2 2 3" xfId="1467" xr:uid="{65503368-5569-49C8-BA61-F3D47B7FAA39}"/>
    <cellStyle name="SAPBEXHLevel1 2 3" xfId="1240" xr:uid="{45688F4E-62C0-48E0-BF3F-B009EB1BE059}"/>
    <cellStyle name="SAPBEXHLevel1 2 4" xfId="1136" xr:uid="{81224CF1-1ACA-46E7-89FE-416664415DE4}"/>
    <cellStyle name="SAPBEXHLevel1 3" xfId="508" xr:uid="{8F0003FF-E896-4500-9410-27B4D33C237D}"/>
    <cellStyle name="SAPBEXHLevel1 3 2" xfId="960" xr:uid="{CA2B4A24-DC4D-45E9-A70F-8BBEE293D539}"/>
    <cellStyle name="SAPBEXHLevel1 3 3" xfId="1137" xr:uid="{7DBF39A9-CFF0-43A2-A5B2-CE7E59318951}"/>
    <cellStyle name="SAPBEXHLevel1 4" xfId="509" xr:uid="{ADE5A7F1-4521-44CF-A20D-962CE189DA5E}"/>
    <cellStyle name="SAPBEXHLevel1 4 2" xfId="510" xr:uid="{3632D910-2210-4A64-A74A-A7C52E1734B3}"/>
    <cellStyle name="SAPBEXHLevel1 4 2 2" xfId="1241" xr:uid="{67BE34F6-CBBD-4F29-B042-C244E84817F0}"/>
    <cellStyle name="SAPBEXHLevel1 4 2 3" xfId="1273" xr:uid="{B159EFA0-9F03-457D-884C-BA50151F6196}"/>
    <cellStyle name="SAPBEXHLevel1 4 3" xfId="954" xr:uid="{98F5A988-819D-4723-8236-ACF8CCAB282A}"/>
    <cellStyle name="SAPBEXHLevel1 4 4" xfId="1152" xr:uid="{B2F72B94-97D2-410B-B4AD-AE352F2C8769}"/>
    <cellStyle name="SAPBEXHLevel1 5" xfId="511" xr:uid="{D7137EF6-FAEB-4904-AD16-CEB39DA9DD12}"/>
    <cellStyle name="SAPBEXHLevel1 5 2" xfId="1118" xr:uid="{72721ABF-369E-44C4-9385-BDC5277AD5C0}"/>
    <cellStyle name="SAPBEXHLevel1 5 3" xfId="978" xr:uid="{1FE9D633-3184-4031-83F9-089F8B554140}"/>
    <cellStyle name="SAPBEXHLevel1 6" xfId="512" xr:uid="{A98E8B29-5A39-4EE8-AFA2-254FF9E0996E}"/>
    <cellStyle name="SAPBEXHLevel1 6 2" xfId="830" xr:uid="{6D46C991-E6E3-41C6-8C83-07943AFAC58C}"/>
    <cellStyle name="SAPBEXHLevel1 6 2 2" xfId="1164" xr:uid="{C360080A-F5BF-47A9-8A8F-25FC77B8CEAB}"/>
    <cellStyle name="SAPBEXHLevel1 6 2 3" xfId="1468" xr:uid="{8D0853EF-972B-4BD9-9175-668B544E5B58}"/>
    <cellStyle name="SAPBEXHLevel1 6 3" xfId="1117" xr:uid="{E9AB383D-4EA4-4052-97BB-A90C0A398EA2}"/>
    <cellStyle name="SAPBEXHLevel1 6 4" xfId="1210" xr:uid="{8E052FBE-3501-494E-99D8-94FDAF46C0B4}"/>
    <cellStyle name="SAPBEXHLevel1 7" xfId="638" xr:uid="{DF59A4A5-3BED-4020-AA39-650F2B54F980}"/>
    <cellStyle name="SAPBEXHLevel1 7 2" xfId="1150" xr:uid="{9B78146A-A57E-489E-BC24-0C1B1D1981D0}"/>
    <cellStyle name="SAPBEXHLevel1 7 3" xfId="1377" xr:uid="{2CDDFCF6-3E3D-4408-9A1E-C8E7AD886428}"/>
    <cellStyle name="SAPBEXHLevel1 8" xfId="831" xr:uid="{CEA25368-7498-47ED-8973-364CC6B2FBFB}"/>
    <cellStyle name="SAPBEXHLevel1 8 2" xfId="1101" xr:uid="{708C08EF-24C2-42B4-9873-990F9FD5D822}"/>
    <cellStyle name="SAPBEXHLevel1 8 3" xfId="1469" xr:uid="{EEF23BAC-20C8-49B9-9D79-C161C56CBA96}"/>
    <cellStyle name="SAPBEXHLevel1 9" xfId="1119" xr:uid="{3ABB5C75-698E-4D3A-820B-12E1E48FD8A5}"/>
    <cellStyle name="SAPBEXHLevel1_Actuals by Storm IO" xfId="513" xr:uid="{9D7AB4CB-0CCB-4A7F-9882-FBAB5953EDAD}"/>
    <cellStyle name="SAPBEXHLevel1X" xfId="514" xr:uid="{C966BE5E-A539-46AA-AD36-36C7278B7A70}"/>
    <cellStyle name="SAPBEXHLevel1X 10" xfId="631" xr:uid="{CDD77DC2-5FC6-453D-9FFA-5884CB50749C}"/>
    <cellStyle name="SAPBEXHLevel1X 10 2" xfId="1199" xr:uid="{DB5A4DC4-6709-4D9E-AAB4-B31C35CF8E35}"/>
    <cellStyle name="SAPBEXHLevel1X 10 3" xfId="1372" xr:uid="{811678E8-98EA-4894-B3E6-63E7D37D4CA9}"/>
    <cellStyle name="SAPBEXHLevel1X 11" xfId="832" xr:uid="{AF66DCF6-EF05-41C5-AC7B-8D3640754BDA}"/>
    <cellStyle name="SAPBEXHLevel1X 11 2" xfId="1082" xr:uid="{1A1F5F3A-739F-4124-A2F4-B75807478688}"/>
    <cellStyle name="SAPBEXHLevel1X 11 3" xfId="1470" xr:uid="{C8954E8B-C9AC-4211-ADC3-54A303836E48}"/>
    <cellStyle name="SAPBEXHLevel1X 12" xfId="1239" xr:uid="{16BCC8D9-30B7-49A5-ACE8-F9100451C43F}"/>
    <cellStyle name="SAPBEXHLevel1X 13" xfId="935" xr:uid="{F034896B-437F-458C-969B-471578F89D2B}"/>
    <cellStyle name="SAPBEXHLevel1X 2" xfId="515" xr:uid="{1A7CEDFE-55DD-417A-BBDA-B8207AE19864}"/>
    <cellStyle name="SAPBEXHLevel1X 2 2" xfId="516" xr:uid="{D10178E2-4EFC-4B07-A40E-4250F0B39355}"/>
    <cellStyle name="SAPBEXHLevel1X 2 2 2" xfId="834" xr:uid="{95E642BE-D269-4943-A00C-B3BC45872624}"/>
    <cellStyle name="SAPBEXHLevel1X 2 2 2 2" xfId="1282" xr:uid="{A4E0AC27-7B89-48F0-A1F0-336E33473D69}"/>
    <cellStyle name="SAPBEXHLevel1X 2 2 2 3" xfId="1472" xr:uid="{F99AB327-8091-485B-9ABE-71F6B5AD0C30}"/>
    <cellStyle name="SAPBEXHLevel1X 2 2 3" xfId="938" xr:uid="{2F371633-624E-40AE-BC66-10C26CB6EC26}"/>
    <cellStyle name="SAPBEXHLevel1X 2 2 4" xfId="1274" xr:uid="{13167A5B-DE83-414B-B816-155CB555A648}"/>
    <cellStyle name="SAPBEXHLevel1X 2 3" xfId="833" xr:uid="{B84A7683-6D37-4BBE-BDF1-7F36C4675EE0}"/>
    <cellStyle name="SAPBEXHLevel1X 2 3 2" xfId="974" xr:uid="{375F60A0-1A51-43A9-8513-98E52932ACBD}"/>
    <cellStyle name="SAPBEXHLevel1X 2 3 3" xfId="1471" xr:uid="{30539DD2-46FA-4D15-B567-80D3AFD8B8AD}"/>
    <cellStyle name="SAPBEXHLevel1X 2 4" xfId="1163" xr:uid="{BDF0BCEF-718F-46FC-A3FE-991062549B6F}"/>
    <cellStyle name="SAPBEXHLevel1X 2 5" xfId="1192" xr:uid="{1245376C-B78D-44E7-8708-CE879E443949}"/>
    <cellStyle name="SAPBEXHLevel1X 2_Actuals by Storm IO" xfId="517" xr:uid="{7474A1E4-FD12-41F8-ACC6-94B1E3254067}"/>
    <cellStyle name="SAPBEXHLevel1X 3" xfId="518" xr:uid="{84346C50-0E24-4DAA-9481-286865E3147C}"/>
    <cellStyle name="SAPBEXHLevel1X 3 2" xfId="1116" xr:uid="{4E0ACD04-CD2F-4BE2-8FCA-A4B741F6D8EE}"/>
    <cellStyle name="SAPBEXHLevel1X 3 3" xfId="1275" xr:uid="{CB7898B9-49AD-4C01-B85A-9BBA659D5670}"/>
    <cellStyle name="SAPBEXHLevel1X 4" xfId="519" xr:uid="{B5A31F89-667C-42B6-9F74-D4EF4FB08708}"/>
    <cellStyle name="SAPBEXHLevel1X 4 2" xfId="520" xr:uid="{E273A9ED-C769-4E03-A738-8EC34B162D4E}"/>
    <cellStyle name="SAPBEXHLevel1X 4 2 2" xfId="1201" xr:uid="{AEBEC603-EDE1-4B93-BE1E-3A33464BF685}"/>
    <cellStyle name="SAPBEXHLevel1X 4 2 3" xfId="1042" xr:uid="{73037997-428E-4BBD-A1FE-BC90E7CD8114}"/>
    <cellStyle name="SAPBEXHLevel1X 4 3" xfId="1115" xr:uid="{370EF7F0-5C74-412C-A63A-072E5C8E2C8E}"/>
    <cellStyle name="SAPBEXHLevel1X 4 4" xfId="1177" xr:uid="{ECF94F4F-2F03-4C9E-A693-1DBC953B973C}"/>
    <cellStyle name="SAPBEXHLevel1X 5" xfId="521" xr:uid="{7678632C-80C2-4B45-9263-E137143B3918}"/>
    <cellStyle name="SAPBEXHLevel1X 5 2" xfId="952" xr:uid="{750F701C-50E6-4226-9069-D44B28C63958}"/>
    <cellStyle name="SAPBEXHLevel1X 5 3" xfId="1193" xr:uid="{87401529-6415-4BB5-ADA2-4CC63907BFE5}"/>
    <cellStyle name="SAPBEXHLevel1X 6" xfId="639" xr:uid="{89345884-9E0D-4FE5-ABCE-CCB2F65A73EE}"/>
    <cellStyle name="SAPBEXHLevel1X 6 2" xfId="1099" xr:uid="{151FDF97-CEAE-46A3-9967-D847E248AA2D}"/>
    <cellStyle name="SAPBEXHLevel1X 6 3" xfId="1378" xr:uid="{39092800-4291-4940-ADFF-A5796214A64A}"/>
    <cellStyle name="SAPBEXHLevel1X 7" xfId="658" xr:uid="{4F080401-1585-418E-9D7C-9BB9AFDB8904}"/>
    <cellStyle name="SAPBEXHLevel1X 7 2" xfId="1008" xr:uid="{BD19B13C-F1BA-4571-AA75-663907852132}"/>
    <cellStyle name="SAPBEXHLevel1X 7 3" xfId="1397" xr:uid="{18231A2D-3DC5-4E99-99EC-EE11CEA31137}"/>
    <cellStyle name="SAPBEXHLevel1X 8" xfId="629" xr:uid="{B49E3112-1D0D-4DA3-90A6-FD67B36F1B0B}"/>
    <cellStyle name="SAPBEXHLevel1X 8 2" xfId="1178" xr:uid="{E6464463-3C8A-41C5-BF58-3350B82C012F}"/>
    <cellStyle name="SAPBEXHLevel1X 8 3" xfId="1370" xr:uid="{1C329323-EEC1-4C7C-9B8B-604E33B9714B}"/>
    <cellStyle name="SAPBEXHLevel1X 9" xfId="660" xr:uid="{481E940D-33A0-41A8-A471-95B0F84359B1}"/>
    <cellStyle name="SAPBEXHLevel1X 9 2" xfId="1195" xr:uid="{5F57B5CE-D274-4328-B35E-8630106543AF}"/>
    <cellStyle name="SAPBEXHLevel1X 9 3" xfId="1399" xr:uid="{33A86291-03FF-4869-B524-00DF1561EC97}"/>
    <cellStyle name="SAPBEXHLevel1X_Actuals by Storm IO" xfId="522" xr:uid="{C217FE4D-1DA2-449D-A2FB-F9299BB1F73C}"/>
    <cellStyle name="SAPBEXHLevel2" xfId="523" xr:uid="{31B3568D-FF73-4A48-9DA5-89C63B2E49A0}"/>
    <cellStyle name="SAPBEXHLevel2 10" xfId="902" xr:uid="{6F9559C1-835D-46CB-A441-506193F25A7E}"/>
    <cellStyle name="SAPBEXHLevel2 2" xfId="524" xr:uid="{6B4267C1-5BCB-4477-B813-F84EE94AFD4E}"/>
    <cellStyle name="SAPBEXHLevel2 2 2" xfId="835" xr:uid="{945DE1D9-DF7F-4511-9AD8-051C97B2829D}"/>
    <cellStyle name="SAPBEXHLevel2 2 2 2" xfId="1283" xr:uid="{C49733AA-4AEA-475E-B56D-8CB0203491DC}"/>
    <cellStyle name="SAPBEXHLevel2 2 2 3" xfId="1473" xr:uid="{16A2A420-13C8-4BC7-8846-BE383CBD7043}"/>
    <cellStyle name="SAPBEXHLevel2 2 3" xfId="956" xr:uid="{448E583B-D9AA-427D-9109-C44962771B7D}"/>
    <cellStyle name="SAPBEXHLevel2 2 4" xfId="1043" xr:uid="{D09AE8C5-2B59-479F-B389-BAED90CDA171}"/>
    <cellStyle name="SAPBEXHLevel2 3" xfId="525" xr:uid="{3886406B-2DE0-4659-80E6-C63143EF1F49}"/>
    <cellStyle name="SAPBEXHLevel2 3 2" xfId="1095" xr:uid="{D7917F86-7184-4876-B20E-BB315F204389}"/>
    <cellStyle name="SAPBEXHLevel2 3 3" xfId="872" xr:uid="{031876E0-079A-4F8E-8DD3-45127230245D}"/>
    <cellStyle name="SAPBEXHLevel2 4" xfId="526" xr:uid="{06CB7A5D-4D76-450A-A911-06C463B9BAC0}"/>
    <cellStyle name="SAPBEXHLevel2 4 2" xfId="527" xr:uid="{4793E09E-F03B-4DE2-A2AC-6C68055B7C83}"/>
    <cellStyle name="SAPBEXHLevel2 4 2 2" xfId="1202" xr:uid="{B98BA8CA-5FBA-4338-9DE2-526F6BEF3FAF}"/>
    <cellStyle name="SAPBEXHLevel2 4 2 3" xfId="885" xr:uid="{361EB59C-F5A6-420A-B649-C624C1309BE4}"/>
    <cellStyle name="SAPBEXHLevel2 4 3" xfId="1238" xr:uid="{D19091C9-6E1C-406B-93B2-DFEEC9AAEEBE}"/>
    <cellStyle name="SAPBEXHLevel2 4 4" xfId="1145" xr:uid="{9AFB084F-F5F1-4066-A204-3BF214FB07F1}"/>
    <cellStyle name="SAPBEXHLevel2 5" xfId="528" xr:uid="{06F937F9-D0B2-491D-B3D4-5BCA2422D9A5}"/>
    <cellStyle name="SAPBEXHLevel2 5 2" xfId="870" xr:uid="{CA390805-A341-42F9-94C1-54E5050E2EC9}"/>
    <cellStyle name="SAPBEXHLevel2 5 3" xfId="1276" xr:uid="{4B16CB8D-88C6-4489-82FC-FE26A2BCEBD0}"/>
    <cellStyle name="SAPBEXHLevel2 6" xfId="529" xr:uid="{3CC06D85-A807-478D-9078-3EBA904D832E}"/>
    <cellStyle name="SAPBEXHLevel2 6 2" xfId="837" xr:uid="{5637F8CD-C8EE-476A-B584-12A0EB565F2A}"/>
    <cellStyle name="SAPBEXHLevel2 6 2 2" xfId="1284" xr:uid="{ACBF87B7-247D-4401-BD76-6740897208C5}"/>
    <cellStyle name="SAPBEXHLevel2 6 2 3" xfId="1474" xr:uid="{9DC34AB2-8213-428D-8AC4-A6F5840AE142}"/>
    <cellStyle name="SAPBEXHLevel2 6 3" xfId="951" xr:uid="{E1DADD15-2850-4B1B-B03E-C7F5696D99BC}"/>
    <cellStyle name="SAPBEXHLevel2 6 4" xfId="1168" xr:uid="{F6FDD1D5-76F0-4653-BE16-72F4D392A860}"/>
    <cellStyle name="SAPBEXHLevel2 7" xfId="640" xr:uid="{21285D73-68F9-4246-A247-2264E2F9CBB0}"/>
    <cellStyle name="SAPBEXHLevel2 7 2" xfId="965" xr:uid="{853D8A2C-7BA7-4FA1-8ED3-150C34D1D215}"/>
    <cellStyle name="SAPBEXHLevel2 7 3" xfId="1379" xr:uid="{B5E277F6-EA75-4DCE-BFE9-5D7C52974485}"/>
    <cellStyle name="SAPBEXHLevel2 8" xfId="838" xr:uid="{57261E96-42C7-4BD8-8D6C-73A7A974C24A}"/>
    <cellStyle name="SAPBEXHLevel2 8 2" xfId="1285" xr:uid="{5C148A4B-D653-466D-8659-E7BB47928604}"/>
    <cellStyle name="SAPBEXHLevel2 8 3" xfId="1475" xr:uid="{6D325724-E5B5-4139-925D-45DC5732B595}"/>
    <cellStyle name="SAPBEXHLevel2 9" xfId="1158" xr:uid="{A6F27911-AEB1-4B5F-97A8-856B26C4EFD1}"/>
    <cellStyle name="SAPBEXHLevel2_Actuals by Storm IO" xfId="530" xr:uid="{1118965F-FD81-47EE-811C-1EF5B90740F4}"/>
    <cellStyle name="SAPBEXHLevel2X" xfId="531" xr:uid="{3D413651-DA63-46C5-9303-13E510961E75}"/>
    <cellStyle name="SAPBEXHLevel2X 10" xfId="649" xr:uid="{BC14C0CF-B7E9-4FC9-B774-55371ADE1245}"/>
    <cellStyle name="SAPBEXHLevel2X 10 2" xfId="1023" xr:uid="{1448CE4D-5ABC-4777-AAF6-547379ADB89D}"/>
    <cellStyle name="SAPBEXHLevel2X 10 3" xfId="1388" xr:uid="{9932E41D-2864-43E4-B347-A3670B0200B3}"/>
    <cellStyle name="SAPBEXHLevel2X 11" xfId="839" xr:uid="{9722D633-693F-4FA1-867D-683142C4B2D0}"/>
    <cellStyle name="SAPBEXHLevel2X 11 2" xfId="1286" xr:uid="{3FA89EE0-FC5E-4922-8CD1-6D2527CFC594}"/>
    <cellStyle name="SAPBEXHLevel2X 11 3" xfId="1476" xr:uid="{AD274E0F-D443-49EE-96C6-25A0E61AA67C}"/>
    <cellStyle name="SAPBEXHLevel2X 12" xfId="1114" xr:uid="{40C8D9E7-6E43-43D9-A6CF-5291BBCCDF8B}"/>
    <cellStyle name="SAPBEXHLevel2X 13" xfId="964" xr:uid="{8462C012-419B-457C-B14B-C427DB4FB32B}"/>
    <cellStyle name="SAPBEXHLevel2X 2" xfId="532" xr:uid="{80A99949-2636-45D6-8476-556C87685778}"/>
    <cellStyle name="SAPBEXHLevel2X 2 2" xfId="533" xr:uid="{FE43D33E-47F2-40A9-9930-8F33FB671E57}"/>
    <cellStyle name="SAPBEXHLevel2X 2 2 2" xfId="841" xr:uid="{1B7F1F8E-A9E1-4B76-A8C2-7571A100DC3F}"/>
    <cellStyle name="SAPBEXHLevel2X 2 2 2 2" xfId="1288" xr:uid="{C609A648-7924-483D-B227-36BA6947456E}"/>
    <cellStyle name="SAPBEXHLevel2X 2 2 2 3" xfId="1478" xr:uid="{A2D34BD4-8BC2-49DC-9BF0-BA4B85FFC6B7}"/>
    <cellStyle name="SAPBEXHLevel2X 2 2 3" xfId="992" xr:uid="{CCAFB438-AD33-4CA1-8F07-4DC359FAF9F9}"/>
    <cellStyle name="SAPBEXHLevel2X 2 2 4" xfId="903" xr:uid="{7D30FE40-1737-490D-903E-896DA634E8F1}"/>
    <cellStyle name="SAPBEXHLevel2X 2 3" xfId="840" xr:uid="{675C948B-323B-43E4-9777-7DB924AE2627}"/>
    <cellStyle name="SAPBEXHLevel2X 2 3 2" xfId="1287" xr:uid="{9201DF44-2856-4C1F-B707-E989AF51F9A5}"/>
    <cellStyle name="SAPBEXHLevel2X 2 3 3" xfId="1477" xr:uid="{0EA34A11-8509-491A-8771-7F685775EC18}"/>
    <cellStyle name="SAPBEXHLevel2X 2 4" xfId="993" xr:uid="{1D968F4C-AA67-438D-AE0C-4327045C82B9}"/>
    <cellStyle name="SAPBEXHLevel2X 2 5" xfId="1097" xr:uid="{4438D757-F564-4B1C-B54D-A9515745CEC1}"/>
    <cellStyle name="SAPBEXHLevel2X 2_Actuals by Storm IO" xfId="534" xr:uid="{9F399EC2-5638-4705-89B2-EB02909AD8B4}"/>
    <cellStyle name="SAPBEXHLevel2X 3" xfId="535" xr:uid="{705D564E-F44F-419C-9F31-780CC3F87FCF}"/>
    <cellStyle name="SAPBEXHLevel2X 3 2" xfId="1113" xr:uid="{1DF0B609-2A7F-4035-BBEE-B171590CEED1}"/>
    <cellStyle name="SAPBEXHLevel2X 3 3" xfId="1309" xr:uid="{4F8602A2-FE51-4282-9E12-A80A51B358C8}"/>
    <cellStyle name="SAPBEXHLevel2X 4" xfId="536" xr:uid="{33C7CA41-7A56-4FD0-9706-46878F1015A7}"/>
    <cellStyle name="SAPBEXHLevel2X 4 2" xfId="537" xr:uid="{04A35025-B123-4951-AEA4-2CB7C684394C}"/>
    <cellStyle name="SAPBEXHLevel2X 4 2 2" xfId="991" xr:uid="{9D3D9983-01F1-40A5-AE9B-84E8481A8AAC}"/>
    <cellStyle name="SAPBEXHLevel2X 4 2 3" xfId="1311" xr:uid="{B3B1533B-BC61-4ABE-8F90-F40B5D9A0234}"/>
    <cellStyle name="SAPBEXHLevel2X 4 3" xfId="1112" xr:uid="{98621865-06CD-433F-815C-F0C59511BFE8}"/>
    <cellStyle name="SAPBEXHLevel2X 4 4" xfId="1310" xr:uid="{54315BEB-D8C6-4266-8409-FFD5EF2CCF5C}"/>
    <cellStyle name="SAPBEXHLevel2X 5" xfId="538" xr:uid="{3DBEA002-6FB6-49B4-868C-F1FFA3E6F7B8}"/>
    <cellStyle name="SAPBEXHLevel2X 5 2" xfId="1087" xr:uid="{E330E818-5E77-4C12-82B2-2DE5E306D4E9}"/>
    <cellStyle name="SAPBEXHLevel2X 5 3" xfId="1312" xr:uid="{309CA4A0-0E67-4E54-BC00-17FD1B9C6A6C}"/>
    <cellStyle name="SAPBEXHLevel2X 6" xfId="641" xr:uid="{AB50BAF6-C4C5-4248-9464-F4540F2871CB}"/>
    <cellStyle name="SAPBEXHLevel2X 6 2" xfId="906" xr:uid="{1D2FD461-8A71-45CA-9129-EC18716AAA4F}"/>
    <cellStyle name="SAPBEXHLevel2X 6 3" xfId="1380" xr:uid="{90707043-2F1E-4ECA-94DD-1916E5CE00AB}"/>
    <cellStyle name="SAPBEXHLevel2X 7" xfId="659" xr:uid="{867108DE-99A6-4B64-ACFA-C76B2BDBC16B}"/>
    <cellStyle name="SAPBEXHLevel2X 7 2" xfId="1196" xr:uid="{E386E552-E959-4F4A-9517-E8FECEB466AB}"/>
    <cellStyle name="SAPBEXHLevel2X 7 3" xfId="1398" xr:uid="{C031AB42-7F05-4CA7-B064-5C9BD41C8C74}"/>
    <cellStyle name="SAPBEXHLevel2X 8" xfId="630" xr:uid="{1D9C4812-EDE9-48C0-BFCD-8D529D19BDEF}"/>
    <cellStyle name="SAPBEXHLevel2X 8 2" xfId="973" xr:uid="{C4C8B5A5-E24E-4EB1-A3D9-767A615E04BC}"/>
    <cellStyle name="SAPBEXHLevel2X 8 3" xfId="1371" xr:uid="{56D2F8F2-53FA-4B78-9887-1DD65494CFB2}"/>
    <cellStyle name="SAPBEXHLevel2X 9" xfId="663" xr:uid="{F26BD9A2-E527-4045-BB36-2E8B66B09D7E}"/>
    <cellStyle name="SAPBEXHLevel2X 9 2" xfId="1142" xr:uid="{D1ED23FD-450A-483F-AE14-58443E0F28CC}"/>
    <cellStyle name="SAPBEXHLevel2X 9 3" xfId="1402" xr:uid="{784D171D-E172-4E92-90C2-6C3BC930C0CB}"/>
    <cellStyle name="SAPBEXHLevel2X_Actuals by Storm IO" xfId="539" xr:uid="{8FD72C62-9D2F-49B2-BBC2-0FCBD62D0B74}"/>
    <cellStyle name="SAPBEXHLevel3" xfId="540" xr:uid="{EBA50DE5-B303-44F7-96FD-D323A9E53F08}"/>
    <cellStyle name="SAPBEXHLevel3 10" xfId="1313" xr:uid="{37517463-67B7-4FBB-B0F5-20494B048828}"/>
    <cellStyle name="SAPBEXHLevel3 2" xfId="541" xr:uid="{4AE2714F-D00B-451D-8F95-AC4A8285D923}"/>
    <cellStyle name="SAPBEXHLevel3 2 2" xfId="842" xr:uid="{FE43F38B-9AEB-4406-B32B-F3B190F64B16}"/>
    <cellStyle name="SAPBEXHLevel3 2 2 2" xfId="1289" xr:uid="{5F1CF3FB-FDD5-4806-AB35-6D61D404B001}"/>
    <cellStyle name="SAPBEXHLevel3 2 2 3" xfId="1479" xr:uid="{CBF64781-4899-4DD8-96A1-E60EB15223B1}"/>
    <cellStyle name="SAPBEXHLevel3 2 3" xfId="990" xr:uid="{3654A5EF-7D5D-4FC3-B5EA-25CA2DB46F1A}"/>
    <cellStyle name="SAPBEXHLevel3 2 4" xfId="1314" xr:uid="{8205C83C-915A-4B77-870D-3B7702A67E59}"/>
    <cellStyle name="SAPBEXHLevel3 3" xfId="542" xr:uid="{01345C83-8CDE-4D32-AE66-B5897EAE23C0}"/>
    <cellStyle name="SAPBEXHLevel3 3 2" xfId="1094" xr:uid="{3784D784-917D-4E30-8A5B-DF7359B022F1}"/>
    <cellStyle name="SAPBEXHLevel3 3 3" xfId="1315" xr:uid="{74E352C4-DDD3-4581-A167-C26F4A824A30}"/>
    <cellStyle name="SAPBEXHLevel3 4" xfId="543" xr:uid="{DD2DFFF1-28C8-4FAE-8C9E-970AC28AA2AC}"/>
    <cellStyle name="SAPBEXHLevel3 4 2" xfId="544" xr:uid="{DD831E2C-7E99-4555-A6B3-7C2E3C9BDDF9}"/>
    <cellStyle name="SAPBEXHLevel3 4 2 2" xfId="1155" xr:uid="{DCF1F5E5-6C91-41AD-8B9D-E955C0D64343}"/>
    <cellStyle name="SAPBEXHLevel3 4 2 3" xfId="1317" xr:uid="{D43B19B4-B3A9-4770-9752-EE0E317CAF88}"/>
    <cellStyle name="SAPBEXHLevel3 4 3" xfId="1111" xr:uid="{FF273FDA-BEF8-454E-9DC4-77E393F53856}"/>
    <cellStyle name="SAPBEXHLevel3 4 4" xfId="1316" xr:uid="{19D4A553-AA87-4CDF-BFF3-2D91B37F2625}"/>
    <cellStyle name="SAPBEXHLevel3 5" xfId="545" xr:uid="{DE762560-B64C-4C65-AA81-B7BC206162DD}"/>
    <cellStyle name="SAPBEXHLevel3 5 2" xfId="1110" xr:uid="{078321F6-CBF7-463D-9280-7F0D6D6CA37B}"/>
    <cellStyle name="SAPBEXHLevel3 5 3" xfId="1318" xr:uid="{ADF2FCC3-5838-42AE-8210-0F236AAC5417}"/>
    <cellStyle name="SAPBEXHLevel3 6" xfId="546" xr:uid="{98BD3F24-EB4C-45B9-BBDB-7F300AA9FB3C}"/>
    <cellStyle name="SAPBEXHLevel3 6 2" xfId="843" xr:uid="{3E99FE65-2CC5-48AA-8A97-6DB9B4C482A3}"/>
    <cellStyle name="SAPBEXHLevel3 6 2 2" xfId="1290" xr:uid="{9B4EAED1-D3E7-44A9-A67D-DFD8B95CBBE9}"/>
    <cellStyle name="SAPBEXHLevel3 6 2 3" xfId="1480" xr:uid="{AD678683-C2A3-4C3C-A1C3-870135687D46}"/>
    <cellStyle name="SAPBEXHLevel3 6 3" xfId="1109" xr:uid="{B78A093A-354D-4ED2-8E77-DC7D864DD2E9}"/>
    <cellStyle name="SAPBEXHLevel3 6 4" xfId="1319" xr:uid="{13B20CBC-F0BE-4F22-A067-D1051AA732C2}"/>
    <cellStyle name="SAPBEXHLevel3 7" xfId="642" xr:uid="{5F6B664E-70E1-4D50-A2B7-DE540C2B397D}"/>
    <cellStyle name="SAPBEXHLevel3 7 2" xfId="1261" xr:uid="{D7F25139-C30A-420A-A721-83860A70E34D}"/>
    <cellStyle name="SAPBEXHLevel3 7 3" xfId="1381" xr:uid="{403FA8BA-ACA2-4890-A410-86D75943AFAF}"/>
    <cellStyle name="SAPBEXHLevel3 8" xfId="844" xr:uid="{C54677C3-019E-440C-8524-18D01C012811}"/>
    <cellStyle name="SAPBEXHLevel3 8 2" xfId="1291" xr:uid="{5E3ED725-9961-4C99-B0EB-95C4073A62BB}"/>
    <cellStyle name="SAPBEXHLevel3 8 3" xfId="1481" xr:uid="{0CFCA030-9305-405B-A617-0D1DAB4C09DC}"/>
    <cellStyle name="SAPBEXHLevel3 9" xfId="1237" xr:uid="{860AC2AB-3C15-4837-9881-2BA2C75AE79E}"/>
    <cellStyle name="SAPBEXHLevel3_Actuals by Storm IO" xfId="547" xr:uid="{F78D88E1-5576-4460-809A-01712E6BFBC5}"/>
    <cellStyle name="SAPBEXHLevel3X" xfId="548" xr:uid="{E12565EF-6D1B-4870-89C8-F3FDC9E67C13}"/>
    <cellStyle name="SAPBEXHLevel3X 10" xfId="652" xr:uid="{B34242F4-BF10-4CDC-82AA-A9384CA3B737}"/>
    <cellStyle name="SAPBEXHLevel3X 10 2" xfId="905" xr:uid="{4E36A710-8A0E-4622-A01E-F8510268F1B0}"/>
    <cellStyle name="SAPBEXHLevel3X 10 3" xfId="1391" xr:uid="{713D5573-ED7B-4D30-9C73-CD74B903FF43}"/>
    <cellStyle name="SAPBEXHLevel3X 11" xfId="845" xr:uid="{A403BFAA-D9D0-4814-AEC9-878619F8B5C1}"/>
    <cellStyle name="SAPBEXHLevel3X 11 2" xfId="1292" xr:uid="{3BBCFA5C-422B-4EF3-AF89-A4E9278CB2B5}"/>
    <cellStyle name="SAPBEXHLevel3X 11 3" xfId="1482" xr:uid="{46857616-31DB-4289-8DE8-8F6914DFCDE2}"/>
    <cellStyle name="SAPBEXHLevel3X 12" xfId="912" xr:uid="{FCB186A0-AA6D-4D50-97AE-CE44625E9CCB}"/>
    <cellStyle name="SAPBEXHLevel3X 13" xfId="1320" xr:uid="{6F4202C9-B263-4E13-9482-E293B35633A8}"/>
    <cellStyle name="SAPBEXHLevel3X 2" xfId="549" xr:uid="{151952A7-734A-4E09-9DE9-5A5430340D88}"/>
    <cellStyle name="SAPBEXHLevel3X 2 2" xfId="550" xr:uid="{53383BFB-1D45-46D0-B260-184F6F36D5C3}"/>
    <cellStyle name="SAPBEXHLevel3X 2 2 2" xfId="847" xr:uid="{1D1C22C1-15A7-404C-B477-335469DB74D4}"/>
    <cellStyle name="SAPBEXHLevel3X 2 2 2 2" xfId="1294" xr:uid="{7595419A-2128-4384-A6FF-75D37462B18E}"/>
    <cellStyle name="SAPBEXHLevel3X 2 2 2 3" xfId="1484" xr:uid="{B30E2C35-C1C8-44E7-8653-6C7775C72C3C}"/>
    <cellStyle name="SAPBEXHLevel3X 2 2 3" xfId="959" xr:uid="{5364884F-73D1-44D9-94DA-264F0219C8E3}"/>
    <cellStyle name="SAPBEXHLevel3X 2 2 4" xfId="1322" xr:uid="{5AF0D8F4-A331-42BA-A2D2-DF254598ED01}"/>
    <cellStyle name="SAPBEXHLevel3X 2 3" xfId="846" xr:uid="{DA57E88F-3243-4EF9-822B-A1299CBFF7AC}"/>
    <cellStyle name="SAPBEXHLevel3X 2 3 2" xfId="1293" xr:uid="{FD4AA5CC-A498-46AD-9A54-C66489F29C32}"/>
    <cellStyle name="SAPBEXHLevel3X 2 3 3" xfId="1483" xr:uid="{6A4FDBDE-7539-4ED9-B1A4-886737070E27}"/>
    <cellStyle name="SAPBEXHLevel3X 2 4" xfId="911" xr:uid="{756F70B0-B3B2-4895-B862-B695216B7FDA}"/>
    <cellStyle name="SAPBEXHLevel3X 2 5" xfId="1321" xr:uid="{E4C0ACEA-3DD5-4002-9AFD-56E6622C5E84}"/>
    <cellStyle name="SAPBEXHLevel3X 2_Actuals by Storm IO" xfId="551" xr:uid="{64198C7B-42F8-4A48-978C-FF6FD1D56E1E}"/>
    <cellStyle name="SAPBEXHLevel3X 3" xfId="552" xr:uid="{67F7284A-E2B5-480B-AB55-D090FA6479D8}"/>
    <cellStyle name="SAPBEXHLevel3X 3 2" xfId="942" xr:uid="{83DEDA7F-7BBA-45E8-8074-B2585DDFF104}"/>
    <cellStyle name="SAPBEXHLevel3X 3 3" xfId="1323" xr:uid="{3EDD6309-2FCD-4CA7-B583-EFA2C73CF66E}"/>
    <cellStyle name="SAPBEXHLevel3X 4" xfId="553" xr:uid="{3E3FD244-2DD1-4D66-85BF-C256888E8E9B}"/>
    <cellStyle name="SAPBEXHLevel3X 4 2" xfId="554" xr:uid="{66F60DC1-2A21-4060-9967-0DDF86A685B4}"/>
    <cellStyle name="SAPBEXHLevel3X 4 2 2" xfId="1028" xr:uid="{6B0D311F-C710-476C-ACCC-3D8F630A808B}"/>
    <cellStyle name="SAPBEXHLevel3X 4 2 3" xfId="1325" xr:uid="{8A363799-AFC5-475A-9BD7-92E12C2E86A1}"/>
    <cellStyle name="SAPBEXHLevel3X 4 3" xfId="1166" xr:uid="{8E3B601A-8BC8-4258-A60F-8663C7BD9B28}"/>
    <cellStyle name="SAPBEXHLevel3X 4 4" xfId="1324" xr:uid="{F2504D24-7CAC-4BF0-81FF-5B08E6C59908}"/>
    <cellStyle name="SAPBEXHLevel3X 5" xfId="555" xr:uid="{61B6D00C-CAE9-44E7-ACAA-473627872DBE}"/>
    <cellStyle name="SAPBEXHLevel3X 5 2" xfId="989" xr:uid="{358CD872-DE59-4B45-8FB6-19222CD32A53}"/>
    <cellStyle name="SAPBEXHLevel3X 5 3" xfId="1326" xr:uid="{2622D8F8-6CAE-4DA9-BBC6-C862D45757E0}"/>
    <cellStyle name="SAPBEXHLevel3X 6" xfId="643" xr:uid="{496C47EA-0DCB-4612-92E9-A56779B0C7EF}"/>
    <cellStyle name="SAPBEXHLevel3X 6 2" xfId="873" xr:uid="{24AF0CA9-B86E-4F98-8067-FECE9FEABC64}"/>
    <cellStyle name="SAPBEXHLevel3X 6 3" xfId="1382" xr:uid="{0BC102F8-3591-4423-B400-5037E164260D}"/>
    <cellStyle name="SAPBEXHLevel3X 7" xfId="661" xr:uid="{8C46FE0C-E9A6-4F08-9BD3-9892A18C3209}"/>
    <cellStyle name="SAPBEXHLevel3X 7 2" xfId="1194" xr:uid="{5AFF463D-0AC4-4331-BE80-C266AE22703D}"/>
    <cellStyle name="SAPBEXHLevel3X 7 3" xfId="1400" xr:uid="{7E3A3599-05B0-4CED-A25D-FF7EBBC4402F}"/>
    <cellStyle name="SAPBEXHLevel3X 8" xfId="633" xr:uid="{1FB04E07-C2B1-46CE-BB11-78797A5ED257}"/>
    <cellStyle name="SAPBEXHLevel3X 8 2" xfId="1198" xr:uid="{DF442DDF-A428-4645-8FD7-8C71EAF15E25}"/>
    <cellStyle name="SAPBEXHLevel3X 8 3" xfId="1373" xr:uid="{8EA3EB32-746C-4ACC-88D0-3272E4B59811}"/>
    <cellStyle name="SAPBEXHLevel3X 9" xfId="664" xr:uid="{5B672F52-432F-408F-8EE0-36019008191D}"/>
    <cellStyle name="SAPBEXHLevel3X 9 2" xfId="904" xr:uid="{7299B91E-8C0A-4DD4-8A8A-D948A070C088}"/>
    <cellStyle name="SAPBEXHLevel3X 9 3" xfId="1403" xr:uid="{5ECD2246-8EEF-42C5-A5A2-CFDAF5D200ED}"/>
    <cellStyle name="SAPBEXHLevel3X_Actuals by Storm IO" xfId="556" xr:uid="{5CD8075D-2F64-4622-9A37-8FB95675384A}"/>
    <cellStyle name="SAPBEXinputData" xfId="557" xr:uid="{B46C345A-27DE-4C7C-B69A-29D3545BE19B}"/>
    <cellStyle name="SAPBEXinputData 10" xfId="650" xr:uid="{6BBCBAA5-8FFB-4B40-AEA1-95A22B4DDD16}"/>
    <cellStyle name="SAPBEXinputData 10 2" xfId="1153" xr:uid="{58FC1A32-2BB6-44A7-8CA6-FAE888D0E2CA}"/>
    <cellStyle name="SAPBEXinputData 10 3" xfId="1389" xr:uid="{6DB6CEC2-4663-4E40-A76E-367B432D3704}"/>
    <cellStyle name="SAPBEXinputData 11" xfId="848" xr:uid="{648890E8-D19F-48FC-B081-6B5488ED9E44}"/>
    <cellStyle name="SAPBEXinputData 2" xfId="558" xr:uid="{D8D50C6F-7CA9-45BE-B11B-116F73447396}"/>
    <cellStyle name="SAPBEXinputData 2 2" xfId="559" xr:uid="{602DACF9-B98F-4384-B14D-2A5D93C553D0}"/>
    <cellStyle name="SAPBEXinputData 2 2 2" xfId="850" xr:uid="{508B6D59-3BC9-440C-BE3F-C9544EEC032B}"/>
    <cellStyle name="SAPBEXinputData 2 3" xfId="560" xr:uid="{4CD5699B-6DDB-49E9-8894-132633752966}"/>
    <cellStyle name="SAPBEXinputData 2 4" xfId="849" xr:uid="{F435EA4B-1878-4CBF-8965-892C70C71EAE}"/>
    <cellStyle name="SAPBEXinputData 2_Actuals by Storm IO" xfId="561" xr:uid="{23291AEE-7202-49C4-99E1-D6E9A62A74B5}"/>
    <cellStyle name="SAPBEXinputData 3" xfId="562" xr:uid="{453233D3-40BA-43E6-B883-DE9903FDDB91}"/>
    <cellStyle name="SAPBEXinputData 4" xfId="644" xr:uid="{8713876B-3C16-4A74-B634-F54800DEA205}"/>
    <cellStyle name="SAPBEXinputData 4 2" xfId="1051" xr:uid="{96818EC5-7DAD-4D32-B387-986EF8B84C72}"/>
    <cellStyle name="SAPBEXinputData 4 3" xfId="1383" xr:uid="{1D5EA5D2-A85F-435D-8334-C8DF59893BFD}"/>
    <cellStyle name="SAPBEXinputData 5" xfId="662" xr:uid="{6861A16D-F98C-4162-9F90-FA9D22E82F5A}"/>
    <cellStyle name="SAPBEXinputData 5 2" xfId="1016" xr:uid="{8405DB47-4B52-4156-B2E2-772CF3C3C7B5}"/>
    <cellStyle name="SAPBEXinputData 5 3" xfId="1401" xr:uid="{64054257-9380-48C3-812E-431B56972840}"/>
    <cellStyle name="SAPBEXinputData 6" xfId="634" xr:uid="{8BDDAA70-7115-4E9F-A79D-AB8B4937DFDE}"/>
    <cellStyle name="SAPBEXinputData 6 2" xfId="1048" xr:uid="{DBC90FFA-517D-4AEB-9D7D-814FD9832ECE}"/>
    <cellStyle name="SAPBEXinputData 6 3" xfId="1374" xr:uid="{3F51225F-478C-4A46-85CA-5B5339618C69}"/>
    <cellStyle name="SAPBEXinputData 7" xfId="665" xr:uid="{70E8D0EA-839F-452B-8BC4-FEB7C627BAC0}"/>
    <cellStyle name="SAPBEXinputData 7 2" xfId="1055" xr:uid="{333980B2-FAF1-4A1A-BE21-1062514663C6}"/>
    <cellStyle name="SAPBEXinputData 7 3" xfId="1404" xr:uid="{9B9B4ACC-765C-4FD6-999B-D16804C4B89E}"/>
    <cellStyle name="SAPBEXinputData 8" xfId="653" xr:uid="{4D96550A-BCF2-4023-BDDB-7D6E2197E376}"/>
    <cellStyle name="SAPBEXinputData 8 2" xfId="1053" xr:uid="{04F22E4A-6F0B-4603-AE29-CACA201F8C94}"/>
    <cellStyle name="SAPBEXinputData 8 3" xfId="1392" xr:uid="{DCB01BAB-61E3-4E92-89DD-3700F50EC9B1}"/>
    <cellStyle name="SAPBEXinputData 9" xfId="666" xr:uid="{582F66C8-6821-42BF-A926-CBC9D1329FC4}"/>
    <cellStyle name="SAPBEXinputData 9 2" xfId="1056" xr:uid="{047CCA9C-AE1C-485E-B4F7-E0053D783596}"/>
    <cellStyle name="SAPBEXinputData 9 3" xfId="1405" xr:uid="{C3652269-B622-4380-B30B-55065630EB51}"/>
    <cellStyle name="SAPBEXinputData_Actuals by Storm IO" xfId="563" xr:uid="{8001A076-E718-430A-8FCD-2D8EA6A38AF1}"/>
    <cellStyle name="SAPBEXItemHeader" xfId="564" xr:uid="{142D68F5-E3C6-4F67-B52A-EE14E71C4585}"/>
    <cellStyle name="SAPBEXItemHeader 2" xfId="1063" xr:uid="{C50538D6-C12A-4201-9CC2-EF5BA75A7AF4}"/>
    <cellStyle name="SAPBEXItemHeader 3" xfId="1327" xr:uid="{E4E9711F-803B-4C20-A025-9EB2FF541358}"/>
    <cellStyle name="SAPBEXresData" xfId="565" xr:uid="{87DB3E7B-135E-48AA-A563-D180DB24C014}"/>
    <cellStyle name="SAPBEXresData 2" xfId="566" xr:uid="{2619656F-8AC1-410A-AC4F-7BD0554742E4}"/>
    <cellStyle name="SAPBEXresData 2 2" xfId="1108" xr:uid="{281E5591-031F-4C5E-8B24-DD5141978352}"/>
    <cellStyle name="SAPBEXresData 2 3" xfId="1329" xr:uid="{27E36877-D42B-4403-979C-C26AF26A0FAF}"/>
    <cellStyle name="SAPBEXresData 3" xfId="567" xr:uid="{9E9D09F5-4E2F-4828-8BBC-18E0E5F1AF0E}"/>
    <cellStyle name="SAPBEXresData 3 2" xfId="941" xr:uid="{78FED4EE-0E79-4F17-B0FC-359035329E9D}"/>
    <cellStyle name="SAPBEXresData 3 3" xfId="1330" xr:uid="{235AA075-7A89-484D-B9F1-F0DC7ED2B172}"/>
    <cellStyle name="SAPBEXresData 4" xfId="645" xr:uid="{EB3347D4-7F49-4ECF-8DB4-FC30CB55A435}"/>
    <cellStyle name="SAPBEXresData 4 2" xfId="1197" xr:uid="{5C68AC4B-DDCC-4294-B9E1-95B9929C4F67}"/>
    <cellStyle name="SAPBEXresData 4 3" xfId="1384" xr:uid="{E0A76636-5F76-42D6-98D0-D5E51C470B30}"/>
    <cellStyle name="SAPBEXresData 5" xfId="851" xr:uid="{C10A4E9E-F01C-4BE8-AF77-136F0AE57D0C}"/>
    <cellStyle name="SAPBEXresData 5 2" xfId="1295" xr:uid="{43F1F1AE-805B-46FA-B5BD-435BA1951D81}"/>
    <cellStyle name="SAPBEXresData 5 3" xfId="1485" xr:uid="{4B09BC8B-09D2-4FDA-9EFE-F93F485A4338}"/>
    <cellStyle name="SAPBEXresData 6" xfId="988" xr:uid="{F86E4313-9DEC-4FB8-A598-1147958E41E7}"/>
    <cellStyle name="SAPBEXresData 7" xfId="1328" xr:uid="{23AA0FCC-9110-43F2-8121-2F4051333DF0}"/>
    <cellStyle name="SAPBEXresData_Actuals by Storm IO" xfId="568" xr:uid="{568BD0FD-BD2F-4D46-AF12-4FF65B6677D3}"/>
    <cellStyle name="SAPBEXresDataEmph" xfId="569" xr:uid="{AA2DF773-9339-440A-9CE2-639B0603D84B}"/>
    <cellStyle name="SAPBEXresDataEmph 2" xfId="570" xr:uid="{471D1D18-72CA-44BB-84BD-461844856521}"/>
    <cellStyle name="SAPBEXresDataEmph 2 2" xfId="932" xr:uid="{C7F38649-2A0B-491B-B6F8-7FE8C5C96662}"/>
    <cellStyle name="SAPBEXresDataEmph 2 3" xfId="1332" xr:uid="{F2FDF46F-EB07-4573-A771-F37492F91623}"/>
    <cellStyle name="SAPBEXresDataEmph 3" xfId="571" xr:uid="{0D3609B2-4D17-4A6D-8EA9-5BFE7EC97705}"/>
    <cellStyle name="SAPBEXresDataEmph 3 2" xfId="1107" xr:uid="{83BC2995-FEF9-4D49-B70C-97E9726489BD}"/>
    <cellStyle name="SAPBEXresDataEmph 3 3" xfId="1333" xr:uid="{60D24B47-5AAC-4EF6-AC82-387572B2F8CE}"/>
    <cellStyle name="SAPBEXresDataEmph 4" xfId="646" xr:uid="{B338317F-C8D8-485A-AEDC-E0A16A593CD6}"/>
    <cellStyle name="SAPBEXresDataEmph 4 2" xfId="979" xr:uid="{68F312B6-9D3F-4392-B51B-B0EFB88BACE0}"/>
    <cellStyle name="SAPBEXresDataEmph 4 3" xfId="1385" xr:uid="{4F1015D8-956E-4F42-8214-1680631AC390}"/>
    <cellStyle name="SAPBEXresDataEmph 5" xfId="852" xr:uid="{C42427A0-93B4-4DDA-986E-68022CB1E297}"/>
    <cellStyle name="SAPBEXresDataEmph 5 2" xfId="1270" xr:uid="{B817CE08-985D-48AA-B36D-CC69A3EE379F}"/>
    <cellStyle name="SAPBEXresDataEmph 5 3" xfId="1486" xr:uid="{424D796D-E20A-4471-B237-257FBE7A1BB8}"/>
    <cellStyle name="SAPBEXresDataEmph 6" xfId="1208" xr:uid="{BCC53B01-4C1E-40B3-B73B-E42A7E9F8E12}"/>
    <cellStyle name="SAPBEXresDataEmph 7" xfId="1331" xr:uid="{ED1DBC3C-77A0-4F53-B3E6-87C7967FD03C}"/>
    <cellStyle name="SAPBEXresDataEmph_Actuals by Storm IO" xfId="572" xr:uid="{B752A3ED-D0DF-44E5-88F1-E0D10A17F593}"/>
    <cellStyle name="SAPBEXresItem" xfId="573" xr:uid="{A0312FAE-82EC-4B3E-9217-16A947E7915B}"/>
    <cellStyle name="SAPBEXresItem 2" xfId="574" xr:uid="{4697F657-B647-4F0A-A7A7-5D840D53BC4C}"/>
    <cellStyle name="SAPBEXresItem 2 2" xfId="1106" xr:uid="{ACF558C1-4E31-47CB-9348-911C8B9CF758}"/>
    <cellStyle name="SAPBEXresItem 2 3" xfId="1335" xr:uid="{75BC09B4-4C12-4C6C-9F7A-02F11183B2F4}"/>
    <cellStyle name="SAPBEXresItem 3" xfId="575" xr:uid="{36805442-F2B6-423D-AC66-2CBA16C7AB53}"/>
    <cellStyle name="SAPBEXresItem 3 2" xfId="910" xr:uid="{13106A72-EB43-46CC-ADF2-E9E6BBCED9BA}"/>
    <cellStyle name="SAPBEXresItem 3 3" xfId="1336" xr:uid="{370DDA28-7CB0-47A7-8268-4A9E4A8D9B95}"/>
    <cellStyle name="SAPBEXresItem 4" xfId="647" xr:uid="{BB44668D-E266-4F3E-9BCA-BEBB544901E2}"/>
    <cellStyle name="SAPBEXresItem 4 2" xfId="939" xr:uid="{E5DE0C57-FEEF-4F27-B737-596EA871EB30}"/>
    <cellStyle name="SAPBEXresItem 4 3" xfId="1386" xr:uid="{A33AD02B-B070-41A6-999E-F1B49DB16EC6}"/>
    <cellStyle name="SAPBEXresItem 5" xfId="853" xr:uid="{670532A9-E273-4AAC-ADDB-FF982AE0ECFE}"/>
    <cellStyle name="SAPBEXresItem 5 2" xfId="1296" xr:uid="{F2CB271F-3488-4CFD-B2EC-8E328FA460F6}"/>
    <cellStyle name="SAPBEXresItem 5 3" xfId="1487" xr:uid="{023382D1-434F-4BA5-A3D0-0766C438B4EF}"/>
    <cellStyle name="SAPBEXresItem 6" xfId="987" xr:uid="{643DEB79-1862-426D-82BC-254A7243FDD2}"/>
    <cellStyle name="SAPBEXresItem 7" xfId="1334" xr:uid="{2ECC99C5-0736-41ED-A9C5-9C85112F5C60}"/>
    <cellStyle name="SAPBEXresItem_Actuals by Storm IO" xfId="576" xr:uid="{8BD8BCC2-C615-490C-A082-CD9155495595}"/>
    <cellStyle name="SAPBEXresItemX" xfId="577" xr:uid="{819D2B1F-AD6B-4748-8592-0F8608D9BBDC}"/>
    <cellStyle name="SAPBEXresItemX 2" xfId="578" xr:uid="{EF3789D6-D340-4E36-9B49-91405078F0F8}"/>
    <cellStyle name="SAPBEXresItemX 2 2" xfId="1105" xr:uid="{882FEDE2-0BD4-4FF5-9E3D-2AEC6ABB6A9E}"/>
    <cellStyle name="SAPBEXresItemX 2 3" xfId="1338" xr:uid="{48A3B394-99E9-46A7-8C24-F04B6B0E10C0}"/>
    <cellStyle name="SAPBEXresItemX 3" xfId="579" xr:uid="{819D0290-BE8C-4439-8D1B-8D1506DCFB5D}"/>
    <cellStyle name="SAPBEXresItemX 3 2" xfId="967" xr:uid="{E483536A-D009-4ACD-A642-8C0825027E5B}"/>
    <cellStyle name="SAPBEXresItemX 3 3" xfId="1339" xr:uid="{C7A23304-8919-4365-97D7-4A2CB534B0CD}"/>
    <cellStyle name="SAPBEXresItemX 4" xfId="648" xr:uid="{84A89B78-9B45-4178-8D71-A566F40733DF}"/>
    <cellStyle name="SAPBEXresItemX 4 2" xfId="1024" xr:uid="{44BEFB5D-21BF-49A2-82B1-67AFE5F0905D}"/>
    <cellStyle name="SAPBEXresItemX 4 3" xfId="1387" xr:uid="{38EF914E-CAC8-46F2-8851-8B56D2D57143}"/>
    <cellStyle name="SAPBEXresItemX 5" xfId="854" xr:uid="{858E5F75-5908-4D4C-B12E-E25E9BBD5361}"/>
    <cellStyle name="SAPBEXresItemX 5 2" xfId="1297" xr:uid="{14D070A9-A9F7-407B-8E67-A1BC218CE399}"/>
    <cellStyle name="SAPBEXresItemX 5 3" xfId="1488" xr:uid="{35B5C166-C094-4D1C-9370-23B50F63C4A0}"/>
    <cellStyle name="SAPBEXresItemX 6" xfId="986" xr:uid="{F87D5290-4251-45AD-9AF3-9D96EA526C77}"/>
    <cellStyle name="SAPBEXresItemX 7" xfId="1337" xr:uid="{B0584DF9-6C8B-421A-AFA2-B2F510F9C40E}"/>
    <cellStyle name="SAPBEXresItemX_Actuals by Storm IO" xfId="580" xr:uid="{A0453784-7178-4AD9-9EC1-4AAB9C313023}"/>
    <cellStyle name="SAPBEXstdData" xfId="581" xr:uid="{2E02F76B-E409-43D5-A755-39725EEFDA88}"/>
    <cellStyle name="SAPBEXstdData 2" xfId="582" xr:uid="{3184D03B-A18C-4967-9819-015BF07AE7F7}"/>
    <cellStyle name="SAPBEXstdData 2 2" xfId="855" xr:uid="{4A39518C-2209-4B29-875C-E86DB7DF7ABA}"/>
    <cellStyle name="SAPBEXstdData 2 2 2" xfId="1298" xr:uid="{16585417-1BFE-4877-9BAD-0E3B0038626A}"/>
    <cellStyle name="SAPBEXstdData 2 2 3" xfId="1489" xr:uid="{24096B6A-C41C-4065-80E6-0C1B8114C8EA}"/>
    <cellStyle name="SAPBEXstdData 2 3" xfId="1098" xr:uid="{47420485-D72E-4CCB-82AB-90F2D1293107}"/>
    <cellStyle name="SAPBEXstdData 2 4" xfId="1341" xr:uid="{8EE7FB6E-CBE3-436B-B4C7-BC1DDD6FC462}"/>
    <cellStyle name="SAPBEXstdData 3" xfId="583" xr:uid="{58ACD6FF-349B-411D-8DC3-DC2E21A6321C}"/>
    <cellStyle name="SAPBEXstdData 3 2" xfId="985" xr:uid="{1886B5C4-175E-46D0-84FA-A9488F7037B6}"/>
    <cellStyle name="SAPBEXstdData 3 3" xfId="1342" xr:uid="{6080C15C-F4FA-402F-BC2E-BDC9BF08ECC8}"/>
    <cellStyle name="SAPBEXstdData 4" xfId="584" xr:uid="{70E79D9A-7EA6-4109-ABB5-7EAC24AE3F2B}"/>
    <cellStyle name="SAPBEXstdData 4 2" xfId="856" xr:uid="{5D811673-06F2-40A3-B023-361AB5B6A807}"/>
    <cellStyle name="SAPBEXstdData 4 2 2" xfId="1299" xr:uid="{C5592AC5-50A1-4B8A-85FA-46766A5159C2}"/>
    <cellStyle name="SAPBEXstdData 4 2 3" xfId="1490" xr:uid="{2BB4DA79-A946-4C14-A714-3C1D7EBBCDDA}"/>
    <cellStyle name="SAPBEXstdData 4 3" xfId="908" xr:uid="{1BAEEE6F-478B-4F75-BFFB-A21511606113}"/>
    <cellStyle name="SAPBEXstdData 4 4" xfId="1343" xr:uid="{9E8513C7-D1CD-408E-8AA3-3F689D7EAF66}"/>
    <cellStyle name="SAPBEXstdData 5" xfId="857" xr:uid="{DC802D35-4858-4DC9-BBB6-7D4DE911B477}"/>
    <cellStyle name="SAPBEXstdData 5 2" xfId="1300" xr:uid="{E3200BFC-A6F0-4BF3-8D55-76D849A647FD}"/>
    <cellStyle name="SAPBEXstdData 5 3" xfId="1491" xr:uid="{E0B755C4-F5E1-4B6D-8BA9-DB674A7E955B}"/>
    <cellStyle name="SAPBEXstdData 6" xfId="1260" xr:uid="{10F65964-E4AA-4291-9707-117B3B798FB1}"/>
    <cellStyle name="SAPBEXstdData 7" xfId="1340" xr:uid="{041946D4-B3E2-41B6-B1CB-0F8FA001727C}"/>
    <cellStyle name="SAPBEXstdData_Actuals by Storm IO" xfId="585" xr:uid="{53FA10DB-98A1-4B9E-BDE9-4F9355301EBD}"/>
    <cellStyle name="SAPBEXstdDataEmph" xfId="586" xr:uid="{F171B34C-4A46-48BD-AE49-CD6A648D54BF}"/>
    <cellStyle name="SAPBEXstdDataEmph 2" xfId="587" xr:uid="{BC60E440-C930-4464-B5FD-8FB4D2EB3349}"/>
    <cellStyle name="SAPBEXstdDataEmph 2 2" xfId="1200" xr:uid="{5CCBB787-3CF4-4701-86A9-9D38F6F27487}"/>
    <cellStyle name="SAPBEXstdDataEmph 2 3" xfId="1345" xr:uid="{9AA11BD6-5A88-43DE-BC79-FCF0F4004A78}"/>
    <cellStyle name="SAPBEXstdDataEmph 3" xfId="588" xr:uid="{8400D5B5-B5D7-4078-B298-8586F63E54BF}"/>
    <cellStyle name="SAPBEXstdDataEmph 3 2" xfId="1013" xr:uid="{1C2551AF-7373-4FFE-8A4C-C1CBAEFF3A1B}"/>
    <cellStyle name="SAPBEXstdDataEmph 3 3" xfId="1346" xr:uid="{1AED19DD-DAB4-4DAD-B450-260EB1097051}"/>
    <cellStyle name="SAPBEXstdDataEmph 4" xfId="858" xr:uid="{59897B31-2115-4687-8666-D07B899EA291}"/>
    <cellStyle name="SAPBEXstdDataEmph 4 2" xfId="1301" xr:uid="{B9866533-6802-4C25-9775-E7A82A95EA67}"/>
    <cellStyle name="SAPBEXstdDataEmph 4 3" xfId="1492" xr:uid="{1A9BE99E-E872-4C40-9EDB-875CF832AB9D}"/>
    <cellStyle name="SAPBEXstdDataEmph 5" xfId="940" xr:uid="{2F561DD8-2056-4C0B-9CD1-A7B3E3A4B31D}"/>
    <cellStyle name="SAPBEXstdDataEmph 6" xfId="1344" xr:uid="{2874481F-3052-4223-885B-4AB37877F5AA}"/>
    <cellStyle name="SAPBEXstdDataEmph_Actuals by Storm IO" xfId="589" xr:uid="{63FB252F-9130-4D6B-AB2C-9DDE1C74C05E}"/>
    <cellStyle name="SAPBEXstdItem" xfId="590" xr:uid="{6973DFFB-766F-481E-8C6F-EF53AA9E2068}"/>
    <cellStyle name="SAPBEXstdItem 2" xfId="591" xr:uid="{684EDEB9-503A-48C4-9F3A-8E14ADED1904}"/>
    <cellStyle name="SAPBEXstdItem 2 2" xfId="859" xr:uid="{B090355A-8701-4EC4-BE9F-7355879AE19A}"/>
    <cellStyle name="SAPBEXstdItem 2 2 2" xfId="1302" xr:uid="{E45F38E6-20B9-4203-8131-B26F6758ADF9}"/>
    <cellStyle name="SAPBEXstdItem 2 2 3" xfId="1493" xr:uid="{87752716-8B4B-420E-8B1D-9C493719D972}"/>
    <cellStyle name="SAPBEXstdItem 2 3" xfId="1027" xr:uid="{F7BD01EF-76F6-4D9A-97C7-AF6A42670FCE}"/>
    <cellStyle name="SAPBEXstdItem 2 4" xfId="1348" xr:uid="{107B3143-D796-48C7-8CA2-95291C645DC5}"/>
    <cellStyle name="SAPBEXstdItem 3" xfId="592" xr:uid="{344BD1A8-6E3B-429C-B95D-3B73415E3BBB}"/>
    <cellStyle name="SAPBEXstdItem 3 2" xfId="1219" xr:uid="{E0B68E79-E16A-492F-A1D8-36B9846B7540}"/>
    <cellStyle name="SAPBEXstdItem 3 3" xfId="1349" xr:uid="{895D76BA-686C-4A6C-B73D-84C3670AA5A4}"/>
    <cellStyle name="SAPBEXstdItem 4" xfId="593" xr:uid="{5E5F31E9-1335-4F5E-B07C-0E03A4F425F6}"/>
    <cellStyle name="SAPBEXstdItem 4 2" xfId="1236" xr:uid="{3CBA09EB-6D3E-4567-962D-92384269C1D5}"/>
    <cellStyle name="SAPBEXstdItem 4 3" xfId="1350" xr:uid="{501BD921-510F-438A-A9C8-08EDFAB3DFB1}"/>
    <cellStyle name="SAPBEXstdItem 5" xfId="594" xr:uid="{243D45CF-07C5-43FA-8B61-E04CEA8061B6}"/>
    <cellStyle name="SAPBEXstdItem 5 2" xfId="860" xr:uid="{E2ADB877-F2EE-4AD9-A95A-8E6FE6DC4113}"/>
    <cellStyle name="SAPBEXstdItem 5 2 2" xfId="1303" xr:uid="{8B70080A-427E-4472-86A5-AF0162813327}"/>
    <cellStyle name="SAPBEXstdItem 5 2 3" xfId="1494" xr:uid="{DE6293AA-EFEB-4B3F-9EFC-4825EEF0E056}"/>
    <cellStyle name="SAPBEXstdItem 5 3" xfId="1281" xr:uid="{9F7F1844-E433-4EAA-8ABB-BEA464D2A13A}"/>
    <cellStyle name="SAPBEXstdItem 5 4" xfId="1351" xr:uid="{D9DDFBDB-B7A5-44F0-A6D2-7BAB3FE95AE0}"/>
    <cellStyle name="SAPBEXstdItem 6" xfId="861" xr:uid="{A4DD93DF-D168-44D3-8388-BC9C1D0D3376}"/>
    <cellStyle name="SAPBEXstdItem 6 2" xfId="1304" xr:uid="{23A6D6E5-2676-49DE-8BE8-47D5040CE222}"/>
    <cellStyle name="SAPBEXstdItem 6 3" xfId="1495" xr:uid="{F0AC9BEC-8ACC-4B46-B3EC-CFA5E1543738}"/>
    <cellStyle name="SAPBEXstdItem 7" xfId="1062" xr:uid="{3130DDB8-97D5-430B-AF54-31690A509FAF}"/>
    <cellStyle name="SAPBEXstdItem 8" xfId="1347" xr:uid="{995B68A1-976F-4182-9362-E75FA5C01F5D}"/>
    <cellStyle name="SAPBEXstdItem_Actuals by Storm IO" xfId="595" xr:uid="{585BEE51-B326-47FC-B462-86B8E4AA6DF0}"/>
    <cellStyle name="SAPBEXstdItemX" xfId="596" xr:uid="{9DA9F091-2A35-4EFE-A4EC-80AFD70A58C5}"/>
    <cellStyle name="SAPBEXstdItemX 2" xfId="597" xr:uid="{99CF1417-47A7-41ED-990F-B7714CFD8878}"/>
    <cellStyle name="SAPBEXstdItemX 2 2" xfId="874" xr:uid="{14ADA588-DCF4-48CE-A9EE-EA89FB22930B}"/>
    <cellStyle name="SAPBEXstdItemX 2 3" xfId="1353" xr:uid="{76AF45E6-7CA6-4F3A-B290-7C5E53E1F856}"/>
    <cellStyle name="SAPBEXstdItemX 3" xfId="598" xr:uid="{49C884E7-EC8F-4722-915D-806DFC913CC1}"/>
    <cellStyle name="SAPBEXstdItemX 3 2" xfId="971" xr:uid="{FE885C26-4686-43EC-9E45-CC79A9C72554}"/>
    <cellStyle name="SAPBEXstdItemX 3 3" xfId="1354" xr:uid="{C4CF12DF-402B-4F2F-B099-0CD6CFA41F86}"/>
    <cellStyle name="SAPBEXstdItemX 4" xfId="599" xr:uid="{D6643C35-72A4-4FF5-BA5A-CCE64D12CEF3}"/>
    <cellStyle name="SAPBEXstdItemX 4 2" xfId="1104" xr:uid="{067E35B2-0103-44F4-8D12-7E8F655F3B85}"/>
    <cellStyle name="SAPBEXstdItemX 4 3" xfId="1355" xr:uid="{9658D15A-2C86-4C48-94FC-2945D77BACB9}"/>
    <cellStyle name="SAPBEXstdItemX 5" xfId="651" xr:uid="{48DA24A8-6A9F-4E30-ACB5-29A2124E07BE}"/>
    <cellStyle name="SAPBEXstdItemX 5 2" xfId="1174" xr:uid="{269D5B51-068D-49F2-979F-B48246CE1086}"/>
    <cellStyle name="SAPBEXstdItemX 5 3" xfId="1390" xr:uid="{324448AF-C8E5-4E37-B64B-57F1D760C949}"/>
    <cellStyle name="SAPBEXstdItemX 6" xfId="862" xr:uid="{02B05846-3584-435E-8B1B-87AE402AA342}"/>
    <cellStyle name="SAPBEXstdItemX 6 2" xfId="1305" xr:uid="{0C5BC708-D77D-4F1E-BF1D-80A9D5683458}"/>
    <cellStyle name="SAPBEXstdItemX 6 3" xfId="1496" xr:uid="{5F482B32-4D88-4961-8580-A117E0E0E1E0}"/>
    <cellStyle name="SAPBEXstdItemX 7" xfId="909" xr:uid="{589A65B0-0787-4DD1-AE77-A9624F3F356D}"/>
    <cellStyle name="SAPBEXstdItemX 8" xfId="1352" xr:uid="{712FBF08-6C8A-4BFA-8263-4DDCC5506377}"/>
    <cellStyle name="SAPBEXstdItemX_Actuals by Storm IO" xfId="600" xr:uid="{778B8F42-FFA1-465F-BF06-AA90FD834E97}"/>
    <cellStyle name="SAPBEXtitle" xfId="601" xr:uid="{03CDE9E8-018C-45D3-8DBC-A5DF5AD2228C}"/>
    <cellStyle name="SAPBEXtitle 2" xfId="602" xr:uid="{D5E18B90-0E22-4EF9-B3A0-31D3F3287CCB}"/>
    <cellStyle name="SAPBEXtitle 2 2" xfId="1103" xr:uid="{E6694BD2-6C11-48A0-92D8-7ED998A896B1}"/>
    <cellStyle name="SAPBEXtitle 2 3" xfId="1357" xr:uid="{42623EC8-09C4-483B-BEEF-E3C716710253}"/>
    <cellStyle name="SAPBEXtitle 3" xfId="603" xr:uid="{890C147E-34A5-42A2-8CCB-1F89AA5F1255}"/>
    <cellStyle name="SAPBEXtitle 4" xfId="863" xr:uid="{612C36CC-3AA7-4F7B-893C-A557977972F2}"/>
    <cellStyle name="SAPBEXtitle 4 2" xfId="1306" xr:uid="{B67DEE52-4096-45DA-8A20-123595652F95}"/>
    <cellStyle name="SAPBEXtitle 4 3" xfId="1497" xr:uid="{0AAE93AF-22B4-47A0-BD80-CB83B2E078CB}"/>
    <cellStyle name="SAPBEXtitle 5" xfId="984" xr:uid="{2004661D-FC20-489A-84B3-2C0E58310F09}"/>
    <cellStyle name="SAPBEXtitle 6" xfId="1356" xr:uid="{DD2B8F66-DF98-40FF-93D8-61E546CCEF8E}"/>
    <cellStyle name="SAPBEXtitle_Actuals by Storm IO" xfId="604" xr:uid="{9B9F6E72-84CF-41FA-9B1F-C5BA9278F85F}"/>
    <cellStyle name="SAPBEXunassignedItem" xfId="605" xr:uid="{B932CF07-4C3A-4D4A-B1DE-0AFC8D054D6F}"/>
    <cellStyle name="SAPBEXunassignedItem 2" xfId="606" xr:uid="{0563A34D-CFAA-4933-A128-415EA91E3341}"/>
    <cellStyle name="SAPBEXunassignedItem 2 2" xfId="865" xr:uid="{77135E2D-9B7E-4F0C-85D1-6BCDFA37C9E8}"/>
    <cellStyle name="SAPBEXunassignedItem 2 2 2" xfId="1279" xr:uid="{F5A5706E-A4E7-4436-B30B-392DE26346DB}"/>
    <cellStyle name="SAPBEXunassignedItem 2 2 3" xfId="1499" xr:uid="{242CE111-9DB4-4B3C-9B6F-166E49FE57B4}"/>
    <cellStyle name="SAPBEXunassignedItem 2 3" xfId="1173" xr:uid="{0B741321-25F4-4897-B72B-54FFBFB5DFAB}"/>
    <cellStyle name="SAPBEXunassignedItem 2 4" xfId="1359" xr:uid="{DD662F0C-690D-443B-B4EF-32F27CD35B18}"/>
    <cellStyle name="SAPBEXunassignedItem 3" xfId="864" xr:uid="{CC67FEF1-4430-4AB8-B867-2C073592D4DF}"/>
    <cellStyle name="SAPBEXunassignedItem 3 2" xfId="1278" xr:uid="{09F141A9-7934-49AB-8341-22C947671ECE}"/>
    <cellStyle name="SAPBEXunassignedItem 3 3" xfId="1498" xr:uid="{E1F555C8-41CF-438A-A7D0-96BEFDEC9F6C}"/>
    <cellStyle name="SAPBEXunassignedItem 4" xfId="1045" xr:uid="{A0AAA575-102C-4B1C-AE9F-85ED05F8B53C}"/>
    <cellStyle name="SAPBEXunassignedItem 5" xfId="1358" xr:uid="{0B0E1A6A-9CD2-4463-BBF8-8D1A0733B750}"/>
    <cellStyle name="SAPBEXundefined" xfId="607" xr:uid="{794D4652-8C8E-48A1-8F2F-D04460C34383}"/>
    <cellStyle name="SAPBEXundefined 2" xfId="608" xr:uid="{4DADC2FB-D296-4B35-B91D-75BEF2CD4203}"/>
    <cellStyle name="SAPBEXundefined 2 2" xfId="1102" xr:uid="{57BC4F3D-A5C1-44B3-B89C-29D051605288}"/>
    <cellStyle name="SAPBEXundefined 2 3" xfId="1361" xr:uid="{CACF060C-09BF-4F6B-A610-3B79E25F7156}"/>
    <cellStyle name="SAPBEXundefined 3" xfId="609" xr:uid="{2F57EEBA-8357-4350-8EC9-37E458568438}"/>
    <cellStyle name="SAPBEXundefined 3 2" xfId="982" xr:uid="{8BA3AA3F-A14E-4879-8491-0CBCCD387782}"/>
    <cellStyle name="SAPBEXundefined 3 3" xfId="1362" xr:uid="{FDB64D0C-B573-4B45-9AF0-8037212F881F}"/>
    <cellStyle name="SAPBEXundefined 4" xfId="866" xr:uid="{CA79352E-01FC-47D9-8F14-D56B0BCBFAF5}"/>
    <cellStyle name="SAPBEXundefined 4 2" xfId="1308" xr:uid="{6A684AD9-6F1A-4529-81FE-9FC1F997BE91}"/>
    <cellStyle name="SAPBEXundefined 4 3" xfId="1500" xr:uid="{360326CA-8B0D-4733-AEB8-EF7600280500}"/>
    <cellStyle name="SAPBEXundefined 5" xfId="1026" xr:uid="{810B0C82-B9DC-4D2A-A71D-76C41A15AAC4}"/>
    <cellStyle name="SAPBEXundefined 6" xfId="1360" xr:uid="{FC856A19-0890-4982-B9E3-3F9E87636B3D}"/>
    <cellStyle name="SAPBEXundefined_Actuals by Storm IO" xfId="610" xr:uid="{F399DEF7-D7E2-4B28-9956-A0907951C581}"/>
    <cellStyle name="Sheet Title" xfId="611" xr:uid="{E6865200-1618-44F0-9946-7788067F82C0}"/>
    <cellStyle name="Total 2" xfId="612" xr:uid="{64C576C0-F003-4F4C-994F-B060B57F9FE1}"/>
    <cellStyle name="Total 2 2" xfId="1025" xr:uid="{E78B2D1F-265D-4F7A-83D5-60197E7B9338}"/>
    <cellStyle name="Total 2 3" xfId="1363" xr:uid="{0D40DF0D-E3C4-43C0-9BDC-146C119BCCC3}"/>
    <cellStyle name="Total 3" xfId="613" xr:uid="{6A33C530-6772-4501-8441-A8F480B89869}"/>
    <cellStyle name="Warning Text 2" xfId="614" xr:uid="{B95F9092-4FFE-4940-AD94-082AEF78517A}"/>
    <cellStyle name="Warning Text 3" xfId="615" xr:uid="{311495DA-4F7F-42B3-BE4A-738FECBFB6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'Winter NCP-CP Ratio'!$B$5</c:f>
              <c:strCache>
                <c:ptCount val="1"/>
                <c:pt idx="0">
                  <c:v> South </c:v>
                </c:pt>
              </c:strCache>
            </c:strRef>
          </c:tx>
          <c:cat>
            <c:numRef>
              <c:f>'Winter NCP-CP Ratio'!$A$8:$A$48</c:f>
              <c:numCache>
                <c:formatCode>0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'Winter NCP-CP Ratio'!$B$8:$B$48</c:f>
              <c:numCache>
                <c:formatCode>_(* #,##0_);_(* \(#,##0\);_(* "-"??_);_(@_)</c:formatCode>
                <c:ptCount val="41"/>
                <c:pt idx="0">
                  <c:v>3686</c:v>
                </c:pt>
                <c:pt idx="1">
                  <c:v>2434</c:v>
                </c:pt>
                <c:pt idx="2">
                  <c:v>2742</c:v>
                </c:pt>
                <c:pt idx="3">
                  <c:v>2639</c:v>
                </c:pt>
                <c:pt idx="4">
                  <c:v>2507</c:v>
                </c:pt>
                <c:pt idx="5">
                  <c:v>3290</c:v>
                </c:pt>
                <c:pt idx="6">
                  <c:v>3534</c:v>
                </c:pt>
                <c:pt idx="7">
                  <c:v>3019</c:v>
                </c:pt>
                <c:pt idx="8">
                  <c:v>2861.7436926989226</c:v>
                </c:pt>
                <c:pt idx="9">
                  <c:v>3441.2251221307638</c:v>
                </c:pt>
                <c:pt idx="10">
                  <c:v>3328.2815365053871</c:v>
                </c:pt>
                <c:pt idx="11">
                  <c:v>3804.1726560931538</c:v>
                </c:pt>
                <c:pt idx="12">
                  <c:v>3403.7700595596602</c:v>
                </c:pt>
                <c:pt idx="13">
                  <c:v>4323.867489815113</c:v>
                </c:pt>
                <c:pt idx="14">
                  <c:v>3015.68</c:v>
                </c:pt>
                <c:pt idx="15">
                  <c:v>3274.43</c:v>
                </c:pt>
                <c:pt idx="16">
                  <c:v>3518.49</c:v>
                </c:pt>
                <c:pt idx="17">
                  <c:v>3216.96</c:v>
                </c:pt>
                <c:pt idx="18">
                  <c:v>3956.62</c:v>
                </c:pt>
                <c:pt idx="19">
                  <c:v>3615.59</c:v>
                </c:pt>
                <c:pt idx="20">
                  <c:v>4615.3900000000003</c:v>
                </c:pt>
                <c:pt idx="21">
                  <c:v>4070.62</c:v>
                </c:pt>
                <c:pt idx="22">
                  <c:v>3336.93</c:v>
                </c:pt>
                <c:pt idx="23">
                  <c:v>2962.69</c:v>
                </c:pt>
                <c:pt idx="24">
                  <c:v>3044.99</c:v>
                </c:pt>
                <c:pt idx="25">
                  <c:v>3328.4</c:v>
                </c:pt>
                <c:pt idx="26">
                  <c:v>2957.9425491036359</c:v>
                </c:pt>
                <c:pt idx="27">
                  <c:v>2712.793586110492</c:v>
                </c:pt>
                <c:pt idx="28" formatCode="#,##0">
                  <c:v>3070.6039129033911</c:v>
                </c:pt>
                <c:pt idx="29" formatCode="#,##0">
                  <c:v>2776.1466344609703</c:v>
                </c:pt>
                <c:pt idx="30" formatCode="#,##0">
                  <c:v>2874.7087178457932</c:v>
                </c:pt>
                <c:pt idx="31" formatCode="#,##0">
                  <c:v>3282.319045981726</c:v>
                </c:pt>
                <c:pt idx="32" formatCode="#,##0">
                  <c:v>3319.0036942919342</c:v>
                </c:pt>
                <c:pt idx="33" formatCode="#,##0">
                  <c:v>3383.8276330350154</c:v>
                </c:pt>
                <c:pt idx="34" formatCode="#,##0">
                  <c:v>3450.1674990868437</c:v>
                </c:pt>
                <c:pt idx="35" formatCode="#,##0">
                  <c:v>3503.0236211340361</c:v>
                </c:pt>
                <c:pt idx="36" formatCode="#,##0">
                  <c:v>3557.4977195410752</c:v>
                </c:pt>
                <c:pt idx="37" formatCode="#,##0">
                  <c:v>3596.5032205444136</c:v>
                </c:pt>
                <c:pt idx="38" formatCode="#,##0">
                  <c:v>3654.082608701025</c:v>
                </c:pt>
                <c:pt idx="39" formatCode="#,##0">
                  <c:v>3713.5246096861842</c:v>
                </c:pt>
                <c:pt idx="40" formatCode="#,##0">
                  <c:v>3774.4575481362008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8A-4B42-9354-197A86446EB8}"/>
            </c:ext>
          </c:extLst>
        </c:ser>
        <c:ser>
          <c:idx val="1"/>
          <c:order val="1"/>
          <c:tx>
            <c:strRef>
              <c:f>'Winter NCP-CP Ratio'!$C$5</c:f>
              <c:strCache>
                <c:ptCount val="1"/>
                <c:pt idx="0">
                  <c:v>Southeast</c:v>
                </c:pt>
              </c:strCache>
            </c:strRef>
          </c:tx>
          <c:cat>
            <c:numRef>
              <c:f>'Winter NCP-CP Ratio'!$A$8:$A$48</c:f>
              <c:numCache>
                <c:formatCode>0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'Winter NCP-CP Ratio'!$C$8:$C$48</c:f>
              <c:numCache>
                <c:formatCode>_(* #,##0_);_(* \(#,##0\);_(* "-"??_);_(@_)</c:formatCode>
                <c:ptCount val="41"/>
                <c:pt idx="0">
                  <c:v>2187</c:v>
                </c:pt>
                <c:pt idx="1">
                  <c:v>2092</c:v>
                </c:pt>
                <c:pt idx="2">
                  <c:v>2184</c:v>
                </c:pt>
                <c:pt idx="3">
                  <c:v>2202</c:v>
                </c:pt>
                <c:pt idx="4">
                  <c:v>2008</c:v>
                </c:pt>
                <c:pt idx="5">
                  <c:v>2523</c:v>
                </c:pt>
                <c:pt idx="6">
                  <c:v>2823</c:v>
                </c:pt>
                <c:pt idx="7">
                  <c:v>3115</c:v>
                </c:pt>
                <c:pt idx="8">
                  <c:v>2900.2000267683866</c:v>
                </c:pt>
                <c:pt idx="9">
                  <c:v>2963.245198420665</c:v>
                </c:pt>
                <c:pt idx="10">
                  <c:v>2956.9998661580671</c:v>
                </c:pt>
                <c:pt idx="11">
                  <c:v>3382.44489058422</c:v>
                </c:pt>
                <c:pt idx="12">
                  <c:v>3005.793548818845</c:v>
                </c:pt>
                <c:pt idx="13">
                  <c:v>3775.0171945742795</c:v>
                </c:pt>
                <c:pt idx="14">
                  <c:v>2482.9299999999998</c:v>
                </c:pt>
                <c:pt idx="15">
                  <c:v>3019.86</c:v>
                </c:pt>
                <c:pt idx="16">
                  <c:v>3257.56</c:v>
                </c:pt>
                <c:pt idx="17">
                  <c:v>2737.29</c:v>
                </c:pt>
                <c:pt idx="18">
                  <c:v>3110.93</c:v>
                </c:pt>
                <c:pt idx="19">
                  <c:v>3253.15</c:v>
                </c:pt>
                <c:pt idx="20">
                  <c:v>4190.38</c:v>
                </c:pt>
                <c:pt idx="21">
                  <c:v>3635.44</c:v>
                </c:pt>
                <c:pt idx="22">
                  <c:v>2979.47</c:v>
                </c:pt>
                <c:pt idx="23">
                  <c:v>2484.38</c:v>
                </c:pt>
                <c:pt idx="24">
                  <c:v>2348.25</c:v>
                </c:pt>
                <c:pt idx="25">
                  <c:v>2826.07</c:v>
                </c:pt>
                <c:pt idx="26">
                  <c:v>2421.6377722476991</c:v>
                </c:pt>
                <c:pt idx="27">
                  <c:v>2208.6476813130389</c:v>
                </c:pt>
                <c:pt idx="28" formatCode="#,##0">
                  <c:v>2660.6325508218129</c:v>
                </c:pt>
                <c:pt idx="29" formatCode="#,##0">
                  <c:v>2296.1408925119135</c:v>
                </c:pt>
                <c:pt idx="30" formatCode="#,##0">
                  <c:v>2514.6557071786847</c:v>
                </c:pt>
                <c:pt idx="31" formatCode="#,##0">
                  <c:v>2860.1855377946426</c:v>
                </c:pt>
                <c:pt idx="32" formatCode="#,##0">
                  <c:v>2874.4286396381449</c:v>
                </c:pt>
                <c:pt idx="33" formatCode="#,##0">
                  <c:v>2912.4385407090704</c:v>
                </c:pt>
                <c:pt idx="34" formatCode="#,##0">
                  <c:v>2952.1955223747686</c:v>
                </c:pt>
                <c:pt idx="35" formatCode="#,##0">
                  <c:v>2980.4350827775856</c:v>
                </c:pt>
                <c:pt idx="36" formatCode="#,##0">
                  <c:v>3009.767345160561</c:v>
                </c:pt>
                <c:pt idx="37" formatCode="#,##0">
                  <c:v>3026.0868166586565</c:v>
                </c:pt>
                <c:pt idx="38" formatCode="#,##0">
                  <c:v>3058.0909868039953</c:v>
                </c:pt>
                <c:pt idx="39" formatCode="#,##0">
                  <c:v>3091.4688829744541</c:v>
                </c:pt>
                <c:pt idx="40" formatCode="#,##0">
                  <c:v>3126.1358783424198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8A-4B42-9354-197A86446EB8}"/>
            </c:ext>
          </c:extLst>
        </c:ser>
        <c:ser>
          <c:idx val="2"/>
          <c:order val="2"/>
          <c:tx>
            <c:strRef>
              <c:f>'Winter NCP-CP Ratio'!$D$5</c:f>
              <c:strCache>
                <c:ptCount val="1"/>
                <c:pt idx="0">
                  <c:v>East</c:v>
                </c:pt>
              </c:strCache>
            </c:strRef>
          </c:tx>
          <c:cat>
            <c:numRef>
              <c:f>'Winter NCP-CP Ratio'!$A$8:$A$48</c:f>
              <c:numCache>
                <c:formatCode>0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'Winter NCP-CP Ratio'!$D$8:$D$48</c:f>
              <c:numCache>
                <c:formatCode>_(* #,##0_);_(* \(#,##0\);_(* "-"??_);_(@_)</c:formatCode>
                <c:ptCount val="41"/>
                <c:pt idx="0">
                  <c:v>3101</c:v>
                </c:pt>
                <c:pt idx="1">
                  <c:v>2620</c:v>
                </c:pt>
                <c:pt idx="2">
                  <c:v>2907</c:v>
                </c:pt>
                <c:pt idx="3">
                  <c:v>2768</c:v>
                </c:pt>
                <c:pt idx="4">
                  <c:v>2488</c:v>
                </c:pt>
                <c:pt idx="5">
                  <c:v>3676</c:v>
                </c:pt>
                <c:pt idx="6">
                  <c:v>3940</c:v>
                </c:pt>
                <c:pt idx="7">
                  <c:v>3647</c:v>
                </c:pt>
                <c:pt idx="8">
                  <c:v>2545.1004483704746</c:v>
                </c:pt>
                <c:pt idx="9">
                  <c:v>3668.1070735461421</c:v>
                </c:pt>
                <c:pt idx="10">
                  <c:v>4093.4977581476278</c:v>
                </c:pt>
                <c:pt idx="11">
                  <c:v>4289.4519172856853</c:v>
                </c:pt>
                <c:pt idx="12">
                  <c:v>3011.791942715653</c:v>
                </c:pt>
                <c:pt idx="13">
                  <c:v>5081.6164713353337</c:v>
                </c:pt>
                <c:pt idx="14">
                  <c:v>3217.91</c:v>
                </c:pt>
                <c:pt idx="15">
                  <c:v>4252.75</c:v>
                </c:pt>
                <c:pt idx="16">
                  <c:v>4694.87</c:v>
                </c:pt>
                <c:pt idx="17">
                  <c:v>4049.94</c:v>
                </c:pt>
                <c:pt idx="18">
                  <c:v>4270.76</c:v>
                </c:pt>
                <c:pt idx="19">
                  <c:v>4722.8599999999997</c:v>
                </c:pt>
                <c:pt idx="20">
                  <c:v>5757.53</c:v>
                </c:pt>
                <c:pt idx="21">
                  <c:v>5084.25</c:v>
                </c:pt>
                <c:pt idx="22">
                  <c:v>4163.58</c:v>
                </c:pt>
                <c:pt idx="23">
                  <c:v>3715.76</c:v>
                </c:pt>
                <c:pt idx="24">
                  <c:v>4261.3500000000004</c:v>
                </c:pt>
                <c:pt idx="25">
                  <c:v>4239.21</c:v>
                </c:pt>
                <c:pt idx="26">
                  <c:v>3670.0762414843389</c:v>
                </c:pt>
                <c:pt idx="27">
                  <c:v>3198.0575352021169</c:v>
                </c:pt>
                <c:pt idx="28" formatCode="#,##0">
                  <c:v>4381.2034663359864</c:v>
                </c:pt>
                <c:pt idx="29" formatCode="#,##0">
                  <c:v>3225.3956683554266</c:v>
                </c:pt>
                <c:pt idx="30" formatCode="#,##0">
                  <c:v>4202.9033309116658</c:v>
                </c:pt>
                <c:pt idx="31" formatCode="#,##0">
                  <c:v>4792.1732328757298</c:v>
                </c:pt>
                <c:pt idx="32" formatCode="#,##0">
                  <c:v>4817.9622557221646</c:v>
                </c:pt>
                <c:pt idx="33" formatCode="#,##0">
                  <c:v>4881.7549014896331</c:v>
                </c:pt>
                <c:pt idx="34" formatCode="#,##0">
                  <c:v>4946.9940693590952</c:v>
                </c:pt>
                <c:pt idx="35" formatCode="#,##0">
                  <c:v>4992.2449418023371</c:v>
                </c:pt>
                <c:pt idx="36" formatCode="#,##0">
                  <c:v>5038.9855753691181</c:v>
                </c:pt>
                <c:pt idx="37" formatCode="#,##0">
                  <c:v>5062.98331029581</c:v>
                </c:pt>
                <c:pt idx="38" formatCode="#,##0">
                  <c:v>5112.7463349126292</c:v>
                </c:pt>
                <c:pt idx="39" formatCode="#,##0">
                  <c:v>5164.4669727243872</c:v>
                </c:pt>
                <c:pt idx="40" formatCode="#,##0">
                  <c:v>5217.5541450838018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8A-4B42-9354-197A86446EB8}"/>
            </c:ext>
          </c:extLst>
        </c:ser>
        <c:ser>
          <c:idx val="3"/>
          <c:order val="3"/>
          <c:tx>
            <c:strRef>
              <c:f>'Winter NCP-CP Ratio'!$E$5</c:f>
              <c:strCache>
                <c:ptCount val="1"/>
                <c:pt idx="0">
                  <c:v>Northeast</c:v>
                </c:pt>
              </c:strCache>
            </c:strRef>
          </c:tx>
          <c:cat>
            <c:numRef>
              <c:f>'Winter NCP-CP Ratio'!$A$8:$A$48</c:f>
              <c:numCache>
                <c:formatCode>0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'Winter NCP-CP Ratio'!$E$8:$E$48</c:f>
              <c:numCache>
                <c:formatCode>_(* #,##0_);_(* \(#,##0\);_(* "-"??_);_(@_)</c:formatCode>
                <c:ptCount val="41"/>
                <c:pt idx="0">
                  <c:v>2268</c:v>
                </c:pt>
                <c:pt idx="1">
                  <c:v>2264</c:v>
                </c:pt>
                <c:pt idx="2">
                  <c:v>2533</c:v>
                </c:pt>
                <c:pt idx="3">
                  <c:v>2382</c:v>
                </c:pt>
                <c:pt idx="4">
                  <c:v>2604</c:v>
                </c:pt>
                <c:pt idx="5">
                  <c:v>3181</c:v>
                </c:pt>
                <c:pt idx="6">
                  <c:v>3047</c:v>
                </c:pt>
                <c:pt idx="7">
                  <c:v>2785</c:v>
                </c:pt>
                <c:pt idx="8">
                  <c:v>2208.9799237100983</c:v>
                </c:pt>
                <c:pt idx="9">
                  <c:v>2765.1011845011044</c:v>
                </c:pt>
                <c:pt idx="10">
                  <c:v>2786.1003814495079</c:v>
                </c:pt>
                <c:pt idx="11">
                  <c:v>2977.332061834973</c:v>
                </c:pt>
                <c:pt idx="12">
                  <c:v>4155.8383858662919</c:v>
                </c:pt>
                <c:pt idx="13">
                  <c:v>2022.4324230527727</c:v>
                </c:pt>
                <c:pt idx="14">
                  <c:v>2722.76</c:v>
                </c:pt>
                <c:pt idx="15">
                  <c:v>3317.23</c:v>
                </c:pt>
                <c:pt idx="16">
                  <c:v>3571.62</c:v>
                </c:pt>
                <c:pt idx="17">
                  <c:v>3022.03</c:v>
                </c:pt>
                <c:pt idx="18">
                  <c:v>3302.63</c:v>
                </c:pt>
                <c:pt idx="19">
                  <c:v>3770.87</c:v>
                </c:pt>
                <c:pt idx="20">
                  <c:v>4075.55</c:v>
                </c:pt>
                <c:pt idx="21">
                  <c:v>3742.93</c:v>
                </c:pt>
                <c:pt idx="22">
                  <c:v>3262.19</c:v>
                </c:pt>
                <c:pt idx="23">
                  <c:v>3180.06</c:v>
                </c:pt>
                <c:pt idx="24">
                  <c:v>3173.31</c:v>
                </c:pt>
                <c:pt idx="25">
                  <c:v>3611.03</c:v>
                </c:pt>
                <c:pt idx="26">
                  <c:v>3415.6675407535763</c:v>
                </c:pt>
                <c:pt idx="27">
                  <c:v>2898.6524508322459</c:v>
                </c:pt>
                <c:pt idx="28" formatCode="#,##0">
                  <c:v>3806.7755500912945</c:v>
                </c:pt>
                <c:pt idx="29" formatCode="#,##0">
                  <c:v>2747.1772710504911</c:v>
                </c:pt>
                <c:pt idx="30" formatCode="#,##0">
                  <c:v>3156.7470985013629</c:v>
                </c:pt>
                <c:pt idx="31" formatCode="#,##0">
                  <c:v>3628.8626268541125</c:v>
                </c:pt>
                <c:pt idx="32" formatCode="#,##0">
                  <c:v>3675.8752798910527</c:v>
                </c:pt>
                <c:pt idx="33" formatCode="#,##0">
                  <c:v>3752.3646538056319</c:v>
                </c:pt>
                <c:pt idx="34" formatCode="#,##0">
                  <c:v>3830.4182469002544</c:v>
                </c:pt>
                <c:pt idx="35" formatCode="#,##0">
                  <c:v>3893.4566061650476</c:v>
                </c:pt>
                <c:pt idx="36" formatCode="#,##0">
                  <c:v>3958.1111542134827</c:v>
                </c:pt>
                <c:pt idx="37" formatCode="#,##0">
                  <c:v>4005.2520810826732</c:v>
                </c:pt>
                <c:pt idx="38" formatCode="#,##0">
                  <c:v>4072.5110339638472</c:v>
                </c:pt>
                <c:pt idx="39" formatCode="#,##0">
                  <c:v>4141.2084085799415</c:v>
                </c:pt>
                <c:pt idx="40" formatCode="#,##0">
                  <c:v>4210.9518451958766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8A-4B42-9354-197A86446EB8}"/>
            </c:ext>
          </c:extLst>
        </c:ser>
        <c:ser>
          <c:idx val="4"/>
          <c:order val="4"/>
          <c:tx>
            <c:strRef>
              <c:f>'Winter NCP-CP Ratio'!$F$5</c:f>
              <c:strCache>
                <c:ptCount val="1"/>
                <c:pt idx="0">
                  <c:v>West</c:v>
                </c:pt>
              </c:strCache>
            </c:strRef>
          </c:tx>
          <c:cat>
            <c:numRef>
              <c:f>'Winter NCP-CP Ratio'!$A$8:$A$48</c:f>
              <c:numCache>
                <c:formatCode>0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'Winter NCP-CP Ratio'!$F$8:$F$48</c:f>
              <c:numCache>
                <c:formatCode>_(* #,##0_);_(* \(#,##0\);_(* "-"??_);_(@_)</c:formatCode>
                <c:ptCount val="41"/>
                <c:pt idx="0">
                  <c:v>2746</c:v>
                </c:pt>
                <c:pt idx="1">
                  <c:v>2458</c:v>
                </c:pt>
                <c:pt idx="2">
                  <c:v>2953</c:v>
                </c:pt>
                <c:pt idx="3">
                  <c:v>2973</c:v>
                </c:pt>
                <c:pt idx="4">
                  <c:v>2943</c:v>
                </c:pt>
                <c:pt idx="5">
                  <c:v>3893</c:v>
                </c:pt>
                <c:pt idx="6">
                  <c:v>4752</c:v>
                </c:pt>
                <c:pt idx="7">
                  <c:v>3924</c:v>
                </c:pt>
                <c:pt idx="8">
                  <c:v>2543.9759084521179</c:v>
                </c:pt>
                <c:pt idx="9">
                  <c:v>3964.3214214013251</c:v>
                </c:pt>
                <c:pt idx="10">
                  <c:v>3892.1204577394096</c:v>
                </c:pt>
                <c:pt idx="11">
                  <c:v>3745.5984742019673</c:v>
                </c:pt>
                <c:pt idx="12">
                  <c:v>4019.8060630395503</c:v>
                </c:pt>
                <c:pt idx="13">
                  <c:v>4987.066421222501</c:v>
                </c:pt>
                <c:pt idx="14">
                  <c:v>3514.85</c:v>
                </c:pt>
                <c:pt idx="15">
                  <c:v>4314.8999999999996</c:v>
                </c:pt>
                <c:pt idx="16">
                  <c:v>4636.46</c:v>
                </c:pt>
                <c:pt idx="17">
                  <c:v>4065.84</c:v>
                </c:pt>
                <c:pt idx="18">
                  <c:v>4437.5</c:v>
                </c:pt>
                <c:pt idx="19">
                  <c:v>4784.62</c:v>
                </c:pt>
                <c:pt idx="20">
                  <c:v>5412.0280000000002</c:v>
                </c:pt>
                <c:pt idx="21">
                  <c:v>4396.9160000000002</c:v>
                </c:pt>
                <c:pt idx="22">
                  <c:v>3993.7049999999999</c:v>
                </c:pt>
                <c:pt idx="23">
                  <c:v>3369.36</c:v>
                </c:pt>
                <c:pt idx="24">
                  <c:v>3216.92</c:v>
                </c:pt>
                <c:pt idx="25">
                  <c:v>4552.01</c:v>
                </c:pt>
                <c:pt idx="26">
                  <c:v>3663.6758964107494</c:v>
                </c:pt>
                <c:pt idx="27">
                  <c:v>2903.8487465421049</c:v>
                </c:pt>
                <c:pt idx="28" formatCode="#,##0">
                  <c:v>4157.7845198475097</c:v>
                </c:pt>
                <c:pt idx="29" formatCode="#,##0">
                  <c:v>4310.1395336212008</c:v>
                </c:pt>
                <c:pt idx="30" formatCode="#,##0">
                  <c:v>4160.1366049531489</c:v>
                </c:pt>
                <c:pt idx="31" formatCode="#,##0">
                  <c:v>4785.4184150367573</c:v>
                </c:pt>
                <c:pt idx="32" formatCode="#,##0">
                  <c:v>4861.2350774524348</c:v>
                </c:pt>
                <c:pt idx="33" formatCode="#,##0">
                  <c:v>4971.122502014774</c:v>
                </c:pt>
                <c:pt idx="34" formatCode="#,##0">
                  <c:v>5080.6069477054498</c:v>
                </c:pt>
                <c:pt idx="35" formatCode="#,##0">
                  <c:v>5169.2167822807514</c:v>
                </c:pt>
                <c:pt idx="36" formatCode="#,##0">
                  <c:v>5259.6574944335243</c:v>
                </c:pt>
                <c:pt idx="37" formatCode="#,##0">
                  <c:v>5326.831746608158</c:v>
                </c:pt>
                <c:pt idx="38" formatCode="#,##0">
                  <c:v>5421.2333611954036</c:v>
                </c:pt>
                <c:pt idx="39" formatCode="#,##0">
                  <c:v>5518.6288105996337</c:v>
                </c:pt>
                <c:pt idx="40" formatCode="#,##0">
                  <c:v>5618.5234025937225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8A-4B42-9354-197A86446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29184"/>
        <c:axId val="214925696"/>
      </c:lineChart>
      <c:catAx>
        <c:axId val="2100291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214925696"/>
        <c:crosses val="autoZero"/>
        <c:auto val="1"/>
        <c:lblAlgn val="ctr"/>
        <c:lblOffset val="100"/>
        <c:noMultiLvlLbl val="0"/>
      </c:catAx>
      <c:valAx>
        <c:axId val="214925696"/>
        <c:scaling>
          <c:orientation val="minMax"/>
          <c:min val="1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100291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95320031450484E-2"/>
          <c:y val="1.6257126992993674E-2"/>
          <c:w val="0.9217498319222398"/>
          <c:h val="0.83952825761867977"/>
        </c:manualLayout>
      </c:layout>
      <c:lineChart>
        <c:grouping val="standard"/>
        <c:varyColors val="0"/>
        <c:ser>
          <c:idx val="0"/>
          <c:order val="0"/>
          <c:tx>
            <c:strRef>
              <c:f>'Summer NCP-CP Ratio'!$B$4</c:f>
              <c:strCache>
                <c:ptCount val="1"/>
                <c:pt idx="0">
                  <c:v> South </c:v>
                </c:pt>
              </c:strCache>
            </c:strRef>
          </c:tx>
          <c:cat>
            <c:numRef>
              <c:f>'Summer NCP-CP Ratio'!$A$27:$A$47</c:f>
              <c:numCache>
                <c:formatCode>0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'Summer NCP-CP Ratio'!$B$27:$B$47</c:f>
              <c:numCache>
                <c:formatCode>_(* #,##0_);_(* \(#,##0\);_(* "-"??_);_(@_)</c:formatCode>
                <c:ptCount val="21"/>
                <c:pt idx="0">
                  <c:v>5664.1</c:v>
                </c:pt>
                <c:pt idx="1">
                  <c:v>5547.18</c:v>
                </c:pt>
                <c:pt idx="2">
                  <c:v>5411.66</c:v>
                </c:pt>
                <c:pt idx="3">
                  <c:v>5455.35</c:v>
                </c:pt>
                <c:pt idx="4">
                  <c:v>5727.53</c:v>
                </c:pt>
                <c:pt idx="5">
                  <c:v>5566.94</c:v>
                </c:pt>
                <c:pt idx="6" formatCode="#,##0">
                  <c:v>5789.3291188793437</c:v>
                </c:pt>
                <c:pt idx="7" formatCode="#,##0">
                  <c:v>5504.4417820818908</c:v>
                </c:pt>
                <c:pt idx="8" formatCode="#,##0">
                  <c:v>5746.3787913241968</c:v>
                </c:pt>
                <c:pt idx="9" formatCode="#,##0">
                  <c:v>5579.8347685989356</c:v>
                </c:pt>
                <c:pt idx="10" formatCode="#,##0">
                  <c:v>5994.0019255438619</c:v>
                </c:pt>
                <c:pt idx="11" formatCode="#,##0">
                  <c:v>6046.2802537913094</c:v>
                </c:pt>
                <c:pt idx="12" formatCode="#,##0">
                  <c:v>6121.940624921087</c:v>
                </c:pt>
                <c:pt idx="13" formatCode="#,##0">
                  <c:v>6241.0529472585122</c:v>
                </c:pt>
                <c:pt idx="14" formatCode="#,##0">
                  <c:v>6363.1249251492709</c:v>
                </c:pt>
                <c:pt idx="15" formatCode="#,##0">
                  <c:v>6464.0308028943773</c:v>
                </c:pt>
                <c:pt idx="16" formatCode="#,##0">
                  <c:v>6563.0066864053269</c:v>
                </c:pt>
                <c:pt idx="17" formatCode="#,##0">
                  <c:v>6639.6921775049123</c:v>
                </c:pt>
                <c:pt idx="18" formatCode="#,##0">
                  <c:v>6741.5933380095794</c:v>
                </c:pt>
                <c:pt idx="19" formatCode="#,##0">
                  <c:v>6875.0149119595244</c:v>
                </c:pt>
                <c:pt idx="20" formatCode="#,##0">
                  <c:v>7030.4720658503502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8-47DE-8B75-785E8D4E2198}"/>
            </c:ext>
          </c:extLst>
        </c:ser>
        <c:ser>
          <c:idx val="1"/>
          <c:order val="1"/>
          <c:tx>
            <c:strRef>
              <c:f>'Summer NCP-CP Ratio'!$C$4</c:f>
              <c:strCache>
                <c:ptCount val="1"/>
                <c:pt idx="0">
                  <c:v>Southeast</c:v>
                </c:pt>
              </c:strCache>
            </c:strRef>
          </c:tx>
          <c:cat>
            <c:numRef>
              <c:f>'Summer NCP-CP Ratio'!$A$27:$A$47</c:f>
              <c:numCache>
                <c:formatCode>0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'Summer NCP-CP Ratio'!$C$27:$C$47</c:f>
              <c:numCache>
                <c:formatCode>_(* #,##0_);_(* \(#,##0\);_(* "-"??_);_(@_)</c:formatCode>
                <c:ptCount val="21"/>
                <c:pt idx="0">
                  <c:v>4172.79</c:v>
                </c:pt>
                <c:pt idx="1">
                  <c:v>3969.65</c:v>
                </c:pt>
                <c:pt idx="2">
                  <c:v>4038.56</c:v>
                </c:pt>
                <c:pt idx="3">
                  <c:v>3927.38</c:v>
                </c:pt>
                <c:pt idx="4">
                  <c:v>4084.66</c:v>
                </c:pt>
                <c:pt idx="5">
                  <c:v>3979</c:v>
                </c:pt>
                <c:pt idx="6" formatCode="#,##0">
                  <c:v>4147.1045338884423</c:v>
                </c:pt>
                <c:pt idx="7" formatCode="#,##0">
                  <c:v>4030.4057494749109</c:v>
                </c:pt>
                <c:pt idx="8" formatCode="#,##0">
                  <c:v>4121.7235402253409</c:v>
                </c:pt>
                <c:pt idx="9" formatCode="#,##0">
                  <c:v>3959.5207938637</c:v>
                </c:pt>
                <c:pt idx="10" formatCode="#,##0">
                  <c:v>4305.1890381606227</c:v>
                </c:pt>
                <c:pt idx="11" formatCode="#,##0">
                  <c:v>4323.840145600273</c:v>
                </c:pt>
                <c:pt idx="12" formatCode="#,##0">
                  <c:v>4351.0948561622326</c:v>
                </c:pt>
                <c:pt idx="13" formatCode="#,##0">
                  <c:v>4408.3020981586851</c:v>
                </c:pt>
                <c:pt idx="14" formatCode="#,##0">
                  <c:v>4468.2747203394038</c:v>
                </c:pt>
                <c:pt idx="15" formatCode="#,##0">
                  <c:v>4513.4174425998362</c:v>
                </c:pt>
                <c:pt idx="16" formatCode="#,##0">
                  <c:v>4556.7562663240406</c:v>
                </c:pt>
                <c:pt idx="17" formatCode="#,##0">
                  <c:v>4584.7430950410389</c:v>
                </c:pt>
                <c:pt idx="18" formatCode="#,##0">
                  <c:v>4630.1923896122335</c:v>
                </c:pt>
                <c:pt idx="19" formatCode="#,##0">
                  <c:v>4697.0410691356537</c:v>
                </c:pt>
                <c:pt idx="20" formatCode="#,##0">
                  <c:v>4778.8476112571425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8-47DE-8B75-785E8D4E2198}"/>
            </c:ext>
          </c:extLst>
        </c:ser>
        <c:ser>
          <c:idx val="2"/>
          <c:order val="2"/>
          <c:tx>
            <c:strRef>
              <c:f>'Summer NCP-CP Ratio'!$D$4</c:f>
              <c:strCache>
                <c:ptCount val="1"/>
                <c:pt idx="0">
                  <c:v>East</c:v>
                </c:pt>
              </c:strCache>
            </c:strRef>
          </c:tx>
          <c:cat>
            <c:numRef>
              <c:f>'Summer NCP-CP Ratio'!$A$27:$A$47</c:f>
              <c:numCache>
                <c:formatCode>0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'Summer NCP-CP Ratio'!$D$27:$D$47</c:f>
              <c:numCache>
                <c:formatCode>_(* #,##0_);_(* \(#,##0\);_(* "-"??_);_(@_)</c:formatCode>
                <c:ptCount val="21"/>
                <c:pt idx="0">
                  <c:v>4718.97</c:v>
                </c:pt>
                <c:pt idx="1">
                  <c:v>4568.33</c:v>
                </c:pt>
                <c:pt idx="2">
                  <c:v>4586.75</c:v>
                </c:pt>
                <c:pt idx="3">
                  <c:v>4673.8599999999997</c:v>
                </c:pt>
                <c:pt idx="4">
                  <c:v>4811.3100000000004</c:v>
                </c:pt>
                <c:pt idx="5">
                  <c:v>4578.87</c:v>
                </c:pt>
                <c:pt idx="6" formatCode="#,##0">
                  <c:v>4753.0477251646989</c:v>
                </c:pt>
                <c:pt idx="7" formatCode="#,##0">
                  <c:v>5051.4462184493468</c:v>
                </c:pt>
                <c:pt idx="8" formatCode="#,##0">
                  <c:v>4374.7876933291636</c:v>
                </c:pt>
                <c:pt idx="9" formatCode="#,##0">
                  <c:v>4823.089395355365</c:v>
                </c:pt>
                <c:pt idx="10" formatCode="#,##0">
                  <c:v>4906.4058477412264</c:v>
                </c:pt>
                <c:pt idx="11" formatCode="#,##0">
                  <c:v>4941.4074811577193</c:v>
                </c:pt>
                <c:pt idx="12" formatCode="#,##0">
                  <c:v>4974.5442621156162</c:v>
                </c:pt>
                <c:pt idx="13" formatCode="#,##0">
                  <c:v>5040.0336769114965</c:v>
                </c:pt>
                <c:pt idx="14" formatCode="#,##0">
                  <c:v>5107.1546010172378</c:v>
                </c:pt>
                <c:pt idx="15" formatCode="#,##0">
                  <c:v>5156.6144442293362</c:v>
                </c:pt>
                <c:pt idx="16" formatCode="#,##0">
                  <c:v>5203.65934429763</c:v>
                </c:pt>
                <c:pt idx="17" formatCode="#,##0">
                  <c:v>5232.1858617755433</c:v>
                </c:pt>
                <c:pt idx="18" formatCode="#,##0">
                  <c:v>5280.143096048675</c:v>
                </c:pt>
                <c:pt idx="19" formatCode="#,##0">
                  <c:v>5352.1582993105949</c:v>
                </c:pt>
                <c:pt idx="20" formatCode="#,##0">
                  <c:v>5440.3728052691631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38-47DE-8B75-785E8D4E2198}"/>
            </c:ext>
          </c:extLst>
        </c:ser>
        <c:ser>
          <c:idx val="3"/>
          <c:order val="3"/>
          <c:tx>
            <c:strRef>
              <c:f>'Summer NCP-CP Ratio'!$E$4</c:f>
              <c:strCache>
                <c:ptCount val="1"/>
                <c:pt idx="0">
                  <c:v>Northeast</c:v>
                </c:pt>
              </c:strCache>
            </c:strRef>
          </c:tx>
          <c:cat>
            <c:numRef>
              <c:f>'Summer NCP-CP Ratio'!$A$27:$A$47</c:f>
              <c:numCache>
                <c:formatCode>0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'Summer NCP-CP Ratio'!$E$27:$E$47</c:f>
              <c:numCache>
                <c:formatCode>_(* #,##0_);_(* \(#,##0\);_(* "-"??_);_(@_)</c:formatCode>
                <c:ptCount val="21"/>
                <c:pt idx="0">
                  <c:v>3613.83</c:v>
                </c:pt>
                <c:pt idx="1">
                  <c:v>3510.22</c:v>
                </c:pt>
                <c:pt idx="2">
                  <c:v>3231.78</c:v>
                </c:pt>
                <c:pt idx="3">
                  <c:v>3609.97</c:v>
                </c:pt>
                <c:pt idx="4">
                  <c:v>3289.82</c:v>
                </c:pt>
                <c:pt idx="5">
                  <c:v>3587.85</c:v>
                </c:pt>
                <c:pt idx="6" formatCode="#,##0">
                  <c:v>3790.3594982154696</c:v>
                </c:pt>
                <c:pt idx="7" formatCode="#,##0">
                  <c:v>3517.4335751885046</c:v>
                </c:pt>
                <c:pt idx="8" formatCode="#,##0">
                  <c:v>3827.3814127968108</c:v>
                </c:pt>
                <c:pt idx="9" formatCode="#,##0">
                  <c:v>3330.4820778140906</c:v>
                </c:pt>
                <c:pt idx="10" formatCode="#,##0">
                  <c:v>3732.5584165402379</c:v>
                </c:pt>
                <c:pt idx="11" formatCode="#,##0">
                  <c:v>3794.125963875319</c:v>
                </c:pt>
                <c:pt idx="12" formatCode="#,##0">
                  <c:v>3848.3674844740331</c:v>
                </c:pt>
                <c:pt idx="13" formatCode="#,##0">
                  <c:v>3928.160303892123</c:v>
                </c:pt>
                <c:pt idx="14" formatCode="#,##0">
                  <c:v>4009.6927206167029</c:v>
                </c:pt>
                <c:pt idx="15" formatCode="#,##0">
                  <c:v>4077.8393982354419</c:v>
                </c:pt>
                <c:pt idx="16" formatCode="#,##0">
                  <c:v>4144.5824319610329</c:v>
                </c:pt>
                <c:pt idx="17" formatCode="#,##0">
                  <c:v>4196.9295228325127</c:v>
                </c:pt>
                <c:pt idx="18" formatCode="#,##0">
                  <c:v>4264.6267931959128</c:v>
                </c:pt>
                <c:pt idx="19" formatCode="#,##0">
                  <c:v>4351.5916712652797</c:v>
                </c:pt>
                <c:pt idx="20" formatCode="#,##0">
                  <c:v>4451.8736527955016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38-47DE-8B75-785E8D4E2198}"/>
            </c:ext>
          </c:extLst>
        </c:ser>
        <c:ser>
          <c:idx val="4"/>
          <c:order val="4"/>
          <c:tx>
            <c:strRef>
              <c:f>'Summer NCP-CP Ratio'!$F$4</c:f>
              <c:strCache>
                <c:ptCount val="1"/>
                <c:pt idx="0">
                  <c:v>West</c:v>
                </c:pt>
              </c:strCache>
            </c:strRef>
          </c:tx>
          <c:cat>
            <c:numRef>
              <c:f>'Summer NCP-CP Ratio'!$A$27:$A$47</c:f>
              <c:numCache>
                <c:formatCode>0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'Summer NCP-CP Ratio'!$F$27:$F$47</c:f>
              <c:numCache>
                <c:formatCode>_(* #,##0_);_(* \(#,##0\);_(* "-"??_);_(@_)</c:formatCode>
                <c:ptCount val="21"/>
                <c:pt idx="0">
                  <c:v>3951.25</c:v>
                </c:pt>
                <c:pt idx="1">
                  <c:v>3856.2710000000002</c:v>
                </c:pt>
                <c:pt idx="2">
                  <c:v>3931.7770000000005</c:v>
                </c:pt>
                <c:pt idx="3">
                  <c:v>3854.57</c:v>
                </c:pt>
                <c:pt idx="4">
                  <c:v>3855.8500000000004</c:v>
                </c:pt>
                <c:pt idx="5">
                  <c:v>4317.8599999999997</c:v>
                </c:pt>
                <c:pt idx="6" formatCode="#,##0">
                  <c:v>4307.1591238520459</c:v>
                </c:pt>
                <c:pt idx="7" formatCode="#,##0">
                  <c:v>4187.2726748053501</c:v>
                </c:pt>
                <c:pt idx="8" formatCode="#,##0">
                  <c:v>4101.7285623244879</c:v>
                </c:pt>
                <c:pt idx="9" formatCode="#,##0">
                  <c:v>5503.0729643679142</c:v>
                </c:pt>
                <c:pt idx="10" formatCode="#,##0">
                  <c:v>4425.9979786810463</c:v>
                </c:pt>
                <c:pt idx="11" formatCode="#,##0">
                  <c:v>4502.3066716102712</c:v>
                </c:pt>
                <c:pt idx="12" formatCode="#,##0">
                  <c:v>4579.7037994535649</c:v>
                </c:pt>
                <c:pt idx="13" formatCode="#,##0">
                  <c:v>4682.8885985532706</c:v>
                </c:pt>
                <c:pt idx="14" formatCode="#,##0">
                  <c:v>4785.8136250898251</c:v>
                </c:pt>
                <c:pt idx="15" formatCode="#,##0">
                  <c:v>4871.8582493717431</c:v>
                </c:pt>
                <c:pt idx="16" formatCode="#,##0">
                  <c:v>4955.9339171554802</c:v>
                </c:pt>
                <c:pt idx="17" formatCode="#,##0">
                  <c:v>5022.7992538353028</c:v>
                </c:pt>
                <c:pt idx="18" formatCode="#,##0">
                  <c:v>5108.4855567351442</c:v>
                </c:pt>
                <c:pt idx="19" formatCode="#,##0">
                  <c:v>5218.2631269238482</c:v>
                </c:pt>
                <c:pt idx="20" formatCode="#,##0">
                  <c:v>5345.0934105444667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38-47DE-8B75-785E8D4E2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87296"/>
        <c:axId val="133289088"/>
      </c:lineChart>
      <c:catAx>
        <c:axId val="13328729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33289088"/>
        <c:crosses val="autoZero"/>
        <c:auto val="1"/>
        <c:lblAlgn val="ctr"/>
        <c:lblOffset val="100"/>
        <c:noMultiLvlLbl val="0"/>
      </c:catAx>
      <c:valAx>
        <c:axId val="133289088"/>
        <c:scaling>
          <c:orientation val="minMax"/>
          <c:min val="2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332872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491065</xdr:colOff>
      <xdr:row>43</xdr:row>
      <xdr:rowOff>152926</xdr:rowOff>
    </xdr:from>
    <xdr:to>
      <xdr:col>20</xdr:col>
      <xdr:colOff>169333</xdr:colOff>
      <xdr:row>68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0.75569</cdr:x>
      <cdr:y>0.05005</cdr:y>
    </cdr:from>
    <cdr:to>
      <cdr:x>0.75569</cdr:x>
      <cdr:y>0.84207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92065F0-C2FD-43E1-9E0A-2AB1F74AFCB0}"/>
            </a:ext>
          </a:extLst>
        </cdr:cNvPr>
        <cdr:cNvCxnSpPr/>
      </cdr:nvCxnSpPr>
      <cdr:spPr>
        <a:xfrm xmlns:a="http://schemas.openxmlformats.org/drawingml/2006/main" flipV="1">
          <a:off x="7106743" y="234417"/>
          <a:ext cx="0" cy="37095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1247774</xdr:colOff>
      <xdr:row>48</xdr:row>
      <xdr:rowOff>163511</xdr:rowOff>
    </xdr:from>
    <xdr:to>
      <xdr:col>20</xdr:col>
      <xdr:colOff>96307</xdr:colOff>
      <xdr:row>73</xdr:row>
      <xdr:rowOff>168274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0.44935</cdr:x>
      <cdr:y>0.01743</cdr:y>
    </cdr:from>
    <cdr:to>
      <cdr:x>0.44935</cdr:x>
      <cdr:y>0.85259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5DAC041-2B33-443D-B628-110B59321D28}"/>
            </a:ext>
          </a:extLst>
        </cdr:cNvPr>
        <cdr:cNvCxnSpPr/>
      </cdr:nvCxnSpPr>
      <cdr:spPr>
        <a:xfrm xmlns:a="http://schemas.openxmlformats.org/drawingml/2006/main" flipV="1">
          <a:off x="3943324" y="83093"/>
          <a:ext cx="0" cy="39814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41"/>
  <sheetViews>
    <sheetView tabSelected="1" workbookViewId="0">
      <pane xSplit="1" ySplit="4" topLeftCell="B5" activePane="bottomRight" state="frozen"/>
      <selection activeCell="Q7" sqref="Q7"/>
      <selection pane="topRight" activeCell="Q7" sqref="Q7"/>
      <selection pane="bottomLeft" activeCell="Q7" sqref="Q7"/>
      <selection pane="bottomRight" activeCell="Q9" sqref="Q9"/>
    </sheetView>
  </sheetViews>
  <sheetFormatPr defaultRowHeight="15" x14ac:dyDescent="0.25"/>
  <cols>
    <col min="1" max="1" width="5" bestFit="1" customWidth="1"/>
    <col min="2" max="2" width="10.5703125" bestFit="1" customWidth="1"/>
    <col min="3" max="3" width="7.28515625" customWidth="1"/>
    <col min="5" max="5" width="13.28515625" bestFit="1" customWidth="1"/>
    <col min="6" max="6" width="10.42578125" bestFit="1" customWidth="1"/>
    <col min="7" max="7" width="10" customWidth="1"/>
    <col min="8" max="8" width="6.85546875" bestFit="1" customWidth="1"/>
    <col min="9" max="9" width="3.42578125" customWidth="1"/>
    <col min="10" max="15" width="5.7109375" customWidth="1"/>
    <col min="16" max="16" width="11.28515625" customWidth="1"/>
    <col min="17" max="22" width="8.42578125" bestFit="1" customWidth="1"/>
    <col min="23" max="23" width="16" bestFit="1" customWidth="1"/>
    <col min="24" max="25" width="5.7109375" customWidth="1"/>
    <col min="26" max="30" width="6.85546875" bestFit="1" customWidth="1"/>
    <col min="31" max="31" width="6.5703125" bestFit="1" customWidth="1"/>
    <col min="32" max="32" width="6.7109375" bestFit="1" customWidth="1"/>
    <col min="33" max="33" width="20.42578125" bestFit="1" customWidth="1"/>
  </cols>
  <sheetData>
    <row r="1" spans="1:33" x14ac:dyDescent="0.25">
      <c r="A1" s="217" t="s">
        <v>74</v>
      </c>
    </row>
    <row r="2" spans="1:33" x14ac:dyDescent="0.25">
      <c r="A2" s="217" t="s">
        <v>73</v>
      </c>
    </row>
    <row r="3" spans="1:33" x14ac:dyDescent="0.25">
      <c r="B3" s="106"/>
      <c r="C3" s="106"/>
      <c r="D3" s="106"/>
      <c r="E3" s="106"/>
      <c r="F3" s="106"/>
      <c r="G3" s="106"/>
      <c r="H3" s="106"/>
      <c r="I3" s="106"/>
      <c r="J3" s="218" t="s">
        <v>5</v>
      </c>
      <c r="K3" s="218"/>
      <c r="L3" s="218"/>
      <c r="M3" s="218"/>
      <c r="N3" s="218"/>
      <c r="O3" s="118"/>
      <c r="P3" s="106"/>
      <c r="Q3" s="219" t="s">
        <v>44</v>
      </c>
      <c r="R3" s="218"/>
      <c r="S3" s="218"/>
      <c r="T3" s="218"/>
      <c r="U3" s="218"/>
      <c r="V3" s="218"/>
      <c r="W3" s="106"/>
      <c r="X3" s="106"/>
      <c r="Y3" s="106"/>
      <c r="Z3" s="219" t="s">
        <v>45</v>
      </c>
      <c r="AA3" s="218"/>
      <c r="AB3" s="218"/>
      <c r="AC3" s="218"/>
      <c r="AD3" s="218"/>
      <c r="AE3" s="218"/>
      <c r="AF3" s="106"/>
    </row>
    <row r="4" spans="1:33" ht="30" x14ac:dyDescent="0.25">
      <c r="B4" s="105" t="s">
        <v>0</v>
      </c>
      <c r="C4" s="105" t="s">
        <v>1</v>
      </c>
      <c r="D4" s="105" t="s">
        <v>35</v>
      </c>
      <c r="E4" s="107" t="s">
        <v>38</v>
      </c>
      <c r="F4" s="105" t="s">
        <v>2</v>
      </c>
      <c r="G4" s="107" t="s">
        <v>3</v>
      </c>
      <c r="H4" s="105" t="s">
        <v>4</v>
      </c>
      <c r="I4" s="106"/>
      <c r="J4" s="105" t="s">
        <v>39</v>
      </c>
      <c r="K4" s="105" t="s">
        <v>40</v>
      </c>
      <c r="L4" s="105" t="s">
        <v>41</v>
      </c>
      <c r="M4" s="105" t="s">
        <v>42</v>
      </c>
      <c r="N4" s="105" t="s">
        <v>43</v>
      </c>
      <c r="O4" s="118"/>
      <c r="P4" s="106"/>
      <c r="Q4" s="105" t="s">
        <v>39</v>
      </c>
      <c r="R4" s="105" t="s">
        <v>40</v>
      </c>
      <c r="S4" s="105" t="s">
        <v>41</v>
      </c>
      <c r="T4" s="105" t="s">
        <v>42</v>
      </c>
      <c r="U4" s="105" t="s">
        <v>43</v>
      </c>
      <c r="V4" s="105" t="s">
        <v>15</v>
      </c>
      <c r="W4" s="105" t="s">
        <v>16</v>
      </c>
      <c r="X4" s="105"/>
      <c r="Y4" s="106"/>
      <c r="Z4" s="105" t="s">
        <v>39</v>
      </c>
      <c r="AA4" s="105" t="s">
        <v>40</v>
      </c>
      <c r="AB4" s="105" t="s">
        <v>41</v>
      </c>
      <c r="AC4" s="105" t="s">
        <v>42</v>
      </c>
      <c r="AD4" s="105" t="s">
        <v>43</v>
      </c>
      <c r="AE4" s="105" t="s">
        <v>15</v>
      </c>
      <c r="AF4" s="105" t="s">
        <v>17</v>
      </c>
    </row>
    <row r="5" spans="1:33" x14ac:dyDescent="0.25">
      <c r="A5" s="6">
        <v>2016</v>
      </c>
      <c r="B5" s="1">
        <v>17031</v>
      </c>
      <c r="C5" s="2">
        <v>702</v>
      </c>
      <c r="D5" s="154">
        <v>200</v>
      </c>
      <c r="E5" s="3">
        <f>B5-C5-D5</f>
        <v>16129</v>
      </c>
      <c r="F5" s="2">
        <v>4840278.833333333</v>
      </c>
      <c r="G5" s="4">
        <f>E5/F5*1000</f>
        <v>3.3322460451916802</v>
      </c>
      <c r="P5" s="6">
        <v>2016</v>
      </c>
      <c r="Q5" s="2">
        <v>3658.41</v>
      </c>
      <c r="R5" s="2">
        <v>3404.81</v>
      </c>
      <c r="S5" s="2">
        <v>2948.54</v>
      </c>
      <c r="T5" s="2">
        <v>2413.94</v>
      </c>
      <c r="U5" s="2">
        <v>3652.0299999999997</v>
      </c>
      <c r="V5" s="2">
        <f>SUM(Q5:U5)</f>
        <v>16077.73</v>
      </c>
      <c r="W5" s="5">
        <f t="shared" ref="W5" si="0">V5/E5-1</f>
        <v>-3.1787463574927122E-3</v>
      </c>
      <c r="X5" s="5"/>
      <c r="Y5" s="6">
        <v>2016</v>
      </c>
      <c r="Z5" s="2">
        <f>Q5/(1+$W5)</f>
        <v>3670.0762414843389</v>
      </c>
      <c r="AA5" s="2">
        <f t="shared" ref="AA5:AD5" si="1">R5/(1+$W5)</f>
        <v>3415.6675407535763</v>
      </c>
      <c r="AB5" s="2">
        <f t="shared" si="1"/>
        <v>2957.9425491036359</v>
      </c>
      <c r="AC5" s="2">
        <f t="shared" si="1"/>
        <v>2421.6377722476991</v>
      </c>
      <c r="AD5" s="2">
        <f t="shared" si="1"/>
        <v>3663.6758964107494</v>
      </c>
      <c r="AE5" s="2">
        <f>SUM(Z5:AD5)</f>
        <v>16129</v>
      </c>
      <c r="AF5" s="108">
        <f>AE5-E5</f>
        <v>0</v>
      </c>
    </row>
    <row r="6" spans="1:33" s="158" customFormat="1" x14ac:dyDescent="0.25">
      <c r="A6" s="153">
        <v>2017</v>
      </c>
      <c r="B6" s="1">
        <v>14742</v>
      </c>
      <c r="C6" s="2">
        <v>620</v>
      </c>
      <c r="D6" s="154">
        <v>200</v>
      </c>
      <c r="E6" s="155">
        <f>B6-C6-D6</f>
        <v>13922</v>
      </c>
      <c r="F6" s="154">
        <v>4901886.0000000009</v>
      </c>
      <c r="G6" s="156">
        <f>E6/F6*1000</f>
        <v>2.8401313290435555</v>
      </c>
      <c r="H6" s="157">
        <f>G6/G5-1</f>
        <v>-0.14768258690207758</v>
      </c>
      <c r="J6" s="157">
        <v>1.0084232841461205E-2</v>
      </c>
      <c r="K6" s="157">
        <v>1.3465632437023922E-2</v>
      </c>
      <c r="L6" s="157">
        <v>1.3996941889291126E-2</v>
      </c>
      <c r="M6" s="157">
        <v>8.6920691609035927E-3</v>
      </c>
      <c r="N6" s="157">
        <v>1.7060823185898411E-2</v>
      </c>
      <c r="O6" s="157"/>
      <c r="P6" s="153">
        <v>2017</v>
      </c>
      <c r="Q6" s="161">
        <v>3042.413</v>
      </c>
      <c r="R6" s="161">
        <v>2757.5794999999998</v>
      </c>
      <c r="S6" s="161">
        <v>2580.7660999999998</v>
      </c>
      <c r="T6" s="161">
        <v>2101.1561999999999</v>
      </c>
      <c r="U6" s="161">
        <v>2762.5228999999999</v>
      </c>
      <c r="V6" s="161">
        <f t="shared" ref="V6:V14" si="2">SUM(Q6:U6)</f>
        <v>13244.4377</v>
      </c>
      <c r="W6" s="157">
        <f>V6/E6-1</f>
        <v>-4.8668459991380475E-2</v>
      </c>
      <c r="X6" s="157"/>
      <c r="Y6" s="153">
        <v>2017</v>
      </c>
      <c r="Z6" s="154">
        <f>Q6/(1+$W6)</f>
        <v>3198.0575352021169</v>
      </c>
      <c r="AA6" s="154">
        <f t="shared" ref="AA6:AA19" si="3">R6/(1+$W6)</f>
        <v>2898.6524508322459</v>
      </c>
      <c r="AB6" s="154">
        <f>S6/(1+$W6)</f>
        <v>2712.793586110492</v>
      </c>
      <c r="AC6" s="154">
        <f t="shared" ref="AC6:AC19" si="4">T6/(1+$W6)</f>
        <v>2208.6476813130389</v>
      </c>
      <c r="AD6" s="154">
        <f>U6/(1+$W6)</f>
        <v>2903.8487465421049</v>
      </c>
      <c r="AE6" s="154">
        <f>SUM(Z6:AD6)</f>
        <v>13922</v>
      </c>
      <c r="AF6" s="159">
        <f>AE6-E6</f>
        <v>0</v>
      </c>
      <c r="AG6" s="154"/>
    </row>
    <row r="7" spans="1:33" s="158" customFormat="1" x14ac:dyDescent="0.25">
      <c r="A7" s="153">
        <f>A6+1</f>
        <v>2018</v>
      </c>
      <c r="B7" s="173">
        <v>19109</v>
      </c>
      <c r="C7" s="154">
        <v>832</v>
      </c>
      <c r="D7" s="154">
        <v>200</v>
      </c>
      <c r="E7" s="155">
        <f>B7-C7-D7</f>
        <v>18077</v>
      </c>
      <c r="F7" s="154">
        <v>4961329.666666667</v>
      </c>
      <c r="G7" s="156">
        <f>E7/F7*1000</f>
        <v>3.6435796882139591</v>
      </c>
      <c r="H7" s="157">
        <f>G7/G6-1</f>
        <v>0.28289127018678162</v>
      </c>
      <c r="J7" s="157">
        <v>1.093092865380374E-2</v>
      </c>
      <c r="K7" s="157">
        <v>1.4556012534748142E-2</v>
      </c>
      <c r="L7" s="157">
        <v>1.1781677423876369E-2</v>
      </c>
      <c r="M7" s="157">
        <v>7.4818437639347923E-3</v>
      </c>
      <c r="N7" s="157">
        <v>1.6025222383804216E-2</v>
      </c>
      <c r="O7"/>
      <c r="P7" s="153">
        <f>P6+1</f>
        <v>2018</v>
      </c>
      <c r="Q7" s="161">
        <v>4443.6499999999996</v>
      </c>
      <c r="R7" s="161">
        <v>3861.0346</v>
      </c>
      <c r="S7" s="161">
        <v>3114.3701000000001</v>
      </c>
      <c r="T7" s="161">
        <v>2698.5553</v>
      </c>
      <c r="U7" s="161">
        <v>4217.0465999999997</v>
      </c>
      <c r="V7" s="154">
        <f t="shared" si="2"/>
        <v>18334.656600000002</v>
      </c>
      <c r="W7" s="157">
        <f>V7/E7-1</f>
        <v>1.4253283177518616E-2</v>
      </c>
      <c r="X7" s="157"/>
      <c r="Y7" s="153">
        <f>Y6+1</f>
        <v>2018</v>
      </c>
      <c r="Z7" s="154">
        <f>Q7/(1+$W7)</f>
        <v>4381.2034663359864</v>
      </c>
      <c r="AA7" s="154">
        <f t="shared" si="3"/>
        <v>3806.7755500912945</v>
      </c>
      <c r="AB7" s="154">
        <f>S7/(1+$W7)</f>
        <v>3070.6039129033911</v>
      </c>
      <c r="AC7" s="154">
        <f t="shared" si="4"/>
        <v>2660.6325508218129</v>
      </c>
      <c r="AD7" s="154">
        <f>U7/(1+$W7)</f>
        <v>4157.7845198475097</v>
      </c>
      <c r="AE7" s="154">
        <f t="shared" ref="AE7:AE14" si="5">SUM(Z7:AD7)</f>
        <v>18076.999999999993</v>
      </c>
      <c r="AF7" s="159">
        <f t="shared" ref="AF7:AF8" si="6">AE7-E7</f>
        <v>0</v>
      </c>
    </row>
    <row r="8" spans="1:33" s="158" customFormat="1" x14ac:dyDescent="0.25">
      <c r="A8" s="153">
        <f t="shared" ref="A8:A19" si="7">A7+1</f>
        <v>2019</v>
      </c>
      <c r="B8" s="173">
        <v>16400</v>
      </c>
      <c r="C8" s="154">
        <v>845</v>
      </c>
      <c r="D8" s="154">
        <v>200</v>
      </c>
      <c r="E8" s="155">
        <f t="shared" ref="E8:E19" si="8">B8-C8-D8</f>
        <v>15355</v>
      </c>
      <c r="F8" s="154">
        <v>5061525.2499999991</v>
      </c>
      <c r="G8" s="156">
        <f t="shared" ref="G8:G19" si="9">E8/F8*1000</f>
        <v>3.0336705324151061</v>
      </c>
      <c r="H8" s="157">
        <f t="shared" ref="H8:H19" si="10">G8/G7-1</f>
        <v>-0.16739284110397035</v>
      </c>
      <c r="J8" s="157">
        <v>4.3246015256587444E-2</v>
      </c>
      <c r="K8" s="157">
        <v>1.7815071157131657E-2</v>
      </c>
      <c r="L8" s="157">
        <v>1.3195337439730448E-2</v>
      </c>
      <c r="M8" s="157">
        <v>6.8218465341867152E-3</v>
      </c>
      <c r="N8" s="157">
        <v>1.8464558604405212E-2</v>
      </c>
      <c r="P8" s="153">
        <f t="shared" ref="P8:P19" si="11">P7+1</f>
        <v>2019</v>
      </c>
      <c r="Q8" s="161">
        <v>3422.7354999999998</v>
      </c>
      <c r="R8" s="161">
        <v>2915.2582000000002</v>
      </c>
      <c r="S8" s="161">
        <v>2946</v>
      </c>
      <c r="T8" s="161">
        <v>2436.6260000000002</v>
      </c>
      <c r="U8" s="161">
        <v>4573.8473999999997</v>
      </c>
      <c r="V8" s="154">
        <f t="shared" si="2"/>
        <v>16294.467099999998</v>
      </c>
      <c r="W8" s="157">
        <f>V8/E8-1</f>
        <v>6.1183139042656931E-2</v>
      </c>
      <c r="X8" s="157"/>
      <c r="Y8" s="153">
        <f t="shared" ref="Y8:Y19" si="12">Y7+1</f>
        <v>2019</v>
      </c>
      <c r="Z8" s="154">
        <f t="shared" ref="Z8:Z19" si="13">Q8/(1+$W8)</f>
        <v>3225.3956683554266</v>
      </c>
      <c r="AA8" s="154">
        <f t="shared" si="3"/>
        <v>2747.1772710504911</v>
      </c>
      <c r="AB8" s="154">
        <f t="shared" ref="AB8:AB19" si="14">S8/(1+$W8)</f>
        <v>2776.1466344609703</v>
      </c>
      <c r="AC8" s="154">
        <f t="shared" si="4"/>
        <v>2296.1408925119135</v>
      </c>
      <c r="AD8" s="154">
        <f t="shared" ref="AD8:AD19" si="15">U8/(1+$W8)</f>
        <v>4310.1395336212008</v>
      </c>
      <c r="AE8" s="154">
        <f t="shared" si="5"/>
        <v>15355.000000000004</v>
      </c>
      <c r="AF8" s="159">
        <f t="shared" si="6"/>
        <v>0</v>
      </c>
    </row>
    <row r="9" spans="1:33" ht="15.75" thickBot="1" x14ac:dyDescent="0.3">
      <c r="A9" s="162">
        <f t="shared" si="7"/>
        <v>2020</v>
      </c>
      <c r="B9" s="238">
        <v>17703.358459390653</v>
      </c>
      <c r="C9" s="201">
        <v>794.20699999999999</v>
      </c>
      <c r="D9" s="201">
        <v>200</v>
      </c>
      <c r="E9" s="202">
        <f>B9-C9-D9</f>
        <v>16709.151459390654</v>
      </c>
      <c r="F9" s="163">
        <v>5136995.333333334</v>
      </c>
      <c r="G9" s="164">
        <f t="shared" si="9"/>
        <v>3.2527090984426277</v>
      </c>
      <c r="H9" s="165">
        <f>G9/G8-1</f>
        <v>7.2202489916775914E-2</v>
      </c>
      <c r="I9" s="166"/>
      <c r="J9" s="204">
        <v>1.1690988714433637E-2</v>
      </c>
      <c r="K9" s="204">
        <v>2.2085330768423228E-2</v>
      </c>
      <c r="L9" s="204">
        <v>1.35038079001355E-2</v>
      </c>
      <c r="M9" s="204">
        <v>8.1679552374200881E-3</v>
      </c>
      <c r="N9" s="204">
        <v>2.0309297106056334E-2</v>
      </c>
      <c r="O9" t="s">
        <v>58</v>
      </c>
      <c r="P9" s="162">
        <f t="shared" si="11"/>
        <v>2020</v>
      </c>
      <c r="Q9" s="240">
        <v>4111.4768842531194</v>
      </c>
      <c r="R9" s="241">
        <v>3088.0778602409978</v>
      </c>
      <c r="S9" s="242">
        <v>2812.1747068163327</v>
      </c>
      <c r="T9" s="242">
        <v>2459.9539884439091</v>
      </c>
      <c r="U9" s="242">
        <v>4069.6404699105874</v>
      </c>
      <c r="V9" s="163">
        <f t="shared" si="2"/>
        <v>16541.323909664945</v>
      </c>
      <c r="W9" s="165">
        <f>V9/(E9+D9)-1</f>
        <v>-2.1753164291483884E-2</v>
      </c>
      <c r="X9" s="165"/>
      <c r="Y9" s="162">
        <f t="shared" si="12"/>
        <v>2020</v>
      </c>
      <c r="Z9" s="163">
        <f>Q9/(1+$W9)</f>
        <v>4202.9033309116658</v>
      </c>
      <c r="AA9" s="163">
        <f t="shared" si="3"/>
        <v>3156.7470985013629</v>
      </c>
      <c r="AB9" s="163">
        <f t="shared" si="14"/>
        <v>2874.7087178457932</v>
      </c>
      <c r="AC9" s="163">
        <f t="shared" si="4"/>
        <v>2514.6557071786847</v>
      </c>
      <c r="AD9" s="163">
        <f>U9/(1+$W9)</f>
        <v>4160.1366049531489</v>
      </c>
      <c r="AE9" s="163">
        <f t="shared" si="5"/>
        <v>16909.151459390654</v>
      </c>
      <c r="AF9" s="167">
        <f>AE9-E9-D9</f>
        <v>0</v>
      </c>
    </row>
    <row r="10" spans="1:33" x14ac:dyDescent="0.25">
      <c r="A10" s="6">
        <f t="shared" si="7"/>
        <v>2021</v>
      </c>
      <c r="B10" s="1">
        <v>20061.348352117635</v>
      </c>
      <c r="C10" s="233">
        <v>712.38949357466913</v>
      </c>
      <c r="D10" s="239">
        <v>200</v>
      </c>
      <c r="E10" s="234">
        <f t="shared" si="8"/>
        <v>19148.958858542966</v>
      </c>
      <c r="F10" s="2">
        <v>5188942.5</v>
      </c>
      <c r="G10" s="4">
        <f t="shared" si="9"/>
        <v>3.69033938197291</v>
      </c>
      <c r="H10" s="5">
        <f t="shared" si="10"/>
        <v>0.13454332074756281</v>
      </c>
      <c r="J10" s="5">
        <v>6.7409741180826099E-3</v>
      </c>
      <c r="K10" s="5">
        <v>1.610198788213979E-2</v>
      </c>
      <c r="L10" s="5">
        <v>8.3289084505897559E-3</v>
      </c>
      <c r="M10" s="5">
        <v>3.9393047590441377E-3</v>
      </c>
      <c r="N10" s="5">
        <v>1.6848282472744058E-2</v>
      </c>
      <c r="O10" s="5"/>
      <c r="P10" s="6">
        <f t="shared" si="11"/>
        <v>2021</v>
      </c>
      <c r="Q10" s="2">
        <f>Q9*(1+$H10+J10)</f>
        <v>4692.3639967012223</v>
      </c>
      <c r="R10" s="2">
        <f>R9*(1+$H10+K10)</f>
        <v>3553.2823025695543</v>
      </c>
      <c r="S10" s="2">
        <f t="shared" ref="R10:T14" si="16">S9*(1+$H10+L10)</f>
        <v>3213.9563760738433</v>
      </c>
      <c r="T10" s="2">
        <f t="shared" si="16"/>
        <v>2800.6148753890711</v>
      </c>
      <c r="U10" s="2">
        <f>U9*(1+$H10+N10)</f>
        <v>4685.7498651805945</v>
      </c>
      <c r="V10" s="2">
        <f>SUM(Q10:U10)</f>
        <v>18945.967415914285</v>
      </c>
      <c r="W10" s="5">
        <f t="shared" ref="W10:W18" si="17">V10/(E10+D10)-1</f>
        <v>-2.0827551785855047E-2</v>
      </c>
      <c r="X10" s="5"/>
      <c r="Y10" s="6">
        <f t="shared" si="12"/>
        <v>2021</v>
      </c>
      <c r="Z10" s="2">
        <f>Q10/(1+$W10)</f>
        <v>4792.1732328757298</v>
      </c>
      <c r="AA10" s="2">
        <f t="shared" si="3"/>
        <v>3628.8626268541125</v>
      </c>
      <c r="AB10" s="2">
        <f t="shared" si="14"/>
        <v>3282.319045981726</v>
      </c>
      <c r="AC10" s="2">
        <f t="shared" si="4"/>
        <v>2860.1855377946426</v>
      </c>
      <c r="AD10" s="2">
        <f t="shared" si="15"/>
        <v>4785.4184150367573</v>
      </c>
      <c r="AE10" s="2">
        <f t="shared" si="5"/>
        <v>19348.958858542966</v>
      </c>
      <c r="AF10" s="108">
        <f t="shared" ref="AF10:AF19" si="18">AE10-E10-D10</f>
        <v>0</v>
      </c>
    </row>
    <row r="11" spans="1:33" x14ac:dyDescent="0.25">
      <c r="A11" s="6">
        <f t="shared" si="7"/>
        <v>2022</v>
      </c>
      <c r="B11" s="1">
        <v>20289.416553970765</v>
      </c>
      <c r="C11" s="233">
        <v>740.91160697503494</v>
      </c>
      <c r="D11" s="239">
        <v>0</v>
      </c>
      <c r="E11" s="234">
        <f t="shared" si="8"/>
        <v>19548.50494699573</v>
      </c>
      <c r="F11" s="2">
        <v>5238590.666666666</v>
      </c>
      <c r="G11" s="4">
        <f t="shared" si="9"/>
        <v>3.7316343632999511</v>
      </c>
      <c r="H11" s="5">
        <f t="shared" si="10"/>
        <v>1.1190022665331201E-2</v>
      </c>
      <c r="J11" s="5">
        <v>4.6932363954428347E-3</v>
      </c>
      <c r="K11" s="5">
        <v>1.2346063348197545E-2</v>
      </c>
      <c r="L11" s="5">
        <v>1.0548721863938848E-2</v>
      </c>
      <c r="M11" s="5">
        <v>4.2873348204726103E-3</v>
      </c>
      <c r="N11" s="5">
        <v>1.5264294658212219E-2</v>
      </c>
      <c r="O11" s="5"/>
      <c r="P11" s="6">
        <f t="shared" si="11"/>
        <v>2022</v>
      </c>
      <c r="Q11" s="2">
        <f t="shared" ref="Q11" si="19">Q10*(1+$H11+J11)</f>
        <v>4766.8940296682767</v>
      </c>
      <c r="R11" s="2">
        <f t="shared" si="16"/>
        <v>3636.9126604731809</v>
      </c>
      <c r="S11" s="2">
        <f t="shared" si="16"/>
        <v>3283.8237526615312</v>
      </c>
      <c r="T11" s="2">
        <f t="shared" si="16"/>
        <v>2843.9609929955277</v>
      </c>
      <c r="U11" s="2">
        <f t="shared" ref="U11:U18" si="20">U10*(1+$H11+N11)</f>
        <v>4809.7081790128332</v>
      </c>
      <c r="V11" s="2">
        <f t="shared" si="2"/>
        <v>19341.299614811349</v>
      </c>
      <c r="W11" s="5">
        <f t="shared" si="17"/>
        <v>-1.0599548801619507E-2</v>
      </c>
      <c r="X11" s="5"/>
      <c r="Y11" s="6">
        <f t="shared" si="12"/>
        <v>2022</v>
      </c>
      <c r="Z11" s="2">
        <f t="shared" si="13"/>
        <v>4817.9622557221646</v>
      </c>
      <c r="AA11" s="2">
        <f t="shared" si="3"/>
        <v>3675.8752798910527</v>
      </c>
      <c r="AB11" s="2">
        <f t="shared" si="14"/>
        <v>3319.0036942919342</v>
      </c>
      <c r="AC11" s="2">
        <f t="shared" si="4"/>
        <v>2874.4286396381449</v>
      </c>
      <c r="AD11" s="2">
        <f t="shared" si="15"/>
        <v>4861.2350774524348</v>
      </c>
      <c r="AE11" s="2">
        <f t="shared" si="5"/>
        <v>19548.50494699573</v>
      </c>
      <c r="AF11" s="108">
        <f t="shared" si="18"/>
        <v>0</v>
      </c>
    </row>
    <row r="12" spans="1:33" x14ac:dyDescent="0.25">
      <c r="A12" s="6">
        <f t="shared" si="7"/>
        <v>2023</v>
      </c>
      <c r="B12" s="1">
        <v>20672.283828452852</v>
      </c>
      <c r="C12" s="233">
        <v>770.77559739872481</v>
      </c>
      <c r="D12" s="239">
        <v>0</v>
      </c>
      <c r="E12" s="234">
        <f t="shared" si="8"/>
        <v>19901.508231054126</v>
      </c>
      <c r="F12" s="2">
        <v>5301692.583333333</v>
      </c>
      <c r="G12" s="4">
        <f t="shared" si="9"/>
        <v>3.7538027560514364</v>
      </c>
      <c r="H12" s="5">
        <f t="shared" si="10"/>
        <v>5.9406658298326587E-3</v>
      </c>
      <c r="J12" s="5">
        <v>7.382334084086839E-3</v>
      </c>
      <c r="K12" s="5">
        <v>1.495084227274579E-2</v>
      </c>
      <c r="L12" s="5">
        <v>1.3673403180076482E-2</v>
      </c>
      <c r="M12" s="5">
        <v>7.3652093470626401E-3</v>
      </c>
      <c r="N12" s="5">
        <v>1.6747345880242959E-2</v>
      </c>
      <c r="O12" s="5"/>
      <c r="P12" s="6">
        <f t="shared" si="11"/>
        <v>2023</v>
      </c>
      <c r="Q12" s="2">
        <f t="shared" ref="Q12:Q13" si="21">Q11*(1+$H12+J12)</f>
        <v>4830.4033584152103</v>
      </c>
      <c r="R12" s="2">
        <f>R11*(1+$H12+K12)</f>
        <v>3712.8932507878267</v>
      </c>
      <c r="S12" s="2">
        <f t="shared" si="16"/>
        <v>3348.2328983626135</v>
      </c>
      <c r="T12" s="2">
        <f>T11*(1+$H12+M12)</f>
        <v>2881.8023829762856</v>
      </c>
      <c r="U12" s="2">
        <f t="shared" si="20"/>
        <v>4918.8308945003228</v>
      </c>
      <c r="V12" s="2">
        <f t="shared" si="2"/>
        <v>19692.162785042259</v>
      </c>
      <c r="W12" s="5">
        <f t="shared" si="17"/>
        <v>-1.0519074412923435E-2</v>
      </c>
      <c r="X12" s="5"/>
      <c r="Y12" s="6">
        <f t="shared" si="12"/>
        <v>2023</v>
      </c>
      <c r="Z12" s="2">
        <f t="shared" si="13"/>
        <v>4881.7549014896331</v>
      </c>
      <c r="AA12" s="2">
        <f t="shared" si="3"/>
        <v>3752.3646538056319</v>
      </c>
      <c r="AB12" s="2">
        <f t="shared" si="14"/>
        <v>3383.8276330350154</v>
      </c>
      <c r="AC12" s="2">
        <f t="shared" si="4"/>
        <v>2912.4385407090704</v>
      </c>
      <c r="AD12" s="2">
        <f t="shared" si="15"/>
        <v>4971.122502014774</v>
      </c>
      <c r="AE12" s="2">
        <f t="shared" si="5"/>
        <v>19901.508231054126</v>
      </c>
      <c r="AF12" s="108">
        <f t="shared" si="18"/>
        <v>0</v>
      </c>
    </row>
    <row r="13" spans="1:33" x14ac:dyDescent="0.25">
      <c r="A13" s="6">
        <f t="shared" si="7"/>
        <v>2024</v>
      </c>
      <c r="B13" s="1">
        <v>21062.42967901759</v>
      </c>
      <c r="C13" s="233">
        <v>802.04739359118093</v>
      </c>
      <c r="D13" s="239">
        <v>0</v>
      </c>
      <c r="E13" s="234">
        <f t="shared" si="8"/>
        <v>20260.382285426411</v>
      </c>
      <c r="F13" s="2">
        <v>5367753.166666667</v>
      </c>
      <c r="G13" s="4">
        <f t="shared" si="9"/>
        <v>3.7744623600134637</v>
      </c>
      <c r="H13" s="5">
        <f t="shared" si="10"/>
        <v>5.5036466497133674E-3</v>
      </c>
      <c r="J13" s="5">
        <v>7.9137991657820539E-3</v>
      </c>
      <c r="K13" s="5">
        <v>1.5351490985827221E-2</v>
      </c>
      <c r="L13" s="5">
        <v>1.4155230872592961E-2</v>
      </c>
      <c r="M13" s="5">
        <v>8.2006920517814219E-3</v>
      </c>
      <c r="N13" s="5">
        <v>1.6574470085122472E-2</v>
      </c>
      <c r="O13" s="5"/>
      <c r="P13" s="6">
        <f t="shared" si="11"/>
        <v>2024</v>
      </c>
      <c r="Q13" s="2">
        <f t="shared" si="21"/>
        <v>4895.2150337437333</v>
      </c>
      <c r="R13" s="2">
        <f t="shared" si="16"/>
        <v>3790.3261505590767</v>
      </c>
      <c r="S13" s="2">
        <f t="shared" si="16"/>
        <v>3414.0553988276806</v>
      </c>
      <c r="T13" s="2">
        <f t="shared" si="16"/>
        <v>2921.2955789033672</v>
      </c>
      <c r="U13" s="2">
        <f t="shared" si="20"/>
        <v>5027.4294171880183</v>
      </c>
      <c r="V13" s="2">
        <f t="shared" si="2"/>
        <v>20048.321579221876</v>
      </c>
      <c r="W13" s="5">
        <f t="shared" si="17"/>
        <v>-1.0466767271073318E-2</v>
      </c>
      <c r="X13" s="5"/>
      <c r="Y13" s="6">
        <f t="shared" si="12"/>
        <v>2024</v>
      </c>
      <c r="Z13" s="2">
        <f t="shared" si="13"/>
        <v>4946.9940693590952</v>
      </c>
      <c r="AA13" s="2">
        <f t="shared" si="3"/>
        <v>3830.4182469002544</v>
      </c>
      <c r="AB13" s="2">
        <f t="shared" si="14"/>
        <v>3450.1674990868437</v>
      </c>
      <c r="AC13" s="2">
        <f t="shared" si="4"/>
        <v>2952.1955223747686</v>
      </c>
      <c r="AD13" s="2">
        <f t="shared" si="15"/>
        <v>5080.6069477054498</v>
      </c>
      <c r="AE13" s="2">
        <f t="shared" si="5"/>
        <v>20260.382285426411</v>
      </c>
      <c r="AF13" s="108">
        <f t="shared" si="18"/>
        <v>0</v>
      </c>
    </row>
    <row r="14" spans="1:33" x14ac:dyDescent="0.25">
      <c r="A14" s="6">
        <f t="shared" si="7"/>
        <v>2025</v>
      </c>
      <c r="B14" s="1">
        <v>21373.173236267965</v>
      </c>
      <c r="C14" s="233">
        <v>834.79620210820769</v>
      </c>
      <c r="D14" s="239">
        <v>0</v>
      </c>
      <c r="E14" s="234">
        <f t="shared" si="8"/>
        <v>20538.377034159756</v>
      </c>
      <c r="F14" s="2">
        <v>5431123.75</v>
      </c>
      <c r="G14" s="4">
        <f t="shared" si="9"/>
        <v>3.7816072657449125</v>
      </c>
      <c r="H14" s="5">
        <f t="shared" si="10"/>
        <v>1.8929598575792017E-3</v>
      </c>
      <c r="J14" s="5">
        <v>7.3389019436655989E-3</v>
      </c>
      <c r="K14" s="5">
        <v>1.4649674998104212E-2</v>
      </c>
      <c r="L14" s="5">
        <v>1.3512146360030952E-2</v>
      </c>
      <c r="M14" s="5">
        <v>7.7574051788051879E-3</v>
      </c>
      <c r="N14" s="5">
        <v>1.5633250142123467E-2</v>
      </c>
      <c r="O14" s="5"/>
      <c r="P14" s="6">
        <f t="shared" si="11"/>
        <v>2025</v>
      </c>
      <c r="Q14" s="2">
        <f>Q13*(1+$H14+J14)</f>
        <v>4940.4069824226317</v>
      </c>
      <c r="R14" s="2">
        <f t="shared" si="16"/>
        <v>3853.0281320517238</v>
      </c>
      <c r="S14" s="2">
        <f t="shared" si="16"/>
        <v>3466.6492848794264</v>
      </c>
      <c r="T14" s="2">
        <f t="shared" si="16"/>
        <v>2949.4871476189605</v>
      </c>
      <c r="U14" s="2">
        <f t="shared" si="20"/>
        <v>5115.5412009123384</v>
      </c>
      <c r="V14" s="2">
        <f t="shared" si="2"/>
        <v>20325.112747885079</v>
      </c>
      <c r="W14" s="5">
        <f t="shared" si="17"/>
        <v>-1.0383697111021606E-2</v>
      </c>
      <c r="X14" s="5"/>
      <c r="Y14" s="6">
        <f t="shared" si="12"/>
        <v>2025</v>
      </c>
      <c r="Z14" s="2">
        <f t="shared" si="13"/>
        <v>4992.2449418023371</v>
      </c>
      <c r="AA14" s="2">
        <f t="shared" si="3"/>
        <v>3893.4566061650476</v>
      </c>
      <c r="AB14" s="2">
        <f t="shared" si="14"/>
        <v>3503.0236211340361</v>
      </c>
      <c r="AC14" s="2">
        <f t="shared" si="4"/>
        <v>2980.4350827775856</v>
      </c>
      <c r="AD14" s="2">
        <f t="shared" si="15"/>
        <v>5169.2167822807514</v>
      </c>
      <c r="AE14" s="2">
        <f t="shared" si="5"/>
        <v>20538.377034159756</v>
      </c>
      <c r="AF14" s="108">
        <f t="shared" si="18"/>
        <v>0</v>
      </c>
    </row>
    <row r="15" spans="1:33" x14ac:dyDescent="0.25">
      <c r="A15" s="6">
        <f t="shared" si="7"/>
        <v>2026</v>
      </c>
      <c r="B15" s="1">
        <v>21693.113959593793</v>
      </c>
      <c r="C15" s="233">
        <v>869.09467087602968</v>
      </c>
      <c r="D15" s="239">
        <v>0</v>
      </c>
      <c r="E15" s="234">
        <f t="shared" si="8"/>
        <v>20824.019288717762</v>
      </c>
      <c r="F15" s="2">
        <v>5492698.916666667</v>
      </c>
      <c r="G15" s="4">
        <f t="shared" si="9"/>
        <v>3.7912180523004442</v>
      </c>
      <c r="H15" s="5">
        <f t="shared" si="10"/>
        <v>2.5414554923748334E-3</v>
      </c>
      <c r="J15" s="5">
        <v>6.890303526993824E-3</v>
      </c>
      <c r="K15" s="5">
        <v>1.4134101779385455E-2</v>
      </c>
      <c r="L15" s="5">
        <v>1.3078673010100461E-2</v>
      </c>
      <c r="M15" s="5">
        <v>7.3692922158445917E-3</v>
      </c>
      <c r="N15" s="5">
        <v>1.5024230568213559E-2</v>
      </c>
      <c r="O15" s="5"/>
      <c r="P15" s="6">
        <f t="shared" si="11"/>
        <v>2026</v>
      </c>
      <c r="Q15" s="2">
        <f t="shared" ref="Q15:Q19" si="22">Q14*(1+$H15+J15)</f>
        <v>4987.0037105384481</v>
      </c>
      <c r="R15" s="2">
        <f>R14*(1+$H15+K15)</f>
        <v>3917.2795233374559</v>
      </c>
      <c r="S15" s="2">
        <f t="shared" ref="S15:S19" si="23">S14*(1+$H15+L15)</f>
        <v>3520.7987921822573</v>
      </c>
      <c r="T15" s="2">
        <f>T14*(1+$H15+M15)</f>
        <v>2978.7187706076479</v>
      </c>
      <c r="U15" s="2">
        <f t="shared" si="20"/>
        <v>5205.3991916775694</v>
      </c>
      <c r="V15" s="2">
        <f t="shared" ref="V15:V19" si="24">SUM(Q15:U15)</f>
        <v>20609.199988343378</v>
      </c>
      <c r="W15" s="5">
        <f t="shared" si="17"/>
        <v>-1.0315938407278069E-2</v>
      </c>
      <c r="X15" s="5"/>
      <c r="Y15" s="6">
        <f t="shared" si="12"/>
        <v>2026</v>
      </c>
      <c r="Z15" s="2">
        <f t="shared" si="13"/>
        <v>5038.9855753691181</v>
      </c>
      <c r="AA15" s="2">
        <f t="shared" si="3"/>
        <v>3958.1111542134827</v>
      </c>
      <c r="AB15" s="2">
        <f t="shared" si="14"/>
        <v>3557.4977195410752</v>
      </c>
      <c r="AC15" s="2">
        <f t="shared" si="4"/>
        <v>3009.767345160561</v>
      </c>
      <c r="AD15" s="2">
        <f t="shared" si="15"/>
        <v>5259.6574944335243</v>
      </c>
      <c r="AE15" s="2">
        <f t="shared" ref="AE15:AE19" si="25">SUM(Z15:AD15)</f>
        <v>20824.019288717762</v>
      </c>
      <c r="AF15" s="108">
        <f t="shared" si="18"/>
        <v>0</v>
      </c>
    </row>
    <row r="16" spans="1:33" x14ac:dyDescent="0.25">
      <c r="A16" s="6">
        <f t="shared" si="7"/>
        <v>2027</v>
      </c>
      <c r="B16" s="1">
        <v>21922.676236112828</v>
      </c>
      <c r="C16" s="233">
        <v>905.01906092311856</v>
      </c>
      <c r="D16" s="239">
        <v>0</v>
      </c>
      <c r="E16" s="234">
        <f t="shared" si="8"/>
        <v>21017.65717518971</v>
      </c>
      <c r="F16" s="2">
        <v>5555051.416666666</v>
      </c>
      <c r="G16" s="4">
        <f t="shared" si="9"/>
        <v>3.7835216272042089</v>
      </c>
      <c r="H16" s="5">
        <f t="shared" si="10"/>
        <v>-2.0300665881154423E-3</v>
      </c>
      <c r="J16" s="5">
        <v>6.8998235059674062E-3</v>
      </c>
      <c r="K16" s="5">
        <v>1.4048128499295043E-2</v>
      </c>
      <c r="L16" s="5">
        <v>1.3102380267897784E-2</v>
      </c>
      <c r="M16" s="5">
        <v>7.5596505237205402E-3</v>
      </c>
      <c r="N16" s="5">
        <v>1.4909867265161525E-2</v>
      </c>
      <c r="O16" s="5"/>
      <c r="P16" s="6">
        <f t="shared" si="11"/>
        <v>2027</v>
      </c>
      <c r="Q16" s="2">
        <f t="shared" si="22"/>
        <v>5011.2892063571962</v>
      </c>
      <c r="R16" s="2">
        <f t="shared" ref="R16:R19" si="26">R15*(1+$H16+K16)</f>
        <v>3964.3576311723214</v>
      </c>
      <c r="S16" s="2">
        <f>S15*(1+$H16+L16)</f>
        <v>3559.7821808126982</v>
      </c>
      <c r="T16" s="2">
        <f>T15*(1+$H16+M16)</f>
        <v>2995.1898460702855</v>
      </c>
      <c r="U16" s="2">
        <f t="shared" si="20"/>
        <v>5272.4436957108337</v>
      </c>
      <c r="V16" s="2">
        <f t="shared" si="24"/>
        <v>20803.062560123333</v>
      </c>
      <c r="W16" s="5">
        <f t="shared" si="17"/>
        <v>-1.0210206269787969E-2</v>
      </c>
      <c r="X16" s="5"/>
      <c r="Y16" s="6">
        <f t="shared" si="12"/>
        <v>2027</v>
      </c>
      <c r="Z16" s="2">
        <f t="shared" si="13"/>
        <v>5062.98331029581</v>
      </c>
      <c r="AA16" s="2">
        <f t="shared" si="3"/>
        <v>4005.2520810826732</v>
      </c>
      <c r="AB16" s="2">
        <f t="shared" si="14"/>
        <v>3596.5032205444136</v>
      </c>
      <c r="AC16" s="2">
        <f t="shared" si="4"/>
        <v>3026.0868166586565</v>
      </c>
      <c r="AD16" s="2">
        <f t="shared" si="15"/>
        <v>5326.831746608158</v>
      </c>
      <c r="AE16" s="2">
        <f t="shared" si="25"/>
        <v>21017.65717518971</v>
      </c>
      <c r="AF16" s="108">
        <f t="shared" si="18"/>
        <v>0</v>
      </c>
    </row>
    <row r="17" spans="1:33" x14ac:dyDescent="0.25">
      <c r="A17" s="6">
        <f t="shared" si="7"/>
        <v>2028</v>
      </c>
      <c r="B17" s="1">
        <v>22261.313752269165</v>
      </c>
      <c r="C17" s="233">
        <v>942.64942669226446</v>
      </c>
      <c r="D17" s="239">
        <v>0</v>
      </c>
      <c r="E17" s="234">
        <f t="shared" si="8"/>
        <v>21318.664325576901</v>
      </c>
      <c r="F17" s="2">
        <v>5618195.916666667</v>
      </c>
      <c r="G17" s="4">
        <f t="shared" si="9"/>
        <v>3.7945747428162817</v>
      </c>
      <c r="H17" s="5">
        <f t="shared" si="10"/>
        <v>2.9213829604142205E-3</v>
      </c>
      <c r="J17" s="5">
        <v>6.9481976032019777E-3</v>
      </c>
      <c r="K17" s="5">
        <v>1.3912373029436376E-2</v>
      </c>
      <c r="L17" s="5">
        <v>1.3129477605001938E-2</v>
      </c>
      <c r="M17" s="5">
        <v>7.6955240679092984E-3</v>
      </c>
      <c r="N17" s="5">
        <v>1.4841628061383672E-2</v>
      </c>
      <c r="O17" s="5"/>
      <c r="P17" s="6">
        <f t="shared" si="11"/>
        <v>2028</v>
      </c>
      <c r="Q17" s="2">
        <f t="shared" si="22"/>
        <v>5060.7485289069191</v>
      </c>
      <c r="R17" s="2">
        <f t="shared" si="26"/>
        <v>4031.0926601919782</v>
      </c>
      <c r="S17" s="2">
        <f>S16*(1+$H17+L17)</f>
        <v>3616.919748240176</v>
      </c>
      <c r="T17" s="2">
        <f>T16*(1+$H17+M17)</f>
        <v>3026.9894981981925</v>
      </c>
      <c r="U17" s="2">
        <f t="shared" si="20"/>
        <v>5366.0981711895538</v>
      </c>
      <c r="V17" s="2">
        <f t="shared" si="24"/>
        <v>21101.84860672682</v>
      </c>
      <c r="W17" s="5">
        <f t="shared" si="17"/>
        <v>-1.0170229970268729E-2</v>
      </c>
      <c r="X17" s="5"/>
      <c r="Y17" s="6">
        <f t="shared" si="12"/>
        <v>2028</v>
      </c>
      <c r="Z17" s="2">
        <f t="shared" si="13"/>
        <v>5112.7463349126292</v>
      </c>
      <c r="AA17" s="2">
        <f t="shared" si="3"/>
        <v>4072.5110339638472</v>
      </c>
      <c r="AB17" s="2">
        <f t="shared" si="14"/>
        <v>3654.082608701025</v>
      </c>
      <c r="AC17" s="2">
        <f t="shared" si="4"/>
        <v>3058.0909868039953</v>
      </c>
      <c r="AD17" s="2">
        <f t="shared" si="15"/>
        <v>5421.2333611954036</v>
      </c>
      <c r="AE17" s="2">
        <f t="shared" si="25"/>
        <v>21318.664325576901</v>
      </c>
      <c r="AF17" s="108">
        <f t="shared" si="18"/>
        <v>0</v>
      </c>
    </row>
    <row r="18" spans="1:33" x14ac:dyDescent="0.25">
      <c r="A18" s="6">
        <f t="shared" si="7"/>
        <v>2029</v>
      </c>
      <c r="B18" s="1">
        <v>22611.367489926368</v>
      </c>
      <c r="C18" s="233">
        <v>982.06980536177014</v>
      </c>
      <c r="D18" s="239">
        <v>0</v>
      </c>
      <c r="E18" s="234">
        <f t="shared" si="8"/>
        <v>21629.297684564597</v>
      </c>
      <c r="F18" s="2">
        <v>5681335.916666667</v>
      </c>
      <c r="G18" s="4">
        <f t="shared" si="9"/>
        <v>3.807079532317966</v>
      </c>
      <c r="H18" s="5">
        <f t="shared" si="10"/>
        <v>3.2954389751731483E-3</v>
      </c>
      <c r="J18" s="5">
        <v>6.8499142988909245E-3</v>
      </c>
      <c r="K18" s="5">
        <v>1.3602646213568326E-2</v>
      </c>
      <c r="L18" s="5">
        <v>1.3001358572892752E-2</v>
      </c>
      <c r="M18" s="5">
        <v>7.6485371417287507E-3</v>
      </c>
      <c r="N18" s="5">
        <v>1.4699675417419122E-2</v>
      </c>
      <c r="O18" s="5"/>
      <c r="P18" s="6">
        <f t="shared" si="11"/>
        <v>2029</v>
      </c>
      <c r="Q18" s="2">
        <f t="shared" si="22"/>
        <v>5112.0916105638798</v>
      </c>
      <c r="R18" s="2">
        <f t="shared" si="26"/>
        <v>4099.2104073676128</v>
      </c>
      <c r="S18" s="2">
        <f>S17*(1+$H18+L18)</f>
        <v>3675.8639571248477</v>
      </c>
      <c r="T18" s="2">
        <f>T17*(1+$H18+M18)</f>
        <v>3060.1167989725864</v>
      </c>
      <c r="U18" s="2">
        <f t="shared" si="20"/>
        <v>5462.6617216219902</v>
      </c>
      <c r="V18" s="2">
        <f t="shared" si="24"/>
        <v>21409.944495650914</v>
      </c>
      <c r="W18" s="5">
        <f t="shared" si="17"/>
        <v>-1.0141484578587212E-2</v>
      </c>
      <c r="X18" s="5"/>
      <c r="Y18" s="6">
        <f t="shared" si="12"/>
        <v>2029</v>
      </c>
      <c r="Z18" s="2">
        <f t="shared" si="13"/>
        <v>5164.4669727243872</v>
      </c>
      <c r="AA18" s="2">
        <f t="shared" si="3"/>
        <v>4141.2084085799415</v>
      </c>
      <c r="AB18" s="2">
        <f t="shared" si="14"/>
        <v>3713.5246096861842</v>
      </c>
      <c r="AC18" s="2">
        <f t="shared" si="4"/>
        <v>3091.4688829744541</v>
      </c>
      <c r="AD18" s="2">
        <f t="shared" si="15"/>
        <v>5518.6288105996337</v>
      </c>
      <c r="AE18" s="2">
        <f t="shared" si="25"/>
        <v>21629.297684564601</v>
      </c>
      <c r="AF18" s="108">
        <f t="shared" si="18"/>
        <v>3.637978807091713E-12</v>
      </c>
    </row>
    <row r="19" spans="1:33" ht="15.75" thickBot="1" x14ac:dyDescent="0.3">
      <c r="A19" s="6">
        <f t="shared" si="7"/>
        <v>2030</v>
      </c>
      <c r="B19" s="1">
        <v>22970.991234978133</v>
      </c>
      <c r="C19" s="233">
        <v>1023.3684156261099</v>
      </c>
      <c r="D19" s="239">
        <v>0</v>
      </c>
      <c r="E19" s="234">
        <f t="shared" si="8"/>
        <v>21947.622819352022</v>
      </c>
      <c r="F19" s="2">
        <v>5744316.833333334</v>
      </c>
      <c r="G19" s="4">
        <f t="shared" si="9"/>
        <v>3.8207542265067178</v>
      </c>
      <c r="H19" s="5">
        <f t="shared" si="10"/>
        <v>3.5919118769829339E-3</v>
      </c>
      <c r="J19" s="5">
        <v>6.7039531224424298E-3</v>
      </c>
      <c r="K19" s="5">
        <v>1.3266072636651804E-2</v>
      </c>
      <c r="L19" s="5">
        <v>1.2833124742163804E-2</v>
      </c>
      <c r="M19" s="5">
        <v>7.638417161191402E-3</v>
      </c>
      <c r="N19" s="5">
        <v>1.4526111120462426E-2</v>
      </c>
      <c r="O19" s="5"/>
      <c r="P19" s="6">
        <f t="shared" si="11"/>
        <v>2030</v>
      </c>
      <c r="Q19" s="2">
        <f t="shared" si="22"/>
        <v>5164.7250156509408</v>
      </c>
      <c r="R19" s="2">
        <f t="shared" si="26"/>
        <v>4168.3148329331461</v>
      </c>
      <c r="S19" s="2">
        <f t="shared" si="23"/>
        <v>3736.2401572276249</v>
      </c>
      <c r="T19" s="2">
        <f t="shared" ref="T19" si="27">T18*(1+$H19+M19)</f>
        <v>3094.4829175202931</v>
      </c>
      <c r="U19" s="2">
        <f t="shared" ref="U19" si="28">U18*(1+$H19+N19)</f>
        <v>5561.6343523216019</v>
      </c>
      <c r="V19" s="2">
        <f t="shared" si="24"/>
        <v>21725.397275653606</v>
      </c>
      <c r="W19" s="5">
        <f>V19/(E19+D19)-1</f>
        <v>-1.0125267120158044E-2</v>
      </c>
      <c r="X19" s="5"/>
      <c r="Y19" s="6">
        <f t="shared" si="12"/>
        <v>2030</v>
      </c>
      <c r="Z19" s="2">
        <f t="shared" si="13"/>
        <v>5217.5541450838018</v>
      </c>
      <c r="AA19" s="2">
        <f t="shared" si="3"/>
        <v>4210.9518451958766</v>
      </c>
      <c r="AB19" s="2">
        <f t="shared" si="14"/>
        <v>3774.4575481362008</v>
      </c>
      <c r="AC19" s="2">
        <f t="shared" si="4"/>
        <v>3126.1358783424198</v>
      </c>
      <c r="AD19" s="2">
        <f t="shared" si="15"/>
        <v>5618.5234025937225</v>
      </c>
      <c r="AE19" s="2">
        <f t="shared" si="25"/>
        <v>21947.622819352022</v>
      </c>
      <c r="AF19" s="108">
        <f t="shared" si="18"/>
        <v>0</v>
      </c>
    </row>
    <row r="20" spans="1:33" ht="15.75" thickBot="1" x14ac:dyDescent="0.3">
      <c r="Q20" s="2"/>
      <c r="R20" s="2"/>
      <c r="S20" s="2"/>
      <c r="T20" s="2"/>
      <c r="U20" s="2"/>
      <c r="V20" s="2"/>
      <c r="W20" s="193" t="s">
        <v>65</v>
      </c>
      <c r="X20" s="189"/>
      <c r="Y20" s="189"/>
      <c r="Z20" s="194">
        <f>(Z19/Z9)^(1/10)-1</f>
        <v>2.1860840051302066E-2</v>
      </c>
      <c r="AA20" s="194">
        <f t="shared" ref="AA20:AE20" si="29">(AA19/AA9)^(1/10)-1</f>
        <v>2.9233820189651372E-2</v>
      </c>
      <c r="AB20" s="194">
        <f t="shared" si="29"/>
        <v>2.7604671521037183E-2</v>
      </c>
      <c r="AC20" s="194">
        <f t="shared" si="29"/>
        <v>2.2004791348866792E-2</v>
      </c>
      <c r="AD20" s="194">
        <f t="shared" si="29"/>
        <v>3.0508219783524471E-2</v>
      </c>
      <c r="AE20" s="195">
        <f t="shared" si="29"/>
        <v>2.6423454413423197E-2</v>
      </c>
      <c r="AF20" s="108"/>
    </row>
    <row r="21" spans="1:33" x14ac:dyDescent="0.25">
      <c r="B21" s="128" t="s">
        <v>63</v>
      </c>
      <c r="Q21" s="220" t="s">
        <v>49</v>
      </c>
      <c r="R21" s="220"/>
      <c r="S21" s="220"/>
      <c r="T21" s="220"/>
      <c r="U21" s="220"/>
      <c r="V21" s="220"/>
      <c r="Z21" s="220" t="s">
        <v>49</v>
      </c>
      <c r="AA21" s="220"/>
      <c r="AB21" s="220"/>
      <c r="AC21" s="220"/>
      <c r="AD21" s="220"/>
      <c r="AE21" s="220"/>
    </row>
    <row r="22" spans="1:33" x14ac:dyDescent="0.25">
      <c r="B22" s="128" t="s">
        <v>62</v>
      </c>
      <c r="P22">
        <v>2018</v>
      </c>
      <c r="Q22" s="160">
        <f t="shared" ref="Q22:V34" si="30">Q7/Q6-1</f>
        <v>0.46056764811352036</v>
      </c>
      <c r="R22" s="160">
        <f t="shared" si="30"/>
        <v>0.40015350418727746</v>
      </c>
      <c r="S22" s="160">
        <f t="shared" si="30"/>
        <v>0.20676186036386657</v>
      </c>
      <c r="T22" s="160">
        <f t="shared" si="30"/>
        <v>0.28431922386350905</v>
      </c>
      <c r="U22" s="160">
        <f t="shared" si="30"/>
        <v>0.52652005165278437</v>
      </c>
      <c r="V22" s="5">
        <f t="shared" si="30"/>
        <v>0.38432880393253699</v>
      </c>
      <c r="Y22">
        <v>2018</v>
      </c>
      <c r="Z22" s="5">
        <f t="shared" ref="Z22:AE34" si="31">Z7/Z6-1</f>
        <v>0.3699576752796272</v>
      </c>
      <c r="AA22" s="5">
        <f t="shared" si="31"/>
        <v>0.31329147411181113</v>
      </c>
      <c r="AB22" s="5">
        <f t="shared" si="31"/>
        <v>0.13189736536715824</v>
      </c>
      <c r="AC22" s="5">
        <f t="shared" si="31"/>
        <v>0.2046432635376545</v>
      </c>
      <c r="AD22" s="5">
        <f t="shared" si="31"/>
        <v>0.43181855625179799</v>
      </c>
      <c r="AE22" s="5">
        <f t="shared" si="31"/>
        <v>0.29844849877891044</v>
      </c>
    </row>
    <row r="23" spans="1:33" x14ac:dyDescent="0.25">
      <c r="P23">
        <v>2019</v>
      </c>
      <c r="Q23" s="5">
        <f t="shared" si="30"/>
        <v>-0.22974682974581706</v>
      </c>
      <c r="R23" s="5">
        <f t="shared" si="30"/>
        <v>-0.24495413742213024</v>
      </c>
      <c r="S23" s="5">
        <f t="shared" si="30"/>
        <v>-5.4062328687268124E-2</v>
      </c>
      <c r="T23" s="5">
        <f t="shared" si="30"/>
        <v>-9.7062787633071634E-2</v>
      </c>
      <c r="U23" s="5">
        <f t="shared" si="30"/>
        <v>8.4609166993791396E-2</v>
      </c>
      <c r="V23" s="5">
        <f t="shared" si="30"/>
        <v>-0.11127503200687183</v>
      </c>
      <c r="Y23">
        <v>2019</v>
      </c>
      <c r="Z23" s="5">
        <f t="shared" si="31"/>
        <v>-0.26381057325035973</v>
      </c>
      <c r="AA23" s="5">
        <f t="shared" si="31"/>
        <v>-0.27834535162321083</v>
      </c>
      <c r="AB23" s="5">
        <f t="shared" si="31"/>
        <v>-9.5895558917593715E-2</v>
      </c>
      <c r="AC23" s="5">
        <f t="shared" si="31"/>
        <v>-0.1369943618096815</v>
      </c>
      <c r="AD23" s="5">
        <f t="shared" si="31"/>
        <v>3.664331642162133E-2</v>
      </c>
      <c r="AE23" s="5">
        <f t="shared" si="31"/>
        <v>-0.15057808264645633</v>
      </c>
    </row>
    <row r="24" spans="1:33" x14ac:dyDescent="0.25">
      <c r="P24">
        <v>2020</v>
      </c>
      <c r="Q24" s="5">
        <f t="shared" si="30"/>
        <v>0.20122541874857691</v>
      </c>
      <c r="R24" s="5">
        <f t="shared" si="30"/>
        <v>5.9281081943615588E-2</v>
      </c>
      <c r="S24" s="5">
        <f t="shared" si="30"/>
        <v>-4.5426100877008602E-2</v>
      </c>
      <c r="T24" s="5">
        <f t="shared" si="30"/>
        <v>9.5738896506516458E-3</v>
      </c>
      <c r="U24" s="5">
        <f t="shared" si="30"/>
        <v>-0.11023693752647112</v>
      </c>
      <c r="V24" s="5">
        <f t="shared" si="30"/>
        <v>1.5149732001051186E-2</v>
      </c>
      <c r="Y24">
        <v>2020</v>
      </c>
      <c r="Z24" s="5">
        <f t="shared" si="31"/>
        <v>0.30306596866444413</v>
      </c>
      <c r="AA24" s="5">
        <f t="shared" si="31"/>
        <v>0.14908751312370039</v>
      </c>
      <c r="AB24" s="5">
        <f t="shared" si="31"/>
        <v>3.5503197907973627E-2</v>
      </c>
      <c r="AC24" s="5">
        <f t="shared" si="31"/>
        <v>9.5166117801996908E-2</v>
      </c>
      <c r="AD24" s="5">
        <f t="shared" si="31"/>
        <v>-3.4802337023652097E-2</v>
      </c>
      <c r="AE24" s="5">
        <f t="shared" si="31"/>
        <v>0.1012146831254086</v>
      </c>
    </row>
    <row r="25" spans="1:33" x14ac:dyDescent="0.25">
      <c r="C25" s="62" t="s">
        <v>6</v>
      </c>
      <c r="P25">
        <v>2021</v>
      </c>
      <c r="Q25" s="5">
        <f t="shared" si="30"/>
        <v>0.14128429486564542</v>
      </c>
      <c r="R25" s="5">
        <f t="shared" si="30"/>
        <v>0.1506453086297026</v>
      </c>
      <c r="S25" s="5">
        <f t="shared" si="30"/>
        <v>0.14287222919815257</v>
      </c>
      <c r="T25" s="5">
        <f t="shared" si="30"/>
        <v>0.13848262550660695</v>
      </c>
      <c r="U25" s="5">
        <f t="shared" si="30"/>
        <v>0.15139160322030687</v>
      </c>
      <c r="V25" s="5">
        <f t="shared" si="30"/>
        <v>0.14537188917776578</v>
      </c>
      <c r="Y25">
        <v>2021</v>
      </c>
      <c r="Z25" s="5">
        <f t="shared" si="31"/>
        <v>0.14020543790052953</v>
      </c>
      <c r="AA25" s="5">
        <f t="shared" si="31"/>
        <v>0.14955760269071994</v>
      </c>
      <c r="AB25" s="5">
        <f t="shared" si="31"/>
        <v>0.14179187115743042</v>
      </c>
      <c r="AC25" s="5">
        <f t="shared" si="31"/>
        <v>0.13740641696179745</v>
      </c>
      <c r="AD25" s="5">
        <f t="shared" si="31"/>
        <v>0.15030319180844542</v>
      </c>
      <c r="AE25" s="5">
        <f t="shared" si="31"/>
        <v>0.14428916820644733</v>
      </c>
    </row>
    <row r="26" spans="1:33" x14ac:dyDescent="0.25">
      <c r="P26">
        <v>2022</v>
      </c>
      <c r="Q26" s="5">
        <f t="shared" si="30"/>
        <v>1.5883259060774035E-2</v>
      </c>
      <c r="R26" s="5">
        <f t="shared" si="30"/>
        <v>2.3536086013528745E-2</v>
      </c>
      <c r="S26" s="5">
        <f t="shared" si="30"/>
        <v>2.1738744529270049E-2</v>
      </c>
      <c r="T26" s="5">
        <f t="shared" si="30"/>
        <v>1.5477357485803811E-2</v>
      </c>
      <c r="U26" s="5">
        <f t="shared" si="30"/>
        <v>2.6454317323543419E-2</v>
      </c>
      <c r="V26" s="5">
        <f t="shared" si="30"/>
        <v>2.0866297836287462E-2</v>
      </c>
      <c r="Y26">
        <v>2022</v>
      </c>
      <c r="Z26" s="5">
        <f t="shared" si="31"/>
        <v>5.3814880208240545E-3</v>
      </c>
      <c r="AA26" s="5">
        <f t="shared" si="31"/>
        <v>1.2955203288501416E-2</v>
      </c>
      <c r="AB26" s="5">
        <f t="shared" si="31"/>
        <v>1.1176441959570571E-2</v>
      </c>
      <c r="AC26" s="5">
        <f t="shared" si="31"/>
        <v>4.9797824844903804E-3</v>
      </c>
      <c r="AD26" s="5">
        <f t="shared" si="31"/>
        <v>1.584326715871831E-2</v>
      </c>
      <c r="AE26" s="5">
        <f t="shared" si="31"/>
        <v>1.0313014251134289E-2</v>
      </c>
    </row>
    <row r="27" spans="1:33" x14ac:dyDescent="0.25">
      <c r="P27">
        <v>2023</v>
      </c>
      <c r="Q27" s="5">
        <f t="shared" si="30"/>
        <v>1.3322999913919498E-2</v>
      </c>
      <c r="R27" s="5">
        <f t="shared" si="30"/>
        <v>2.0891508102578449E-2</v>
      </c>
      <c r="S27" s="5">
        <f t="shared" si="30"/>
        <v>1.9614069009909141E-2</v>
      </c>
      <c r="T27" s="5">
        <f t="shared" si="30"/>
        <v>1.3305875176895299E-2</v>
      </c>
      <c r="U27" s="5">
        <f t="shared" si="30"/>
        <v>2.2688011710075617E-2</v>
      </c>
      <c r="V27" s="5">
        <f t="shared" si="30"/>
        <v>1.8140620186775092E-2</v>
      </c>
      <c r="Y27">
        <v>2023</v>
      </c>
      <c r="Z27" s="5">
        <f t="shared" si="31"/>
        <v>1.3240586451606973E-2</v>
      </c>
      <c r="AA27" s="5">
        <f t="shared" si="31"/>
        <v>2.0808479094221566E-2</v>
      </c>
      <c r="AB27" s="5">
        <f t="shared" si="31"/>
        <v>1.9531143895550995E-2</v>
      </c>
      <c r="AC27" s="5">
        <f t="shared" si="31"/>
        <v>1.3223463107336242E-2</v>
      </c>
      <c r="AD27" s="5">
        <f t="shared" si="31"/>
        <v>2.2604836592252653E-2</v>
      </c>
      <c r="AE27" s="5">
        <f t="shared" si="31"/>
        <v>1.8057814907868286E-2</v>
      </c>
    </row>
    <row r="28" spans="1:33" x14ac:dyDescent="0.25">
      <c r="P28">
        <v>2024</v>
      </c>
      <c r="Q28" s="5">
        <f t="shared" si="30"/>
        <v>1.3417445815495421E-2</v>
      </c>
      <c r="R28" s="5">
        <f t="shared" si="30"/>
        <v>2.0855137635540588E-2</v>
      </c>
      <c r="S28" s="5">
        <f t="shared" si="30"/>
        <v>1.9658877522306328E-2</v>
      </c>
      <c r="T28" s="5">
        <f t="shared" si="30"/>
        <v>1.3704338701494789E-2</v>
      </c>
      <c r="U28" s="5">
        <f t="shared" si="30"/>
        <v>2.207811673483584E-2</v>
      </c>
      <c r="V28" s="5">
        <f t="shared" si="30"/>
        <v>1.808632185643666E-2</v>
      </c>
      <c r="Y28">
        <v>2024</v>
      </c>
      <c r="Z28" s="5">
        <f t="shared" si="31"/>
        <v>1.3363876144120823E-2</v>
      </c>
      <c r="AA28" s="5">
        <f t="shared" si="31"/>
        <v>2.0801174804655709E-2</v>
      </c>
      <c r="AB28" s="5">
        <f t="shared" si="31"/>
        <v>1.9604977926232836E-2</v>
      </c>
      <c r="AC28" s="5">
        <f t="shared" si="31"/>
        <v>1.3650753864841603E-2</v>
      </c>
      <c r="AD28" s="5">
        <f t="shared" si="31"/>
        <v>2.2024089256762913E-2</v>
      </c>
      <c r="AE28" s="5">
        <f t="shared" si="31"/>
        <v>1.8032505386315512E-2</v>
      </c>
    </row>
    <row r="29" spans="1:33" x14ac:dyDescent="0.25">
      <c r="P29">
        <v>2025</v>
      </c>
      <c r="Q29" s="5">
        <f t="shared" si="30"/>
        <v>9.2318618012448006E-3</v>
      </c>
      <c r="R29" s="5">
        <f t="shared" si="30"/>
        <v>1.6542634855683414E-2</v>
      </c>
      <c r="S29" s="5">
        <f t="shared" si="30"/>
        <v>1.5405106217610154E-2</v>
      </c>
      <c r="T29" s="5">
        <f t="shared" si="30"/>
        <v>9.6503650363843896E-3</v>
      </c>
      <c r="U29" s="5">
        <f t="shared" si="30"/>
        <v>1.7526209999702669E-2</v>
      </c>
      <c r="V29" s="5">
        <f t="shared" si="30"/>
        <v>1.3806201560038422E-2</v>
      </c>
      <c r="Y29">
        <v>2025</v>
      </c>
      <c r="Z29" s="5">
        <f t="shared" si="31"/>
        <v>9.1471450761420048E-3</v>
      </c>
      <c r="AA29" s="5">
        <f t="shared" si="31"/>
        <v>1.6457304451232391E-2</v>
      </c>
      <c r="AB29" s="5">
        <f t="shared" si="31"/>
        <v>1.5319871299344756E-2</v>
      </c>
      <c r="AC29" s="5">
        <f t="shared" si="31"/>
        <v>9.565613181372612E-3</v>
      </c>
      <c r="AD29" s="5">
        <f t="shared" si="31"/>
        <v>1.7440797032197253E-2</v>
      </c>
      <c r="AE29" s="5">
        <f t="shared" si="31"/>
        <v>1.3721100856685764E-2</v>
      </c>
    </row>
    <row r="30" spans="1:33" x14ac:dyDescent="0.25">
      <c r="P30">
        <v>2026</v>
      </c>
      <c r="Q30" s="5">
        <f t="shared" si="30"/>
        <v>9.4317590193686573E-3</v>
      </c>
      <c r="R30" s="5">
        <f t="shared" si="30"/>
        <v>1.6675557271760288E-2</v>
      </c>
      <c r="S30" s="5">
        <f t="shared" si="30"/>
        <v>1.5620128502475294E-2</v>
      </c>
      <c r="T30" s="5">
        <f t="shared" si="30"/>
        <v>9.9107477082194251E-3</v>
      </c>
      <c r="U30" s="5">
        <f t="shared" si="30"/>
        <v>1.7565686060588392E-2</v>
      </c>
      <c r="V30" s="5">
        <f t="shared" si="30"/>
        <v>1.3977154468078457E-2</v>
      </c>
      <c r="Y30">
        <v>2026</v>
      </c>
      <c r="Z30" s="5">
        <f t="shared" si="31"/>
        <v>9.3626482898305774E-3</v>
      </c>
      <c r="AA30" s="5">
        <f t="shared" si="31"/>
        <v>1.6605950595688812E-2</v>
      </c>
      <c r="AB30" s="5">
        <f t="shared" si="31"/>
        <v>1.555059408631787E-2</v>
      </c>
      <c r="AC30" s="5">
        <f t="shared" si="31"/>
        <v>9.8416041847284585E-3</v>
      </c>
      <c r="AD30" s="5">
        <f t="shared" si="31"/>
        <v>1.7496018441863326E-2</v>
      </c>
      <c r="AE30" s="5">
        <f t="shared" si="31"/>
        <v>1.3907732538112505E-2</v>
      </c>
    </row>
    <row r="31" spans="1:33" x14ac:dyDescent="0.25">
      <c r="P31">
        <v>2027</v>
      </c>
      <c r="Q31" s="5">
        <f t="shared" si="30"/>
        <v>4.869756917851964E-3</v>
      </c>
      <c r="R31" s="5">
        <f t="shared" si="30"/>
        <v>1.2018061911179601E-2</v>
      </c>
      <c r="S31" s="5">
        <f t="shared" si="30"/>
        <v>1.1072313679782342E-2</v>
      </c>
      <c r="T31" s="5">
        <f t="shared" si="30"/>
        <v>5.529583935605098E-3</v>
      </c>
      <c r="U31" s="5">
        <f t="shared" si="30"/>
        <v>1.2879800677046083E-2</v>
      </c>
      <c r="V31" s="5">
        <f t="shared" si="30"/>
        <v>9.4066034532929166E-3</v>
      </c>
      <c r="Y31">
        <v>2027</v>
      </c>
      <c r="Z31" s="5">
        <f t="shared" si="31"/>
        <v>4.7624138961608331E-3</v>
      </c>
      <c r="AA31" s="5">
        <f t="shared" si="31"/>
        <v>1.1909955287387142E-2</v>
      </c>
      <c r="AB31" s="5">
        <f t="shared" si="31"/>
        <v>1.0964308083483587E-2</v>
      </c>
      <c r="AC31" s="5">
        <f t="shared" si="31"/>
        <v>5.4221704293309081E-3</v>
      </c>
      <c r="AD31" s="5">
        <f t="shared" si="31"/>
        <v>1.2771601999888027E-2</v>
      </c>
      <c r="AE31" s="5">
        <f t="shared" si="31"/>
        <v>9.298775792858649E-3</v>
      </c>
      <c r="AG31" s="208"/>
    </row>
    <row r="32" spans="1:33" x14ac:dyDescent="0.25">
      <c r="P32">
        <v>2028</v>
      </c>
      <c r="Q32" s="5">
        <f t="shared" si="30"/>
        <v>9.8695805636161982E-3</v>
      </c>
      <c r="R32" s="5">
        <f t="shared" si="30"/>
        <v>1.6833755989850596E-2</v>
      </c>
      <c r="S32" s="5">
        <f t="shared" si="30"/>
        <v>1.6050860565416158E-2</v>
      </c>
      <c r="T32" s="5">
        <f t="shared" si="30"/>
        <v>1.0616907028323519E-2</v>
      </c>
      <c r="U32" s="5">
        <f t="shared" si="30"/>
        <v>1.7763011021797892E-2</v>
      </c>
      <c r="V32" s="5">
        <f t="shared" si="30"/>
        <v>1.4362599051940483E-2</v>
      </c>
      <c r="Y32">
        <v>2028</v>
      </c>
      <c r="Z32" s="5">
        <f t="shared" si="31"/>
        <v>9.8287949153661458E-3</v>
      </c>
      <c r="AA32" s="5">
        <f t="shared" si="31"/>
        <v>1.6792689079133671E-2</v>
      </c>
      <c r="AB32" s="5">
        <f t="shared" si="31"/>
        <v>1.6009825273532119E-2</v>
      </c>
      <c r="AC32" s="5">
        <f t="shared" si="31"/>
        <v>1.0576091197765702E-2</v>
      </c>
      <c r="AD32" s="5">
        <f t="shared" si="31"/>
        <v>1.7721906581215974E-2</v>
      </c>
      <c r="AE32" s="5">
        <f t="shared" si="31"/>
        <v>1.4321631943950308E-2</v>
      </c>
    </row>
    <row r="33" spans="16:31" x14ac:dyDescent="0.25">
      <c r="P33">
        <v>2029</v>
      </c>
      <c r="Q33" s="5">
        <f t="shared" si="30"/>
        <v>1.0145353274064073E-2</v>
      </c>
      <c r="R33" s="5">
        <f t="shared" si="30"/>
        <v>1.6898085188741474E-2</v>
      </c>
      <c r="S33" s="5">
        <f t="shared" si="30"/>
        <v>1.62967975480659E-2</v>
      </c>
      <c r="T33" s="5">
        <f t="shared" si="30"/>
        <v>1.0943976116901899E-2</v>
      </c>
      <c r="U33" s="5">
        <f t="shared" si="30"/>
        <v>1.7995114392592271E-2</v>
      </c>
      <c r="V33" s="5">
        <f t="shared" si="30"/>
        <v>1.4600421729207058E-2</v>
      </c>
      <c r="Y33">
        <v>2029</v>
      </c>
      <c r="Z33" s="5">
        <f t="shared" si="31"/>
        <v>1.0116018754652734E-2</v>
      </c>
      <c r="AA33" s="5">
        <f t="shared" si="31"/>
        <v>1.6868554570674821E-2</v>
      </c>
      <c r="AB33" s="5">
        <f t="shared" si="31"/>
        <v>1.6267284391331849E-2</v>
      </c>
      <c r="AC33" s="5">
        <f t="shared" si="31"/>
        <v>1.0914618405563514E-2</v>
      </c>
      <c r="AD33" s="5">
        <f t="shared" si="31"/>
        <v>1.7965551916907962E-2</v>
      </c>
      <c r="AE33" s="5">
        <f t="shared" si="31"/>
        <v>1.4570957835056353E-2</v>
      </c>
    </row>
    <row r="34" spans="16:31" x14ac:dyDescent="0.25">
      <c r="P34">
        <v>2030</v>
      </c>
      <c r="Q34" s="5">
        <f t="shared" si="30"/>
        <v>1.0295864999425364E-2</v>
      </c>
      <c r="R34" s="5">
        <f t="shared" si="30"/>
        <v>1.6857984513634738E-2</v>
      </c>
      <c r="S34" s="5">
        <f t="shared" si="30"/>
        <v>1.6425036619146738E-2</v>
      </c>
      <c r="T34" s="5">
        <f t="shared" si="30"/>
        <v>1.1230329038174336E-2</v>
      </c>
      <c r="U34" s="5">
        <f t="shared" si="30"/>
        <v>1.811802299744536E-2</v>
      </c>
      <c r="V34" s="5">
        <f t="shared" si="30"/>
        <v>1.4733937309681977E-2</v>
      </c>
      <c r="Y34">
        <v>2030</v>
      </c>
      <c r="Z34" s="5">
        <f t="shared" si="31"/>
        <v>1.0279312974560417E-2</v>
      </c>
      <c r="AA34" s="5">
        <f t="shared" si="31"/>
        <v>1.6841324979307348E-2</v>
      </c>
      <c r="AB34" s="5">
        <f t="shared" si="31"/>
        <v>1.640838417795365E-2</v>
      </c>
      <c r="AC34" s="5">
        <f t="shared" si="31"/>
        <v>1.1213761703663394E-2</v>
      </c>
      <c r="AD34" s="5">
        <f t="shared" si="31"/>
        <v>1.8101342819473842E-2</v>
      </c>
      <c r="AE34" s="5">
        <f t="shared" si="31"/>
        <v>1.4717312574350938E-2</v>
      </c>
    </row>
    <row r="36" spans="16:31" x14ac:dyDescent="0.25">
      <c r="P36" s="128" t="s">
        <v>56</v>
      </c>
    </row>
    <row r="37" spans="16:31" x14ac:dyDescent="0.25">
      <c r="P37" s="171">
        <v>42766</v>
      </c>
      <c r="Q37" s="2">
        <v>3056.6792</v>
      </c>
      <c r="R37" s="2">
        <v>2725.0248999999999</v>
      </c>
      <c r="S37" s="2">
        <v>2652.6320999999998</v>
      </c>
      <c r="T37" s="2">
        <v>2068.8227000000002</v>
      </c>
      <c r="U37" s="2">
        <v>3505.4978999999998</v>
      </c>
      <c r="V37" s="2">
        <f>SUM(Q37:U37)</f>
        <v>14008.656800000001</v>
      </c>
    </row>
    <row r="39" spans="16:31" x14ac:dyDescent="0.25">
      <c r="P39" s="128" t="s">
        <v>57</v>
      </c>
    </row>
    <row r="40" spans="16:31" x14ac:dyDescent="0.25">
      <c r="P40" s="172">
        <v>43105</v>
      </c>
      <c r="Q40" s="154">
        <v>4443.6499999999996</v>
      </c>
      <c r="R40" s="154">
        <v>3861.0346</v>
      </c>
      <c r="S40" s="154">
        <v>3114.3701000000001</v>
      </c>
      <c r="T40" s="154">
        <v>2698.5553</v>
      </c>
      <c r="U40" s="154">
        <v>5049.0465999999997</v>
      </c>
      <c r="V40" s="154">
        <f t="shared" ref="V40" si="32">SUM(Q40:U40)</f>
        <v>19166.656600000002</v>
      </c>
    </row>
    <row r="41" spans="16:31" x14ac:dyDescent="0.25">
      <c r="P41" s="158"/>
      <c r="Q41" s="158"/>
      <c r="R41" s="158"/>
      <c r="S41" s="158"/>
      <c r="T41" s="158"/>
      <c r="U41" s="158"/>
      <c r="V41" s="158"/>
    </row>
  </sheetData>
  <mergeCells count="5">
    <mergeCell ref="J3:N3"/>
    <mergeCell ref="Q3:V3"/>
    <mergeCell ref="Z3:AE3"/>
    <mergeCell ref="Q21:V21"/>
    <mergeCell ref="Z21:AE21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AB37"/>
  <sheetViews>
    <sheetView topLeftCell="A19" workbookViewId="0"/>
  </sheetViews>
  <sheetFormatPr defaultRowHeight="15" x14ac:dyDescent="0.25"/>
  <cols>
    <col min="2" max="3" width="10.42578125" bestFit="1" customWidth="1"/>
    <col min="5" max="6" width="10.42578125" bestFit="1" customWidth="1"/>
    <col min="8" max="9" width="10.42578125" bestFit="1" customWidth="1"/>
    <col min="11" max="12" width="10.42578125" bestFit="1" customWidth="1"/>
    <col min="14" max="15" width="10.42578125" bestFit="1" customWidth="1"/>
    <col min="17" max="18" width="10.42578125" bestFit="1" customWidth="1"/>
    <col min="22" max="22" width="11.42578125" customWidth="1"/>
    <col min="25" max="26" width="10.42578125" bestFit="1" customWidth="1"/>
  </cols>
  <sheetData>
    <row r="1" spans="1:28" x14ac:dyDescent="0.25">
      <c r="A1" s="213" t="s">
        <v>84</v>
      </c>
    </row>
    <row r="2" spans="1:28" x14ac:dyDescent="0.25">
      <c r="A2" s="213" t="s">
        <v>73</v>
      </c>
    </row>
    <row r="3" spans="1:28" s="7" customFormat="1" ht="18" x14ac:dyDescent="0.25">
      <c r="A3" s="24"/>
      <c r="B3" s="229" t="s">
        <v>70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5"/>
      <c r="U3" s="103"/>
      <c r="V3" s="25"/>
      <c r="W3" s="25"/>
      <c r="X3"/>
      <c r="Y3"/>
      <c r="Z3"/>
      <c r="AA3"/>
    </row>
    <row r="4" spans="1:28" s="8" customFormat="1" ht="16.5" thickBot="1" x14ac:dyDescent="0.3">
      <c r="A4" s="20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6"/>
      <c r="U4" s="26"/>
      <c r="V4" s="26"/>
      <c r="W4" s="26"/>
      <c r="X4"/>
      <c r="Y4"/>
      <c r="Z4"/>
      <c r="AA4"/>
    </row>
    <row r="5" spans="1:28" s="8" customFormat="1" ht="15.75" thickBot="1" x14ac:dyDescent="0.3">
      <c r="A5" s="17" t="s">
        <v>7</v>
      </c>
      <c r="B5" s="226" t="s">
        <v>8</v>
      </c>
      <c r="C5" s="227"/>
      <c r="D5" s="228"/>
      <c r="E5" s="226" t="s">
        <v>9</v>
      </c>
      <c r="F5" s="227"/>
      <c r="G5" s="228"/>
      <c r="H5" s="226" t="s">
        <v>10</v>
      </c>
      <c r="I5" s="227"/>
      <c r="J5" s="228"/>
      <c r="K5" s="226" t="s">
        <v>11</v>
      </c>
      <c r="L5" s="227"/>
      <c r="M5" s="228"/>
      <c r="N5" s="226" t="s">
        <v>12</v>
      </c>
      <c r="O5" s="227"/>
      <c r="P5" s="228"/>
      <c r="Q5" s="226" t="s">
        <v>13</v>
      </c>
      <c r="R5" s="227"/>
      <c r="S5" s="228"/>
      <c r="T5" s="27"/>
      <c r="U5" s="27"/>
      <c r="V5" s="27" t="s">
        <v>36</v>
      </c>
      <c r="W5" s="27"/>
      <c r="X5"/>
      <c r="Y5" s="218" t="s">
        <v>54</v>
      </c>
      <c r="Z5" s="218"/>
      <c r="AA5" s="218"/>
    </row>
    <row r="6" spans="1:28" s="9" customFormat="1" x14ac:dyDescent="0.25">
      <c r="A6" s="18"/>
      <c r="B6" s="169" t="s">
        <v>71</v>
      </c>
      <c r="C6" s="170" t="s">
        <v>61</v>
      </c>
      <c r="D6" s="79" t="s">
        <v>14</v>
      </c>
      <c r="E6" s="169" t="s">
        <v>71</v>
      </c>
      <c r="F6" s="170" t="s">
        <v>61</v>
      </c>
      <c r="G6" s="79" t="s">
        <v>14</v>
      </c>
      <c r="H6" s="169" t="s">
        <v>71</v>
      </c>
      <c r="I6" s="170" t="s">
        <v>61</v>
      </c>
      <c r="J6" s="79" t="s">
        <v>14</v>
      </c>
      <c r="K6" s="169" t="s">
        <v>71</v>
      </c>
      <c r="L6" s="170" t="s">
        <v>61</v>
      </c>
      <c r="M6" s="79" t="s">
        <v>14</v>
      </c>
      <c r="N6" s="169" t="s">
        <v>71</v>
      </c>
      <c r="O6" s="170" t="s">
        <v>61</v>
      </c>
      <c r="P6" s="79" t="s">
        <v>14</v>
      </c>
      <c r="Q6" s="169" t="s">
        <v>71</v>
      </c>
      <c r="R6" s="170" t="s">
        <v>61</v>
      </c>
      <c r="S6" s="79" t="s">
        <v>14</v>
      </c>
      <c r="T6" s="19" t="s">
        <v>1</v>
      </c>
      <c r="U6" s="19" t="s">
        <v>35</v>
      </c>
      <c r="V6" s="27" t="s">
        <v>71</v>
      </c>
      <c r="W6" s="19"/>
      <c r="X6"/>
      <c r="Y6" s="124" t="s">
        <v>61</v>
      </c>
      <c r="Z6" s="124" t="s">
        <v>47</v>
      </c>
      <c r="AA6" s="46" t="s">
        <v>14</v>
      </c>
      <c r="AB6" s="131"/>
    </row>
    <row r="7" spans="1:28" s="8" customFormat="1" x14ac:dyDescent="0.25">
      <c r="A7" s="20"/>
      <c r="B7" s="28"/>
      <c r="C7" s="29"/>
      <c r="D7" s="30"/>
      <c r="E7" s="28"/>
      <c r="F7" s="29"/>
      <c r="G7" s="30"/>
      <c r="H7" s="28"/>
      <c r="I7" s="29"/>
      <c r="J7" s="30"/>
      <c r="K7" s="28"/>
      <c r="L7" s="29"/>
      <c r="M7" s="30"/>
      <c r="N7" s="28"/>
      <c r="O7" s="29"/>
      <c r="P7" s="30"/>
      <c r="Q7" s="31"/>
      <c r="R7" s="32"/>
      <c r="S7" s="33"/>
      <c r="T7" s="32"/>
      <c r="U7" s="32"/>
      <c r="V7" s="32"/>
      <c r="W7" s="32"/>
      <c r="X7"/>
      <c r="Y7"/>
      <c r="Z7"/>
    </row>
    <row r="8" spans="1:28" s="8" customFormat="1" x14ac:dyDescent="0.25">
      <c r="A8" s="184">
        <v>2018</v>
      </c>
      <c r="B8" s="21">
        <f>'Summer CP Comparison'!B8*'Summer NCP-CP Ratio'!$Q$39</f>
        <v>4004.7001866503497</v>
      </c>
      <c r="C8" s="22">
        <v>3926.0239961276757</v>
      </c>
      <c r="D8" s="23">
        <f t="shared" ref="D8:D20" si="0">B8/C8-1</f>
        <v>2.0039661143251841E-2</v>
      </c>
      <c r="E8" s="34">
        <f>'Summer CP Comparison'!E8*'Summer NCP-CP Ratio'!$P$39</f>
        <v>4470.2838146940549</v>
      </c>
      <c r="F8" s="22">
        <v>4412.622092890374</v>
      </c>
      <c r="G8" s="23">
        <f t="shared" ref="G8:G20" si="1">E8/F8-1</f>
        <v>1.306745073333726E-2</v>
      </c>
      <c r="H8" s="34">
        <f>'Summer CP Comparison'!H8*'Summer NCP-CP Ratio'!$O$39</f>
        <v>4202.2363000916439</v>
      </c>
      <c r="I8" s="22">
        <v>4163.4501864133381</v>
      </c>
      <c r="J8" s="23">
        <f t="shared" ref="J8:J20" si="2">H8/I8-1</f>
        <v>9.3158587089325895E-3</v>
      </c>
      <c r="K8" s="34">
        <f>'Summer CP Comparison'!K8*'Summer NCP-CP Ratio'!$N$39</f>
        <v>5890.8659844550575</v>
      </c>
      <c r="L8" s="22">
        <v>5867.5874585154861</v>
      </c>
      <c r="M8" s="23">
        <f t="shared" ref="M8:M20" si="3">K8/L8-1</f>
        <v>3.9673078763893255E-3</v>
      </c>
      <c r="N8" s="34">
        <f>'Summer CP Comparison'!N8*'Summer NCP-CP Ratio'!$R$39</f>
        <v>4248.5383088540357</v>
      </c>
      <c r="O8" s="22">
        <v>4232.7780950939123</v>
      </c>
      <c r="P8" s="23">
        <f t="shared" ref="P8:P20" si="4">N8/O8-1</f>
        <v>3.7233734927872852E-3</v>
      </c>
      <c r="Q8" s="36">
        <f t="shared" ref="Q8:R20" si="5">+N8+K8+H8+E8+B8</f>
        <v>22816.624594745143</v>
      </c>
      <c r="R8" s="27">
        <f t="shared" si="5"/>
        <v>22602.461829040785</v>
      </c>
      <c r="S8" s="23">
        <f t="shared" ref="S8:S20" si="6">Q8/R8-1</f>
        <v>9.475196433212929E-3</v>
      </c>
      <c r="T8" s="37">
        <f>'Summer Peak'!C7</f>
        <v>845</v>
      </c>
      <c r="U8" s="37">
        <f>'Summer Peak'!D7</f>
        <v>200</v>
      </c>
      <c r="V8" s="38">
        <f>Q8+T8+U8</f>
        <v>23861.624594745143</v>
      </c>
      <c r="W8" s="38"/>
      <c r="X8" s="158"/>
      <c r="Y8" s="154">
        <f t="shared" ref="Y8:Z20" si="7">H8+K8</f>
        <v>10093.102284546701</v>
      </c>
      <c r="Z8" s="154">
        <f t="shared" si="7"/>
        <v>10031.037644928823</v>
      </c>
      <c r="AA8" s="130">
        <f t="shared" ref="AA8:AA20" si="8">Y8/Z8-1</f>
        <v>6.1872601633845559E-3</v>
      </c>
      <c r="AB8" s="182"/>
    </row>
    <row r="9" spans="1:28" s="8" customFormat="1" x14ac:dyDescent="0.25">
      <c r="A9" s="184">
        <v>2019</v>
      </c>
      <c r="B9" s="21">
        <f>'Summer CP Comparison'!B9*'Summer NCP-CP Ratio'!$Q$39</f>
        <v>3484.7799997313209</v>
      </c>
      <c r="C9" s="22">
        <v>3736.1242043730094</v>
      </c>
      <c r="D9" s="23">
        <f t="shared" si="0"/>
        <v>-6.7274049494258858E-2</v>
      </c>
      <c r="E9" s="34">
        <f>'Summer CP Comparison'!E9*'Summer NCP-CP Ratio'!$P$39</f>
        <v>4928.3713798856988</v>
      </c>
      <c r="F9" s="22">
        <v>5149.1630428717081</v>
      </c>
      <c r="G9" s="23">
        <f t="shared" si="1"/>
        <v>-4.2879136113521232E-2</v>
      </c>
      <c r="H9" s="34">
        <f>'Summer CP Comparison'!H9*'Summer NCP-CP Ratio'!$O$39</f>
        <v>4036.8651241543612</v>
      </c>
      <c r="I9" s="22">
        <v>4354.5765772459745</v>
      </c>
      <c r="J9" s="23">
        <f t="shared" si="2"/>
        <v>-7.2960355032393953E-2</v>
      </c>
      <c r="K9" s="34">
        <f>'Summer CP Comparison'!K9*'Summer NCP-CP Ratio'!$N$39</f>
        <v>5720.1343717274412</v>
      </c>
      <c r="L9" s="22">
        <v>5922.1479350447671</v>
      </c>
      <c r="M9" s="23">
        <f t="shared" si="3"/>
        <v>-3.4111536140780108E-2</v>
      </c>
      <c r="N9" s="34">
        <f>'Summer CP Comparison'!N9*'Summer NCP-CP Ratio'!$R$39</f>
        <v>5700.0398613130928</v>
      </c>
      <c r="O9" s="22">
        <v>4476.5849610906625</v>
      </c>
      <c r="P9" s="23">
        <f t="shared" si="4"/>
        <v>0.2733009449963284</v>
      </c>
      <c r="Q9" s="36">
        <f t="shared" si="5"/>
        <v>23870.190736811914</v>
      </c>
      <c r="R9" s="27">
        <f t="shared" si="5"/>
        <v>23638.596720626119</v>
      </c>
      <c r="S9" s="23">
        <f t="shared" si="6"/>
        <v>9.7972827627164083E-3</v>
      </c>
      <c r="T9" s="37">
        <f>'Summer Peak'!C8</f>
        <v>845</v>
      </c>
      <c r="U9" s="37">
        <f>'Summer Peak'!D8</f>
        <v>200</v>
      </c>
      <c r="V9" s="38">
        <f t="shared" ref="V9" si="9">Q9+T9+U9</f>
        <v>24915.190736811914</v>
      </c>
      <c r="W9" s="38"/>
      <c r="X9" s="158"/>
      <c r="Y9" s="154">
        <f t="shared" si="7"/>
        <v>9756.9994958818024</v>
      </c>
      <c r="Z9" s="154">
        <f t="shared" si="7"/>
        <v>10276.724512290741</v>
      </c>
      <c r="AA9" s="130">
        <f t="shared" si="8"/>
        <v>-5.0573022151888747E-2</v>
      </c>
      <c r="AB9" s="182"/>
    </row>
    <row r="10" spans="1:28" s="8" customFormat="1" x14ac:dyDescent="0.25">
      <c r="A10" s="143">
        <v>2020</v>
      </c>
      <c r="B10" s="144">
        <f>'Summer CP Comparison'!B10*'Summer NCP-CP Ratio'!$Q$39</f>
        <v>3905.4841352952917</v>
      </c>
      <c r="C10" s="145">
        <v>3818.1479956448311</v>
      </c>
      <c r="D10" s="146">
        <f t="shared" si="0"/>
        <v>2.2873953484799481E-2</v>
      </c>
      <c r="E10" s="147">
        <f>'Summer CP Comparison'!E10*'Summer NCP-CP Ratio'!$P$39</f>
        <v>5013.5065257960177</v>
      </c>
      <c r="F10" s="145">
        <v>5226.0777893752238</v>
      </c>
      <c r="G10" s="146">
        <f t="shared" si="1"/>
        <v>-4.0675105145080326E-2</v>
      </c>
      <c r="H10" s="147">
        <f>'Summer CP Comparison'!H10*'Summer NCP-CP Ratio'!$O$39</f>
        <v>4389.2855690962024</v>
      </c>
      <c r="I10" s="145">
        <v>4408.7711600378234</v>
      </c>
      <c r="J10" s="146">
        <f t="shared" si="2"/>
        <v>-4.4197328993265117E-3</v>
      </c>
      <c r="K10" s="147">
        <f>'Summer CP Comparison'!K10*'Summer NCP-CP Ratio'!$N$39</f>
        <v>6144.7153653105488</v>
      </c>
      <c r="L10" s="145">
        <v>6043.1347509179595</v>
      </c>
      <c r="M10" s="146">
        <f t="shared" si="3"/>
        <v>1.6809258535424698E-2</v>
      </c>
      <c r="N10" s="147">
        <f>'Summer CP Comparison'!N10*'Summer NCP-CP Ratio'!$R$39</f>
        <v>4584.4140297476288</v>
      </c>
      <c r="O10" s="145">
        <v>4586.6558942590709</v>
      </c>
      <c r="P10" s="146">
        <f t="shared" si="4"/>
        <v>-4.8877974784378164E-4</v>
      </c>
      <c r="Q10" s="148">
        <f t="shared" si="5"/>
        <v>24037.405625245694</v>
      </c>
      <c r="R10" s="149">
        <f t="shared" si="5"/>
        <v>24082.787590234908</v>
      </c>
      <c r="S10" s="146">
        <f t="shared" si="6"/>
        <v>-1.8844149506851426E-3</v>
      </c>
      <c r="T10" s="150">
        <f>'Summer Peak'!C9</f>
        <v>943.88</v>
      </c>
      <c r="U10" s="150">
        <f>'Summer Peak'!D9</f>
        <v>200</v>
      </c>
      <c r="V10" s="151">
        <f>Q10+T10</f>
        <v>24981.285625245695</v>
      </c>
      <c r="W10" s="151"/>
      <c r="X10" s="114"/>
      <c r="Y10" s="111">
        <f t="shared" si="7"/>
        <v>10534.000934406751</v>
      </c>
      <c r="Z10" s="111">
        <f t="shared" si="7"/>
        <v>10451.905910955782</v>
      </c>
      <c r="AA10" s="142">
        <f t="shared" si="8"/>
        <v>7.8545505623923706E-3</v>
      </c>
      <c r="AB10" s="182"/>
    </row>
    <row r="11" spans="1:28" s="8" customFormat="1" x14ac:dyDescent="0.25">
      <c r="A11" s="17">
        <v>2021</v>
      </c>
      <c r="B11" s="21">
        <f>'Summer CP Comparison'!B11*'Summer NCP-CP Ratio'!$Q$39</f>
        <v>3969.9040458586951</v>
      </c>
      <c r="C11" s="22">
        <v>3840.9600496340022</v>
      </c>
      <c r="D11" s="23">
        <f t="shared" si="0"/>
        <v>3.3570772556454909E-2</v>
      </c>
      <c r="E11" s="34">
        <f>'Summer CP Comparison'!E11*'Summer NCP-CP Ratio'!$P$39</f>
        <v>5049.2722009139643</v>
      </c>
      <c r="F11" s="22">
        <v>5217.5644581392098</v>
      </c>
      <c r="G11" s="23">
        <f t="shared" si="1"/>
        <v>-3.2254945497168896E-2</v>
      </c>
      <c r="H11" s="34">
        <f>'Summer CP Comparison'!H11*'Summer NCP-CP Ratio'!$O$39</f>
        <v>4408.3010027988521</v>
      </c>
      <c r="I11" s="22">
        <v>4398.6570915104339</v>
      </c>
      <c r="J11" s="23">
        <f t="shared" si="2"/>
        <v>2.192467175272883E-3</v>
      </c>
      <c r="K11" s="34">
        <f>'Summer CP Comparison'!K11*'Summer NCP-CP Ratio'!$N$39</f>
        <v>6198.308182070562</v>
      </c>
      <c r="L11" s="22">
        <v>6079.336078165552</v>
      </c>
      <c r="M11" s="23">
        <f t="shared" si="3"/>
        <v>1.9569917236901713E-2</v>
      </c>
      <c r="N11" s="34">
        <f>'Summer CP Comparison'!N11*'Summer NCP-CP Ratio'!$R$39</f>
        <v>4663.4539760244888</v>
      </c>
      <c r="O11" s="22">
        <v>4624.7878589985467</v>
      </c>
      <c r="P11" s="23">
        <f t="shared" si="4"/>
        <v>8.3606250069845345E-3</v>
      </c>
      <c r="Q11" s="36">
        <f t="shared" si="5"/>
        <v>24289.239407666566</v>
      </c>
      <c r="R11" s="27">
        <f t="shared" si="5"/>
        <v>24161.305536447744</v>
      </c>
      <c r="S11" s="23">
        <f t="shared" si="6"/>
        <v>5.2949900006782347E-3</v>
      </c>
      <c r="T11" s="37">
        <f>'Summer Peak'!C10</f>
        <v>1012.5112791278036</v>
      </c>
      <c r="U11" s="37">
        <f>'Summer Peak'!D10</f>
        <v>200</v>
      </c>
      <c r="V11" s="38">
        <f t="shared" ref="V11:V20" si="10">Q11+T11</f>
        <v>25301.75068679437</v>
      </c>
      <c r="W11" s="38"/>
      <c r="X11"/>
      <c r="Y11" s="2">
        <f t="shared" si="7"/>
        <v>10606.609184869414</v>
      </c>
      <c r="Z11" s="2">
        <f t="shared" si="7"/>
        <v>10477.993169675985</v>
      </c>
      <c r="AA11" s="130">
        <f t="shared" si="8"/>
        <v>1.2274871066498827E-2</v>
      </c>
    </row>
    <row r="12" spans="1:28" s="8" customFormat="1" x14ac:dyDescent="0.25">
      <c r="A12" s="17">
        <v>2022</v>
      </c>
      <c r="B12" s="21">
        <f>'Summer CP Comparison'!B12*'Summer NCP-CP Ratio'!$Q$39</f>
        <v>4026.6585221540527</v>
      </c>
      <c r="C12" s="22">
        <v>3870.4608384607532</v>
      </c>
      <c r="D12" s="23">
        <f t="shared" si="0"/>
        <v>4.035635295445017E-2</v>
      </c>
      <c r="E12" s="34">
        <f>'Summer CP Comparison'!E12*'Summer NCP-CP Ratio'!$P$39</f>
        <v>5083.1323161860782</v>
      </c>
      <c r="F12" s="22">
        <v>5219.4292167650383</v>
      </c>
      <c r="G12" s="23">
        <f t="shared" si="1"/>
        <v>-2.6113372730713236E-2</v>
      </c>
      <c r="H12" s="34">
        <f>'Summer CP Comparison'!H12*'Summer NCP-CP Ratio'!$O$39</f>
        <v>4436.0881003453551</v>
      </c>
      <c r="I12" s="22">
        <v>4398.1964962161737</v>
      </c>
      <c r="J12" s="23">
        <f t="shared" si="2"/>
        <v>8.6152594959729711E-3</v>
      </c>
      <c r="K12" s="34">
        <f>'Summer CP Comparison'!K12*'Summer NCP-CP Ratio'!$N$39</f>
        <v>6275.8709607952387</v>
      </c>
      <c r="L12" s="22">
        <v>6126.4096335421555</v>
      </c>
      <c r="M12" s="23">
        <f t="shared" si="3"/>
        <v>2.4396234694262109E-2</v>
      </c>
      <c r="N12" s="34">
        <f>'Summer CP Comparison'!N12*'Summer NCP-CP Ratio'!$R$39</f>
        <v>4743.6213146577311</v>
      </c>
      <c r="O12" s="22">
        <v>4667.6640076348804</v>
      </c>
      <c r="P12" s="23">
        <f t="shared" si="4"/>
        <v>1.6273087972614952E-2</v>
      </c>
      <c r="Q12" s="36">
        <f t="shared" si="5"/>
        <v>24565.371214138453</v>
      </c>
      <c r="R12" s="27">
        <f t="shared" si="5"/>
        <v>24282.160192619001</v>
      </c>
      <c r="S12" s="23">
        <f t="shared" si="6"/>
        <v>1.1663337169052213E-2</v>
      </c>
      <c r="T12" s="37">
        <f>'Summer Peak'!C11</f>
        <v>1032.5467000031197</v>
      </c>
      <c r="U12" s="37">
        <f>'Summer Peak'!D11</f>
        <v>0</v>
      </c>
      <c r="V12" s="38">
        <f t="shared" si="10"/>
        <v>25597.917914141573</v>
      </c>
      <c r="W12" s="38"/>
      <c r="X12"/>
      <c r="Y12" s="2">
        <f t="shared" si="7"/>
        <v>10711.959061140595</v>
      </c>
      <c r="Z12" s="2">
        <f t="shared" si="7"/>
        <v>10524.606129758329</v>
      </c>
      <c r="AA12" s="130">
        <f t="shared" si="8"/>
        <v>1.7801419746485747E-2</v>
      </c>
    </row>
    <row r="13" spans="1:28" s="8" customFormat="1" x14ac:dyDescent="0.25">
      <c r="A13" s="17">
        <v>2023</v>
      </c>
      <c r="B13" s="21">
        <f>'Summer CP Comparison'!B13*'Summer NCP-CP Ratio'!$Q$39</f>
        <v>4110.1480635278449</v>
      </c>
      <c r="C13" s="22">
        <v>3930.1178974136101</v>
      </c>
      <c r="D13" s="23">
        <f t="shared" si="0"/>
        <v>4.58078283688923E-2</v>
      </c>
      <c r="E13" s="34">
        <f>'Summer CP Comparison'!E13*'Summer NCP-CP Ratio'!$P$39</f>
        <v>5150.0512826635177</v>
      </c>
      <c r="F13" s="22">
        <v>5262.1950918529756</v>
      </c>
      <c r="G13" s="23">
        <f t="shared" si="1"/>
        <v>-2.131122226218507E-2</v>
      </c>
      <c r="H13" s="34">
        <f>'Summer CP Comparison'!H13*'Summer NCP-CP Ratio'!$O$39</f>
        <v>4494.4128148972868</v>
      </c>
      <c r="I13" s="22">
        <v>4434.2821171004853</v>
      </c>
      <c r="J13" s="23">
        <f t="shared" si="2"/>
        <v>1.3560413209820821E-2</v>
      </c>
      <c r="K13" s="34">
        <f>'Summer CP Comparison'!K13*'Summer NCP-CP Ratio'!$N$39</f>
        <v>6397.9782484398265</v>
      </c>
      <c r="L13" s="22">
        <v>6220.4504725974712</v>
      </c>
      <c r="M13" s="23">
        <f t="shared" si="3"/>
        <v>2.853937614717883E-2</v>
      </c>
      <c r="N13" s="34">
        <f>'Summer CP Comparison'!N13*'Summer NCP-CP Ratio'!$R$39</f>
        <v>4850.4993211385081</v>
      </c>
      <c r="O13" s="22">
        <v>4744.6123588414557</v>
      </c>
      <c r="P13" s="23">
        <f t="shared" si="4"/>
        <v>2.2317305248285457E-2</v>
      </c>
      <c r="Q13" s="36">
        <f t="shared" si="5"/>
        <v>25003.089730666987</v>
      </c>
      <c r="R13" s="27">
        <f t="shared" si="5"/>
        <v>24591.657937805998</v>
      </c>
      <c r="S13" s="23">
        <f t="shared" si="6"/>
        <v>1.6730543093171235E-2</v>
      </c>
      <c r="T13" s="37">
        <f>'Summer Peak'!C12</f>
        <v>1053.0082842280938</v>
      </c>
      <c r="U13" s="37">
        <f>'Summer Peak'!D12</f>
        <v>0</v>
      </c>
      <c r="V13" s="38">
        <f t="shared" si="10"/>
        <v>26056.09801489508</v>
      </c>
      <c r="W13" s="38"/>
      <c r="X13"/>
      <c r="Y13" s="2">
        <f t="shared" si="7"/>
        <v>10892.391063337112</v>
      </c>
      <c r="Z13" s="2">
        <f t="shared" si="7"/>
        <v>10654.732589697956</v>
      </c>
      <c r="AA13" s="130">
        <f t="shared" si="8"/>
        <v>2.2305437667102801E-2</v>
      </c>
    </row>
    <row r="14" spans="1:28" s="8" customFormat="1" x14ac:dyDescent="0.25">
      <c r="A14" s="17">
        <v>2024</v>
      </c>
      <c r="B14" s="21">
        <f>'Summer CP Comparison'!B14*'Summer NCP-CP Ratio'!$Q$39</f>
        <v>4195.4577960210027</v>
      </c>
      <c r="C14" s="22">
        <v>3997.2500461890245</v>
      </c>
      <c r="D14" s="23">
        <f t="shared" si="0"/>
        <v>4.9586027279166389E-2</v>
      </c>
      <c r="E14" s="34">
        <f>'Summer CP Comparison'!E14*'Summer NCP-CP Ratio'!$P$39</f>
        <v>5218.6373722501576</v>
      </c>
      <c r="F14" s="22">
        <v>5314.7286255466252</v>
      </c>
      <c r="G14" s="23">
        <f t="shared" si="1"/>
        <v>-1.808018058242522E-2</v>
      </c>
      <c r="H14" s="34">
        <f>'Summer CP Comparison'!H14*'Summer NCP-CP Ratio'!$O$39</f>
        <v>4555.5569279072824</v>
      </c>
      <c r="I14" s="22">
        <v>4480.086289073316</v>
      </c>
      <c r="J14" s="23">
        <f t="shared" si="2"/>
        <v>1.6845800273542766E-2</v>
      </c>
      <c r="K14" s="34">
        <f>'Summer CP Comparison'!K14*'Summer NCP-CP Ratio'!$N$39</f>
        <v>6523.1196093430663</v>
      </c>
      <c r="L14" s="22">
        <v>6325.0429205572927</v>
      </c>
      <c r="M14" s="23">
        <f t="shared" si="3"/>
        <v>3.131626002757959E-2</v>
      </c>
      <c r="N14" s="34">
        <f>'Summer CP Comparison'!N14*'Summer NCP-CP Ratio'!$R$39</f>
        <v>4957.1082572336263</v>
      </c>
      <c r="O14" s="22">
        <v>4829.9345473932226</v>
      </c>
      <c r="P14" s="23">
        <f t="shared" si="4"/>
        <v>2.6330317438574946E-2</v>
      </c>
      <c r="Q14" s="36">
        <f t="shared" si="5"/>
        <v>25449.879962755134</v>
      </c>
      <c r="R14" s="27">
        <f t="shared" si="5"/>
        <v>24947.04242875948</v>
      </c>
      <c r="S14" s="23">
        <f t="shared" si="6"/>
        <v>2.0156198292105909E-2</v>
      </c>
      <c r="T14" s="37">
        <f>'Summer Peak'!C13</f>
        <v>1073.9029239323706</v>
      </c>
      <c r="U14" s="37">
        <f>'Summer Peak'!D13</f>
        <v>0</v>
      </c>
      <c r="V14" s="38">
        <f t="shared" si="10"/>
        <v>26523.782886687506</v>
      </c>
      <c r="W14" s="38"/>
      <c r="X14"/>
      <c r="Y14" s="2">
        <f t="shared" si="7"/>
        <v>11078.676537250349</v>
      </c>
      <c r="Z14" s="2">
        <f t="shared" si="7"/>
        <v>10805.12920963061</v>
      </c>
      <c r="AA14" s="130">
        <f t="shared" si="8"/>
        <v>2.5316432808219158E-2</v>
      </c>
    </row>
    <row r="15" spans="1:28" s="8" customFormat="1" x14ac:dyDescent="0.25">
      <c r="A15" s="17">
        <v>2025</v>
      </c>
      <c r="B15" s="21">
        <f>'Summer CP Comparison'!B15*'Summer NCP-CP Ratio'!$Q$39</f>
        <v>4266.7616414300082</v>
      </c>
      <c r="C15" s="22">
        <v>4067.6246575640994</v>
      </c>
      <c r="D15" s="23">
        <f t="shared" si="0"/>
        <v>4.8956578010607821E-2</v>
      </c>
      <c r="E15" s="34">
        <f>'Summer CP Comparison'!E15*'Summer NCP-CP Ratio'!$P$39</f>
        <v>5269.1768617265243</v>
      </c>
      <c r="F15" s="22">
        <v>5371.1248686261406</v>
      </c>
      <c r="G15" s="23">
        <f t="shared" si="1"/>
        <v>-1.8980755315355924E-2</v>
      </c>
      <c r="H15" s="34">
        <f>'Summer CP Comparison'!H15*'Summer NCP-CP Ratio'!$O$39</f>
        <v>4601.5814572859254</v>
      </c>
      <c r="I15" s="22">
        <v>4529.8446404994847</v>
      </c>
      <c r="J15" s="23">
        <f t="shared" si="2"/>
        <v>1.5836485018729141E-2</v>
      </c>
      <c r="K15" s="34">
        <f>'Summer CP Comparison'!K15*'Summer NCP-CP Ratio'!$N$39</f>
        <v>6626.5626687768918</v>
      </c>
      <c r="L15" s="22">
        <v>6434.0692693077326</v>
      </c>
      <c r="M15" s="23">
        <f t="shared" si="3"/>
        <v>2.9917831377322068E-2</v>
      </c>
      <c r="N15" s="34">
        <f>'Summer CP Comparison'!N15*'Summer NCP-CP Ratio'!$R$39</f>
        <v>5046.2326049270559</v>
      </c>
      <c r="O15" s="22">
        <v>4919.3294233066772</v>
      </c>
      <c r="P15" s="23">
        <f t="shared" si="4"/>
        <v>2.5796845606464114E-2</v>
      </c>
      <c r="Q15" s="36">
        <f t="shared" si="5"/>
        <v>25810.315234146408</v>
      </c>
      <c r="R15" s="27">
        <f t="shared" si="5"/>
        <v>25321.992859304133</v>
      </c>
      <c r="S15" s="23">
        <f t="shared" si="6"/>
        <v>1.9284515936621949E-2</v>
      </c>
      <c r="T15" s="37">
        <f>'Summer Peak'!C14</f>
        <v>1095.2432546869641</v>
      </c>
      <c r="U15" s="37">
        <f>'Summer Peak'!D14</f>
        <v>0</v>
      </c>
      <c r="V15" s="38">
        <f t="shared" si="10"/>
        <v>26905.558488833372</v>
      </c>
      <c r="W15" s="38"/>
      <c r="X15"/>
      <c r="Y15" s="2">
        <f t="shared" si="7"/>
        <v>11228.144126062816</v>
      </c>
      <c r="Z15" s="2">
        <f t="shared" si="7"/>
        <v>10963.913909807217</v>
      </c>
      <c r="AA15" s="130">
        <f t="shared" si="8"/>
        <v>2.4099990060962195E-2</v>
      </c>
    </row>
    <row r="16" spans="1:28" s="8" customFormat="1" x14ac:dyDescent="0.25">
      <c r="A16" s="17">
        <v>2026</v>
      </c>
      <c r="B16" s="21">
        <f>'Summer CP Comparison'!B16*'Summer NCP-CP Ratio'!$Q$39</f>
        <v>4336.5968135204657</v>
      </c>
      <c r="C16" s="22">
        <v>4142.9918222908764</v>
      </c>
      <c r="D16" s="23">
        <f t="shared" si="0"/>
        <v>4.6730720101333612E-2</v>
      </c>
      <c r="E16" s="34">
        <f>'Summer CP Comparison'!E16*'Summer NCP-CP Ratio'!$P$39</f>
        <v>5317.2486928830103</v>
      </c>
      <c r="F16" s="22">
        <v>5433.2773962477404</v>
      </c>
      <c r="G16" s="23">
        <f t="shared" si="1"/>
        <v>-2.1355195934752103E-2</v>
      </c>
      <c r="H16" s="34">
        <f>'Summer CP Comparison'!H16*'Summer NCP-CP Ratio'!$O$39</f>
        <v>4645.7668512066357</v>
      </c>
      <c r="I16" s="22">
        <v>4584.8000644579042</v>
      </c>
      <c r="J16" s="23">
        <f t="shared" si="2"/>
        <v>1.3297588966061147E-2</v>
      </c>
      <c r="K16" s="34">
        <f>'Summer CP Comparison'!K16*'Summer NCP-CP Ratio'!$N$39</f>
        <v>6728.0272061193182</v>
      </c>
      <c r="L16" s="22">
        <v>6550.9242578157282</v>
      </c>
      <c r="M16" s="23">
        <f t="shared" si="3"/>
        <v>2.7034803232886206E-2</v>
      </c>
      <c r="N16" s="34">
        <f>'Summer CP Comparison'!N16*'Summer NCP-CP Ratio'!$R$39</f>
        <v>5133.3175229059443</v>
      </c>
      <c r="O16" s="22">
        <v>5015.0063845386467</v>
      </c>
      <c r="P16" s="23">
        <f t="shared" si="4"/>
        <v>2.3591423279550217E-2</v>
      </c>
      <c r="Q16" s="36">
        <f t="shared" si="5"/>
        <v>26160.957086635375</v>
      </c>
      <c r="R16" s="27">
        <f t="shared" si="5"/>
        <v>25726.999925350894</v>
      </c>
      <c r="S16" s="23">
        <f t="shared" si="6"/>
        <v>1.686777170068976E-2</v>
      </c>
      <c r="T16" s="37">
        <f>'Summer Peak'!C15</f>
        <v>1117.03961468634</v>
      </c>
      <c r="U16" s="37">
        <f>'Summer Peak'!D15</f>
        <v>0</v>
      </c>
      <c r="V16" s="38">
        <f t="shared" si="10"/>
        <v>27277.996701321714</v>
      </c>
      <c r="W16" s="38"/>
      <c r="X16"/>
      <c r="Y16" s="2">
        <f t="shared" si="7"/>
        <v>11373.794057325955</v>
      </c>
      <c r="Z16" s="2">
        <f t="shared" si="7"/>
        <v>11135.724322273632</v>
      </c>
      <c r="AA16" s="130">
        <f t="shared" si="8"/>
        <v>2.1378917811043063E-2</v>
      </c>
    </row>
    <row r="17" spans="1:27" s="8" customFormat="1" x14ac:dyDescent="0.25">
      <c r="A17" s="17">
        <v>2027</v>
      </c>
      <c r="B17" s="21">
        <f>'Summer CP Comparison'!B17*'Summer NCP-CP Ratio'!$Q$39</f>
        <v>4391.3690930436687</v>
      </c>
      <c r="C17" s="22">
        <v>4208.5942068894228</v>
      </c>
      <c r="D17" s="23">
        <f t="shared" si="0"/>
        <v>4.342896396498519E-2</v>
      </c>
      <c r="E17" s="34">
        <f>'Summer CP Comparison'!E17*'Summer NCP-CP Ratio'!$P$39</f>
        <v>5346.3979084130697</v>
      </c>
      <c r="F17" s="22">
        <v>5482.0308411717851</v>
      </c>
      <c r="G17" s="23">
        <f t="shared" si="1"/>
        <v>-2.4741366236043283E-2</v>
      </c>
      <c r="H17" s="34">
        <f>'Summer CP Comparison'!H17*'Summer NCP-CP Ratio'!$O$39</f>
        <v>4674.3003679287658</v>
      </c>
      <c r="I17" s="22">
        <v>4629.3340783315316</v>
      </c>
      <c r="J17" s="23">
        <f t="shared" si="2"/>
        <v>9.7133386436090152E-3</v>
      </c>
      <c r="K17" s="34">
        <f>'Summer CP Comparison'!K17*'Summer NCP-CP Ratio'!$N$39</f>
        <v>6806.6408804739949</v>
      </c>
      <c r="L17" s="22">
        <v>6652.8024328367192</v>
      </c>
      <c r="M17" s="23">
        <f t="shared" si="3"/>
        <v>2.3123856328269188E-2</v>
      </c>
      <c r="N17" s="34">
        <f>'Summer CP Comparison'!N17*'Summer NCP-CP Ratio'!$R$39</f>
        <v>5202.5761147659723</v>
      </c>
      <c r="O17" s="22">
        <v>5099.264203906786</v>
      </c>
      <c r="P17" s="23">
        <f t="shared" si="4"/>
        <v>2.0260160432564733E-2</v>
      </c>
      <c r="Q17" s="36">
        <f t="shared" si="5"/>
        <v>26421.28436462547</v>
      </c>
      <c r="R17" s="27">
        <f t="shared" si="5"/>
        <v>26072.025763136244</v>
      </c>
      <c r="S17" s="23">
        <f t="shared" si="6"/>
        <v>1.3395913484522959E-2</v>
      </c>
      <c r="T17" s="37">
        <f>'Summer Peak'!C16</f>
        <v>1139.3000447484167</v>
      </c>
      <c r="U17" s="37">
        <f>'Summer Peak'!D16</f>
        <v>0</v>
      </c>
      <c r="V17" s="38">
        <f t="shared" si="10"/>
        <v>27560.584409373885</v>
      </c>
      <c r="W17" s="38"/>
      <c r="X17"/>
      <c r="Y17" s="2">
        <f t="shared" si="7"/>
        <v>11480.94124840276</v>
      </c>
      <c r="Z17" s="2">
        <f t="shared" si="7"/>
        <v>11282.13651116825</v>
      </c>
      <c r="AA17" s="130">
        <f t="shared" si="8"/>
        <v>1.762119586460531E-2</v>
      </c>
    </row>
    <row r="18" spans="1:27" s="8" customFormat="1" x14ac:dyDescent="0.25">
      <c r="A18" s="17">
        <v>2028</v>
      </c>
      <c r="B18" s="21">
        <f>'Summer CP Comparison'!B18*'Summer NCP-CP Ratio'!$Q$39</f>
        <v>4462.2027106062096</v>
      </c>
      <c r="C18" s="22">
        <v>4287.8242242113874</v>
      </c>
      <c r="D18" s="23">
        <f t="shared" si="0"/>
        <v>4.0668291720119099E-2</v>
      </c>
      <c r="E18" s="34">
        <f>'Summer CP Comparison'!E18*'Summer NCP-CP Ratio'!$P$39</f>
        <v>5395.4019888843504</v>
      </c>
      <c r="F18" s="22">
        <v>5548.6812531167807</v>
      </c>
      <c r="G18" s="23">
        <f t="shared" si="1"/>
        <v>-2.7624449349353264E-2</v>
      </c>
      <c r="H18" s="34">
        <f>'Summer CP Comparison'!H18*'Summer NCP-CP Ratio'!$O$39</f>
        <v>4720.6374581282198</v>
      </c>
      <c r="I18" s="22">
        <v>4689.4601941047695</v>
      </c>
      <c r="J18" s="23">
        <f t="shared" si="2"/>
        <v>6.6483694781425129E-3</v>
      </c>
      <c r="K18" s="34">
        <f>'Summer CP Comparison'!K18*'Summer NCP-CP Ratio'!$N$39</f>
        <v>6911.1042480994884</v>
      </c>
      <c r="L18" s="22">
        <v>6777.1666723430753</v>
      </c>
      <c r="M18" s="23">
        <f t="shared" si="3"/>
        <v>1.9763063567994843E-2</v>
      </c>
      <c r="N18" s="34">
        <f>'Summer CP Comparison'!N18*'Summer NCP-CP Ratio'!$R$39</f>
        <v>5291.3293159792047</v>
      </c>
      <c r="O18" s="22">
        <v>5200.7988763646272</v>
      </c>
      <c r="P18" s="23">
        <f t="shared" si="4"/>
        <v>1.7407025683303878E-2</v>
      </c>
      <c r="Q18" s="36">
        <f t="shared" si="5"/>
        <v>26780.675721697469</v>
      </c>
      <c r="R18" s="27">
        <f t="shared" si="5"/>
        <v>26503.931220140643</v>
      </c>
      <c r="S18" s="23">
        <f t="shared" si="6"/>
        <v>1.0441639742353681E-2</v>
      </c>
      <c r="T18" s="37">
        <f>'Summer Peak'!C17</f>
        <v>1159.4341723830032</v>
      </c>
      <c r="U18" s="37">
        <f>'Summer Peak'!D17</f>
        <v>0</v>
      </c>
      <c r="V18" s="38">
        <f t="shared" si="10"/>
        <v>27940.109894080473</v>
      </c>
      <c r="W18" s="38"/>
      <c r="X18"/>
      <c r="Y18" s="2">
        <f t="shared" si="7"/>
        <v>11631.741706227709</v>
      </c>
      <c r="Z18" s="2">
        <f t="shared" si="7"/>
        <v>11466.626866447845</v>
      </c>
      <c r="AA18" s="130">
        <f t="shared" si="8"/>
        <v>1.4399599961083753E-2</v>
      </c>
    </row>
    <row r="19" spans="1:27" s="8" customFormat="1" x14ac:dyDescent="0.25">
      <c r="A19" s="17">
        <v>2029</v>
      </c>
      <c r="B19" s="21">
        <f>'Summer CP Comparison'!B19*'Summer NCP-CP Ratio'!$Q$39</f>
        <v>4553.1965849747239</v>
      </c>
      <c r="C19" s="22">
        <v>4390.2864232535212</v>
      </c>
      <c r="D19" s="23">
        <f t="shared" si="0"/>
        <v>3.710695522240548E-2</v>
      </c>
      <c r="E19" s="34">
        <f>'Summer CP Comparison'!E19*'Summer NCP-CP Ratio'!$P$39</f>
        <v>5468.9891935947762</v>
      </c>
      <c r="F19" s="22">
        <v>5645.9152981418174</v>
      </c>
      <c r="G19" s="23">
        <f t="shared" si="1"/>
        <v>-3.133701006907974E-2</v>
      </c>
      <c r="H19" s="34">
        <f>'Summer CP Comparison'!H19*'Summer NCP-CP Ratio'!$O$39</f>
        <v>4788.7919437372066</v>
      </c>
      <c r="I19" s="22">
        <v>4775.7875548475795</v>
      </c>
      <c r="J19" s="23">
        <f t="shared" si="2"/>
        <v>2.7229831185491271E-3</v>
      </c>
      <c r="K19" s="34">
        <f>'Summer CP Comparison'!K19*'Summer NCP-CP Ratio'!$N$39</f>
        <v>7047.8805797887308</v>
      </c>
      <c r="L19" s="22">
        <v>6939.9411233632181</v>
      </c>
      <c r="M19" s="23">
        <f t="shared" si="3"/>
        <v>1.555336774574867E-2</v>
      </c>
      <c r="N19" s="34">
        <f>'Summer CP Comparison'!N19*'Summer NCP-CP Ratio'!$R$39</f>
        <v>5405.0360631012791</v>
      </c>
      <c r="O19" s="22">
        <v>5332.1466362846249</v>
      </c>
      <c r="P19" s="23">
        <f t="shared" si="4"/>
        <v>1.3669809138527889E-2</v>
      </c>
      <c r="Q19" s="36">
        <f t="shared" si="5"/>
        <v>27263.894365196717</v>
      </c>
      <c r="R19" s="27">
        <f t="shared" si="5"/>
        <v>27084.077035890761</v>
      </c>
      <c r="S19" s="23">
        <f t="shared" si="6"/>
        <v>6.63922677031481E-3</v>
      </c>
      <c r="T19" s="37">
        <f>'Summer Peak'!C18</f>
        <v>1179.9241176948331</v>
      </c>
      <c r="U19" s="37">
        <f>'Summer Peak'!D18</f>
        <v>0</v>
      </c>
      <c r="V19" s="38">
        <f t="shared" si="10"/>
        <v>28443.818482891551</v>
      </c>
      <c r="W19" s="38"/>
      <c r="X19"/>
      <c r="Y19" s="2">
        <f t="shared" si="7"/>
        <v>11836.672523525936</v>
      </c>
      <c r="Z19" s="2">
        <f t="shared" si="7"/>
        <v>11715.728678210799</v>
      </c>
      <c r="AA19" s="130">
        <f t="shared" si="8"/>
        <v>1.0323202989505287E-2</v>
      </c>
    </row>
    <row r="20" spans="1:27" s="8" customFormat="1" ht="15.75" thickBot="1" x14ac:dyDescent="0.3">
      <c r="A20" s="17">
        <v>2030</v>
      </c>
      <c r="B20" s="65">
        <f>'Summer CP Comparison'!B20*'Summer NCP-CP Ratio'!$Q$39</f>
        <v>4658.1245309612414</v>
      </c>
      <c r="C20" s="63">
        <v>4500.2684344617273</v>
      </c>
      <c r="D20" s="64">
        <f t="shared" si="0"/>
        <v>3.5077040136250126E-2</v>
      </c>
      <c r="E20" s="80">
        <f>'Summer CP Comparison'!E20*'Summer NCP-CP Ratio'!$P$39</f>
        <v>5559.1293114361815</v>
      </c>
      <c r="F20" s="63">
        <v>5752.5481121838875</v>
      </c>
      <c r="G20" s="64">
        <f t="shared" si="1"/>
        <v>-3.3623152205897289E-2</v>
      </c>
      <c r="H20" s="80">
        <f>'Summer CP Comparison'!H20*'Summer NCP-CP Ratio'!$O$39</f>
        <v>4872.1964752476097</v>
      </c>
      <c r="I20" s="63">
        <v>4870.8552086723748</v>
      </c>
      <c r="J20" s="64">
        <f t="shared" si="2"/>
        <v>2.7536572486219768E-4</v>
      </c>
      <c r="K20" s="80">
        <f>'Summer CP Comparison'!K20*'Summer NCP-CP Ratio'!$N$39</f>
        <v>7207.2465549796261</v>
      </c>
      <c r="L20" s="63">
        <v>7115.9819519336006</v>
      </c>
      <c r="M20" s="64">
        <f t="shared" si="3"/>
        <v>1.2825299960355752E-2</v>
      </c>
      <c r="N20" s="80">
        <f>'Summer CP Comparison'!N20*'Summer NCP-CP Ratio'!$R$39</f>
        <v>5536.405877192452</v>
      </c>
      <c r="O20" s="63">
        <v>5473.9492272003417</v>
      </c>
      <c r="P20" s="64">
        <f t="shared" si="4"/>
        <v>1.1409797095259799E-2</v>
      </c>
      <c r="Q20" s="81">
        <f t="shared" si="5"/>
        <v>27833.10274981711</v>
      </c>
      <c r="R20" s="82">
        <f t="shared" si="5"/>
        <v>27713.60293445193</v>
      </c>
      <c r="S20" s="64">
        <f t="shared" si="6"/>
        <v>4.3119552390145088E-3</v>
      </c>
      <c r="T20" s="37">
        <f>'Summer Peak'!C19</f>
        <v>1200.7761688242092</v>
      </c>
      <c r="U20" s="37">
        <f>'Summer Peak'!D19</f>
        <v>0</v>
      </c>
      <c r="V20" s="38">
        <f t="shared" si="10"/>
        <v>29033.87891864132</v>
      </c>
      <c r="W20" s="38"/>
      <c r="X20"/>
      <c r="Y20" s="2">
        <f t="shared" si="7"/>
        <v>12079.443030227236</v>
      </c>
      <c r="Z20" s="2">
        <f t="shared" si="7"/>
        <v>11986.837160605975</v>
      </c>
      <c r="AA20" s="130">
        <f t="shared" si="8"/>
        <v>7.725630070758216E-3</v>
      </c>
    </row>
    <row r="21" spans="1:27" x14ac:dyDescent="0.25">
      <c r="A21" t="s">
        <v>66</v>
      </c>
      <c r="B21" s="176">
        <f>(B20/B10)^(1/10)-1</f>
        <v>1.7779318546655709E-2</v>
      </c>
      <c r="C21" s="176">
        <f>(C20/C10)^(1/10)-1</f>
        <v>1.657298925931161E-2</v>
      </c>
      <c r="D21" s="196"/>
      <c r="E21" s="176">
        <f>(E20/E10)^(1/10)-1</f>
        <v>1.0384136962729107E-2</v>
      </c>
      <c r="F21" s="176">
        <f>(F20/F10)^(1/10)-1</f>
        <v>9.6443957621901166E-3</v>
      </c>
      <c r="G21" s="196"/>
      <c r="H21" s="176">
        <f>(H20/H10)^(1/10)-1</f>
        <v>1.049250263238366E-2</v>
      </c>
      <c r="I21" s="176">
        <f>(I20/I10)^(1/10)-1</f>
        <v>1.0017192221319693E-2</v>
      </c>
      <c r="J21" s="196"/>
      <c r="K21" s="176">
        <f>(K20/K10)^(1/10)-1</f>
        <v>1.6077327863622815E-2</v>
      </c>
      <c r="L21" s="176">
        <f>(L20/L10)^(1/10)-1</f>
        <v>1.647629721039201E-2</v>
      </c>
      <c r="M21" s="196"/>
      <c r="N21" s="176">
        <f>(N20/N10)^(1/10)-1</f>
        <v>1.9047455245057021E-2</v>
      </c>
      <c r="O21" s="176">
        <f>(O20/O10)^(1/10)-1</f>
        <v>1.7842218037472213E-2</v>
      </c>
      <c r="P21" s="196"/>
      <c r="Q21" s="176">
        <f>(Q20/Q10)^(1/10)-1</f>
        <v>1.4769494203225264E-2</v>
      </c>
      <c r="R21" s="176">
        <f>(R20/R10)^(1/10)-1</f>
        <v>1.4141660033598846E-2</v>
      </c>
    </row>
    <row r="22" spans="1:27" ht="15.75" thickBot="1" x14ac:dyDescent="0.3"/>
    <row r="23" spans="1:27" s="13" customFormat="1" ht="15.75" thickBot="1" x14ac:dyDescent="0.3">
      <c r="A23" s="17" t="s">
        <v>7</v>
      </c>
      <c r="B23" s="226" t="s">
        <v>8</v>
      </c>
      <c r="C23" s="227"/>
      <c r="D23" s="228"/>
      <c r="E23" s="226" t="s">
        <v>9</v>
      </c>
      <c r="F23" s="227"/>
      <c r="G23" s="228"/>
      <c r="H23" s="226" t="s">
        <v>10</v>
      </c>
      <c r="I23" s="227"/>
      <c r="J23" s="228"/>
      <c r="K23" s="226" t="s">
        <v>11</v>
      </c>
      <c r="L23" s="227"/>
      <c r="M23" s="228"/>
      <c r="N23" s="226" t="s">
        <v>12</v>
      </c>
      <c r="O23" s="227"/>
      <c r="P23" s="228"/>
      <c r="Q23" s="226" t="s">
        <v>13</v>
      </c>
      <c r="R23" s="227"/>
      <c r="S23" s="228"/>
      <c r="T23" s="11"/>
      <c r="U23" s="11"/>
      <c r="V23" s="11"/>
      <c r="W23" s="12"/>
      <c r="X23"/>
      <c r="Y23" s="12"/>
      <c r="Z23" s="12"/>
      <c r="AA23" s="12"/>
    </row>
    <row r="24" spans="1:27" s="14" customFormat="1" x14ac:dyDescent="0.25">
      <c r="A24" s="18"/>
      <c r="B24" s="169" t="s">
        <v>71</v>
      </c>
      <c r="C24" s="170" t="s">
        <v>61</v>
      </c>
      <c r="D24" s="79"/>
      <c r="E24" s="169" t="s">
        <v>71</v>
      </c>
      <c r="F24" s="170" t="s">
        <v>61</v>
      </c>
      <c r="G24" s="79"/>
      <c r="H24" s="169" t="s">
        <v>71</v>
      </c>
      <c r="I24" s="170" t="s">
        <v>61</v>
      </c>
      <c r="J24" s="79"/>
      <c r="K24" s="169" t="s">
        <v>71</v>
      </c>
      <c r="L24" s="170" t="s">
        <v>61</v>
      </c>
      <c r="M24" s="79"/>
      <c r="N24" s="169" t="s">
        <v>71</v>
      </c>
      <c r="O24" s="170" t="s">
        <v>61</v>
      </c>
      <c r="P24" s="79"/>
      <c r="Q24" s="169" t="s">
        <v>71</v>
      </c>
      <c r="R24" s="170" t="s">
        <v>61</v>
      </c>
      <c r="S24" s="79"/>
      <c r="T24" s="11"/>
      <c r="U24" s="11"/>
      <c r="V24" s="11"/>
      <c r="W24" s="12"/>
      <c r="X24"/>
      <c r="Y24" s="12"/>
      <c r="Z24" s="12"/>
      <c r="AA24" s="12"/>
    </row>
    <row r="25" spans="1:27" x14ac:dyDescent="0.25">
      <c r="A25" s="20"/>
      <c r="B25" s="21"/>
      <c r="C25" s="22"/>
      <c r="D25" s="23"/>
      <c r="E25" s="21"/>
      <c r="F25" s="22"/>
      <c r="G25" s="23"/>
      <c r="H25" s="21"/>
      <c r="I25" s="22"/>
      <c r="J25" s="23"/>
      <c r="K25" s="21"/>
      <c r="L25" s="22"/>
      <c r="M25" s="23"/>
      <c r="N25" s="21"/>
      <c r="O25" s="22"/>
      <c r="P25" s="23"/>
      <c r="Q25" s="21"/>
      <c r="R25" s="22"/>
      <c r="S25" s="23"/>
    </row>
    <row r="26" spans="1:27" x14ac:dyDescent="0.25">
      <c r="A26" s="17">
        <f t="shared" ref="A26:A37" si="11">A9</f>
        <v>2019</v>
      </c>
      <c r="B26" s="70">
        <f t="shared" ref="B26:C37" si="12">B9/B8-1</f>
        <v>-0.1298274933669642</v>
      </c>
      <c r="C26" s="77">
        <f t="shared" si="12"/>
        <v>-4.8369493396364538E-2</v>
      </c>
      <c r="D26" s="23"/>
      <c r="E26" s="70">
        <f t="shared" ref="E26:F37" si="13">E9/E8-1</f>
        <v>0.10247393324018628</v>
      </c>
      <c r="F26" s="77">
        <f t="shared" si="13"/>
        <v>0.16691684320033895</v>
      </c>
      <c r="G26" s="23"/>
      <c r="H26" s="70">
        <f t="shared" ref="H26:I37" si="14">H9/H8-1</f>
        <v>-3.9353135837143727E-2</v>
      </c>
      <c r="I26" s="77">
        <f t="shared" si="14"/>
        <v>4.5905771001258255E-2</v>
      </c>
      <c r="J26" s="23"/>
      <c r="K26" s="70">
        <f t="shared" ref="K26:L37" si="15">K9/K8-1</f>
        <v>-2.898243028752423E-2</v>
      </c>
      <c r="L26" s="77">
        <f t="shared" si="15"/>
        <v>9.2986217785469005E-3</v>
      </c>
      <c r="M26" s="23"/>
      <c r="N26" s="70">
        <f t="shared" ref="N26:O37" si="16">N9/N8-1</f>
        <v>0.34164727888509328</v>
      </c>
      <c r="O26" s="77">
        <f t="shared" si="16"/>
        <v>5.7599727772013276E-2</v>
      </c>
      <c r="P26" s="23"/>
      <c r="Q26" s="70">
        <f t="shared" ref="Q26:R37" si="17">Q9/Q8-1</f>
        <v>4.6175372596936048E-2</v>
      </c>
      <c r="R26" s="77">
        <f t="shared" si="17"/>
        <v>4.5841683061889071E-2</v>
      </c>
      <c r="S26" s="23"/>
    </row>
    <row r="27" spans="1:27" x14ac:dyDescent="0.25">
      <c r="A27" s="17">
        <f t="shared" si="11"/>
        <v>2020</v>
      </c>
      <c r="B27" s="70">
        <f t="shared" si="12"/>
        <v>0.12072616796366131</v>
      </c>
      <c r="C27" s="77">
        <f t="shared" si="12"/>
        <v>2.1954246375379016E-2</v>
      </c>
      <c r="D27" s="23"/>
      <c r="E27" s="70">
        <f t="shared" si="13"/>
        <v>1.7274498885734069E-2</v>
      </c>
      <c r="F27" s="77">
        <f t="shared" si="13"/>
        <v>1.4937329787992226E-2</v>
      </c>
      <c r="G27" s="23"/>
      <c r="H27" s="70">
        <f t="shared" si="14"/>
        <v>8.7300525061675405E-2</v>
      </c>
      <c r="I27" s="77">
        <f t="shared" si="14"/>
        <v>1.2445431106903104E-2</v>
      </c>
      <c r="J27" s="23"/>
      <c r="K27" s="70">
        <f t="shared" si="15"/>
        <v>7.4225702753008438E-2</v>
      </c>
      <c r="L27" s="77">
        <f t="shared" si="15"/>
        <v>2.0429549751238563E-2</v>
      </c>
      <c r="M27" s="23"/>
      <c r="N27" s="70">
        <f t="shared" si="16"/>
        <v>-0.19572246137037752</v>
      </c>
      <c r="O27" s="77">
        <f t="shared" si="16"/>
        <v>2.4588147912999903E-2</v>
      </c>
      <c r="P27" s="23"/>
      <c r="Q27" s="70">
        <f t="shared" si="17"/>
        <v>7.0051760489666659E-3</v>
      </c>
      <c r="R27" s="77">
        <f t="shared" si="17"/>
        <v>1.8790915334716329E-2</v>
      </c>
      <c r="S27" s="23"/>
    </row>
    <row r="28" spans="1:27" x14ac:dyDescent="0.25">
      <c r="A28" s="17">
        <f t="shared" si="11"/>
        <v>2021</v>
      </c>
      <c r="B28" s="70">
        <f t="shared" si="12"/>
        <v>1.6494731083713132E-2</v>
      </c>
      <c r="C28" s="77">
        <f t="shared" si="12"/>
        <v>5.9746384936338881E-3</v>
      </c>
      <c r="D28" s="23"/>
      <c r="E28" s="70">
        <f t="shared" si="13"/>
        <v>7.1338642792069251E-3</v>
      </c>
      <c r="F28" s="77">
        <f t="shared" si="13"/>
        <v>-1.6290096663547082E-3</v>
      </c>
      <c r="G28" s="23"/>
      <c r="H28" s="70">
        <f t="shared" si="14"/>
        <v>4.3322389038735754E-3</v>
      </c>
      <c r="I28" s="77">
        <f t="shared" si="14"/>
        <v>-2.2940788170331405E-3</v>
      </c>
      <c r="J28" s="23"/>
      <c r="K28" s="70">
        <f t="shared" si="15"/>
        <v>8.7217736825642156E-3</v>
      </c>
      <c r="L28" s="77">
        <f t="shared" si="15"/>
        <v>5.9904881720689307E-3</v>
      </c>
      <c r="M28" s="23"/>
      <c r="N28" s="70">
        <f t="shared" si="16"/>
        <v>1.7241013958159357E-2</v>
      </c>
      <c r="O28" s="77">
        <f t="shared" si="16"/>
        <v>8.3136746288736685E-3</v>
      </c>
      <c r="P28" s="23"/>
      <c r="Q28" s="70">
        <f t="shared" si="17"/>
        <v>1.0476745550126232E-2</v>
      </c>
      <c r="R28" s="77">
        <f t="shared" si="17"/>
        <v>3.2603346235828834E-3</v>
      </c>
      <c r="S28" s="23"/>
    </row>
    <row r="29" spans="1:27" x14ac:dyDescent="0.25">
      <c r="A29" s="17">
        <f t="shared" si="11"/>
        <v>2022</v>
      </c>
      <c r="B29" s="70">
        <f t="shared" si="12"/>
        <v>1.4296183393793127E-2</v>
      </c>
      <c r="C29" s="77">
        <f t="shared" si="12"/>
        <v>7.6805768468126701E-3</v>
      </c>
      <c r="D29" s="23"/>
      <c r="E29" s="70">
        <f t="shared" si="13"/>
        <v>6.705939772069458E-3</v>
      </c>
      <c r="F29" s="77">
        <f t="shared" si="13"/>
        <v>3.574002086201844E-4</v>
      </c>
      <c r="G29" s="23"/>
      <c r="H29" s="70">
        <f t="shared" si="14"/>
        <v>6.3033575812678766E-3</v>
      </c>
      <c r="I29" s="77">
        <f t="shared" si="14"/>
        <v>-1.0471270769185637E-4</v>
      </c>
      <c r="J29" s="23"/>
      <c r="K29" s="70">
        <f t="shared" si="15"/>
        <v>1.2513540218770824E-2</v>
      </c>
      <c r="L29" s="77">
        <f t="shared" si="15"/>
        <v>7.7432066218006135E-3</v>
      </c>
      <c r="M29" s="23"/>
      <c r="N29" s="70">
        <f t="shared" si="16"/>
        <v>1.7190549975489189E-2</v>
      </c>
      <c r="O29" s="77">
        <f t="shared" si="16"/>
        <v>9.2709438667351041E-3</v>
      </c>
      <c r="P29" s="23"/>
      <c r="Q29" s="70">
        <f t="shared" si="17"/>
        <v>1.1368483048700639E-2</v>
      </c>
      <c r="R29" s="77">
        <f t="shared" si="17"/>
        <v>5.0019919655808209E-3</v>
      </c>
      <c r="S29" s="23"/>
    </row>
    <row r="30" spans="1:27" x14ac:dyDescent="0.25">
      <c r="A30" s="17">
        <f t="shared" si="11"/>
        <v>2023</v>
      </c>
      <c r="B30" s="70">
        <f t="shared" si="12"/>
        <v>2.0734199563843259E-2</v>
      </c>
      <c r="C30" s="77">
        <f t="shared" si="12"/>
        <v>1.5413425285186966E-2</v>
      </c>
      <c r="D30" s="23"/>
      <c r="E30" s="70">
        <f t="shared" si="13"/>
        <v>1.3164907445818663E-2</v>
      </c>
      <c r="F30" s="77">
        <f t="shared" si="13"/>
        <v>8.1935923090155072E-3</v>
      </c>
      <c r="G30" s="23"/>
      <c r="H30" s="70">
        <f t="shared" si="14"/>
        <v>1.3147780935051978E-2</v>
      </c>
      <c r="I30" s="77">
        <f t="shared" si="14"/>
        <v>8.2046404510023319E-3</v>
      </c>
      <c r="J30" s="23"/>
      <c r="K30" s="70">
        <f t="shared" si="15"/>
        <v>1.9456628156853562E-2</v>
      </c>
      <c r="L30" s="77">
        <f t="shared" si="15"/>
        <v>1.5350073645164164E-2</v>
      </c>
      <c r="M30" s="23"/>
      <c r="N30" s="70">
        <f t="shared" si="16"/>
        <v>2.2530889249216646E-2</v>
      </c>
      <c r="O30" s="77">
        <f t="shared" si="16"/>
        <v>1.6485409206984825E-2</v>
      </c>
      <c r="P30" s="23"/>
      <c r="Q30" s="70">
        <f t="shared" si="17"/>
        <v>1.7818518300126707E-2</v>
      </c>
      <c r="R30" s="77">
        <f t="shared" si="17"/>
        <v>1.2745890099228996E-2</v>
      </c>
      <c r="S30" s="23"/>
    </row>
    <row r="31" spans="1:27" x14ac:dyDescent="0.25">
      <c r="A31" s="17">
        <f t="shared" si="11"/>
        <v>2024</v>
      </c>
      <c r="B31" s="70">
        <f t="shared" si="12"/>
        <v>2.0755878176304421E-2</v>
      </c>
      <c r="C31" s="77">
        <f t="shared" si="12"/>
        <v>1.7081459266042209E-2</v>
      </c>
      <c r="D31" s="23"/>
      <c r="E31" s="70">
        <f t="shared" si="13"/>
        <v>1.331755468484741E-2</v>
      </c>
      <c r="F31" s="77">
        <f t="shared" si="13"/>
        <v>9.983197653576692E-3</v>
      </c>
      <c r="G31" s="23"/>
      <c r="H31" s="70">
        <f t="shared" si="14"/>
        <v>1.3604471936206286E-2</v>
      </c>
      <c r="I31" s="77">
        <f t="shared" si="14"/>
        <v>1.0329557471363993E-2</v>
      </c>
      <c r="J31" s="23"/>
      <c r="K31" s="70">
        <f t="shared" si="15"/>
        <v>1.9559516466589377E-2</v>
      </c>
      <c r="L31" s="77">
        <f t="shared" si="15"/>
        <v>1.6814288357503315E-2</v>
      </c>
      <c r="M31" s="23"/>
      <c r="N31" s="70">
        <f t="shared" si="16"/>
        <v>2.197896114128195E-2</v>
      </c>
      <c r="O31" s="77">
        <f t="shared" si="16"/>
        <v>1.7982963011250241E-2</v>
      </c>
      <c r="P31" s="23"/>
      <c r="Q31" s="70">
        <f t="shared" si="17"/>
        <v>1.7869400818097514E-2</v>
      </c>
      <c r="R31" s="77">
        <f t="shared" si="17"/>
        <v>1.4451424619367881E-2</v>
      </c>
      <c r="S31" s="23"/>
    </row>
    <row r="32" spans="1:27" x14ac:dyDescent="0.25">
      <c r="A32" s="17">
        <f t="shared" si="11"/>
        <v>2025</v>
      </c>
      <c r="B32" s="70">
        <f t="shared" si="12"/>
        <v>1.699548627962133E-2</v>
      </c>
      <c r="C32" s="77">
        <f t="shared" si="12"/>
        <v>1.7605756598131794E-2</v>
      </c>
      <c r="D32" s="23"/>
      <c r="E32" s="70">
        <f t="shared" si="13"/>
        <v>9.6844225554180152E-3</v>
      </c>
      <c r="F32" s="77">
        <f t="shared" si="13"/>
        <v>1.0611311894351827E-2</v>
      </c>
      <c r="G32" s="23"/>
      <c r="H32" s="70">
        <f t="shared" si="14"/>
        <v>1.0102942429869977E-2</v>
      </c>
      <c r="I32" s="77">
        <f t="shared" si="14"/>
        <v>1.110656094895468E-2</v>
      </c>
      <c r="J32" s="23"/>
      <c r="K32" s="70">
        <f t="shared" si="15"/>
        <v>1.5857912414431796E-2</v>
      </c>
      <c r="L32" s="77">
        <f t="shared" si="15"/>
        <v>1.7237250421825445E-2</v>
      </c>
      <c r="M32" s="23"/>
      <c r="N32" s="70">
        <f t="shared" si="16"/>
        <v>1.7979100529704084E-2</v>
      </c>
      <c r="O32" s="77">
        <f t="shared" si="16"/>
        <v>1.850850669636972E-2</v>
      </c>
      <c r="P32" s="23"/>
      <c r="Q32" s="70">
        <f t="shared" si="17"/>
        <v>1.416255290471935E-2</v>
      </c>
      <c r="R32" s="77">
        <f t="shared" si="17"/>
        <v>1.5029855006475801E-2</v>
      </c>
      <c r="S32" s="23"/>
    </row>
    <row r="33" spans="1:19" x14ac:dyDescent="0.25">
      <c r="A33" s="17">
        <f t="shared" si="11"/>
        <v>2026</v>
      </c>
      <c r="B33" s="70">
        <f t="shared" si="12"/>
        <v>1.6367254128367925E-2</v>
      </c>
      <c r="C33" s="77">
        <f t="shared" si="12"/>
        <v>1.8528544561412508E-2</v>
      </c>
      <c r="D33" s="23"/>
      <c r="E33" s="70">
        <f t="shared" si="13"/>
        <v>9.1232145775297369E-3</v>
      </c>
      <c r="F33" s="77">
        <f t="shared" si="13"/>
        <v>1.1571603554526577E-2</v>
      </c>
      <c r="G33" s="23"/>
      <c r="H33" s="70">
        <f t="shared" si="14"/>
        <v>9.6022192219915592E-3</v>
      </c>
      <c r="I33" s="77">
        <f t="shared" si="14"/>
        <v>1.2131856237868721E-2</v>
      </c>
      <c r="J33" s="23"/>
      <c r="K33" s="70">
        <f t="shared" si="15"/>
        <v>1.5311790201654407E-2</v>
      </c>
      <c r="L33" s="77">
        <f t="shared" si="15"/>
        <v>1.8161910233920775E-2</v>
      </c>
      <c r="M33" s="23"/>
      <c r="N33" s="70">
        <f t="shared" si="16"/>
        <v>1.7257412568310926E-2</v>
      </c>
      <c r="O33" s="77">
        <f t="shared" si="16"/>
        <v>1.9449187683726388E-2</v>
      </c>
      <c r="P33" s="23"/>
      <c r="Q33" s="70">
        <f t="shared" si="17"/>
        <v>1.3585337850700707E-2</v>
      </c>
      <c r="R33" s="77">
        <f t="shared" si="17"/>
        <v>1.5994280872642541E-2</v>
      </c>
      <c r="S33" s="23"/>
    </row>
    <row r="34" spans="1:19" x14ac:dyDescent="0.25">
      <c r="A34" s="17">
        <f t="shared" si="11"/>
        <v>2027</v>
      </c>
      <c r="B34" s="70">
        <f t="shared" si="12"/>
        <v>1.2630244839095139E-2</v>
      </c>
      <c r="C34" s="77">
        <f t="shared" si="12"/>
        <v>1.5834543588906014E-2</v>
      </c>
      <c r="D34" s="23"/>
      <c r="E34" s="70">
        <f t="shared" si="13"/>
        <v>5.4820109446966914E-3</v>
      </c>
      <c r="F34" s="77">
        <f t="shared" si="13"/>
        <v>8.9731190529154237E-3</v>
      </c>
      <c r="G34" s="23"/>
      <c r="H34" s="70">
        <f t="shared" si="14"/>
        <v>6.1418313996361995E-3</v>
      </c>
      <c r="I34" s="77">
        <f t="shared" si="14"/>
        <v>9.7134036920960565E-3</v>
      </c>
      <c r="J34" s="23"/>
      <c r="K34" s="70">
        <f t="shared" si="15"/>
        <v>1.1684506014359775E-2</v>
      </c>
      <c r="L34" s="77">
        <f t="shared" si="15"/>
        <v>1.555172537668148E-2</v>
      </c>
      <c r="M34" s="23"/>
      <c r="N34" s="70">
        <f t="shared" si="16"/>
        <v>1.3491975033880443E-2</v>
      </c>
      <c r="O34" s="77">
        <f t="shared" si="16"/>
        <v>1.6801139003114196E-2</v>
      </c>
      <c r="P34" s="23"/>
      <c r="Q34" s="70">
        <f t="shared" si="17"/>
        <v>9.950984481492231E-3</v>
      </c>
      <c r="R34" s="77">
        <f t="shared" si="17"/>
        <v>1.3411040493896298E-2</v>
      </c>
      <c r="S34" s="23"/>
    </row>
    <row r="35" spans="1:19" x14ac:dyDescent="0.25">
      <c r="A35" s="17">
        <f t="shared" si="11"/>
        <v>2028</v>
      </c>
      <c r="B35" s="70">
        <f t="shared" si="12"/>
        <v>1.6130189938884376E-2</v>
      </c>
      <c r="C35" s="77">
        <f t="shared" si="12"/>
        <v>1.8825767804428795E-2</v>
      </c>
      <c r="D35" s="23"/>
      <c r="E35" s="70">
        <f t="shared" si="13"/>
        <v>9.1658124424611742E-3</v>
      </c>
      <c r="F35" s="77">
        <f t="shared" si="13"/>
        <v>1.2157978288708238E-2</v>
      </c>
      <c r="G35" s="23"/>
      <c r="H35" s="70">
        <f t="shared" si="14"/>
        <v>9.9131605913436172E-3</v>
      </c>
      <c r="I35" s="77">
        <f t="shared" si="14"/>
        <v>1.2988070153473918E-2</v>
      </c>
      <c r="J35" s="23"/>
      <c r="K35" s="70">
        <f t="shared" si="15"/>
        <v>1.5347271798217488E-2</v>
      </c>
      <c r="L35" s="77">
        <f t="shared" si="15"/>
        <v>1.8693511608359525E-2</v>
      </c>
      <c r="M35" s="23"/>
      <c r="N35" s="70">
        <f t="shared" si="16"/>
        <v>1.705947193378532E-2</v>
      </c>
      <c r="O35" s="77">
        <f t="shared" si="16"/>
        <v>1.9911632031156756E-2</v>
      </c>
      <c r="P35" s="23"/>
      <c r="Q35" s="70">
        <f t="shared" si="17"/>
        <v>1.3602342418795432E-2</v>
      </c>
      <c r="R35" s="77">
        <f t="shared" si="17"/>
        <v>1.6565857249768445E-2</v>
      </c>
      <c r="S35" s="23"/>
    </row>
    <row r="36" spans="1:19" x14ac:dyDescent="0.25">
      <c r="A36" s="17">
        <f t="shared" si="11"/>
        <v>2029</v>
      </c>
      <c r="B36" s="70">
        <f t="shared" si="12"/>
        <v>2.0392142685994763E-2</v>
      </c>
      <c r="C36" s="77">
        <f t="shared" si="12"/>
        <v>2.3896081948410197E-2</v>
      </c>
      <c r="D36" s="23"/>
      <c r="E36" s="70">
        <f t="shared" si="13"/>
        <v>1.3638873407770369E-2</v>
      </c>
      <c r="F36" s="77">
        <f t="shared" si="13"/>
        <v>1.7523811621080077E-2</v>
      </c>
      <c r="G36" s="23"/>
      <c r="H36" s="70">
        <f t="shared" si="14"/>
        <v>1.4437559802783717E-2</v>
      </c>
      <c r="I36" s="77">
        <f t="shared" si="14"/>
        <v>1.8408805527624361E-2</v>
      </c>
      <c r="J36" s="23"/>
      <c r="K36" s="70">
        <f t="shared" si="15"/>
        <v>1.9790807196528037E-2</v>
      </c>
      <c r="L36" s="77">
        <f t="shared" si="15"/>
        <v>2.4018068152936056E-2</v>
      </c>
      <c r="M36" s="23"/>
      <c r="N36" s="70">
        <f t="shared" si="16"/>
        <v>2.1489259188365528E-2</v>
      </c>
      <c r="O36" s="77">
        <f t="shared" si="16"/>
        <v>2.5255304625779074E-2</v>
      </c>
      <c r="P36" s="23"/>
      <c r="Q36" s="70">
        <f t="shared" si="17"/>
        <v>1.8043556798970073E-2</v>
      </c>
      <c r="R36" s="77">
        <f t="shared" si="17"/>
        <v>2.1889047739048539E-2</v>
      </c>
      <c r="S36" s="23"/>
    </row>
    <row r="37" spans="1:19" ht="15.75" thickBot="1" x14ac:dyDescent="0.3">
      <c r="A37" s="17">
        <f t="shared" si="11"/>
        <v>2030</v>
      </c>
      <c r="B37" s="71">
        <f t="shared" si="12"/>
        <v>2.3044896926430303E-2</v>
      </c>
      <c r="C37" s="78">
        <f t="shared" si="12"/>
        <v>2.5051215480082822E-2</v>
      </c>
      <c r="D37" s="64"/>
      <c r="E37" s="71">
        <f t="shared" si="13"/>
        <v>1.6482043509425282E-2</v>
      </c>
      <c r="F37" s="78">
        <f t="shared" si="13"/>
        <v>1.8886718700361182E-2</v>
      </c>
      <c r="G37" s="64"/>
      <c r="H37" s="71">
        <f t="shared" si="14"/>
        <v>1.741661205796996E-2</v>
      </c>
      <c r="I37" s="78">
        <f t="shared" si="14"/>
        <v>1.9906173114484282E-2</v>
      </c>
      <c r="J37" s="64"/>
      <c r="K37" s="71">
        <f t="shared" si="15"/>
        <v>2.2611900611356983E-2</v>
      </c>
      <c r="L37" s="78">
        <f t="shared" si="15"/>
        <v>2.5366328826298412E-2</v>
      </c>
      <c r="M37" s="64"/>
      <c r="N37" s="71">
        <f t="shared" si="16"/>
        <v>2.4305076332052478E-2</v>
      </c>
      <c r="O37" s="78">
        <f t="shared" si="16"/>
        <v>2.6593903091630455E-2</v>
      </c>
      <c r="P37" s="64"/>
      <c r="Q37" s="71">
        <f t="shared" si="17"/>
        <v>2.0877735843453316E-2</v>
      </c>
      <c r="R37" s="78">
        <f t="shared" si="17"/>
        <v>2.3243394918975646E-2</v>
      </c>
      <c r="S37" s="64"/>
    </row>
  </sheetData>
  <mergeCells count="15">
    <mergeCell ref="Y5:AA5"/>
    <mergeCell ref="Q23:S23"/>
    <mergeCell ref="B3:S3"/>
    <mergeCell ref="B4:S4"/>
    <mergeCell ref="B5:D5"/>
    <mergeCell ref="E5:G5"/>
    <mergeCell ref="H5:J5"/>
    <mergeCell ref="K5:M5"/>
    <mergeCell ref="N5:P5"/>
    <mergeCell ref="Q5:S5"/>
    <mergeCell ref="B23:D23"/>
    <mergeCell ref="E23:G23"/>
    <mergeCell ref="H23:J23"/>
    <mergeCell ref="K23:M23"/>
    <mergeCell ref="N23:P23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A1:AF39"/>
  <sheetViews>
    <sheetView workbookViewId="0"/>
  </sheetViews>
  <sheetFormatPr defaultRowHeight="15" x14ac:dyDescent="0.25"/>
  <cols>
    <col min="1" max="1" width="5.140625" bestFit="1" customWidth="1"/>
    <col min="2" max="3" width="10.42578125" bestFit="1" customWidth="1"/>
    <col min="4" max="4" width="7.7109375" bestFit="1" customWidth="1"/>
    <col min="5" max="6" width="10.42578125" bestFit="1" customWidth="1"/>
    <col min="7" max="7" width="7.7109375" bestFit="1" customWidth="1"/>
    <col min="8" max="9" width="10.42578125" bestFit="1" customWidth="1"/>
    <col min="10" max="10" width="7.7109375" bestFit="1" customWidth="1"/>
    <col min="11" max="12" width="10.42578125" bestFit="1" customWidth="1"/>
    <col min="13" max="13" width="7.7109375" bestFit="1" customWidth="1"/>
    <col min="14" max="15" width="10.42578125" bestFit="1" customWidth="1"/>
    <col min="16" max="16" width="7.7109375" bestFit="1" customWidth="1"/>
    <col min="17" max="18" width="10.42578125" bestFit="1" customWidth="1"/>
    <col min="19" max="19" width="7.7109375" bestFit="1" customWidth="1"/>
    <col min="20" max="20" width="5.85546875" bestFit="1" customWidth="1"/>
    <col min="21" max="21" width="9.7109375" bestFit="1" customWidth="1"/>
    <col min="22" max="22" width="11.28515625" customWidth="1"/>
    <col min="23" max="23" width="7" customWidth="1"/>
    <col min="24" max="24" width="13.5703125" bestFit="1" customWidth="1"/>
    <col min="25" max="25" width="8.7109375" customWidth="1"/>
    <col min="26" max="26" width="10.5703125" bestFit="1" customWidth="1"/>
    <col min="29" max="30" width="10.42578125" bestFit="1" customWidth="1"/>
  </cols>
  <sheetData>
    <row r="1" spans="1:32" x14ac:dyDescent="0.25">
      <c r="A1" s="212" t="s">
        <v>85</v>
      </c>
    </row>
    <row r="2" spans="1:32" x14ac:dyDescent="0.25">
      <c r="A2" s="212" t="s">
        <v>73</v>
      </c>
    </row>
    <row r="3" spans="1:32" ht="18" x14ac:dyDescent="0.25">
      <c r="A3" s="24"/>
      <c r="B3" s="229" t="s">
        <v>31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5"/>
      <c r="U3" s="103"/>
      <c r="V3" s="25"/>
      <c r="W3" s="25"/>
      <c r="X3" s="24"/>
    </row>
    <row r="4" spans="1:32" ht="16.5" thickBot="1" x14ac:dyDescent="0.3">
      <c r="A4" s="20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6"/>
      <c r="U4" s="26"/>
      <c r="V4" s="26"/>
      <c r="W4" s="26"/>
      <c r="X4" s="20"/>
    </row>
    <row r="5" spans="1:32" ht="15.75" thickBot="1" x14ac:dyDescent="0.3">
      <c r="A5" s="95" t="s">
        <v>7</v>
      </c>
      <c r="B5" s="226" t="s">
        <v>8</v>
      </c>
      <c r="C5" s="227"/>
      <c r="D5" s="228"/>
      <c r="E5" s="226" t="s">
        <v>9</v>
      </c>
      <c r="F5" s="227"/>
      <c r="G5" s="228"/>
      <c r="H5" s="226" t="s">
        <v>10</v>
      </c>
      <c r="I5" s="227"/>
      <c r="J5" s="228"/>
      <c r="K5" s="226" t="s">
        <v>11</v>
      </c>
      <c r="L5" s="227"/>
      <c r="M5" s="228"/>
      <c r="N5" s="226" t="s">
        <v>12</v>
      </c>
      <c r="O5" s="227"/>
      <c r="P5" s="228"/>
      <c r="Q5" s="226" t="s">
        <v>13</v>
      </c>
      <c r="R5" s="227"/>
      <c r="S5" s="228"/>
      <c r="T5" s="27"/>
      <c r="U5" s="27"/>
      <c r="V5" s="27" t="s">
        <v>36</v>
      </c>
      <c r="W5" s="27"/>
      <c r="X5" s="96"/>
      <c r="AC5" s="219" t="s">
        <v>59</v>
      </c>
      <c r="AD5" s="218"/>
      <c r="AE5" s="218"/>
      <c r="AF5" s="8"/>
    </row>
    <row r="6" spans="1:32" x14ac:dyDescent="0.25">
      <c r="A6" s="97"/>
      <c r="B6" s="169" t="s">
        <v>71</v>
      </c>
      <c r="C6" s="170" t="s">
        <v>61</v>
      </c>
      <c r="D6" s="79" t="s">
        <v>14</v>
      </c>
      <c r="E6" s="169" t="s">
        <v>71</v>
      </c>
      <c r="F6" s="170" t="s">
        <v>61</v>
      </c>
      <c r="G6" s="79" t="s">
        <v>14</v>
      </c>
      <c r="H6" s="169" t="s">
        <v>71</v>
      </c>
      <c r="I6" s="170" t="s">
        <v>61</v>
      </c>
      <c r="J6" s="79" t="s">
        <v>14</v>
      </c>
      <c r="K6" s="169" t="s">
        <v>71</v>
      </c>
      <c r="L6" s="170" t="s">
        <v>61</v>
      </c>
      <c r="M6" s="79" t="s">
        <v>14</v>
      </c>
      <c r="N6" s="169" t="s">
        <v>71</v>
      </c>
      <c r="O6" s="170" t="s">
        <v>61</v>
      </c>
      <c r="P6" s="79" t="s">
        <v>14</v>
      </c>
      <c r="Q6" s="169" t="s">
        <v>71</v>
      </c>
      <c r="R6" s="170" t="s">
        <v>61</v>
      </c>
      <c r="S6" s="79" t="s">
        <v>14</v>
      </c>
      <c r="T6" s="27" t="s">
        <v>1</v>
      </c>
      <c r="U6" s="19" t="s">
        <v>35</v>
      </c>
      <c r="V6" s="27" t="s">
        <v>71</v>
      </c>
      <c r="W6" s="27"/>
      <c r="X6" s="98" t="s">
        <v>27</v>
      </c>
      <c r="AC6" s="124" t="s">
        <v>71</v>
      </c>
      <c r="AD6" s="124" t="s">
        <v>61</v>
      </c>
      <c r="AE6" s="46" t="s">
        <v>14</v>
      </c>
      <c r="AF6" s="131"/>
    </row>
    <row r="7" spans="1:32" x14ac:dyDescent="0.25">
      <c r="A7" s="99"/>
      <c r="B7" s="21"/>
      <c r="C7" s="22"/>
      <c r="D7" s="23"/>
      <c r="E7" s="21"/>
      <c r="F7" s="35"/>
      <c r="G7" s="23"/>
      <c r="H7" s="21"/>
      <c r="I7" s="35"/>
      <c r="J7" s="23"/>
      <c r="K7" s="21"/>
      <c r="L7" s="35"/>
      <c r="M7" s="23"/>
      <c r="N7" s="21"/>
      <c r="O7" s="35"/>
      <c r="P7" s="23"/>
      <c r="Q7" s="36"/>
      <c r="R7" s="27"/>
      <c r="S7" s="23"/>
      <c r="T7" s="37"/>
      <c r="U7" s="37"/>
      <c r="V7" s="38"/>
      <c r="W7" s="37"/>
      <c r="X7" s="100"/>
      <c r="Z7" s="2" t="s">
        <v>48</v>
      </c>
      <c r="AA7" s="3" t="s">
        <v>17</v>
      </c>
      <c r="AB7" s="3"/>
      <c r="AE7" s="8"/>
      <c r="AF7" s="8"/>
    </row>
    <row r="8" spans="1:32" x14ac:dyDescent="0.25">
      <c r="A8" s="99">
        <v>2019</v>
      </c>
      <c r="B8" s="21"/>
      <c r="C8" s="22"/>
      <c r="D8" s="23"/>
      <c r="E8" s="21"/>
      <c r="F8" s="22"/>
      <c r="G8" s="23"/>
      <c r="H8" s="21"/>
      <c r="I8" s="22"/>
      <c r="J8" s="23"/>
      <c r="K8" s="21"/>
      <c r="L8" s="22"/>
      <c r="M8" s="23"/>
      <c r="N8" s="21"/>
      <c r="O8" s="22"/>
      <c r="P8" s="23"/>
      <c r="Q8" s="36"/>
      <c r="R8" s="27"/>
      <c r="S8" s="23"/>
      <c r="T8" s="37"/>
      <c r="U8" s="37"/>
      <c r="V8" s="38"/>
      <c r="W8" s="37"/>
      <c r="X8" s="100"/>
      <c r="Y8" s="5"/>
      <c r="Z8" s="2"/>
      <c r="AA8" s="3"/>
      <c r="AB8" s="108"/>
      <c r="AC8" s="154"/>
      <c r="AD8" s="154"/>
      <c r="AE8" s="130"/>
      <c r="AF8" s="182"/>
    </row>
    <row r="9" spans="1:32" x14ac:dyDescent="0.25">
      <c r="A9" s="99">
        <v>2020</v>
      </c>
      <c r="B9" s="21"/>
      <c r="C9" s="22"/>
      <c r="D9" s="23"/>
      <c r="E9" s="21"/>
      <c r="F9" s="22"/>
      <c r="G9" s="23"/>
      <c r="H9" s="21"/>
      <c r="I9" s="22"/>
      <c r="J9" s="23"/>
      <c r="K9" s="21"/>
      <c r="L9" s="22"/>
      <c r="M9" s="23"/>
      <c r="N9" s="21"/>
      <c r="O9" s="22"/>
      <c r="P9" s="23"/>
      <c r="Q9" s="36"/>
      <c r="R9" s="27"/>
      <c r="S9" s="23"/>
      <c r="T9" s="37"/>
      <c r="U9" s="37"/>
      <c r="V9" s="38"/>
      <c r="W9" s="37"/>
      <c r="X9" s="100"/>
      <c r="Y9" s="5"/>
      <c r="Z9" s="2"/>
      <c r="AA9" s="3"/>
      <c r="AB9" s="108"/>
      <c r="AC9" s="154"/>
      <c r="AD9" s="154"/>
      <c r="AE9" s="130"/>
      <c r="AF9" s="182"/>
    </row>
    <row r="10" spans="1:32" x14ac:dyDescent="0.25">
      <c r="A10" s="99">
        <v>2021</v>
      </c>
      <c r="B10" s="21">
        <f>$X10*'Summer CP Comparison'!B11</f>
        <v>3862.7992929047068</v>
      </c>
      <c r="C10" s="22">
        <v>3804.8137531766829</v>
      </c>
      <c r="D10" s="23">
        <f t="shared" ref="D10:D19" si="0">B10/C10-1</f>
        <v>1.5240046816906938E-2</v>
      </c>
      <c r="E10" s="21">
        <f>$X10*'Summer CP Comparison'!E11</f>
        <v>5030.846499538442</v>
      </c>
      <c r="F10" s="22">
        <v>5256.2121858653936</v>
      </c>
      <c r="G10" s="23">
        <f t="shared" ref="G10:G19" si="1">E10/F10-1</f>
        <v>-4.2876063286217403E-2</v>
      </c>
      <c r="H10" s="21">
        <f>$X10*'Summer CP Comparison'!H11</f>
        <v>4402.1012523258905</v>
      </c>
      <c r="I10" s="22">
        <v>4424.7670509425589</v>
      </c>
      <c r="J10" s="23">
        <f t="shared" ref="J10:J19" si="2">H10/I10-1</f>
        <v>-5.1224840439543229E-3</v>
      </c>
      <c r="K10" s="21">
        <f>$X10*'Summer CP Comparison'!K11</f>
        <v>6155.7173671675873</v>
      </c>
      <c r="L10" s="22">
        <v>6049.7252383239265</v>
      </c>
      <c r="M10" s="23">
        <f t="shared" ref="M10:M19" si="3">K10/L10-1</f>
        <v>1.7520155820006433E-2</v>
      </c>
      <c r="N10" s="21">
        <f>$X10*'Summer CP Comparison'!N11</f>
        <v>4583.7980059503934</v>
      </c>
      <c r="O10" s="22">
        <v>4553.8429741990567</v>
      </c>
      <c r="P10" s="23">
        <f t="shared" ref="P10:P19" si="4">N10/O10-1</f>
        <v>6.5779676464592374E-3</v>
      </c>
      <c r="Q10" s="36">
        <f t="shared" ref="Q10:R19" si="5">+N10+K10+H10+E10+B10</f>
        <v>24035.262417887021</v>
      </c>
      <c r="R10" s="27">
        <f t="shared" si="5"/>
        <v>24089.361202507622</v>
      </c>
      <c r="S10" s="23">
        <f t="shared" ref="S10:S19" si="6">Q10/R10-1</f>
        <v>-2.2457542217835247E-3</v>
      </c>
      <c r="T10" s="37">
        <f>'Summer Peak'!C10</f>
        <v>1012.5112791278036</v>
      </c>
      <c r="U10" s="37">
        <f>'Summer Peak'!D10</f>
        <v>200</v>
      </c>
      <c r="V10" s="38">
        <f t="shared" ref="V10:V19" si="7">Q10+T10</f>
        <v>25047.773697014825</v>
      </c>
      <c r="W10" s="37"/>
      <c r="X10" s="100">
        <v>1.0180999075105153</v>
      </c>
      <c r="Y10" s="1"/>
      <c r="Z10" s="2">
        <v>25047.773697014818</v>
      </c>
      <c r="AA10" s="209">
        <f t="shared" ref="AA10:AA19" si="8">V10-Z10</f>
        <v>0</v>
      </c>
      <c r="AB10" s="108">
        <v>2021</v>
      </c>
      <c r="AC10" s="154">
        <f t="shared" ref="AC10:AC19" si="9">H10+K10</f>
        <v>10557.818619493479</v>
      </c>
      <c r="AD10" s="154">
        <f t="shared" ref="AD10:AD19" si="10">I10+L10</f>
        <v>10474.492289266485</v>
      </c>
      <c r="AE10" s="130">
        <f t="shared" ref="AE10:AE19" si="11">AC10/AD10-1</f>
        <v>7.9551665060062504E-3</v>
      </c>
      <c r="AF10" s="8"/>
    </row>
    <row r="11" spans="1:32" x14ac:dyDescent="0.25">
      <c r="A11" s="99">
        <v>2022</v>
      </c>
      <c r="B11" s="21">
        <f>$X11*'Summer CP Comparison'!B12</f>
        <v>3916.209425890027</v>
      </c>
      <c r="C11" s="22">
        <v>3836.8827519538986</v>
      </c>
      <c r="D11" s="23">
        <f t="shared" si="0"/>
        <v>2.067477143932317E-2</v>
      </c>
      <c r="E11" s="21">
        <f>$X11*'Summer CP Comparison'!E12</f>
        <v>5062.2393020938061</v>
      </c>
      <c r="F11" s="22">
        <v>5261.9936031156221</v>
      </c>
      <c r="G11" s="23">
        <f t="shared" si="1"/>
        <v>-3.796171491039857E-2</v>
      </c>
      <c r="H11" s="21">
        <f>$X11*'Summer CP Comparison'!H12</f>
        <v>4427.7992570590031</v>
      </c>
      <c r="I11" s="22">
        <v>4427.5876846464553</v>
      </c>
      <c r="J11" s="23">
        <f t="shared" si="2"/>
        <v>4.7785030498959102E-5</v>
      </c>
      <c r="K11" s="21">
        <f>$X11*'Summer CP Comparison'!K12</f>
        <v>6229.8628384060748</v>
      </c>
      <c r="L11" s="22">
        <v>6101.0947220963399</v>
      </c>
      <c r="M11" s="23">
        <f t="shared" si="3"/>
        <v>2.1105739572174764E-2</v>
      </c>
      <c r="N11" s="21">
        <f>$X11*'Summer CP Comparison'!N12</f>
        <v>4660.4382922270888</v>
      </c>
      <c r="O11" s="22">
        <v>4599.472847884289</v>
      </c>
      <c r="P11" s="23">
        <f t="shared" si="4"/>
        <v>1.3254876451948894E-2</v>
      </c>
      <c r="Q11" s="36">
        <f t="shared" si="5"/>
        <v>24296.549115676004</v>
      </c>
      <c r="R11" s="27">
        <f t="shared" si="5"/>
        <v>24227.031609696602</v>
      </c>
      <c r="S11" s="23">
        <f t="shared" si="6"/>
        <v>2.869419048084243E-3</v>
      </c>
      <c r="T11" s="37">
        <f>'Summer Peak'!C11</f>
        <v>1032.5467000031197</v>
      </c>
      <c r="U11" s="37">
        <f>'Summer Peak'!D11</f>
        <v>0</v>
      </c>
      <c r="V11" s="38">
        <f t="shared" si="7"/>
        <v>25329.095815679124</v>
      </c>
      <c r="W11" s="37"/>
      <c r="X11" s="100">
        <v>1.017628758607305</v>
      </c>
      <c r="Y11" s="5"/>
      <c r="Z11" s="2">
        <v>25329.095815679113</v>
      </c>
      <c r="AA11" s="209">
        <f t="shared" si="8"/>
        <v>0</v>
      </c>
      <c r="AB11" s="108">
        <v>2022</v>
      </c>
      <c r="AC11" s="154">
        <f t="shared" si="9"/>
        <v>10657.662095465079</v>
      </c>
      <c r="AD11" s="154">
        <f t="shared" si="10"/>
        <v>10528.682406742795</v>
      </c>
      <c r="AE11" s="130">
        <f t="shared" si="11"/>
        <v>1.2250316206677603E-2</v>
      </c>
      <c r="AF11" s="8"/>
    </row>
    <row r="12" spans="1:32" x14ac:dyDescent="0.25">
      <c r="A12" s="99">
        <v>2023</v>
      </c>
      <c r="B12" s="21">
        <f>$X12*'Summer CP Comparison'!B13</f>
        <v>3995.4745144960616</v>
      </c>
      <c r="C12" s="22">
        <v>3894.9540837615023</v>
      </c>
      <c r="D12" s="23">
        <f t="shared" si="0"/>
        <v>2.580786026557802E-2</v>
      </c>
      <c r="E12" s="21">
        <f>$X12*'Summer CP Comparison'!E13</f>
        <v>5126.4013050458198</v>
      </c>
      <c r="F12" s="22">
        <v>5303.6537300078962</v>
      </c>
      <c r="G12" s="23">
        <f t="shared" si="1"/>
        <v>-3.3420814024714307E-2</v>
      </c>
      <c r="H12" s="21">
        <f>$X12*'Summer CP Comparison'!H13</f>
        <v>4483.8441720265</v>
      </c>
      <c r="I12" s="22">
        <v>4462.6905766409182</v>
      </c>
      <c r="J12" s="23">
        <f t="shared" si="2"/>
        <v>4.7400990551096367E-3</v>
      </c>
      <c r="K12" s="21">
        <f>$X12*'Summer CP Comparison'!K13</f>
        <v>6348.0016255153114</v>
      </c>
      <c r="L12" s="22">
        <v>6193.0485593998437</v>
      </c>
      <c r="M12" s="23">
        <f t="shared" si="3"/>
        <v>2.5020482986570336E-2</v>
      </c>
      <c r="N12" s="21">
        <f>$X12*'Summer CP Comparison'!N13</f>
        <v>4763.1360744634221</v>
      </c>
      <c r="O12" s="22">
        <v>4674.015212054258</v>
      </c>
      <c r="P12" s="23">
        <f t="shared" si="4"/>
        <v>1.906730260083922E-2</v>
      </c>
      <c r="Q12" s="36">
        <f t="shared" si="5"/>
        <v>24716.857691547113</v>
      </c>
      <c r="R12" s="27">
        <f t="shared" si="5"/>
        <v>24528.362161864417</v>
      </c>
      <c r="S12" s="23">
        <f t="shared" si="6"/>
        <v>7.6847988642210208E-3</v>
      </c>
      <c r="T12" s="37">
        <f>'Summer Peak'!C12</f>
        <v>1053.0082842280938</v>
      </c>
      <c r="U12" s="37">
        <f>'Summer Peak'!D12</f>
        <v>0</v>
      </c>
      <c r="V12" s="38">
        <f t="shared" si="7"/>
        <v>25769.865975775207</v>
      </c>
      <c r="W12" s="37"/>
      <c r="X12" s="100">
        <v>1.0171363196500005</v>
      </c>
      <c r="Y12" s="208"/>
      <c r="Z12" s="2">
        <v>25769.865975775214</v>
      </c>
      <c r="AA12" s="209">
        <f t="shared" si="8"/>
        <v>0</v>
      </c>
      <c r="AB12" s="108">
        <v>2023</v>
      </c>
      <c r="AC12" s="154">
        <f t="shared" si="9"/>
        <v>10831.845797541811</v>
      </c>
      <c r="AD12" s="154">
        <f t="shared" si="10"/>
        <v>10655.739136040762</v>
      </c>
      <c r="AE12" s="130">
        <f t="shared" si="11"/>
        <v>1.6526930628904646E-2</v>
      </c>
      <c r="AF12" s="8"/>
    </row>
    <row r="13" spans="1:32" x14ac:dyDescent="0.25">
      <c r="A13" s="99">
        <v>2024</v>
      </c>
      <c r="B13" s="21">
        <f>$X13*'Summer CP Comparison'!B14</f>
        <v>4078.2949011074384</v>
      </c>
      <c r="C13" s="22">
        <v>3960.7318067535248</v>
      </c>
      <c r="D13" s="23">
        <f t="shared" si="0"/>
        <v>2.968216483465369E-2</v>
      </c>
      <c r="E13" s="21">
        <f>$X13*'Summer CP Comparison'!E14</f>
        <v>5194.5333519952401</v>
      </c>
      <c r="F13" s="22">
        <v>5355.5819196199454</v>
      </c>
      <c r="G13" s="23">
        <f t="shared" si="1"/>
        <v>-3.0071161274690006E-2</v>
      </c>
      <c r="H13" s="21">
        <f>$X13*'Summer CP Comparison'!H14</f>
        <v>4544.7228200331301</v>
      </c>
      <c r="I13" s="22">
        <v>4507.9302802199445</v>
      </c>
      <c r="J13" s="23">
        <f t="shared" si="2"/>
        <v>8.1617366565374105E-3</v>
      </c>
      <c r="K13" s="21">
        <f>$X13*'Summer CP Comparison'!K14</f>
        <v>6471.9921813247138</v>
      </c>
      <c r="L13" s="22">
        <v>6295.9820599839259</v>
      </c>
      <c r="M13" s="23">
        <f t="shared" si="3"/>
        <v>2.7955943912145953E-2</v>
      </c>
      <c r="N13" s="21">
        <f>$X13*'Summer CP Comparison'!N14</f>
        <v>4867.694525442942</v>
      </c>
      <c r="O13" s="22">
        <v>4757.1625075241382</v>
      </c>
      <c r="P13" s="23">
        <f t="shared" si="4"/>
        <v>2.3234862745172391E-2</v>
      </c>
      <c r="Q13" s="36">
        <f t="shared" si="5"/>
        <v>25157.237779903466</v>
      </c>
      <c r="R13" s="27">
        <f t="shared" si="5"/>
        <v>24877.388574101478</v>
      </c>
      <c r="S13" s="23">
        <f t="shared" si="6"/>
        <v>1.1249139151740417E-2</v>
      </c>
      <c r="T13" s="37">
        <f>'Summer Peak'!C13</f>
        <v>1073.9029239323706</v>
      </c>
      <c r="U13" s="37">
        <f>'Summer Peak'!D13</f>
        <v>0</v>
      </c>
      <c r="V13" s="38">
        <f t="shared" si="7"/>
        <v>26231.140703835837</v>
      </c>
      <c r="W13" s="37"/>
      <c r="X13" s="100">
        <v>1.0171090867232799</v>
      </c>
      <c r="Y13" s="5"/>
      <c r="Z13" s="2">
        <v>26231.140703835837</v>
      </c>
      <c r="AA13" s="209">
        <f t="shared" si="8"/>
        <v>0</v>
      </c>
      <c r="AB13" s="108">
        <v>2024</v>
      </c>
      <c r="AC13" s="154">
        <f t="shared" si="9"/>
        <v>11016.715001357843</v>
      </c>
      <c r="AD13" s="154">
        <f t="shared" si="10"/>
        <v>10803.912340203871</v>
      </c>
      <c r="AE13" s="130">
        <f t="shared" si="11"/>
        <v>1.9696814862342427E-2</v>
      </c>
      <c r="AF13" s="8"/>
    </row>
    <row r="14" spans="1:32" x14ac:dyDescent="0.25">
      <c r="A14" s="99">
        <v>2025</v>
      </c>
      <c r="B14" s="21">
        <f>$X14*'Summer CP Comparison'!B15</f>
        <v>4148.924104576814</v>
      </c>
      <c r="C14" s="22">
        <v>4031.0337224064547</v>
      </c>
      <c r="D14" s="23">
        <f t="shared" si="0"/>
        <v>2.9245694848710091E-2</v>
      </c>
      <c r="E14" s="21">
        <f>$X14*'Summer CP Comparison'!E15</f>
        <v>5246.5043068959076</v>
      </c>
      <c r="F14" s="22">
        <v>5413.1774251855022</v>
      </c>
      <c r="G14" s="23">
        <f t="shared" si="1"/>
        <v>-3.0790255925129406E-2</v>
      </c>
      <c r="H14" s="21">
        <f>$X14*'Summer CP Comparison'!H15</f>
        <v>4592.0951251103506</v>
      </c>
      <c r="I14" s="22">
        <v>4558.6427544348353</v>
      </c>
      <c r="J14" s="23">
        <f t="shared" si="2"/>
        <v>7.3382303631868151E-3</v>
      </c>
      <c r="K14" s="21">
        <f>$X14*'Summer CP Comparison'!K15</f>
        <v>6576.7114865927497</v>
      </c>
      <c r="L14" s="22">
        <v>6405.4135979223847</v>
      </c>
      <c r="M14" s="23">
        <f t="shared" si="3"/>
        <v>2.674267415392606E-2</v>
      </c>
      <c r="N14" s="21">
        <f>$X14*'Summer CP Comparison'!N15</f>
        <v>4956.7842553206865</v>
      </c>
      <c r="O14" s="22">
        <v>4845.8959886875509</v>
      </c>
      <c r="P14" s="23">
        <f t="shared" si="4"/>
        <v>2.2882923383415132E-2</v>
      </c>
      <c r="Q14" s="36">
        <f t="shared" si="5"/>
        <v>25521.019278496511</v>
      </c>
      <c r="R14" s="27">
        <f t="shared" si="5"/>
        <v>25254.163488636728</v>
      </c>
      <c r="S14" s="23">
        <f t="shared" si="6"/>
        <v>1.0566803766034694E-2</v>
      </c>
      <c r="T14" s="37">
        <f>'Summer Peak'!C14</f>
        <v>1095.2432546869641</v>
      </c>
      <c r="U14" s="37">
        <f>'Summer Peak'!D14</f>
        <v>0</v>
      </c>
      <c r="V14" s="38">
        <f t="shared" si="7"/>
        <v>26616.262533183475</v>
      </c>
      <c r="W14" s="37"/>
      <c r="X14" s="100">
        <v>1.0174319533947638</v>
      </c>
      <c r="Y14" s="5"/>
      <c r="Z14" s="2">
        <v>26616.262533183472</v>
      </c>
      <c r="AA14" s="209">
        <f t="shared" si="8"/>
        <v>0</v>
      </c>
      <c r="AB14" s="108">
        <v>2025</v>
      </c>
      <c r="AC14" s="154">
        <f t="shared" si="9"/>
        <v>11168.806611703101</v>
      </c>
      <c r="AD14" s="154">
        <f t="shared" si="10"/>
        <v>10964.05635235722</v>
      </c>
      <c r="AE14" s="130">
        <f t="shared" si="11"/>
        <v>1.8674681410394411E-2</v>
      </c>
      <c r="AF14" s="8"/>
    </row>
    <row r="15" spans="1:32" x14ac:dyDescent="0.25">
      <c r="A15" s="99">
        <v>2026</v>
      </c>
      <c r="B15" s="21">
        <f>$X15*'Summer CP Comparison'!B16</f>
        <v>4217.0551414650718</v>
      </c>
      <c r="C15" s="22">
        <v>4103.7750736820144</v>
      </c>
      <c r="D15" s="23">
        <f t="shared" si="0"/>
        <v>2.7603868572021684E-2</v>
      </c>
      <c r="E15" s="21">
        <f>$X15*'Summer CP Comparison'!E16</f>
        <v>5294.6512109592904</v>
      </c>
      <c r="F15" s="22">
        <v>5473.2187319365657</v>
      </c>
      <c r="G15" s="23">
        <f t="shared" si="1"/>
        <v>-3.2625686953697497E-2</v>
      </c>
      <c r="H15" s="21">
        <f>$X15*'Summer CP Comparison'!H16</f>
        <v>4636.4363013073853</v>
      </c>
      <c r="I15" s="22">
        <v>4611.758604405486</v>
      </c>
      <c r="J15" s="23">
        <f t="shared" si="2"/>
        <v>5.3510382955268554E-3</v>
      </c>
      <c r="K15" s="21">
        <f>$X15*'Summer CP Comparison'!K16</f>
        <v>6677.7682781615958</v>
      </c>
      <c r="L15" s="22">
        <v>6518.6540975549842</v>
      </c>
      <c r="M15" s="23">
        <f t="shared" si="3"/>
        <v>2.4409054112303874E-2</v>
      </c>
      <c r="N15" s="21">
        <f>$X15*'Summer CP Comparison'!N16</f>
        <v>5042.5940246561722</v>
      </c>
      <c r="O15" s="22">
        <v>4937.8010262675707</v>
      </c>
      <c r="P15" s="23">
        <f t="shared" si="4"/>
        <v>2.1222604521959232E-2</v>
      </c>
      <c r="Q15" s="36">
        <f t="shared" si="5"/>
        <v>25868.504956549517</v>
      </c>
      <c r="R15" s="27">
        <f t="shared" si="5"/>
        <v>25645.207533846624</v>
      </c>
      <c r="S15" s="23">
        <f t="shared" si="6"/>
        <v>8.707179398263154E-3</v>
      </c>
      <c r="T15" s="37">
        <f>'Summer Peak'!C15</f>
        <v>1117.03961468634</v>
      </c>
      <c r="U15" s="37">
        <f>'Summer Peak'!D15</f>
        <v>0</v>
      </c>
      <c r="V15" s="38">
        <f t="shared" si="7"/>
        <v>26985.544571235856</v>
      </c>
      <c r="W15" s="37"/>
      <c r="X15" s="100">
        <v>1.0174861305556777</v>
      </c>
      <c r="Y15" s="5"/>
      <c r="Z15" s="2">
        <v>26985.544571235856</v>
      </c>
      <c r="AA15" s="209">
        <f t="shared" si="8"/>
        <v>0</v>
      </c>
      <c r="AB15" s="108">
        <v>2026</v>
      </c>
      <c r="AC15" s="154">
        <f t="shared" si="9"/>
        <v>11314.20457946898</v>
      </c>
      <c r="AD15" s="154">
        <f t="shared" si="10"/>
        <v>11130.412701960471</v>
      </c>
      <c r="AE15" s="130">
        <f t="shared" si="11"/>
        <v>1.6512584252705853E-2</v>
      </c>
      <c r="AF15" s="8"/>
    </row>
    <row r="16" spans="1:32" x14ac:dyDescent="0.25">
      <c r="A16" s="99">
        <v>2027</v>
      </c>
      <c r="B16" s="21">
        <f>$X16*'Summer CP Comparison'!B17</f>
        <v>4269.5804242929435</v>
      </c>
      <c r="C16" s="22">
        <v>4170.1341328246217</v>
      </c>
      <c r="D16" s="23">
        <f t="shared" si="0"/>
        <v>2.3847264452609318E-2</v>
      </c>
      <c r="E16" s="21">
        <f>$X16*'Summer CP Comparison'!E17</f>
        <v>5322.7575564867684</v>
      </c>
      <c r="F16" s="22">
        <v>5524.1555463046525</v>
      </c>
      <c r="G16" s="23">
        <f t="shared" si="1"/>
        <v>-3.6457697132117883E-2</v>
      </c>
      <c r="H16" s="21">
        <f>$X16*'Summer CP Comparison'!H17</f>
        <v>4664.1072389960736</v>
      </c>
      <c r="I16" s="22">
        <v>4658.0933344984915</v>
      </c>
      <c r="J16" s="23">
        <f t="shared" si="2"/>
        <v>1.2910656927036523E-3</v>
      </c>
      <c r="K16" s="21">
        <f>$X16*'Summer CP Comparison'!K17</f>
        <v>6754.6284945174366</v>
      </c>
      <c r="L16" s="22">
        <v>6622.2181451476172</v>
      </c>
      <c r="M16" s="23">
        <f t="shared" si="3"/>
        <v>1.9994863725055989E-2</v>
      </c>
      <c r="N16" s="21">
        <f>$X16*'Summer CP Comparison'!N17</f>
        <v>5109.7463640168517</v>
      </c>
      <c r="O16" s="22">
        <v>5022.4209247094932</v>
      </c>
      <c r="P16" s="23">
        <f t="shared" si="4"/>
        <v>1.7387120796214406E-2</v>
      </c>
      <c r="Q16" s="36">
        <f t="shared" si="5"/>
        <v>26120.820078310073</v>
      </c>
      <c r="R16" s="27">
        <f t="shared" si="5"/>
        <v>25997.022083484873</v>
      </c>
      <c r="S16" s="23">
        <f t="shared" si="6"/>
        <v>4.7620067570679492E-3</v>
      </c>
      <c r="T16" s="37">
        <f>'Summer Peak'!C16</f>
        <v>1139.3000447484167</v>
      </c>
      <c r="U16" s="37">
        <f>'Summer Peak'!D16</f>
        <v>0</v>
      </c>
      <c r="V16" s="38">
        <f t="shared" si="7"/>
        <v>27260.120123058488</v>
      </c>
      <c r="W16" s="37"/>
      <c r="X16" s="100">
        <v>1.0173104887907192</v>
      </c>
      <c r="Y16" s="5"/>
      <c r="Z16" s="2">
        <v>27260.120123058492</v>
      </c>
      <c r="AA16" s="209">
        <f t="shared" si="8"/>
        <v>0</v>
      </c>
      <c r="AB16" s="108">
        <v>2027</v>
      </c>
      <c r="AC16" s="154">
        <f t="shared" si="9"/>
        <v>11418.735733513509</v>
      </c>
      <c r="AD16" s="154">
        <f t="shared" si="10"/>
        <v>11280.311479646109</v>
      </c>
      <c r="AE16" s="130">
        <f t="shared" si="11"/>
        <v>1.2271314858385729E-2</v>
      </c>
      <c r="AF16" s="8"/>
    </row>
    <row r="17" spans="1:32" x14ac:dyDescent="0.25">
      <c r="A17" s="99">
        <v>2028</v>
      </c>
      <c r="B17" s="21">
        <f>$X17*'Summer CP Comparison'!B18</f>
        <v>4335.6965771626601</v>
      </c>
      <c r="C17" s="22">
        <v>4246.1355989031126</v>
      </c>
      <c r="D17" s="23">
        <f t="shared" si="0"/>
        <v>2.1092350014136008E-2</v>
      </c>
      <c r="E17" s="21">
        <f>$X17*'Summer CP Comparison'!E18</f>
        <v>5368.1364064477011</v>
      </c>
      <c r="F17" s="22">
        <v>5588.022109759394</v>
      </c>
      <c r="G17" s="23">
        <f t="shared" si="1"/>
        <v>-3.9349469095275369E-2</v>
      </c>
      <c r="H17" s="21">
        <f>$X17*'Summer CP Comparison'!H18</f>
        <v>4707.3543052525974</v>
      </c>
      <c r="I17" s="22">
        <v>4715.8114363895211</v>
      </c>
      <c r="J17" s="23">
        <f t="shared" si="2"/>
        <v>-1.7933565094787607E-3</v>
      </c>
      <c r="K17" s="21">
        <f>$X17*'Summer CP Comparison'!K18</f>
        <v>6853.9416407704284</v>
      </c>
      <c r="L17" s="22">
        <v>6742.0339829127261</v>
      </c>
      <c r="M17" s="23">
        <f t="shared" si="3"/>
        <v>1.659850100745941E-2</v>
      </c>
      <c r="N17" s="21">
        <f>$X17*'Summer CP Comparison'!N18</f>
        <v>5193.6182031588978</v>
      </c>
      <c r="O17" s="22">
        <v>5119.4059276070257</v>
      </c>
      <c r="P17" s="23">
        <f t="shared" si="4"/>
        <v>1.4496267067175328E-2</v>
      </c>
      <c r="Q17" s="36">
        <f t="shared" si="5"/>
        <v>26458.747132792287</v>
      </c>
      <c r="R17" s="27">
        <f t="shared" si="5"/>
        <v>26411.409055571778</v>
      </c>
      <c r="S17" s="23">
        <f t="shared" si="6"/>
        <v>1.7923344082440007E-3</v>
      </c>
      <c r="T17" s="37">
        <f>'Summer Peak'!C17</f>
        <v>1159.4341723830032</v>
      </c>
      <c r="U17" s="37">
        <f>'Summer Peak'!D17</f>
        <v>0</v>
      </c>
      <c r="V17" s="38">
        <f t="shared" si="7"/>
        <v>27618.181305175291</v>
      </c>
      <c r="W17" s="37"/>
      <c r="X17" s="100">
        <v>1.0166649480512895</v>
      </c>
      <c r="Y17" s="5"/>
      <c r="Z17" s="2">
        <v>27618.232043725464</v>
      </c>
      <c r="AA17" s="209">
        <f t="shared" si="8"/>
        <v>-5.073855017326423E-2</v>
      </c>
      <c r="AB17" s="108">
        <v>2028</v>
      </c>
      <c r="AC17" s="154">
        <f t="shared" si="9"/>
        <v>11561.295946023027</v>
      </c>
      <c r="AD17" s="154">
        <f t="shared" si="10"/>
        <v>11457.845419302248</v>
      </c>
      <c r="AE17" s="130">
        <f t="shared" si="11"/>
        <v>9.0287940651130327E-3</v>
      </c>
      <c r="AF17" s="8"/>
    </row>
    <row r="18" spans="1:32" x14ac:dyDescent="0.25">
      <c r="A18" s="99">
        <v>2029</v>
      </c>
      <c r="B18" s="21">
        <f>$X18*'Summer CP Comparison'!B19</f>
        <v>4426.5048858295904</v>
      </c>
      <c r="C18" s="22">
        <v>4347.0522349109779</v>
      </c>
      <c r="D18" s="23">
        <f t="shared" si="0"/>
        <v>1.8277362825441124E-2</v>
      </c>
      <c r="E18" s="21">
        <f>$X18*'Summer CP Comparison'!E19</f>
        <v>5444.2963980448985</v>
      </c>
      <c r="F18" s="22">
        <v>5685.2270735475659</v>
      </c>
      <c r="G18" s="23">
        <f t="shared" si="1"/>
        <v>-4.2378373350059895E-2</v>
      </c>
      <c r="H18" s="21">
        <f>$X18*'Summer CP Comparison'!H19</f>
        <v>4777.9012398527348</v>
      </c>
      <c r="I18" s="22">
        <v>4802.0170266294035</v>
      </c>
      <c r="J18" s="23">
        <f t="shared" si="2"/>
        <v>-5.0220119260168117E-3</v>
      </c>
      <c r="K18" s="21">
        <f>$X18*'Summer CP Comparison'!K19</f>
        <v>6993.3691846348165</v>
      </c>
      <c r="L18" s="22">
        <v>6903.0922212361129</v>
      </c>
      <c r="M18" s="23">
        <f t="shared" si="3"/>
        <v>1.307775711310688E-2</v>
      </c>
      <c r="N18" s="21">
        <f>$X18*'Summer CP Comparison'!N19</f>
        <v>5308.0962029134007</v>
      </c>
      <c r="O18" s="22">
        <v>5248.0348519366598</v>
      </c>
      <c r="P18" s="23">
        <f t="shared" si="4"/>
        <v>1.1444541179938428E-2</v>
      </c>
      <c r="Q18" s="36">
        <f t="shared" si="5"/>
        <v>26950.167911275443</v>
      </c>
      <c r="R18" s="27">
        <f t="shared" si="5"/>
        <v>26985.423408260718</v>
      </c>
      <c r="S18" s="23">
        <f t="shared" si="6"/>
        <v>-1.3064644735010233E-3</v>
      </c>
      <c r="T18" s="37">
        <f>'Summer Peak'!C18</f>
        <v>1179.9241176948331</v>
      </c>
      <c r="U18" s="37">
        <f>'Summer Peak'!D18</f>
        <v>0</v>
      </c>
      <c r="V18" s="38">
        <f t="shared" si="7"/>
        <v>28130.092028970277</v>
      </c>
      <c r="W18" s="37"/>
      <c r="X18" s="100">
        <v>1.0172151295947602</v>
      </c>
      <c r="Y18" s="5"/>
      <c r="Z18" s="2">
        <v>28130.19856874365</v>
      </c>
      <c r="AA18" s="209">
        <f t="shared" si="8"/>
        <v>-0.10653977337278775</v>
      </c>
      <c r="AB18" s="108">
        <v>2029</v>
      </c>
      <c r="AC18" s="154">
        <f t="shared" si="9"/>
        <v>11771.270424487551</v>
      </c>
      <c r="AD18" s="154">
        <f t="shared" si="10"/>
        <v>11705.109247865515</v>
      </c>
      <c r="AE18" s="130">
        <f t="shared" si="11"/>
        <v>5.6523331154811896E-3</v>
      </c>
      <c r="AF18" s="8"/>
    </row>
    <row r="19" spans="1:32" ht="15.75" thickBot="1" x14ac:dyDescent="0.3">
      <c r="A19" s="101">
        <v>2030</v>
      </c>
      <c r="B19" s="65">
        <f>$X19*'Summer CP Comparison'!B20</f>
        <v>4527.4875718564927</v>
      </c>
      <c r="C19" s="63">
        <v>4455.3618466042972</v>
      </c>
      <c r="D19" s="64">
        <f t="shared" si="0"/>
        <v>1.6188522444516407E-2</v>
      </c>
      <c r="E19" s="65">
        <f>$X19*'Summer CP Comparison'!E20</f>
        <v>5532.7761259925455</v>
      </c>
      <c r="F19" s="63">
        <v>5791.8362460679564</v>
      </c>
      <c r="G19" s="64">
        <f t="shared" si="1"/>
        <v>-4.4728495259389489E-2</v>
      </c>
      <c r="H19" s="65">
        <f>$X19*'Summer CP Comparison'!H20</f>
        <v>4860.0150981770612</v>
      </c>
      <c r="I19" s="63">
        <v>4896.9590662833498</v>
      </c>
      <c r="J19" s="64">
        <f t="shared" si="2"/>
        <v>-7.5442672904203478E-3</v>
      </c>
      <c r="K19" s="65">
        <f>$X19*'Summer CP Comparison'!K20</f>
        <v>7149.8828100016253</v>
      </c>
      <c r="L19" s="63">
        <v>7077.2621874609176</v>
      </c>
      <c r="M19" s="64">
        <f t="shared" si="3"/>
        <v>1.0261118016706039E-2</v>
      </c>
      <c r="N19" s="21">
        <f>$X19*'Summer CP Comparison'!N20</f>
        <v>5435.8784354664022</v>
      </c>
      <c r="O19" s="63">
        <v>5386.8880345479402</v>
      </c>
      <c r="P19" s="64">
        <f t="shared" si="4"/>
        <v>9.0943789075008663E-3</v>
      </c>
      <c r="Q19" s="81">
        <f t="shared" si="5"/>
        <v>27506.040041494125</v>
      </c>
      <c r="R19" s="82">
        <f t="shared" si="5"/>
        <v>27608.307380964463</v>
      </c>
      <c r="S19" s="64">
        <f t="shared" si="6"/>
        <v>-3.7042234447465239E-3</v>
      </c>
      <c r="T19" s="37">
        <f>'Summer Peak'!C19</f>
        <v>1200.7761688242092</v>
      </c>
      <c r="U19" s="37">
        <f>'Summer Peak'!D19</f>
        <v>0</v>
      </c>
      <c r="V19" s="38">
        <f t="shared" si="7"/>
        <v>28706.816210318335</v>
      </c>
      <c r="W19" s="37"/>
      <c r="X19" s="100">
        <v>1.0169847405740076</v>
      </c>
      <c r="Y19" s="207"/>
      <c r="Z19" s="2">
        <v>28706.976457089178</v>
      </c>
      <c r="AA19" s="209">
        <f t="shared" si="8"/>
        <v>-0.16024677084351424</v>
      </c>
      <c r="AB19" s="108">
        <v>2030</v>
      </c>
      <c r="AC19" s="154">
        <f t="shared" si="9"/>
        <v>12009.897908178686</v>
      </c>
      <c r="AD19" s="154">
        <f t="shared" si="10"/>
        <v>11974.221253744268</v>
      </c>
      <c r="AE19" s="130">
        <f t="shared" si="11"/>
        <v>2.9794550875916759E-3</v>
      </c>
      <c r="AF19" s="8"/>
    </row>
    <row r="20" spans="1:32" x14ac:dyDescent="0.25">
      <c r="A20" t="s">
        <v>66</v>
      </c>
      <c r="B20" s="176">
        <f>(B19/B10)^(1/9)-1</f>
        <v>1.7798204503517434E-2</v>
      </c>
      <c r="C20" s="176">
        <f>(C19/C10)^(1/9)-1</f>
        <v>1.7692607574601338E-2</v>
      </c>
      <c r="D20" s="196"/>
      <c r="E20" s="176">
        <f>(E19/E10)^(1/9)-1</f>
        <v>1.0622852900240787E-2</v>
      </c>
      <c r="F20" s="176">
        <f>(F19/F10)^(1/9)-1</f>
        <v>1.0840417407736558E-2</v>
      </c>
      <c r="G20" s="196"/>
      <c r="H20" s="176">
        <f>(H19/H10)^(1/9)-1</f>
        <v>1.105617945034254E-2</v>
      </c>
      <c r="I20" s="176">
        <f>(I19/I10)^(1/9)-1</f>
        <v>1.1330012817303725E-2</v>
      </c>
      <c r="J20" s="196"/>
      <c r="K20" s="176">
        <f>(K19/K10)^(1/9)-1</f>
        <v>1.6774093979619487E-2</v>
      </c>
      <c r="L20" s="176">
        <f>(L19/L10)^(1/9)-1</f>
        <v>1.7583272822010887E-2</v>
      </c>
      <c r="M20" s="196"/>
      <c r="N20" s="176">
        <f>(N19/N10)^(1/9)-1</f>
        <v>1.912426121883426E-2</v>
      </c>
      <c r="O20" s="176">
        <f>(O19/O10)^(1/9)-1</f>
        <v>1.8841567412475335E-2</v>
      </c>
      <c r="P20" s="196"/>
      <c r="Q20" s="176">
        <f>(Q19/Q10)^(1/9)-1</f>
        <v>1.5099935790562347E-2</v>
      </c>
      <c r="R20" s="176">
        <f>(R19/R10)^(1/9)-1</f>
        <v>1.5264939185099857E-2</v>
      </c>
      <c r="U20" s="2"/>
      <c r="AC20" s="154"/>
      <c r="AD20" s="154"/>
      <c r="AE20" s="130"/>
      <c r="AF20" s="8"/>
    </row>
    <row r="22" spans="1:32" ht="18" x14ac:dyDescent="0.25">
      <c r="A22" s="24"/>
      <c r="B22" s="229" t="s">
        <v>32</v>
      </c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5"/>
      <c r="U22" s="103"/>
      <c r="V22" s="25"/>
      <c r="W22" s="25"/>
      <c r="X22" s="24"/>
    </row>
    <row r="23" spans="1:32" ht="16.5" thickBot="1" x14ac:dyDescent="0.3">
      <c r="A23" s="20"/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6"/>
      <c r="U23" s="26"/>
      <c r="V23" s="26"/>
      <c r="W23" s="26"/>
      <c r="X23" s="20"/>
    </row>
    <row r="24" spans="1:32" ht="15.75" thickBot="1" x14ac:dyDescent="0.3">
      <c r="A24" s="95" t="s">
        <v>7</v>
      </c>
      <c r="B24" s="226" t="s">
        <v>8</v>
      </c>
      <c r="C24" s="227"/>
      <c r="D24" s="228"/>
      <c r="E24" s="226" t="s">
        <v>9</v>
      </c>
      <c r="F24" s="227"/>
      <c r="G24" s="228"/>
      <c r="H24" s="226" t="s">
        <v>10</v>
      </c>
      <c r="I24" s="227"/>
      <c r="J24" s="228"/>
      <c r="K24" s="226" t="s">
        <v>11</v>
      </c>
      <c r="L24" s="227"/>
      <c r="M24" s="228"/>
      <c r="N24" s="226" t="s">
        <v>12</v>
      </c>
      <c r="O24" s="227"/>
      <c r="P24" s="228"/>
      <c r="Q24" s="226" t="s">
        <v>13</v>
      </c>
      <c r="R24" s="227"/>
      <c r="S24" s="228"/>
      <c r="T24" s="27"/>
      <c r="U24" s="27"/>
      <c r="V24" s="27" t="s">
        <v>36</v>
      </c>
      <c r="W24" s="27"/>
      <c r="X24" s="96"/>
      <c r="AC24" s="219" t="s">
        <v>60</v>
      </c>
      <c r="AD24" s="218"/>
      <c r="AE24" s="218"/>
    </row>
    <row r="25" spans="1:32" x14ac:dyDescent="0.25">
      <c r="A25" s="97"/>
      <c r="B25" s="169" t="s">
        <v>71</v>
      </c>
      <c r="C25" s="170" t="s">
        <v>61</v>
      </c>
      <c r="D25" s="79" t="s">
        <v>14</v>
      </c>
      <c r="E25" s="169" t="s">
        <v>71</v>
      </c>
      <c r="F25" s="170" t="s">
        <v>61</v>
      </c>
      <c r="G25" s="79" t="s">
        <v>14</v>
      </c>
      <c r="H25" s="169" t="s">
        <v>71</v>
      </c>
      <c r="I25" s="170" t="s">
        <v>61</v>
      </c>
      <c r="J25" s="79" t="s">
        <v>14</v>
      </c>
      <c r="K25" s="169" t="s">
        <v>71</v>
      </c>
      <c r="L25" s="170" t="s">
        <v>61</v>
      </c>
      <c r="M25" s="79" t="s">
        <v>14</v>
      </c>
      <c r="N25" s="169" t="s">
        <v>71</v>
      </c>
      <c r="O25" s="170" t="s">
        <v>61</v>
      </c>
      <c r="P25" s="79" t="s">
        <v>14</v>
      </c>
      <c r="Q25" s="169" t="s">
        <v>71</v>
      </c>
      <c r="R25" s="170" t="s">
        <v>61</v>
      </c>
      <c r="S25" s="79" t="s">
        <v>14</v>
      </c>
      <c r="T25" s="27" t="s">
        <v>1</v>
      </c>
      <c r="U25" s="19" t="s">
        <v>35</v>
      </c>
      <c r="V25" s="186" t="s">
        <v>71</v>
      </c>
      <c r="W25" s="27"/>
      <c r="X25" s="98" t="s">
        <v>27</v>
      </c>
      <c r="AC25" s="124" t="s">
        <v>71</v>
      </c>
      <c r="AD25" s="124" t="s">
        <v>61</v>
      </c>
      <c r="AE25" s="46" t="s">
        <v>14</v>
      </c>
    </row>
    <row r="26" spans="1:32" x14ac:dyDescent="0.25">
      <c r="A26" s="99"/>
      <c r="B26" s="21"/>
      <c r="C26" s="22"/>
      <c r="D26" s="23"/>
      <c r="E26" s="21"/>
      <c r="F26" s="35"/>
      <c r="G26" s="23"/>
      <c r="H26" s="21"/>
      <c r="I26" s="35"/>
      <c r="J26" s="23"/>
      <c r="K26" s="21"/>
      <c r="L26" s="35"/>
      <c r="M26" s="23"/>
      <c r="N26" s="21"/>
      <c r="O26" s="35"/>
      <c r="P26" s="23"/>
      <c r="Q26" s="36"/>
      <c r="R26" s="27"/>
      <c r="S26" s="23"/>
      <c r="T26" s="37"/>
      <c r="U26" s="37"/>
      <c r="V26" s="38"/>
      <c r="W26" s="37"/>
      <c r="X26" s="100"/>
      <c r="AE26" s="8"/>
    </row>
    <row r="27" spans="1:32" x14ac:dyDescent="0.25">
      <c r="A27" s="99">
        <v>2019</v>
      </c>
      <c r="B27" s="21"/>
      <c r="C27" s="22"/>
      <c r="D27" s="23"/>
      <c r="E27" s="21"/>
      <c r="F27" s="22"/>
      <c r="G27" s="23"/>
      <c r="H27" s="21"/>
      <c r="I27" s="22"/>
      <c r="J27" s="23"/>
      <c r="K27" s="21"/>
      <c r="L27" s="22"/>
      <c r="M27" s="23"/>
      <c r="N27" s="21"/>
      <c r="O27" s="22"/>
      <c r="P27" s="23"/>
      <c r="Q27" s="36"/>
      <c r="R27" s="27"/>
      <c r="S27" s="23"/>
      <c r="T27" s="37"/>
      <c r="U27" s="37"/>
      <c r="V27" s="38"/>
      <c r="W27" s="37"/>
      <c r="X27" s="100"/>
      <c r="AB27" s="108"/>
      <c r="AC27" s="154"/>
      <c r="AD27" s="154"/>
      <c r="AE27" s="130"/>
    </row>
    <row r="28" spans="1:32" x14ac:dyDescent="0.25">
      <c r="A28" s="99">
        <v>2020</v>
      </c>
      <c r="B28" s="21"/>
      <c r="C28" s="22"/>
      <c r="D28" s="23"/>
      <c r="E28" s="21"/>
      <c r="F28" s="22"/>
      <c r="G28" s="23"/>
      <c r="H28" s="21"/>
      <c r="I28" s="22"/>
      <c r="J28" s="23"/>
      <c r="K28" s="21"/>
      <c r="L28" s="22"/>
      <c r="M28" s="23"/>
      <c r="N28" s="21"/>
      <c r="O28" s="22"/>
      <c r="P28" s="23"/>
      <c r="Q28" s="36"/>
      <c r="R28" s="27"/>
      <c r="S28" s="23"/>
      <c r="T28" s="37"/>
      <c r="U28" s="37"/>
      <c r="V28" s="38"/>
      <c r="W28" s="37"/>
      <c r="X28" s="100"/>
      <c r="AB28" s="108"/>
      <c r="AC28" s="154"/>
      <c r="AD28" s="154"/>
      <c r="AE28" s="130"/>
    </row>
    <row r="29" spans="1:32" x14ac:dyDescent="0.25">
      <c r="A29" s="99">
        <v>2021</v>
      </c>
      <c r="B29" s="21">
        <f>$X29*'Summer NCP Comparison'!B11</f>
        <v>4041.7589419143578</v>
      </c>
      <c r="C29" s="22">
        <v>3902.8747032694237</v>
      </c>
      <c r="D29" s="23">
        <f t="shared" ref="D29:D38" si="12">B29/C29-1</f>
        <v>3.558511333417691E-2</v>
      </c>
      <c r="E29" s="21">
        <f>$X29*'Summer NCP Comparison'!E11</f>
        <v>5140.663560745923</v>
      </c>
      <c r="F29" s="22">
        <v>5301.6693933824063</v>
      </c>
      <c r="G29" s="23">
        <f t="shared" ref="G29:G38" si="13">E29/F29-1</f>
        <v>-3.0368893397512142E-2</v>
      </c>
      <c r="H29" s="21">
        <f>$X29*'Summer NCP Comparison'!H11</f>
        <v>4488.090843228023</v>
      </c>
      <c r="I29" s="22">
        <v>4469.5615858979263</v>
      </c>
      <c r="J29" s="23">
        <f t="shared" ref="J29:J38" si="14">H29/I29-1</f>
        <v>4.1456543273861168E-3</v>
      </c>
      <c r="K29" s="21">
        <f>$X29*'Summer NCP Comparison'!K11</f>
        <v>6310.4969868877088</v>
      </c>
      <c r="L29" s="22">
        <v>6177.3324079239956</v>
      </c>
      <c r="M29" s="23">
        <f t="shared" ref="M29:M38" si="15">K29/L29-1</f>
        <v>2.1556971548575943E-2</v>
      </c>
      <c r="N29" s="21">
        <f>$X29*'Summer NCP Comparison'!N11</f>
        <v>4747.8620616700764</v>
      </c>
      <c r="O29" s="22">
        <v>4699.3374858436582</v>
      </c>
      <c r="P29" s="23">
        <f t="shared" ref="P29:P38" si="16">N29/O29-1</f>
        <v>1.0325833369617454E-2</v>
      </c>
      <c r="Q29" s="36">
        <f t="shared" ref="Q29:R38" si="17">+N29+K29+H29+E29+B29</f>
        <v>24728.872394446091</v>
      </c>
      <c r="R29" s="27">
        <f t="shared" si="17"/>
        <v>24550.77557631741</v>
      </c>
      <c r="S29" s="23">
        <f t="shared" ref="S29:S38" si="18">Q29/R29-1</f>
        <v>7.2542237036485879E-3</v>
      </c>
      <c r="T29" s="37">
        <f t="shared" ref="T29:U38" si="19">T10</f>
        <v>1012.5112791278036</v>
      </c>
      <c r="U29" s="37">
        <f t="shared" si="19"/>
        <v>200</v>
      </c>
      <c r="V29" s="38">
        <f t="shared" ref="V29:V38" si="20">Q29+T29</f>
        <v>25741.383673573895</v>
      </c>
      <c r="W29" s="37"/>
      <c r="X29" s="100">
        <f t="shared" ref="X29:X38" si="21">X10</f>
        <v>1.0180999075105153</v>
      </c>
      <c r="AB29" s="108">
        <v>2021</v>
      </c>
      <c r="AC29" s="154">
        <f t="shared" ref="AC29:AC38" si="22">H29+K29</f>
        <v>10798.587830115732</v>
      </c>
      <c r="AD29" s="154">
        <f t="shared" ref="AD29:AD38" si="23">I29+L29</f>
        <v>10646.893993821923</v>
      </c>
      <c r="AE29" s="130">
        <f t="shared" ref="AE29:AE38" si="24">AC29/AD29-1</f>
        <v>1.4247707958944034E-2</v>
      </c>
    </row>
    <row r="30" spans="1:32" x14ac:dyDescent="0.25">
      <c r="A30" s="99">
        <v>2022</v>
      </c>
      <c r="B30" s="21">
        <f>$X30*'Summer NCP Comparison'!B12</f>
        <v>4097.6435132351535</v>
      </c>
      <c r="C30" s="22">
        <v>3935.7702120133863</v>
      </c>
      <c r="D30" s="23">
        <f t="shared" si="12"/>
        <v>4.112874799643329E-2</v>
      </c>
      <c r="E30" s="21">
        <f>$X30*'Summer NCP Comparison'!E12</f>
        <v>5172.7416287571132</v>
      </c>
      <c r="F30" s="22">
        <v>5307.5008099618835</v>
      </c>
      <c r="G30" s="23">
        <f t="shared" si="13"/>
        <v>-2.5390327016405756E-2</v>
      </c>
      <c r="H30" s="21">
        <f>$X30*'Summer NCP Comparison'!H12</f>
        <v>4514.2908266270815</v>
      </c>
      <c r="I30" s="22">
        <v>4472.4107745457532</v>
      </c>
      <c r="J30" s="23">
        <f t="shared" si="14"/>
        <v>9.3640888980244252E-3</v>
      </c>
      <c r="K30" s="21">
        <f>$X30*'Summer NCP Comparison'!K12</f>
        <v>6386.5067750136932</v>
      </c>
      <c r="L30" s="22">
        <v>6229.7854308936094</v>
      </c>
      <c r="M30" s="23">
        <f t="shared" si="15"/>
        <v>2.5156780415405589E-2</v>
      </c>
      <c r="N30" s="21">
        <f>$X30*'Summer NCP Comparison'!N12</f>
        <v>4827.2454697382991</v>
      </c>
      <c r="O30" s="22">
        <v>4746.4252262638329</v>
      </c>
      <c r="P30" s="23">
        <f t="shared" si="16"/>
        <v>1.7027602800367747E-2</v>
      </c>
      <c r="Q30" s="36">
        <f t="shared" si="17"/>
        <v>24998.428213371342</v>
      </c>
      <c r="R30" s="27">
        <f t="shared" si="17"/>
        <v>24691.892453678465</v>
      </c>
      <c r="S30" s="23">
        <f t="shared" si="18"/>
        <v>1.2414429565005269E-2</v>
      </c>
      <c r="T30" s="37">
        <f t="shared" si="19"/>
        <v>1032.5467000031197</v>
      </c>
      <c r="U30" s="37">
        <f t="shared" si="19"/>
        <v>0</v>
      </c>
      <c r="V30" s="38">
        <f t="shared" si="20"/>
        <v>26030.974913374463</v>
      </c>
      <c r="W30" s="37"/>
      <c r="X30" s="100">
        <f t="shared" si="21"/>
        <v>1.017628758607305</v>
      </c>
      <c r="AB30" s="108">
        <v>2022</v>
      </c>
      <c r="AC30" s="154">
        <f t="shared" si="22"/>
        <v>10900.797601640774</v>
      </c>
      <c r="AD30" s="154">
        <f t="shared" si="23"/>
        <v>10702.196205439363</v>
      </c>
      <c r="AE30" s="130">
        <f t="shared" si="24"/>
        <v>1.8557069258408054E-2</v>
      </c>
    </row>
    <row r="31" spans="1:32" x14ac:dyDescent="0.25">
      <c r="A31" s="99">
        <v>2023</v>
      </c>
      <c r="B31" s="21">
        <f>$X31*'Summer NCP Comparison'!B13</f>
        <v>4180.5808745532886</v>
      </c>
      <c r="C31" s="22">
        <v>3995.3382083989736</v>
      </c>
      <c r="D31" s="23">
        <f t="shared" si="12"/>
        <v>4.6364702183384399E-2</v>
      </c>
      <c r="E31" s="21">
        <f>$X31*'Summer NCP Comparison'!E13</f>
        <v>5238.3042076571346</v>
      </c>
      <c r="F31" s="22">
        <v>5349.5212253977643</v>
      </c>
      <c r="G31" s="23">
        <f t="shared" si="13"/>
        <v>-2.0790088132113138E-2</v>
      </c>
      <c r="H31" s="21">
        <f>$X31*'Summer NCP Comparison'!H13</f>
        <v>4571.4305095324253</v>
      </c>
      <c r="I31" s="22">
        <v>4507.8690338859724</v>
      </c>
      <c r="J31" s="23">
        <f t="shared" si="14"/>
        <v>1.4100115857106132E-2</v>
      </c>
      <c r="K31" s="21">
        <f>$X31*'Summer NCP Comparison'!K13</f>
        <v>6507.6160488188416</v>
      </c>
      <c r="L31" s="22">
        <v>6323.6788552775042</v>
      </c>
      <c r="M31" s="23">
        <f t="shared" si="15"/>
        <v>2.90870548221831E-2</v>
      </c>
      <c r="N31" s="21">
        <f>$X31*'Summer NCP Comparison'!N13</f>
        <v>4933.6190279676484</v>
      </c>
      <c r="O31" s="22">
        <v>4823.3492063422091</v>
      </c>
      <c r="P31" s="23">
        <f t="shared" si="16"/>
        <v>2.286167078270962E-2</v>
      </c>
      <c r="Q31" s="36">
        <f t="shared" si="17"/>
        <v>25431.55066852934</v>
      </c>
      <c r="R31" s="27">
        <f t="shared" si="17"/>
        <v>24999.756529302424</v>
      </c>
      <c r="S31" s="23">
        <f t="shared" si="18"/>
        <v>1.7271933777467385E-2</v>
      </c>
      <c r="T31" s="37">
        <f t="shared" si="19"/>
        <v>1053.0082842280938</v>
      </c>
      <c r="U31" s="37">
        <f t="shared" si="19"/>
        <v>0</v>
      </c>
      <c r="V31" s="38">
        <f t="shared" si="20"/>
        <v>26484.558952757434</v>
      </c>
      <c r="W31" s="37"/>
      <c r="X31" s="100">
        <f t="shared" si="21"/>
        <v>1.0171363196500005</v>
      </c>
      <c r="AB31" s="108">
        <v>2023</v>
      </c>
      <c r="AC31" s="154">
        <f t="shared" si="22"/>
        <v>11079.046558351267</v>
      </c>
      <c r="AD31" s="154">
        <f t="shared" si="23"/>
        <v>10831.547889163478</v>
      </c>
      <c r="AE31" s="130">
        <f t="shared" si="24"/>
        <v>2.2849796882253637E-2</v>
      </c>
    </row>
    <row r="32" spans="1:32" x14ac:dyDescent="0.25">
      <c r="A32" s="99">
        <v>2024</v>
      </c>
      <c r="B32" s="21">
        <f>$X32*'Summer NCP Comparison'!B14</f>
        <v>4267.2382472969866</v>
      </c>
      <c r="C32" s="22">
        <v>4062.8112117463484</v>
      </c>
      <c r="D32" s="23">
        <f t="shared" si="12"/>
        <v>5.0316646503190121E-2</v>
      </c>
      <c r="E32" s="21">
        <f>$X32*'Summer NCP Comparison'!E14</f>
        <v>5307.9234916293353</v>
      </c>
      <c r="F32" s="22">
        <v>5401.89850465987</v>
      </c>
      <c r="G32" s="23">
        <f t="shared" si="13"/>
        <v>-1.7396663959803882E-2</v>
      </c>
      <c r="H32" s="21">
        <f>$X32*'Summer NCP Comparison'!H14</f>
        <v>4633.4983464596871</v>
      </c>
      <c r="I32" s="22">
        <v>4553.5667257522937</v>
      </c>
      <c r="J32" s="23">
        <f t="shared" si="14"/>
        <v>1.7553628950981892E-2</v>
      </c>
      <c r="K32" s="21">
        <f>$X32*'Summer NCP Comparison'!K14</f>
        <v>6634.7242284456443</v>
      </c>
      <c r="L32" s="22">
        <v>6428.783537551516</v>
      </c>
      <c r="M32" s="23">
        <f t="shared" si="15"/>
        <v>3.2034161625009938E-2</v>
      </c>
      <c r="N32" s="21">
        <f>$X32*'Summer NCP Comparison'!N14</f>
        <v>5041.9198523033238</v>
      </c>
      <c r="O32" s="22">
        <v>4909.1530438179298</v>
      </c>
      <c r="P32" s="23">
        <f t="shared" si="16"/>
        <v>2.70447483100138E-2</v>
      </c>
      <c r="Q32" s="36">
        <f t="shared" si="17"/>
        <v>25885.304166134978</v>
      </c>
      <c r="R32" s="27">
        <f t="shared" si="17"/>
        <v>25356.213023527958</v>
      </c>
      <c r="S32" s="23">
        <f t="shared" si="18"/>
        <v>2.086633134514515E-2</v>
      </c>
      <c r="T32" s="37">
        <f t="shared" si="19"/>
        <v>1073.9029239323706</v>
      </c>
      <c r="U32" s="37">
        <f t="shared" si="19"/>
        <v>0</v>
      </c>
      <c r="V32" s="38">
        <f t="shared" si="20"/>
        <v>26959.20709006735</v>
      </c>
      <c r="W32" s="37"/>
      <c r="X32" s="100">
        <f t="shared" si="21"/>
        <v>1.0171090867232799</v>
      </c>
      <c r="AB32" s="108">
        <v>2024</v>
      </c>
      <c r="AC32" s="154">
        <f t="shared" si="22"/>
        <v>11268.222574905332</v>
      </c>
      <c r="AD32" s="154">
        <f t="shared" si="23"/>
        <v>10982.35026330381</v>
      </c>
      <c r="AE32" s="130">
        <f t="shared" si="24"/>
        <v>2.6030157912257712E-2</v>
      </c>
    </row>
    <row r="33" spans="1:31" x14ac:dyDescent="0.25">
      <c r="A33" s="99">
        <v>2025</v>
      </c>
      <c r="B33" s="21">
        <f>$X33*'Summer NCP Comparison'!B15</f>
        <v>4341.1396315099819</v>
      </c>
      <c r="C33" s="22">
        <v>4134.9250091599852</v>
      </c>
      <c r="D33" s="23">
        <f t="shared" si="12"/>
        <v>4.9871429806628953E-2</v>
      </c>
      <c r="E33" s="21">
        <f>$X33*'Summer NCP Comparison'!E15</f>
        <v>5361.028907208909</v>
      </c>
      <c r="F33" s="22">
        <v>5459.9921124244938</v>
      </c>
      <c r="G33" s="23">
        <f t="shared" si="13"/>
        <v>-1.8125155344160482E-2</v>
      </c>
      <c r="H33" s="21">
        <f>$X33*'Summer NCP Comparison'!H15</f>
        <v>4681.7960107915424</v>
      </c>
      <c r="I33" s="22">
        <v>4604.7925923498206</v>
      </c>
      <c r="J33" s="23">
        <f t="shared" si="14"/>
        <v>1.672245098935643E-2</v>
      </c>
      <c r="K33" s="21">
        <f>$X33*'Summer NCP Comparison'!K15</f>
        <v>6742.0766003864919</v>
      </c>
      <c r="L33" s="22">
        <v>6540.5233206203247</v>
      </c>
      <c r="M33" s="23">
        <f t="shared" si="15"/>
        <v>3.0816078452121642E-2</v>
      </c>
      <c r="N33" s="21">
        <f>$X33*'Summer NCP Comparison'!N15</f>
        <v>5134.198296515282</v>
      </c>
      <c r="O33" s="22">
        <v>5000.721544673841</v>
      </c>
      <c r="P33" s="23">
        <f t="shared" si="16"/>
        <v>2.6691498546565606E-2</v>
      </c>
      <c r="Q33" s="36">
        <f t="shared" si="17"/>
        <v>26260.239446412208</v>
      </c>
      <c r="R33" s="27">
        <f t="shared" si="17"/>
        <v>25740.954579228466</v>
      </c>
      <c r="S33" s="23">
        <f t="shared" si="18"/>
        <v>2.0173489121602994E-2</v>
      </c>
      <c r="T33" s="37">
        <f t="shared" si="19"/>
        <v>1095.2432546869641</v>
      </c>
      <c r="U33" s="37">
        <f t="shared" si="19"/>
        <v>0</v>
      </c>
      <c r="V33" s="38">
        <f t="shared" si="20"/>
        <v>27355.482701099172</v>
      </c>
      <c r="W33" s="37"/>
      <c r="X33" s="100">
        <f t="shared" si="21"/>
        <v>1.0174319533947638</v>
      </c>
      <c r="AB33" s="108">
        <v>2025</v>
      </c>
      <c r="AC33" s="154">
        <f t="shared" si="22"/>
        <v>11423.872611178034</v>
      </c>
      <c r="AD33" s="154">
        <f t="shared" si="23"/>
        <v>11145.315912970145</v>
      </c>
      <c r="AE33" s="130">
        <f t="shared" si="24"/>
        <v>2.4993163081517E-2</v>
      </c>
    </row>
    <row r="34" spans="1:31" x14ac:dyDescent="0.25">
      <c r="A34" s="99">
        <v>2026</v>
      </c>
      <c r="B34" s="21">
        <f>$X34*'Summer NCP Comparison'!B16</f>
        <v>4412.4271115690208</v>
      </c>
      <c r="C34" s="22">
        <v>4209.5411134405122</v>
      </c>
      <c r="D34" s="23">
        <f t="shared" si="12"/>
        <v>4.8196701887699867E-2</v>
      </c>
      <c r="E34" s="21">
        <f>$X34*'Summer NCP Comparison'!E16</f>
        <v>5410.2267977237698</v>
      </c>
      <c r="F34" s="22">
        <v>5520.5526733540537</v>
      </c>
      <c r="G34" s="23">
        <f t="shared" si="13"/>
        <v>-1.9984570777268673E-2</v>
      </c>
      <c r="H34" s="21">
        <f>$X34*'Summer NCP Comparison'!H16</f>
        <v>4727.0033368980748</v>
      </c>
      <c r="I34" s="22">
        <v>4658.4461654979405</v>
      </c>
      <c r="J34" s="23">
        <f t="shared" si="14"/>
        <v>1.4716746521166835E-2</v>
      </c>
      <c r="K34" s="21">
        <f>$X34*'Summer NCP Comparison'!K16</f>
        <v>6845.6743682276719</v>
      </c>
      <c r="L34" s="22">
        <v>6656.1524080107065</v>
      </c>
      <c r="M34" s="23">
        <f t="shared" si="15"/>
        <v>2.8473200221328376E-2</v>
      </c>
      <c r="N34" s="21">
        <f>$X34*'Summer NCP Comparison'!N16</f>
        <v>5223.0793832952259</v>
      </c>
      <c r="O34" s="22">
        <v>5095.5629326366343</v>
      </c>
      <c r="P34" s="23">
        <f t="shared" si="16"/>
        <v>2.5024997697871587E-2</v>
      </c>
      <c r="Q34" s="36">
        <f t="shared" si="17"/>
        <v>26618.410997713763</v>
      </c>
      <c r="R34" s="27">
        <f t="shared" si="17"/>
        <v>26140.255292939848</v>
      </c>
      <c r="S34" s="23">
        <f t="shared" si="18"/>
        <v>1.8291929417501018E-2</v>
      </c>
      <c r="T34" s="37">
        <f t="shared" si="19"/>
        <v>1117.03961468634</v>
      </c>
      <c r="U34" s="37">
        <f t="shared" si="19"/>
        <v>0</v>
      </c>
      <c r="V34" s="38">
        <f t="shared" si="20"/>
        <v>27735.450612400102</v>
      </c>
      <c r="W34" s="37"/>
      <c r="X34" s="100">
        <f t="shared" si="21"/>
        <v>1.0174861305556777</v>
      </c>
      <c r="AB34" s="108">
        <v>2026</v>
      </c>
      <c r="AC34" s="154">
        <f t="shared" si="22"/>
        <v>11572.677705125747</v>
      </c>
      <c r="AD34" s="154">
        <f t="shared" si="23"/>
        <v>11314.598573508647</v>
      </c>
      <c r="AE34" s="130">
        <f t="shared" si="24"/>
        <v>2.2809393540602629E-2</v>
      </c>
    </row>
    <row r="35" spans="1:31" x14ac:dyDescent="0.25">
      <c r="A35" s="99">
        <v>2027</v>
      </c>
      <c r="B35" s="21">
        <f>$X35*'Summer NCP Comparison'!B17</f>
        <v>4467.3858385047115</v>
      </c>
      <c r="C35" s="22">
        <v>4277.6104356364294</v>
      </c>
      <c r="D35" s="23">
        <f t="shared" si="12"/>
        <v>4.4364816694685061E-2</v>
      </c>
      <c r="E35" s="21">
        <f>$X35*'Summer NCP Comparison'!E17</f>
        <v>5438.9466694773782</v>
      </c>
      <c r="F35" s="22">
        <v>5571.930003679091</v>
      </c>
      <c r="G35" s="23">
        <f t="shared" si="13"/>
        <v>-2.3866655559905636E-2</v>
      </c>
      <c r="H35" s="21">
        <f>$X35*'Summer NCP Comparison'!H17</f>
        <v>4755.2147920522511</v>
      </c>
      <c r="I35" s="22">
        <v>4705.2499694795606</v>
      </c>
      <c r="J35" s="23">
        <f t="shared" si="14"/>
        <v>1.0618951787213282E-2</v>
      </c>
      <c r="K35" s="21">
        <f>$X35*'Summer NCP Comparison'!K17</f>
        <v>6924.4671611378908</v>
      </c>
      <c r="L35" s="22">
        <v>6761.9009374541693</v>
      </c>
      <c r="M35" s="23">
        <f t="shared" si="15"/>
        <v>2.4041497381789068E-2</v>
      </c>
      <c r="N35" s="21">
        <f>$X35*'Summer NCP Comparison'!N17</f>
        <v>5292.6352502834916</v>
      </c>
      <c r="O35" s="22">
        <v>5182.8864224999079</v>
      </c>
      <c r="P35" s="23">
        <f t="shared" si="16"/>
        <v>2.1175233033690066E-2</v>
      </c>
      <c r="Q35" s="36">
        <f t="shared" si="17"/>
        <v>26878.649711455728</v>
      </c>
      <c r="R35" s="27">
        <f t="shared" si="17"/>
        <v>26499.577768749161</v>
      </c>
      <c r="S35" s="23">
        <f t="shared" si="18"/>
        <v>1.4304829534061758E-2</v>
      </c>
      <c r="T35" s="37">
        <f t="shared" si="19"/>
        <v>1139.3000447484167</v>
      </c>
      <c r="U35" s="37">
        <f t="shared" si="19"/>
        <v>0</v>
      </c>
      <c r="V35" s="38">
        <f t="shared" si="20"/>
        <v>28017.949756204143</v>
      </c>
      <c r="W35" s="37"/>
      <c r="X35" s="100">
        <f t="shared" si="21"/>
        <v>1.0173104887907192</v>
      </c>
      <c r="AB35" s="108">
        <v>2027</v>
      </c>
      <c r="AC35" s="154">
        <f t="shared" si="22"/>
        <v>11679.681953190142</v>
      </c>
      <c r="AD35" s="154">
        <f t="shared" si="23"/>
        <v>11467.15090693373</v>
      </c>
      <c r="AE35" s="130">
        <f t="shared" si="24"/>
        <v>1.8533901575142231E-2</v>
      </c>
    </row>
    <row r="36" spans="1:31" x14ac:dyDescent="0.25">
      <c r="A36" s="99">
        <v>2028</v>
      </c>
      <c r="B36" s="21">
        <f>$X36*'Summer NCP Comparison'!B18</f>
        <v>4536.5650869727851</v>
      </c>
      <c r="C36" s="22">
        <v>4355.5706772176318</v>
      </c>
      <c r="D36" s="23">
        <f t="shared" si="12"/>
        <v>4.1554694704385664E-2</v>
      </c>
      <c r="E36" s="21">
        <f>$X36*'Summer NCP Comparison'!E18</f>
        <v>5485.3160827449319</v>
      </c>
      <c r="F36" s="22">
        <v>5636.3489032126845</v>
      </c>
      <c r="G36" s="23">
        <f t="shared" si="13"/>
        <v>-2.679621561072365E-2</v>
      </c>
      <c r="H36" s="21">
        <f>$X36*'Summer NCP Comparison'!H18</f>
        <v>4799.3066361368974</v>
      </c>
      <c r="I36" s="22">
        <v>4763.552385867365</v>
      </c>
      <c r="J36" s="23">
        <f t="shared" si="14"/>
        <v>7.5057955435966495E-3</v>
      </c>
      <c r="K36" s="21">
        <f>$X36*'Summer NCP Comparison'!K18</f>
        <v>7026.2774413711122</v>
      </c>
      <c r="L36" s="22">
        <v>6884.2440569268192</v>
      </c>
      <c r="M36" s="23">
        <f t="shared" si="15"/>
        <v>2.0631660247631967E-2</v>
      </c>
      <c r="N36" s="21">
        <f>$X36*'Summer NCP Comparison'!N18</f>
        <v>5379.5090441522634</v>
      </c>
      <c r="O36" s="22">
        <v>5282.9700798116073</v>
      </c>
      <c r="P36" s="23">
        <f t="shared" si="16"/>
        <v>1.8273615576505087E-2</v>
      </c>
      <c r="Q36" s="36">
        <f t="shared" si="17"/>
        <v>27226.974291377992</v>
      </c>
      <c r="R36" s="27">
        <f t="shared" si="17"/>
        <v>26922.686103036107</v>
      </c>
      <c r="S36" s="23">
        <f t="shared" si="18"/>
        <v>1.1302296775936194E-2</v>
      </c>
      <c r="T36" s="37">
        <f t="shared" si="19"/>
        <v>1159.4341723830032</v>
      </c>
      <c r="U36" s="37">
        <f t="shared" si="19"/>
        <v>0</v>
      </c>
      <c r="V36" s="38">
        <f t="shared" si="20"/>
        <v>28386.408463760996</v>
      </c>
      <c r="W36" s="37"/>
      <c r="X36" s="100">
        <f t="shared" si="21"/>
        <v>1.0166649480512895</v>
      </c>
      <c r="AB36" s="108">
        <v>2028</v>
      </c>
      <c r="AC36" s="154">
        <f t="shared" si="22"/>
        <v>11825.584077508011</v>
      </c>
      <c r="AD36" s="154">
        <f t="shared" si="23"/>
        <v>11647.796442794184</v>
      </c>
      <c r="AE36" s="130">
        <f t="shared" si="24"/>
        <v>1.5263628239641225E-2</v>
      </c>
    </row>
    <row r="37" spans="1:31" x14ac:dyDescent="0.25">
      <c r="A37" s="99">
        <v>2029</v>
      </c>
      <c r="B37" s="21">
        <f>$X37*'Summer NCP Comparison'!B19</f>
        <v>4631.5804542554833</v>
      </c>
      <c r="C37" s="22">
        <v>4459.0882240319279</v>
      </c>
      <c r="D37" s="23">
        <f t="shared" si="12"/>
        <v>3.8683296126307054E-2</v>
      </c>
      <c r="E37" s="21">
        <f>$X37*'Summer NCP Comparison'!E19</f>
        <v>5563.1385513148534</v>
      </c>
      <c r="F37" s="22">
        <v>5734.3945229816954</v>
      </c>
      <c r="G37" s="23">
        <f t="shared" si="13"/>
        <v>-2.9864699922633631E-2</v>
      </c>
      <c r="H37" s="21">
        <f>$X37*'Summer NCP Comparison'!H19</f>
        <v>4871.2316176509867</v>
      </c>
      <c r="I37" s="22">
        <v>4850.6306863043901</v>
      </c>
      <c r="J37" s="23">
        <f t="shared" si="14"/>
        <v>4.2470624293791115E-3</v>
      </c>
      <c r="K37" s="21">
        <f>$X37*'Summer NCP Comparison'!K19</f>
        <v>7169.2107573381872</v>
      </c>
      <c r="L37" s="22">
        <v>7048.6995050611622</v>
      </c>
      <c r="M37" s="23">
        <f t="shared" si="15"/>
        <v>1.709694847829657E-2</v>
      </c>
      <c r="N37" s="21">
        <f>$X37*'Summer NCP Comparison'!N19</f>
        <v>5498.0844593919201</v>
      </c>
      <c r="O37" s="22">
        <v>5415.7086764849619</v>
      </c>
      <c r="P37" s="23">
        <f t="shared" si="16"/>
        <v>1.5210526973992167E-2</v>
      </c>
      <c r="Q37" s="36">
        <f t="shared" si="17"/>
        <v>27733.245839951433</v>
      </c>
      <c r="R37" s="27">
        <f t="shared" si="17"/>
        <v>27508.521614864141</v>
      </c>
      <c r="S37" s="23">
        <f t="shared" si="18"/>
        <v>8.1692585386290428E-3</v>
      </c>
      <c r="T37" s="37">
        <f t="shared" si="19"/>
        <v>1179.9241176948331</v>
      </c>
      <c r="U37" s="37">
        <f t="shared" si="19"/>
        <v>0</v>
      </c>
      <c r="V37" s="38">
        <f t="shared" si="20"/>
        <v>28913.169957646267</v>
      </c>
      <c r="W37" s="37"/>
      <c r="X37" s="100">
        <f t="shared" si="21"/>
        <v>1.0172151295947602</v>
      </c>
      <c r="AB37" s="108">
        <v>2029</v>
      </c>
      <c r="AC37" s="154">
        <f t="shared" si="22"/>
        <v>12040.442374989174</v>
      </c>
      <c r="AD37" s="154">
        <f t="shared" si="23"/>
        <v>11899.330191365552</v>
      </c>
      <c r="AE37" s="130">
        <f t="shared" si="24"/>
        <v>1.1858834182617795E-2</v>
      </c>
    </row>
    <row r="38" spans="1:31" ht="15.75" thickBot="1" x14ac:dyDescent="0.3">
      <c r="A38" s="101">
        <v>2030</v>
      </c>
      <c r="B38" s="65">
        <f>$X38*'Summer NCP Comparison'!B20</f>
        <v>4737.2415676810388</v>
      </c>
      <c r="C38" s="63">
        <v>4570.1892846937944</v>
      </c>
      <c r="D38" s="64">
        <f t="shared" si="12"/>
        <v>3.655259609196615E-2</v>
      </c>
      <c r="E38" s="65">
        <f>$X38*'Summer NCP Comparison'!E20</f>
        <v>5653.5496806082865</v>
      </c>
      <c r="F38" s="63">
        <v>5841.9256817361093</v>
      </c>
      <c r="G38" s="64">
        <f t="shared" si="13"/>
        <v>-3.2245531934230409E-2</v>
      </c>
      <c r="H38" s="65">
        <f>$X38*'Summer NCP Comparison'!H20</f>
        <v>4954.9494684052843</v>
      </c>
      <c r="I38" s="63">
        <v>4946.5338804021867</v>
      </c>
      <c r="J38" s="64">
        <f t="shared" si="14"/>
        <v>1.7013100903724432E-3</v>
      </c>
      <c r="K38" s="65">
        <f>$X38*'Summer NCP Comparison'!K20</f>
        <v>7329.6597679688648</v>
      </c>
      <c r="L38" s="63">
        <v>7226.543247456576</v>
      </c>
      <c r="M38" s="64">
        <f t="shared" si="15"/>
        <v>1.4269134907423542E-2</v>
      </c>
      <c r="N38" s="65">
        <f>$X38*'Summer NCP Comparison'!N20</f>
        <v>5630.4402947289764</v>
      </c>
      <c r="O38" s="63">
        <v>5558.9981947601609</v>
      </c>
      <c r="P38" s="64">
        <f t="shared" si="16"/>
        <v>1.2851614169645753E-2</v>
      </c>
      <c r="Q38" s="81">
        <f t="shared" si="17"/>
        <v>28305.840779392453</v>
      </c>
      <c r="R38" s="82">
        <f t="shared" si="17"/>
        <v>28144.190289048831</v>
      </c>
      <c r="S38" s="64">
        <f t="shared" si="18"/>
        <v>5.7436539720427948E-3</v>
      </c>
      <c r="T38" s="37">
        <f t="shared" si="19"/>
        <v>1200.7761688242092</v>
      </c>
      <c r="U38" s="37">
        <f t="shared" si="19"/>
        <v>0</v>
      </c>
      <c r="V38" s="38">
        <f t="shared" si="20"/>
        <v>29506.616948216662</v>
      </c>
      <c r="W38" s="37"/>
      <c r="X38" s="100">
        <f t="shared" si="21"/>
        <v>1.0169847405740076</v>
      </c>
      <c r="AB38" s="108">
        <v>2030</v>
      </c>
      <c r="AC38" s="154">
        <f t="shared" si="22"/>
        <v>12284.609236374148</v>
      </c>
      <c r="AD38" s="154">
        <f t="shared" si="23"/>
        <v>12173.077127858764</v>
      </c>
      <c r="AE38" s="130">
        <f t="shared" si="24"/>
        <v>9.1621951741467367E-3</v>
      </c>
    </row>
    <row r="39" spans="1:31" x14ac:dyDescent="0.25">
      <c r="AC39" s="154"/>
      <c r="AD39" s="154"/>
      <c r="AE39" s="130"/>
    </row>
  </sheetData>
  <mergeCells count="18">
    <mergeCell ref="B3:S3"/>
    <mergeCell ref="B4:S4"/>
    <mergeCell ref="B5:D5"/>
    <mergeCell ref="E5:G5"/>
    <mergeCell ref="H5:J5"/>
    <mergeCell ref="K5:M5"/>
    <mergeCell ref="N5:P5"/>
    <mergeCell ref="Q5:S5"/>
    <mergeCell ref="H24:J24"/>
    <mergeCell ref="K24:M24"/>
    <mergeCell ref="N24:P24"/>
    <mergeCell ref="Q24:S24"/>
    <mergeCell ref="AC5:AE5"/>
    <mergeCell ref="AC24:AE24"/>
    <mergeCell ref="B22:S22"/>
    <mergeCell ref="B23:S23"/>
    <mergeCell ref="B24:D24"/>
    <mergeCell ref="E24:G24"/>
  </mergeCells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/>
  <dimension ref="A1:AB38"/>
  <sheetViews>
    <sheetView workbookViewId="0">
      <selection activeCell="A2" sqref="A2"/>
    </sheetView>
  </sheetViews>
  <sheetFormatPr defaultRowHeight="15" x14ac:dyDescent="0.25"/>
  <cols>
    <col min="1" max="1" width="5.140625" bestFit="1" customWidth="1"/>
    <col min="2" max="3" width="10.42578125" bestFit="1" customWidth="1"/>
    <col min="4" max="4" width="7.7109375" bestFit="1" customWidth="1"/>
    <col min="5" max="6" width="10.42578125" bestFit="1" customWidth="1"/>
    <col min="7" max="7" width="7.7109375" bestFit="1" customWidth="1"/>
    <col min="8" max="9" width="10.42578125" bestFit="1" customWidth="1"/>
    <col min="10" max="10" width="7.7109375" bestFit="1" customWidth="1"/>
    <col min="11" max="12" width="10.42578125" bestFit="1" customWidth="1"/>
    <col min="13" max="13" width="7.7109375" bestFit="1" customWidth="1"/>
    <col min="14" max="15" width="10.42578125" bestFit="1" customWidth="1"/>
    <col min="16" max="16" width="7.7109375" bestFit="1" customWidth="1"/>
    <col min="17" max="18" width="10.42578125" bestFit="1" customWidth="1"/>
    <col min="19" max="19" width="7.7109375" bestFit="1" customWidth="1"/>
    <col min="20" max="20" width="5.85546875" bestFit="1" customWidth="1"/>
    <col min="21" max="21" width="9.7109375" bestFit="1" customWidth="1"/>
    <col min="22" max="22" width="12.140625" customWidth="1"/>
    <col min="23" max="23" width="7.5703125" customWidth="1"/>
    <col min="24" max="24" width="13.5703125" bestFit="1" customWidth="1"/>
    <col min="26" max="26" width="10.5703125" bestFit="1" customWidth="1"/>
  </cols>
  <sheetData>
    <row r="1" spans="1:28" x14ac:dyDescent="0.25">
      <c r="A1" s="211" t="s">
        <v>86</v>
      </c>
      <c r="H1">
        <f ca="1">_xlfn.SHEETS()</f>
        <v>12</v>
      </c>
    </row>
    <row r="2" spans="1:28" x14ac:dyDescent="0.25">
      <c r="A2" s="211" t="s">
        <v>73</v>
      </c>
    </row>
    <row r="3" spans="1:28" ht="18" x14ac:dyDescent="0.25">
      <c r="A3" s="24"/>
      <c r="B3" s="229" t="s">
        <v>33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5"/>
      <c r="U3" s="103"/>
      <c r="V3" s="25"/>
      <c r="W3" s="25"/>
      <c r="X3" s="24"/>
    </row>
    <row r="4" spans="1:28" ht="16.5" thickBot="1" x14ac:dyDescent="0.3">
      <c r="A4" s="20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6"/>
      <c r="U4" s="26"/>
      <c r="V4" s="26"/>
      <c r="W4" s="26"/>
      <c r="X4" s="20"/>
    </row>
    <row r="5" spans="1:28" ht="15.75" thickBot="1" x14ac:dyDescent="0.3">
      <c r="A5" s="95" t="s">
        <v>7</v>
      </c>
      <c r="B5" s="226" t="s">
        <v>8</v>
      </c>
      <c r="C5" s="227"/>
      <c r="D5" s="228"/>
      <c r="E5" s="226" t="s">
        <v>9</v>
      </c>
      <c r="F5" s="227"/>
      <c r="G5" s="228"/>
      <c r="H5" s="226" t="s">
        <v>10</v>
      </c>
      <c r="I5" s="227"/>
      <c r="J5" s="228"/>
      <c r="K5" s="226" t="s">
        <v>11</v>
      </c>
      <c r="L5" s="227"/>
      <c r="M5" s="228"/>
      <c r="N5" s="226" t="s">
        <v>12</v>
      </c>
      <c r="O5" s="227"/>
      <c r="P5" s="228"/>
      <c r="Q5" s="226" t="s">
        <v>13</v>
      </c>
      <c r="R5" s="227"/>
      <c r="S5" s="228"/>
      <c r="T5" s="27"/>
      <c r="U5" s="27"/>
      <c r="V5" s="27" t="s">
        <v>36</v>
      </c>
      <c r="W5" s="27"/>
      <c r="X5" s="96"/>
    </row>
    <row r="6" spans="1:28" x14ac:dyDescent="0.25">
      <c r="A6" s="97"/>
      <c r="B6" s="169" t="s">
        <v>71</v>
      </c>
      <c r="C6" s="170" t="s">
        <v>61</v>
      </c>
      <c r="D6" s="79" t="s">
        <v>14</v>
      </c>
      <c r="E6" s="169" t="s">
        <v>71</v>
      </c>
      <c r="F6" s="170" t="s">
        <v>61</v>
      </c>
      <c r="G6" s="79" t="s">
        <v>14</v>
      </c>
      <c r="H6" s="169" t="s">
        <v>71</v>
      </c>
      <c r="I6" s="170" t="s">
        <v>61</v>
      </c>
      <c r="J6" s="79" t="s">
        <v>14</v>
      </c>
      <c r="K6" s="169" t="s">
        <v>71</v>
      </c>
      <c r="L6" s="170" t="s">
        <v>61</v>
      </c>
      <c r="M6" s="79" t="s">
        <v>14</v>
      </c>
      <c r="N6" s="169" t="s">
        <v>71</v>
      </c>
      <c r="O6" s="170" t="s">
        <v>61</v>
      </c>
      <c r="P6" s="79" t="s">
        <v>14</v>
      </c>
      <c r="Q6" s="169" t="s">
        <v>71</v>
      </c>
      <c r="R6" s="170" t="s">
        <v>61</v>
      </c>
      <c r="S6" s="79" t="s">
        <v>14</v>
      </c>
      <c r="T6" s="27" t="s">
        <v>1</v>
      </c>
      <c r="U6" s="27" t="s">
        <v>35</v>
      </c>
      <c r="V6" s="27" t="s">
        <v>71</v>
      </c>
      <c r="W6" s="27"/>
      <c r="X6" s="126" t="s">
        <v>51</v>
      </c>
    </row>
    <row r="7" spans="1:28" x14ac:dyDescent="0.25">
      <c r="A7" s="99"/>
      <c r="B7" s="21"/>
      <c r="C7" s="22"/>
      <c r="D7" s="23"/>
      <c r="E7" s="21"/>
      <c r="F7" s="35"/>
      <c r="G7" s="23"/>
      <c r="H7" s="21"/>
      <c r="I7" s="35"/>
      <c r="J7" s="23"/>
      <c r="K7" s="21"/>
      <c r="L7" s="35"/>
      <c r="M7" s="23"/>
      <c r="N7" s="21"/>
      <c r="O7" s="35"/>
      <c r="P7" s="23"/>
      <c r="Q7" s="36"/>
      <c r="R7" s="27"/>
      <c r="S7" s="23"/>
      <c r="T7" s="37"/>
      <c r="U7" s="37"/>
      <c r="V7" s="38"/>
      <c r="W7" s="37"/>
      <c r="X7" s="100"/>
      <c r="Z7" s="125" t="s">
        <v>50</v>
      </c>
      <c r="AA7" s="3" t="s">
        <v>17</v>
      </c>
      <c r="AB7" s="3"/>
    </row>
    <row r="8" spans="1:28" x14ac:dyDescent="0.25">
      <c r="A8" s="99">
        <v>2019</v>
      </c>
      <c r="B8" s="21"/>
      <c r="C8" s="22"/>
      <c r="D8" s="23"/>
      <c r="E8" s="21"/>
      <c r="F8" s="22"/>
      <c r="G8" s="23"/>
      <c r="H8" s="21"/>
      <c r="I8" s="22"/>
      <c r="J8" s="23"/>
      <c r="K8" s="21"/>
      <c r="L8" s="22"/>
      <c r="M8" s="23"/>
      <c r="N8" s="21"/>
      <c r="O8" s="22"/>
      <c r="P8" s="23"/>
      <c r="Q8" s="36"/>
      <c r="R8" s="27"/>
      <c r="S8" s="23"/>
      <c r="T8" s="37"/>
      <c r="U8" s="37"/>
      <c r="V8" s="38"/>
      <c r="W8" s="37"/>
      <c r="X8" s="100"/>
      <c r="Z8" s="1"/>
      <c r="AA8" s="3"/>
      <c r="AB8" s="3"/>
    </row>
    <row r="9" spans="1:28" x14ac:dyDescent="0.25">
      <c r="A9" s="99">
        <v>2020</v>
      </c>
      <c r="B9" s="21"/>
      <c r="C9" s="22"/>
      <c r="D9" s="23"/>
      <c r="E9" s="21"/>
      <c r="F9" s="22"/>
      <c r="G9" s="23"/>
      <c r="H9" s="21"/>
      <c r="I9" s="22"/>
      <c r="J9" s="23"/>
      <c r="K9" s="21"/>
      <c r="L9" s="22"/>
      <c r="M9" s="23"/>
      <c r="N9" s="21"/>
      <c r="O9" s="22"/>
      <c r="P9" s="23"/>
      <c r="Q9" s="36"/>
      <c r="R9" s="27"/>
      <c r="S9" s="23"/>
      <c r="T9" s="37"/>
      <c r="U9" s="37"/>
      <c r="V9" s="38"/>
      <c r="W9" s="37"/>
      <c r="X9" s="100"/>
      <c r="Z9" s="1"/>
      <c r="AA9" s="3"/>
      <c r="AB9" s="3"/>
    </row>
    <row r="10" spans="1:28" x14ac:dyDescent="0.25">
      <c r="A10" s="99">
        <v>2021</v>
      </c>
      <c r="B10" s="21">
        <f>$X10*'Summer CP Comparison'!B11</f>
        <v>3927.9225682635206</v>
      </c>
      <c r="C10" s="22">
        <v>3884.6362381795693</v>
      </c>
      <c r="D10" s="23">
        <f t="shared" ref="D10:D19" si="0">B10/C10-1</f>
        <v>1.1142955847067038E-2</v>
      </c>
      <c r="E10" s="21">
        <f>$X10*'Summer CP Comparison'!E11</f>
        <v>5115.6619861931995</v>
      </c>
      <c r="F10" s="22">
        <v>5366.4840534510095</v>
      </c>
      <c r="G10" s="23">
        <f t="shared" ref="G10:G19" si="1">E10/F10-1</f>
        <v>-4.6738621555488358E-2</v>
      </c>
      <c r="H10" s="21">
        <f>$X10*'Summer CP Comparison'!H11</f>
        <v>4476.3166671778035</v>
      </c>
      <c r="I10" s="22">
        <v>4517.5957475562218</v>
      </c>
      <c r="J10" s="23">
        <f t="shared" ref="J10:J19" si="2">H10/I10-1</f>
        <v>-9.1374002201830562E-3</v>
      </c>
      <c r="K10" s="21">
        <f>$X10*'Summer CP Comparison'!K11</f>
        <v>6259.4971513954224</v>
      </c>
      <c r="L10" s="22">
        <v>6176.6444867902965</v>
      </c>
      <c r="M10" s="23">
        <f t="shared" ref="M10:M19" si="3">K10/L10-1</f>
        <v>1.3413863268692205E-2</v>
      </c>
      <c r="N10" s="21">
        <f>$X10*'Summer CP Comparison'!N11</f>
        <v>4661.0766624622656</v>
      </c>
      <c r="O10" s="22">
        <v>4649.3795986159594</v>
      </c>
      <c r="P10" s="23">
        <f t="shared" ref="P10:P19" si="4">N10/O10-1</f>
        <v>2.5158332629557911E-3</v>
      </c>
      <c r="Q10" s="36">
        <f t="shared" ref="Q10:R19" si="5">+N10+K10+H10+E10+B10</f>
        <v>24440.475035492214</v>
      </c>
      <c r="R10" s="27">
        <f t="shared" si="5"/>
        <v>24594.74012459306</v>
      </c>
      <c r="S10" s="23">
        <f t="shared" ref="S10:S19" si="6">Q10/R10-1</f>
        <v>-6.2722796955512194E-3</v>
      </c>
      <c r="T10" s="37">
        <f>'Summer Peak'!C10</f>
        <v>1012.5112791278036</v>
      </c>
      <c r="U10" s="37">
        <f>'Summer Peak'!D10</f>
        <v>200</v>
      </c>
      <c r="V10" s="38">
        <f>Q10+T10</f>
        <v>25452.986314620019</v>
      </c>
      <c r="W10" s="37"/>
      <c r="X10" s="100">
        <v>1.0352641440115873</v>
      </c>
      <c r="Z10" s="1">
        <v>25452.986314620015</v>
      </c>
      <c r="AA10" s="209">
        <f t="shared" ref="AA10:AA19" si="7">V10-Z10</f>
        <v>0</v>
      </c>
      <c r="AB10" s="3"/>
    </row>
    <row r="11" spans="1:28" x14ac:dyDescent="0.25">
      <c r="A11" s="99">
        <v>2022</v>
      </c>
      <c r="B11" s="21">
        <f>$X11*'Summer CP Comparison'!B12</f>
        <v>3985.1191035304118</v>
      </c>
      <c r="C11" s="22">
        <v>3917.6650008024781</v>
      </c>
      <c r="D11" s="23">
        <f t="shared" si="0"/>
        <v>1.7217935355400948E-2</v>
      </c>
      <c r="E11" s="21">
        <f>$X11*'Summer CP Comparison'!E12</f>
        <v>5151.3145379940133</v>
      </c>
      <c r="F11" s="22">
        <v>5372.7803287381475</v>
      </c>
      <c r="G11" s="23">
        <f t="shared" si="1"/>
        <v>-4.1219960093947794E-2</v>
      </c>
      <c r="H11" s="21">
        <f>$X11*'Summer CP Comparison'!H12</f>
        <v>4505.7108767602213</v>
      </c>
      <c r="I11" s="22">
        <v>4520.8067151101504</v>
      </c>
      <c r="J11" s="23">
        <f t="shared" si="2"/>
        <v>-3.339191277404896E-3</v>
      </c>
      <c r="K11" s="21">
        <f>$X11*'Summer CP Comparison'!K12</f>
        <v>6339.4835949213648</v>
      </c>
      <c r="L11" s="22">
        <v>6229.5479962648442</v>
      </c>
      <c r="M11" s="23">
        <f t="shared" si="3"/>
        <v>1.764744387914452E-2</v>
      </c>
      <c r="N11" s="21">
        <f>$X11*'Summer CP Comparison'!N12</f>
        <v>4742.4434317523555</v>
      </c>
      <c r="O11" s="22">
        <v>4696.3107718424453</v>
      </c>
      <c r="P11" s="23">
        <f t="shared" si="4"/>
        <v>9.8231701757274248E-3</v>
      </c>
      <c r="Q11" s="36">
        <f t="shared" si="5"/>
        <v>24724.071544958366</v>
      </c>
      <c r="R11" s="27">
        <f t="shared" si="5"/>
        <v>24737.110812758063</v>
      </c>
      <c r="S11" s="23">
        <f t="shared" si="6"/>
        <v>-5.2711361073631835E-4</v>
      </c>
      <c r="T11" s="37">
        <f>'Summer Peak'!C11</f>
        <v>1032.5467000031197</v>
      </c>
      <c r="U11" s="37">
        <f>'Summer Peak'!D11</f>
        <v>0</v>
      </c>
      <c r="V11" s="38">
        <f t="shared" ref="V11:V19" si="8">Q11+T11</f>
        <v>25756.618244961486</v>
      </c>
      <c r="W11" s="37"/>
      <c r="X11" s="100">
        <v>1.035534968946727</v>
      </c>
      <c r="Z11" s="1">
        <v>25756.618244961483</v>
      </c>
      <c r="AA11" s="209">
        <f t="shared" si="7"/>
        <v>0</v>
      </c>
      <c r="AB11" s="3"/>
    </row>
    <row r="12" spans="1:28" x14ac:dyDescent="0.25">
      <c r="A12" s="99">
        <v>2023</v>
      </c>
      <c r="B12" s="21">
        <f>$X12*'Summer CP Comparison'!B13</f>
        <v>4061.6854809946758</v>
      </c>
      <c r="C12" s="22">
        <v>3977.4259315444006</v>
      </c>
      <c r="D12" s="23">
        <f t="shared" si="0"/>
        <v>2.1184442124245306E-2</v>
      </c>
      <c r="E12" s="21">
        <f>$X12*'Summer CP Comparison'!E13</f>
        <v>5211.3534136965864</v>
      </c>
      <c r="F12" s="22">
        <v>5415.953416655806</v>
      </c>
      <c r="G12" s="23">
        <f t="shared" si="1"/>
        <v>-3.7777282635040543E-2</v>
      </c>
      <c r="H12" s="21">
        <f>$X12*'Summer CP Comparison'!H13</f>
        <v>4558.1481514867464</v>
      </c>
      <c r="I12" s="22">
        <v>4557.1836900445733</v>
      </c>
      <c r="J12" s="23">
        <f t="shared" si="2"/>
        <v>2.1163541076485437E-4</v>
      </c>
      <c r="K12" s="21">
        <f>$X12*'Summer CP Comparison'!K13</f>
        <v>6453.1974718247347</v>
      </c>
      <c r="L12" s="22">
        <v>6324.180312719428</v>
      </c>
      <c r="M12" s="23">
        <f t="shared" si="3"/>
        <v>2.0400613633014597E-2</v>
      </c>
      <c r="N12" s="21">
        <f>$X12*'Summer CP Comparison'!N13</f>
        <v>4842.0683369294775</v>
      </c>
      <c r="O12" s="22">
        <v>4772.9829181719178</v>
      </c>
      <c r="P12" s="23">
        <f t="shared" si="4"/>
        <v>1.4474264823897576E-2</v>
      </c>
      <c r="Q12" s="36">
        <f t="shared" si="5"/>
        <v>25126.45285493222</v>
      </c>
      <c r="R12" s="27">
        <f t="shared" si="5"/>
        <v>25047.726269136125</v>
      </c>
      <c r="S12" s="23">
        <f t="shared" si="6"/>
        <v>3.1430631647033636E-3</v>
      </c>
      <c r="T12" s="37">
        <f>'Summer Peak'!C12</f>
        <v>1053.0082842280938</v>
      </c>
      <c r="U12" s="37">
        <f>'Summer Peak'!D12</f>
        <v>0</v>
      </c>
      <c r="V12" s="38">
        <f t="shared" si="8"/>
        <v>26179.461139160314</v>
      </c>
      <c r="W12" s="37"/>
      <c r="X12" s="100">
        <v>1.0339917841362667</v>
      </c>
      <c r="Z12" s="1">
        <v>26179.461139160318</v>
      </c>
      <c r="AA12" s="209">
        <f t="shared" si="7"/>
        <v>0</v>
      </c>
      <c r="AB12" s="3"/>
    </row>
    <row r="13" spans="1:28" x14ac:dyDescent="0.25">
      <c r="A13" s="99">
        <v>2024</v>
      </c>
      <c r="B13" s="21">
        <f>$X13*'Summer CP Comparison'!B14</f>
        <v>4147.7447898399241</v>
      </c>
      <c r="C13" s="22">
        <v>4043.6062882914684</v>
      </c>
      <c r="D13" s="23">
        <f t="shared" si="0"/>
        <v>2.5753867741771908E-2</v>
      </c>
      <c r="E13" s="21">
        <f>$X13*'Summer CP Comparison'!E14</f>
        <v>5282.9918308598499</v>
      </c>
      <c r="F13" s="22">
        <v>5467.6422904245746</v>
      </c>
      <c r="G13" s="23">
        <f t="shared" si="1"/>
        <v>-3.3771495967850895E-2</v>
      </c>
      <c r="H13" s="21">
        <f>$X13*'Summer CP Comparison'!H14</f>
        <v>4622.115578974026</v>
      </c>
      <c r="I13" s="22">
        <v>4602.2543604682987</v>
      </c>
      <c r="J13" s="23">
        <f t="shared" si="2"/>
        <v>4.3155412435105234E-3</v>
      </c>
      <c r="K13" s="21">
        <f>$X13*'Summer CP Comparison'!K14</f>
        <v>6582.204696056905</v>
      </c>
      <c r="L13" s="22">
        <v>6427.7193940047928</v>
      </c>
      <c r="M13" s="23">
        <f t="shared" si="3"/>
        <v>2.4034232452057935E-2</v>
      </c>
      <c r="N13" s="21">
        <f>$X13*'Summer CP Comparison'!N14</f>
        <v>4950.5872174559554</v>
      </c>
      <c r="O13" s="22">
        <v>4856.7015310274637</v>
      </c>
      <c r="P13" s="23">
        <f t="shared" si="4"/>
        <v>1.9331162483157582E-2</v>
      </c>
      <c r="Q13" s="36">
        <f t="shared" si="5"/>
        <v>25585.64411318666</v>
      </c>
      <c r="R13" s="27">
        <f t="shared" si="5"/>
        <v>25397.923864216595</v>
      </c>
      <c r="S13" s="23">
        <f t="shared" si="6"/>
        <v>7.3911651193878658E-3</v>
      </c>
      <c r="T13" s="37">
        <f>'Summer Peak'!C13</f>
        <v>1073.9029239323706</v>
      </c>
      <c r="U13" s="37">
        <f>'Summer Peak'!D13</f>
        <v>0</v>
      </c>
      <c r="V13" s="38">
        <f t="shared" si="8"/>
        <v>26659.547037119031</v>
      </c>
      <c r="W13" s="37"/>
      <c r="X13" s="100">
        <v>1.0344295882109362</v>
      </c>
      <c r="Z13" s="1">
        <v>26659.547037119031</v>
      </c>
      <c r="AA13" s="209">
        <f t="shared" si="7"/>
        <v>0</v>
      </c>
      <c r="AB13" s="3"/>
    </row>
    <row r="14" spans="1:28" x14ac:dyDescent="0.25">
      <c r="A14" s="99">
        <v>2025</v>
      </c>
      <c r="B14" s="21">
        <f>$X14*'Summer CP Comparison'!B15</f>
        <v>4220.4848319046314</v>
      </c>
      <c r="C14" s="22">
        <v>4114.9042251760102</v>
      </c>
      <c r="D14" s="23">
        <f t="shared" si="0"/>
        <v>2.565809577842737E-2</v>
      </c>
      <c r="E14" s="21">
        <f>$X14*'Summer CP Comparison'!E15</f>
        <v>5336.9961198735991</v>
      </c>
      <c r="F14" s="22">
        <v>5525.8050893272166</v>
      </c>
      <c r="G14" s="23">
        <f t="shared" si="1"/>
        <v>-3.4168590169474378E-2</v>
      </c>
      <c r="H14" s="21">
        <f>$X14*'Summer CP Comparison'!H15</f>
        <v>4671.2996752126091</v>
      </c>
      <c r="I14" s="22">
        <v>4653.4907974159778</v>
      </c>
      <c r="J14" s="23">
        <f t="shared" si="2"/>
        <v>3.8269932340944113E-3</v>
      </c>
      <c r="K14" s="21">
        <f>$X14*'Summer CP Comparison'!K15</f>
        <v>6690.1467400568026</v>
      </c>
      <c r="L14" s="22">
        <v>6538.6859285204991</v>
      </c>
      <c r="M14" s="23">
        <f t="shared" si="3"/>
        <v>2.3163799759162718E-2</v>
      </c>
      <c r="N14" s="21">
        <f>$X14*'Summer CP Comparison'!N15</f>
        <v>5042.2789709570925</v>
      </c>
      <c r="O14" s="22">
        <v>4946.7206805478736</v>
      </c>
      <c r="P14" s="23">
        <f t="shared" si="4"/>
        <v>1.93175027619783E-2</v>
      </c>
      <c r="Q14" s="36">
        <f t="shared" si="5"/>
        <v>25961.206338004737</v>
      </c>
      <c r="R14" s="27">
        <f t="shared" si="5"/>
        <v>25779.60672098758</v>
      </c>
      <c r="S14" s="23">
        <f t="shared" si="6"/>
        <v>7.0443129324122555E-3</v>
      </c>
      <c r="T14" s="37">
        <f>'Summer Peak'!C14</f>
        <v>1095.2432546869641</v>
      </c>
      <c r="U14" s="37">
        <f>'Summer Peak'!D14</f>
        <v>0</v>
      </c>
      <c r="V14" s="38">
        <f t="shared" si="8"/>
        <v>27056.449592691701</v>
      </c>
      <c r="W14" s="37"/>
      <c r="X14" s="100">
        <v>1.0349806404173041</v>
      </c>
      <c r="Z14" s="1">
        <v>27056.449592691701</v>
      </c>
      <c r="AA14" s="209">
        <f t="shared" si="7"/>
        <v>0</v>
      </c>
      <c r="AB14" s="3"/>
    </row>
    <row r="15" spans="1:28" x14ac:dyDescent="0.25">
      <c r="A15" s="99">
        <v>2026</v>
      </c>
      <c r="B15" s="21">
        <f>$X15*'Summer CP Comparison'!B16</f>
        <v>4284.0436788200495</v>
      </c>
      <c r="C15" s="22">
        <v>4190.6045942101464</v>
      </c>
      <c r="D15" s="23">
        <f t="shared" si="0"/>
        <v>2.2297280144015774E-2</v>
      </c>
      <c r="E15" s="21">
        <f>$X15*'Summer CP Comparison'!E16</f>
        <v>5378.7575193970088</v>
      </c>
      <c r="F15" s="22">
        <v>5589.0235579094597</v>
      </c>
      <c r="G15" s="23">
        <f t="shared" si="1"/>
        <v>-3.7621247492307885E-2</v>
      </c>
      <c r="H15" s="21">
        <f>$X15*'Summer CP Comparison'!H16</f>
        <v>4710.0867696899741</v>
      </c>
      <c r="I15" s="22">
        <v>4709.3362691708053</v>
      </c>
      <c r="J15" s="23">
        <f t="shared" si="2"/>
        <v>1.5936439367947308E-4</v>
      </c>
      <c r="K15" s="21">
        <f>$X15*'Summer CP Comparison'!K16</f>
        <v>6783.845603390525</v>
      </c>
      <c r="L15" s="22">
        <v>6656.5787156485394</v>
      </c>
      <c r="M15" s="23">
        <f t="shared" si="3"/>
        <v>1.9118963836903369E-2</v>
      </c>
      <c r="N15" s="21">
        <f>$X15*'Summer CP Comparison'!N16</f>
        <v>5122.696367844721</v>
      </c>
      <c r="O15" s="22">
        <v>5042.2772433789169</v>
      </c>
      <c r="P15" s="23">
        <f t="shared" si="4"/>
        <v>1.5948969202636221E-2</v>
      </c>
      <c r="Q15" s="36">
        <f t="shared" si="5"/>
        <v>26279.429939142276</v>
      </c>
      <c r="R15" s="27">
        <f t="shared" si="5"/>
        <v>26187.820380317869</v>
      </c>
      <c r="S15" s="23">
        <f t="shared" si="6"/>
        <v>3.4981742464239574E-3</v>
      </c>
      <c r="T15" s="37">
        <f>'Summer Peak'!C15</f>
        <v>1117.03961468634</v>
      </c>
      <c r="U15" s="37">
        <f>'Summer Peak'!D15</f>
        <v>0</v>
      </c>
      <c r="V15" s="38">
        <f t="shared" si="8"/>
        <v>27396.469553828614</v>
      </c>
      <c r="W15" s="37"/>
      <c r="X15" s="100">
        <v>1.0336490464717407</v>
      </c>
      <c r="Z15" s="1">
        <v>27396.469553828618</v>
      </c>
      <c r="AA15" s="209">
        <f t="shared" si="7"/>
        <v>0</v>
      </c>
      <c r="AB15" s="3"/>
    </row>
    <row r="16" spans="1:28" x14ac:dyDescent="0.25">
      <c r="A16" s="99">
        <v>2027</v>
      </c>
      <c r="B16" s="21">
        <f>$X16*'Summer CP Comparison'!B17</f>
        <v>4342.2148235611057</v>
      </c>
      <c r="C16" s="22">
        <v>4255.2554618570521</v>
      </c>
      <c r="D16" s="23">
        <f t="shared" si="0"/>
        <v>2.0435755851448523E-2</v>
      </c>
      <c r="E16" s="21">
        <f>$X16*'Summer CP Comparison'!E17</f>
        <v>5413.3086784110055</v>
      </c>
      <c r="F16" s="22">
        <v>5636.9153393727047</v>
      </c>
      <c r="G16" s="23">
        <f t="shared" si="1"/>
        <v>-3.9668266684768527E-2</v>
      </c>
      <c r="H16" s="21">
        <f>$X16*'Summer CP Comparison'!H17</f>
        <v>4743.453355888314</v>
      </c>
      <c r="I16" s="22">
        <v>4753.1749512428059</v>
      </c>
      <c r="J16" s="23">
        <f t="shared" si="2"/>
        <v>-2.0452845633106564E-3</v>
      </c>
      <c r="K16" s="21">
        <f>$X16*'Summer CP Comparison'!K17</f>
        <v>6869.5387044732861</v>
      </c>
      <c r="L16" s="22">
        <v>6757.3917371001198</v>
      </c>
      <c r="M16" s="23">
        <f t="shared" si="3"/>
        <v>1.6596191509431923E-2</v>
      </c>
      <c r="N16" s="21">
        <f>$X16*'Summer CP Comparison'!N17</f>
        <v>5196.6737247128394</v>
      </c>
      <c r="O16" s="22">
        <v>5124.9392443737061</v>
      </c>
      <c r="P16" s="23">
        <f t="shared" si="4"/>
        <v>1.3997137706146523E-2</v>
      </c>
      <c r="Q16" s="36">
        <f t="shared" si="5"/>
        <v>26565.189287046549</v>
      </c>
      <c r="R16" s="27">
        <f t="shared" si="5"/>
        <v>26527.676733946384</v>
      </c>
      <c r="S16" s="23">
        <f t="shared" si="6"/>
        <v>1.4140911575630799E-3</v>
      </c>
      <c r="T16" s="37">
        <f>'Summer Peak'!C16</f>
        <v>1139.3000447484167</v>
      </c>
      <c r="U16" s="37">
        <f>'Summer Peak'!D16</f>
        <v>0</v>
      </c>
      <c r="V16" s="38">
        <f t="shared" si="8"/>
        <v>27704.489331794965</v>
      </c>
      <c r="W16" s="37"/>
      <c r="X16" s="100">
        <v>1.0346170456135131</v>
      </c>
      <c r="Z16" s="1">
        <v>27704.489331794968</v>
      </c>
      <c r="AA16" s="209">
        <f t="shared" si="7"/>
        <v>0</v>
      </c>
      <c r="AB16" s="3"/>
    </row>
    <row r="17" spans="1:28" x14ac:dyDescent="0.25">
      <c r="A17" s="99">
        <v>2028</v>
      </c>
      <c r="B17" s="21">
        <f>$X17*'Summer CP Comparison'!B18</f>
        <v>4409.5779929914406</v>
      </c>
      <c r="C17" s="22">
        <v>4335.0064508935347</v>
      </c>
      <c r="D17" s="23">
        <f t="shared" si="0"/>
        <v>1.720217557750936E-2</v>
      </c>
      <c r="E17" s="21">
        <f>$X17*'Summer CP Comparison'!E18</f>
        <v>5459.6108698959542</v>
      </c>
      <c r="F17" s="22">
        <v>5704.9784043167128</v>
      </c>
      <c r="G17" s="23">
        <f t="shared" si="1"/>
        <v>-4.3009371294920107E-2</v>
      </c>
      <c r="H17" s="21">
        <f>$X17*'Summer CP Comparison'!H18</f>
        <v>4787.5688670168256</v>
      </c>
      <c r="I17" s="22">
        <v>4814.512518918863</v>
      </c>
      <c r="J17" s="23">
        <f t="shared" si="2"/>
        <v>-5.5963406048195052E-3</v>
      </c>
      <c r="K17" s="21">
        <f>$X17*'Summer CP Comparison'!K18</f>
        <v>6970.7346181884513</v>
      </c>
      <c r="L17" s="22">
        <v>6883.1435377664639</v>
      </c>
      <c r="M17" s="23">
        <f t="shared" si="3"/>
        <v>1.272544731072256E-2</v>
      </c>
      <c r="N17" s="21">
        <f>$X17*'Summer CP Comparison'!N18</f>
        <v>5282.1188302887176</v>
      </c>
      <c r="O17" s="22">
        <v>5226.5541700203812</v>
      </c>
      <c r="P17" s="23">
        <f t="shared" si="4"/>
        <v>1.0631222495895321E-2</v>
      </c>
      <c r="Q17" s="36">
        <f t="shared" si="5"/>
        <v>26909.61117838139</v>
      </c>
      <c r="R17" s="27">
        <f t="shared" si="5"/>
        <v>26964.195081915957</v>
      </c>
      <c r="S17" s="23">
        <f t="shared" si="6"/>
        <v>-2.0243105113556537E-3</v>
      </c>
      <c r="T17" s="37">
        <f>'Summer Peak'!C17</f>
        <v>1159.4341723830032</v>
      </c>
      <c r="U17" s="37">
        <f>'Summer Peak'!D17</f>
        <v>0</v>
      </c>
      <c r="V17" s="38">
        <f t="shared" si="8"/>
        <v>28069.045350764394</v>
      </c>
      <c r="W17" s="37"/>
      <c r="X17" s="100">
        <v>1.0339891875244027</v>
      </c>
      <c r="Z17" s="1">
        <v>28069.148835161192</v>
      </c>
      <c r="AA17" s="209">
        <f t="shared" si="7"/>
        <v>-0.10348439679728472</v>
      </c>
      <c r="AB17" s="3"/>
    </row>
    <row r="18" spans="1:28" x14ac:dyDescent="0.25">
      <c r="A18" s="99">
        <v>2029</v>
      </c>
      <c r="B18" s="21">
        <f>$X18*'Summer CP Comparison'!B19</f>
        <v>4497.5613957414416</v>
      </c>
      <c r="C18" s="22">
        <v>4434.6623092598393</v>
      </c>
      <c r="D18" s="23">
        <f t="shared" si="0"/>
        <v>1.4183512090709893E-2</v>
      </c>
      <c r="E18" s="21">
        <f>$X18*'Summer CP Comparison'!E19</f>
        <v>5531.6910154571933</v>
      </c>
      <c r="F18" s="22">
        <v>5799.8065954138046</v>
      </c>
      <c r="G18" s="23">
        <f t="shared" si="1"/>
        <v>-4.6228365643886105E-2</v>
      </c>
      <c r="H18" s="21">
        <f>$X18*'Summer CP Comparison'!H19</f>
        <v>4854.5985429313496</v>
      </c>
      <c r="I18" s="22">
        <v>4898.7964178105894</v>
      </c>
      <c r="J18" s="23">
        <f t="shared" si="2"/>
        <v>-9.0221905769648503E-3</v>
      </c>
      <c r="K18" s="21">
        <f>$X18*'Summer CP Comparison'!K19</f>
        <v>7105.6303070332178</v>
      </c>
      <c r="L18" s="22">
        <v>7042.2164806325336</v>
      </c>
      <c r="M18" s="23">
        <f t="shared" si="3"/>
        <v>9.0048107119520271E-3</v>
      </c>
      <c r="N18" s="21">
        <f>$X18*'Summer CP Comparison'!N19</f>
        <v>5393.3044654554369</v>
      </c>
      <c r="O18" s="22">
        <v>5353.8032436461299</v>
      </c>
      <c r="P18" s="23">
        <f t="shared" si="4"/>
        <v>7.3781609094780709E-3</v>
      </c>
      <c r="Q18" s="36">
        <f t="shared" si="5"/>
        <v>27382.78572661864</v>
      </c>
      <c r="R18" s="27">
        <f t="shared" si="5"/>
        <v>27529.285046762896</v>
      </c>
      <c r="S18" s="23">
        <f t="shared" si="6"/>
        <v>-5.3215809962156024E-3</v>
      </c>
      <c r="T18" s="37">
        <f>'Summer Peak'!C18</f>
        <v>1179.9241176948331</v>
      </c>
      <c r="U18" s="37">
        <f>'Summer Peak'!D18</f>
        <v>0</v>
      </c>
      <c r="V18" s="38">
        <f t="shared" si="8"/>
        <v>28562.709844313475</v>
      </c>
      <c r="W18" s="37"/>
      <c r="X18" s="100">
        <v>1.0335439847079493</v>
      </c>
      <c r="Z18" s="1">
        <v>28562.917438947559</v>
      </c>
      <c r="AA18" s="209">
        <f t="shared" si="7"/>
        <v>-0.20759463408467127</v>
      </c>
      <c r="AB18" s="3"/>
    </row>
    <row r="19" spans="1:28" ht="15.75" thickBot="1" x14ac:dyDescent="0.3">
      <c r="A19" s="101">
        <v>2030</v>
      </c>
      <c r="B19" s="65">
        <f>$X19*'Summer CP Comparison'!B20</f>
        <v>4604.1147483289478</v>
      </c>
      <c r="C19" s="63">
        <v>4543.4222597244561</v>
      </c>
      <c r="D19" s="64">
        <f t="shared" si="0"/>
        <v>1.3358320036089388E-2</v>
      </c>
      <c r="E19" s="65">
        <f>$X19*'Summer CP Comparison'!E20</f>
        <v>5626.417688969862</v>
      </c>
      <c r="F19" s="63">
        <v>5906.312131554515</v>
      </c>
      <c r="G19" s="64">
        <f t="shared" si="1"/>
        <v>-4.7389036737377155E-2</v>
      </c>
      <c r="H19" s="65">
        <f>$X19*'Summer CP Comparison'!H20</f>
        <v>4942.2702625869551</v>
      </c>
      <c r="I19" s="63">
        <v>4993.7476669080297</v>
      </c>
      <c r="J19" s="64">
        <f t="shared" si="2"/>
        <v>-1.0308371138213257E-2</v>
      </c>
      <c r="K19" s="65">
        <f>$X19*'Summer CP Comparison'!K20</f>
        <v>7270.8937069160729</v>
      </c>
      <c r="L19" s="63">
        <v>7217.1445704064226</v>
      </c>
      <c r="M19" s="64">
        <f t="shared" si="3"/>
        <v>7.4474241142468145E-3</v>
      </c>
      <c r="N19" s="65">
        <f>$X19*'Summer CP Comparison'!N20</f>
        <v>5527.880016817292</v>
      </c>
      <c r="O19" s="63">
        <v>5493.36010170807</v>
      </c>
      <c r="P19" s="64">
        <f t="shared" si="4"/>
        <v>6.2839345082235099E-3</v>
      </c>
      <c r="Q19" s="81">
        <f t="shared" si="5"/>
        <v>27971.576423619132</v>
      </c>
      <c r="R19" s="82">
        <f t="shared" si="5"/>
        <v>28153.986730301494</v>
      </c>
      <c r="S19" s="64">
        <f t="shared" si="6"/>
        <v>-6.479022258188305E-3</v>
      </c>
      <c r="T19" s="37">
        <f>'Summer Peak'!C19</f>
        <v>1200.7761688242092</v>
      </c>
      <c r="U19" s="37">
        <f>'Summer Peak'!D19</f>
        <v>0</v>
      </c>
      <c r="V19" s="38">
        <f t="shared" si="8"/>
        <v>29172.352592443342</v>
      </c>
      <c r="W19" s="37"/>
      <c r="X19" s="100">
        <v>1.0341970836117167</v>
      </c>
      <c r="Z19" s="1">
        <v>29172.675233357229</v>
      </c>
      <c r="AA19" s="209">
        <f t="shared" si="7"/>
        <v>-0.32264091388788074</v>
      </c>
      <c r="AB19" s="3"/>
    </row>
    <row r="20" spans="1:28" x14ac:dyDescent="0.25">
      <c r="A20" t="s">
        <v>66</v>
      </c>
      <c r="B20" s="176">
        <f>(B19/B10)^(1/9)-1</f>
        <v>1.7805521023331661E-2</v>
      </c>
      <c r="C20" s="176">
        <f>(C19/C10)^(1/9)-1</f>
        <v>1.7558048643334878E-2</v>
      </c>
      <c r="D20" s="196"/>
      <c r="E20" s="176">
        <f>(E19/E10)^(1/9)-1</f>
        <v>1.0630117839494302E-2</v>
      </c>
      <c r="F20" s="176">
        <f>(F19/F10)^(1/9)-1</f>
        <v>1.0706764470459484E-2</v>
      </c>
      <c r="G20" s="196"/>
      <c r="H20" s="176">
        <f>(H19/H10)^(1/9)-1</f>
        <v>1.1063447504596979E-2</v>
      </c>
      <c r="I20" s="176">
        <f>(I19/I10)^(1/9)-1</f>
        <v>1.1196295145907253E-2</v>
      </c>
      <c r="J20" s="196"/>
      <c r="K20" s="176">
        <f>(K19/K10)^(1/9)-1</f>
        <v>1.6781403137537509E-2</v>
      </c>
      <c r="L20" s="176">
        <f>(L19/L10)^(1/9)-1</f>
        <v>1.7448728346943998E-2</v>
      </c>
      <c r="M20" s="196"/>
      <c r="N20" s="176">
        <f>(N19/N10)^(1/9)-1</f>
        <v>1.9131587271108197E-2</v>
      </c>
      <c r="O20" s="176">
        <f>(O19/O10)^(1/9)-1</f>
        <v>1.8706856566174102E-2</v>
      </c>
      <c r="P20" s="196"/>
      <c r="Q20" s="176">
        <f>(Q19/Q10)^(1/9)-1</f>
        <v>1.5107232913666779E-2</v>
      </c>
      <c r="R20" s="176">
        <f>(R19/R10)^(1/9)-1</f>
        <v>1.5130701239228772E-2</v>
      </c>
    </row>
    <row r="22" spans="1:28" ht="18" x14ac:dyDescent="0.25">
      <c r="A22" s="24"/>
      <c r="B22" s="229" t="s">
        <v>34</v>
      </c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5"/>
      <c r="U22" s="103"/>
      <c r="V22" s="25"/>
      <c r="W22" s="25"/>
      <c r="X22" s="24"/>
    </row>
    <row r="23" spans="1:28" ht="16.5" thickBot="1" x14ac:dyDescent="0.3">
      <c r="A23" s="20"/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6"/>
      <c r="U23" s="26"/>
      <c r="V23" s="26"/>
      <c r="W23" s="26"/>
      <c r="X23" s="20"/>
    </row>
    <row r="24" spans="1:28" ht="15.75" thickBot="1" x14ac:dyDescent="0.3">
      <c r="A24" s="95" t="s">
        <v>7</v>
      </c>
      <c r="B24" s="226" t="s">
        <v>8</v>
      </c>
      <c r="C24" s="227"/>
      <c r="D24" s="228"/>
      <c r="E24" s="226" t="s">
        <v>9</v>
      </c>
      <c r="F24" s="227"/>
      <c r="G24" s="228"/>
      <c r="H24" s="226" t="s">
        <v>10</v>
      </c>
      <c r="I24" s="227"/>
      <c r="J24" s="228"/>
      <c r="K24" s="226" t="s">
        <v>11</v>
      </c>
      <c r="L24" s="227"/>
      <c r="M24" s="228"/>
      <c r="N24" s="226" t="s">
        <v>12</v>
      </c>
      <c r="O24" s="227"/>
      <c r="P24" s="228"/>
      <c r="Q24" s="226" t="s">
        <v>13</v>
      </c>
      <c r="R24" s="227"/>
      <c r="S24" s="228"/>
      <c r="T24" s="27"/>
      <c r="U24" s="27"/>
      <c r="V24" s="27" t="s">
        <v>36</v>
      </c>
      <c r="W24" s="27"/>
      <c r="X24" s="96"/>
    </row>
    <row r="25" spans="1:28" x14ac:dyDescent="0.25">
      <c r="A25" s="97"/>
      <c r="B25" s="169" t="s">
        <v>71</v>
      </c>
      <c r="C25" s="170" t="s">
        <v>61</v>
      </c>
      <c r="D25" s="79" t="s">
        <v>14</v>
      </c>
      <c r="E25" s="169" t="s">
        <v>71</v>
      </c>
      <c r="F25" s="170" t="s">
        <v>61</v>
      </c>
      <c r="G25" s="79" t="s">
        <v>14</v>
      </c>
      <c r="H25" s="169" t="s">
        <v>71</v>
      </c>
      <c r="I25" s="170" t="s">
        <v>61</v>
      </c>
      <c r="J25" s="79" t="s">
        <v>14</v>
      </c>
      <c r="K25" s="169" t="s">
        <v>71</v>
      </c>
      <c r="L25" s="170" t="s">
        <v>61</v>
      </c>
      <c r="M25" s="79" t="s">
        <v>14</v>
      </c>
      <c r="N25" s="169" t="s">
        <v>71</v>
      </c>
      <c r="O25" s="170" t="s">
        <v>61</v>
      </c>
      <c r="P25" s="79" t="s">
        <v>14</v>
      </c>
      <c r="Q25" s="169" t="s">
        <v>71</v>
      </c>
      <c r="R25" s="170" t="s">
        <v>61</v>
      </c>
      <c r="S25" s="79" t="s">
        <v>14</v>
      </c>
      <c r="T25" s="27" t="s">
        <v>1</v>
      </c>
      <c r="U25" s="27" t="s">
        <v>35</v>
      </c>
      <c r="V25" s="186" t="s">
        <v>71</v>
      </c>
      <c r="W25" s="27"/>
      <c r="X25" s="126" t="s">
        <v>51</v>
      </c>
    </row>
    <row r="26" spans="1:28" x14ac:dyDescent="0.25">
      <c r="A26" s="99"/>
      <c r="B26" s="21"/>
      <c r="C26" s="22"/>
      <c r="D26" s="23"/>
      <c r="E26" s="21"/>
      <c r="F26" s="22"/>
      <c r="G26" s="23"/>
      <c r="H26" s="21"/>
      <c r="I26" s="22"/>
      <c r="J26" s="23"/>
      <c r="K26" s="21"/>
      <c r="L26" s="22"/>
      <c r="M26" s="23"/>
      <c r="N26" s="21"/>
      <c r="O26" s="22"/>
      <c r="P26" s="23"/>
      <c r="Q26" s="36"/>
      <c r="R26" s="27"/>
      <c r="S26" s="23"/>
      <c r="T26" s="37"/>
      <c r="U26" s="37"/>
      <c r="V26" s="38"/>
      <c r="W26" s="37"/>
      <c r="X26" s="100"/>
    </row>
    <row r="27" spans="1:28" x14ac:dyDescent="0.25">
      <c r="A27" s="99">
        <v>2019</v>
      </c>
      <c r="B27" s="21"/>
      <c r="C27" s="22"/>
      <c r="D27" s="23"/>
      <c r="E27" s="21"/>
      <c r="F27" s="22"/>
      <c r="G27" s="23"/>
      <c r="H27" s="21"/>
      <c r="I27" s="22"/>
      <c r="J27" s="23"/>
      <c r="K27" s="21"/>
      <c r="L27" s="22"/>
      <c r="M27" s="23"/>
      <c r="N27" s="21"/>
      <c r="O27" s="22"/>
      <c r="P27" s="23"/>
      <c r="Q27" s="36"/>
      <c r="R27" s="27"/>
      <c r="S27" s="23"/>
      <c r="T27" s="37"/>
      <c r="U27" s="37"/>
      <c r="V27" s="38"/>
      <c r="W27" s="37"/>
      <c r="X27" s="100"/>
    </row>
    <row r="28" spans="1:28" x14ac:dyDescent="0.25">
      <c r="A28" s="99">
        <v>2020</v>
      </c>
      <c r="B28" s="21"/>
      <c r="C28" s="22"/>
      <c r="D28" s="23"/>
      <c r="E28" s="21"/>
      <c r="F28" s="22"/>
      <c r="G28" s="23"/>
      <c r="H28" s="21"/>
      <c r="I28" s="22"/>
      <c r="J28" s="23"/>
      <c r="K28" s="21"/>
      <c r="L28" s="22"/>
      <c r="M28" s="23"/>
      <c r="N28" s="21"/>
      <c r="O28" s="22"/>
      <c r="P28" s="23"/>
      <c r="Q28" s="36"/>
      <c r="R28" s="27"/>
      <c r="S28" s="23"/>
      <c r="T28" s="37"/>
      <c r="U28" s="37"/>
      <c r="V28" s="38"/>
      <c r="W28" s="37"/>
      <c r="X28" s="100"/>
    </row>
    <row r="29" spans="1:28" x14ac:dyDescent="0.25">
      <c r="A29" s="99">
        <v>2021</v>
      </c>
      <c r="B29" s="21">
        <f>$X29*'Summer NCP Comparison'!B11</f>
        <v>4109.8993138440392</v>
      </c>
      <c r="C29" s="22">
        <v>3984.7544423787986</v>
      </c>
      <c r="D29" s="23">
        <f t="shared" ref="D29:D38" si="9">B29/C29-1</f>
        <v>3.1405918049628223E-2</v>
      </c>
      <c r="E29" s="21">
        <f>$X29*'Summer NCP Comparison'!E11</f>
        <v>5227.3304629606982</v>
      </c>
      <c r="F29" s="22">
        <v>5412.8949232234409</v>
      </c>
      <c r="G29" s="23">
        <f t="shared" ref="G29:G38" si="10">E29/F29-1</f>
        <v>-3.4281925456671636E-2</v>
      </c>
      <c r="H29" s="21">
        <f>$X29*'Summer NCP Comparison'!H11</f>
        <v>4563.755964207975</v>
      </c>
      <c r="I29" s="22">
        <v>4563.330042333394</v>
      </c>
      <c r="J29" s="23">
        <f t="shared" ref="J29:J38" si="11">H29/I29-1</f>
        <v>9.3335759331347745E-5</v>
      </c>
      <c r="K29" s="21">
        <f>$X29*'Summer NCP Comparison'!K11</f>
        <v>6416.886214431298</v>
      </c>
      <c r="L29" s="22">
        <v>6306.9287707098665</v>
      </c>
      <c r="M29" s="23">
        <f t="shared" ref="M29:M38" si="12">K29/L29-1</f>
        <v>1.7434388070480145E-2</v>
      </c>
      <c r="N29" s="21">
        <f>$X29*'Summer NCP Comparison'!N11</f>
        <v>4827.9066886264254</v>
      </c>
      <c r="O29" s="22">
        <v>4797.9264892276142</v>
      </c>
      <c r="P29" s="23">
        <f t="shared" ref="P29:P38" si="13">N29/O29-1</f>
        <v>6.2485741426265839E-3</v>
      </c>
      <c r="Q29" s="36">
        <f t="shared" ref="Q29:R38" si="14">+N29+K29+H29+E29+B29</f>
        <v>25145.778644070433</v>
      </c>
      <c r="R29" s="27">
        <f t="shared" si="14"/>
        <v>25065.834667873114</v>
      </c>
      <c r="S29" s="23">
        <f t="shared" ref="S29:S38" si="15">Q29/R29-1</f>
        <v>3.1893602290364864E-3</v>
      </c>
      <c r="T29" s="37">
        <f t="shared" ref="T29:U38" si="16">T10</f>
        <v>1012.5112791278036</v>
      </c>
      <c r="U29" s="37">
        <f t="shared" si="16"/>
        <v>200</v>
      </c>
      <c r="V29" s="38">
        <f>Q29+T29</f>
        <v>26158.289923198237</v>
      </c>
      <c r="W29" s="37"/>
      <c r="X29" s="100">
        <f t="shared" ref="X29:X38" si="17">X10</f>
        <v>1.0352641440115873</v>
      </c>
    </row>
    <row r="30" spans="1:28" x14ac:dyDescent="0.25">
      <c r="A30" s="99">
        <v>2022</v>
      </c>
      <c r="B30" s="21">
        <f>$X30*'Summer NCP Comparison'!B12</f>
        <v>4169.7457076978708</v>
      </c>
      <c r="C30" s="22">
        <v>4018.634450832199</v>
      </c>
      <c r="D30" s="23">
        <f t="shared" si="9"/>
        <v>3.760263808876152E-2</v>
      </c>
      <c r="E30" s="21">
        <f>$X30*'Summer NCP Comparison'!E12</f>
        <v>5263.7612651938553</v>
      </c>
      <c r="F30" s="22">
        <v>5419.2456504775437</v>
      </c>
      <c r="G30" s="23">
        <f t="shared" si="10"/>
        <v>-2.8691149158368012E-2</v>
      </c>
      <c r="H30" s="21">
        <f>$X30*'Summer NCP Comparison'!H12</f>
        <v>4593.7243532360726</v>
      </c>
      <c r="I30" s="22">
        <v>4566.5735164117741</v>
      </c>
      <c r="J30" s="23">
        <f t="shared" si="11"/>
        <v>5.9455599973856632E-3</v>
      </c>
      <c r="K30" s="21">
        <f>$X30*'Summer NCP Comparison'!K12</f>
        <v>6498.8838405007637</v>
      </c>
      <c r="L30" s="22">
        <v>6360.9481766656609</v>
      </c>
      <c r="M30" s="23">
        <f t="shared" si="12"/>
        <v>2.1684764598633555E-2</v>
      </c>
      <c r="N30" s="21">
        <f>$X30*'Summer NCP Comparison'!N12</f>
        <v>4912.1857507691257</v>
      </c>
      <c r="O30" s="22">
        <v>4846.3571054889571</v>
      </c>
      <c r="P30" s="23">
        <f t="shared" si="13"/>
        <v>1.3583118999962229E-2</v>
      </c>
      <c r="Q30" s="36">
        <f t="shared" si="14"/>
        <v>25438.30091739769</v>
      </c>
      <c r="R30" s="27">
        <f t="shared" si="14"/>
        <v>25211.758899876135</v>
      </c>
      <c r="S30" s="23">
        <f t="shared" si="15"/>
        <v>8.985569726460696E-3</v>
      </c>
      <c r="T30" s="37">
        <f t="shared" si="16"/>
        <v>1032.5467000031197</v>
      </c>
      <c r="U30" s="37">
        <f t="shared" si="16"/>
        <v>0</v>
      </c>
      <c r="V30" s="38">
        <f t="shared" ref="V30:V38" si="18">Q30+T30</f>
        <v>26470.84761740081</v>
      </c>
      <c r="W30" s="37"/>
      <c r="X30" s="100">
        <f t="shared" si="17"/>
        <v>1.035534968946727</v>
      </c>
    </row>
    <row r="31" spans="1:28" x14ac:dyDescent="0.25">
      <c r="A31" s="99">
        <v>2023</v>
      </c>
      <c r="B31" s="21">
        <f>$X31*'Summer NCP Comparison'!B13</f>
        <v>4249.8593292713776</v>
      </c>
      <c r="C31" s="22">
        <v>4079.935591956847</v>
      </c>
      <c r="D31" s="23">
        <f t="shared" si="9"/>
        <v>4.1648632309175815E-2</v>
      </c>
      <c r="E31" s="21">
        <f>$X31*'Summer NCP Comparison'!E13</f>
        <v>5325.110714154519</v>
      </c>
      <c r="F31" s="22">
        <v>5462.7921114530673</v>
      </c>
      <c r="G31" s="23">
        <f t="shared" si="10"/>
        <v>-2.5203484681375898E-2</v>
      </c>
      <c r="H31" s="21">
        <f>$X31*'Summer NCP Comparison'!H13</f>
        <v>4647.185925120546</v>
      </c>
      <c r="I31" s="22">
        <v>4603.318756987419</v>
      </c>
      <c r="J31" s="23">
        <f t="shared" si="11"/>
        <v>9.5294656852820125E-3</v>
      </c>
      <c r="K31" s="21">
        <f>$X31*'Summer NCP Comparison'!K13</f>
        <v>6615.4569439693232</v>
      </c>
      <c r="L31" s="22">
        <v>6457.5765775008995</v>
      </c>
      <c r="M31" s="23">
        <f t="shared" si="12"/>
        <v>2.444885702455335E-2</v>
      </c>
      <c r="N31" s="21">
        <f>$X31*'Summer NCP Comparison'!N13</f>
        <v>5015.3764470157566</v>
      </c>
      <c r="O31" s="22">
        <v>4925.4789139060676</v>
      </c>
      <c r="P31" s="23">
        <f t="shared" si="13"/>
        <v>1.8251531410657718E-2</v>
      </c>
      <c r="Q31" s="36">
        <f t="shared" si="14"/>
        <v>25852.989359531522</v>
      </c>
      <c r="R31" s="27">
        <f t="shared" si="14"/>
        <v>25529.101951804303</v>
      </c>
      <c r="S31" s="23">
        <f t="shared" si="15"/>
        <v>1.2686987906534108E-2</v>
      </c>
      <c r="T31" s="37">
        <f t="shared" si="16"/>
        <v>1053.0082842280938</v>
      </c>
      <c r="U31" s="37">
        <f t="shared" si="16"/>
        <v>0</v>
      </c>
      <c r="V31" s="38">
        <f t="shared" si="18"/>
        <v>26905.997643759616</v>
      </c>
      <c r="W31" s="37"/>
      <c r="X31" s="100">
        <f t="shared" si="17"/>
        <v>1.0339917841362667</v>
      </c>
    </row>
    <row r="32" spans="1:28" x14ac:dyDescent="0.25">
      <c r="A32" s="99">
        <v>2024</v>
      </c>
      <c r="B32" s="21">
        <f>$X32*'Summer NCP Comparison'!B14</f>
        <v>4339.9056802943678</v>
      </c>
      <c r="C32" s="22">
        <v>4147.8216060845625</v>
      </c>
      <c r="D32" s="23">
        <f t="shared" si="9"/>
        <v>4.6309627667697084E-2</v>
      </c>
      <c r="E32" s="21">
        <f>$X32*'Summer NCP Comparison'!E14</f>
        <v>5398.312907998933</v>
      </c>
      <c r="F32" s="22">
        <v>5514.9280052008899</v>
      </c>
      <c r="G32" s="23">
        <f t="shared" si="10"/>
        <v>-2.1145352594264533E-2</v>
      </c>
      <c r="H32" s="21">
        <f>$X32*'Summer NCP Comparison'!H14</f>
        <v>4712.4028770066079</v>
      </c>
      <c r="I32" s="22">
        <v>4648.8457044757924</v>
      </c>
      <c r="J32" s="23">
        <f t="shared" si="11"/>
        <v>1.3671602924920423E-2</v>
      </c>
      <c r="K32" s="21">
        <f>$X32*'Summer NCP Comparison'!K14</f>
        <v>6747.7079313434315</v>
      </c>
      <c r="L32" s="22">
        <v>6563.2996140214736</v>
      </c>
      <c r="M32" s="23">
        <f t="shared" si="12"/>
        <v>2.8096891528157197E-2</v>
      </c>
      <c r="N32" s="21">
        <f>$X32*'Summer NCP Comparison'!N14</f>
        <v>5127.7794532472117</v>
      </c>
      <c r="O32" s="22">
        <v>5011.8723222611488</v>
      </c>
      <c r="P32" s="23">
        <f t="shared" si="13"/>
        <v>2.3126513113919556E-2</v>
      </c>
      <c r="Q32" s="36">
        <f t="shared" si="14"/>
        <v>26326.108849890552</v>
      </c>
      <c r="R32" s="27">
        <f t="shared" si="14"/>
        <v>25886.767252043868</v>
      </c>
      <c r="S32" s="23">
        <f t="shared" si="15"/>
        <v>1.6971667167594795E-2</v>
      </c>
      <c r="T32" s="37">
        <f t="shared" si="16"/>
        <v>1073.9029239323706</v>
      </c>
      <c r="U32" s="37">
        <f t="shared" si="16"/>
        <v>0</v>
      </c>
      <c r="V32" s="38">
        <f t="shared" si="18"/>
        <v>27400.011773822924</v>
      </c>
      <c r="W32" s="37"/>
      <c r="X32" s="100">
        <f t="shared" si="17"/>
        <v>1.0344295882109362</v>
      </c>
    </row>
    <row r="33" spans="1:25" x14ac:dyDescent="0.25">
      <c r="A33" s="99">
        <v>2025</v>
      </c>
      <c r="B33" s="21">
        <f>$X33*'Summer NCP Comparison'!B15</f>
        <v>4416.0156961552175</v>
      </c>
      <c r="C33" s="22">
        <v>4220.9570950502575</v>
      </c>
      <c r="D33" s="23">
        <f t="shared" si="9"/>
        <v>4.6211936466659997E-2</v>
      </c>
      <c r="E33" s="21">
        <f>$X33*'Summer NCP Comparison'!E15</f>
        <v>5453.4960428217582</v>
      </c>
      <c r="F33" s="22">
        <v>5573.593812415601</v>
      </c>
      <c r="G33" s="23">
        <f t="shared" si="10"/>
        <v>-2.1547635804804455E-2</v>
      </c>
      <c r="H33" s="21">
        <f>$X33*'Summer NCP Comparison'!H15</f>
        <v>4762.547723594178</v>
      </c>
      <c r="I33" s="22">
        <v>4700.6008381908769</v>
      </c>
      <c r="J33" s="23">
        <f t="shared" si="11"/>
        <v>1.3178503671275932E-2</v>
      </c>
      <c r="K33" s="21">
        <f>$X33*'Summer NCP Comparison'!K15</f>
        <v>6858.3640746961073</v>
      </c>
      <c r="L33" s="22">
        <v>6676.6067714302953</v>
      </c>
      <c r="M33" s="23">
        <f t="shared" si="12"/>
        <v>2.7223005560783609E-2</v>
      </c>
      <c r="N33" s="21">
        <f>$X33*'Summer NCP Comparison'!N15</f>
        <v>5222.7530531420853</v>
      </c>
      <c r="O33" s="22">
        <v>5104.767568360282</v>
      </c>
      <c r="P33" s="23">
        <f t="shared" si="13"/>
        <v>2.3112802532496479E-2</v>
      </c>
      <c r="Q33" s="36">
        <f t="shared" si="14"/>
        <v>26713.176590409344</v>
      </c>
      <c r="R33" s="27">
        <f t="shared" si="14"/>
        <v>26276.526085447313</v>
      </c>
      <c r="S33" s="23">
        <f t="shared" si="15"/>
        <v>1.6617512662903344E-2</v>
      </c>
      <c r="T33" s="37">
        <f t="shared" si="16"/>
        <v>1095.2432546869641</v>
      </c>
      <c r="U33" s="37">
        <f t="shared" si="16"/>
        <v>0</v>
      </c>
      <c r="V33" s="38">
        <f t="shared" si="18"/>
        <v>27808.419845096309</v>
      </c>
      <c r="W33" s="37"/>
      <c r="X33" s="100">
        <f t="shared" si="17"/>
        <v>1.0349806404173041</v>
      </c>
    </row>
    <row r="34" spans="1:25" x14ac:dyDescent="0.25">
      <c r="A34" s="99">
        <v>2026</v>
      </c>
      <c r="B34" s="21">
        <f>$X34*'Summer NCP Comparison'!B16</f>
        <v>4482.5191612278186</v>
      </c>
      <c r="C34" s="22">
        <v>4298.6084794537164</v>
      </c>
      <c r="D34" s="23">
        <f t="shared" si="9"/>
        <v>4.2783771225769929E-2</v>
      </c>
      <c r="E34" s="21">
        <f>$X34*'Summer NCP Comparison'!E16</f>
        <v>5496.1690412516336</v>
      </c>
      <c r="F34" s="22">
        <v>5637.359012169195</v>
      </c>
      <c r="G34" s="23">
        <f t="shared" si="10"/>
        <v>-2.5045410557102854E-2</v>
      </c>
      <c r="H34" s="21">
        <f>$X34*'Summer NCP Comparison'!H16</f>
        <v>4802.0924758797601</v>
      </c>
      <c r="I34" s="22">
        <v>4757.01166669959</v>
      </c>
      <c r="J34" s="23">
        <f t="shared" si="11"/>
        <v>9.4767077187867255E-3</v>
      </c>
      <c r="K34" s="21">
        <f>$X34*'Summer NCP Comparison'!K16</f>
        <v>6954.4189062411633</v>
      </c>
      <c r="L34" s="22">
        <v>6796.9862772586112</v>
      </c>
      <c r="M34" s="23">
        <f t="shared" si="12"/>
        <v>2.3162122529111429E-2</v>
      </c>
      <c r="N34" s="21">
        <f>$X34*'Summer NCP Comparison'!N16</f>
        <v>5306.0487627884077</v>
      </c>
      <c r="O34" s="22">
        <v>5203.3771471873333</v>
      </c>
      <c r="P34" s="23">
        <f t="shared" si="13"/>
        <v>1.9731726664589999E-2</v>
      </c>
      <c r="Q34" s="36">
        <f t="shared" si="14"/>
        <v>27041.248347388781</v>
      </c>
      <c r="R34" s="27">
        <f t="shared" si="14"/>
        <v>26693.342582768448</v>
      </c>
      <c r="S34" s="23">
        <f t="shared" si="15"/>
        <v>1.3033428224343835E-2</v>
      </c>
      <c r="T34" s="37">
        <f t="shared" si="16"/>
        <v>1117.03961468634</v>
      </c>
      <c r="U34" s="37">
        <f t="shared" si="16"/>
        <v>0</v>
      </c>
      <c r="V34" s="38">
        <f t="shared" si="18"/>
        <v>28158.287962075119</v>
      </c>
      <c r="W34" s="37"/>
      <c r="X34" s="100">
        <f t="shared" si="17"/>
        <v>1.0336490464717407</v>
      </c>
    </row>
    <row r="35" spans="1:25" x14ac:dyDescent="0.25">
      <c r="A35" s="99">
        <v>2027</v>
      </c>
      <c r="B35" s="21">
        <f>$X35*'Summer NCP Comparison'!B17</f>
        <v>4543.3853172433328</v>
      </c>
      <c r="C35" s="22">
        <v>4364.9255851656208</v>
      </c>
      <c r="D35" s="23">
        <f t="shared" si="9"/>
        <v>4.0884942617169573E-2</v>
      </c>
      <c r="E35" s="21">
        <f>$X35*'Summer NCP Comparison'!E17</f>
        <v>5531.4744086765959</v>
      </c>
      <c r="F35" s="22">
        <v>5685.664975284807</v>
      </c>
      <c r="G35" s="23">
        <f t="shared" si="10"/>
        <v>-2.7119179072011224E-2</v>
      </c>
      <c r="H35" s="21">
        <f>$X35*'Summer NCP Comparison'!H17</f>
        <v>4836.1108369766171</v>
      </c>
      <c r="I35" s="22">
        <v>4801.2941536891976</v>
      </c>
      <c r="J35" s="23">
        <f t="shared" si="11"/>
        <v>7.2515205636103364E-3</v>
      </c>
      <c r="K35" s="21">
        <f>$X35*'Summer NCP Comparison'!K17</f>
        <v>7042.2666783081659</v>
      </c>
      <c r="L35" s="22">
        <v>6899.9257530233199</v>
      </c>
      <c r="M35" s="23">
        <f t="shared" si="12"/>
        <v>2.062934158711438E-2</v>
      </c>
      <c r="N35" s="21">
        <f>$X35*'Summer NCP Comparison'!N17</f>
        <v>5382.6739294385998</v>
      </c>
      <c r="O35" s="22">
        <v>5288.6801851116879</v>
      </c>
      <c r="P35" s="23">
        <f t="shared" si="13"/>
        <v>1.777262777044375E-2</v>
      </c>
      <c r="Q35" s="36">
        <f t="shared" si="14"/>
        <v>27335.91117064331</v>
      </c>
      <c r="R35" s="27">
        <f t="shared" si="14"/>
        <v>27040.490652274631</v>
      </c>
      <c r="S35" s="23">
        <f t="shared" si="15"/>
        <v>1.0925116787547262E-2</v>
      </c>
      <c r="T35" s="37">
        <f t="shared" si="16"/>
        <v>1139.3000447484167</v>
      </c>
      <c r="U35" s="37">
        <f t="shared" si="16"/>
        <v>0</v>
      </c>
      <c r="V35" s="38">
        <f t="shared" si="18"/>
        <v>28475.211215391726</v>
      </c>
      <c r="W35" s="37"/>
      <c r="X35" s="100">
        <f t="shared" si="17"/>
        <v>1.0346170456135131</v>
      </c>
    </row>
    <row r="36" spans="1:25" x14ac:dyDescent="0.25">
      <c r="A36" s="99">
        <v>2028</v>
      </c>
      <c r="B36" s="21">
        <f>$X36*'Summer NCP Comparison'!B18</f>
        <v>4613.8693553089024</v>
      </c>
      <c r="C36" s="22">
        <v>4446.7319856527229</v>
      </c>
      <c r="D36" s="23">
        <f t="shared" si="9"/>
        <v>3.7586562490261155E-2</v>
      </c>
      <c r="E36" s="21">
        <f>$X36*'Summer NCP Comparison'!E18</f>
        <v>5578.7873188540761</v>
      </c>
      <c r="F36" s="22">
        <v>5754.3166688377833</v>
      </c>
      <c r="G36" s="23">
        <f t="shared" si="10"/>
        <v>-3.0503943402051092E-2</v>
      </c>
      <c r="H36" s="21">
        <f>$X36*'Summer NCP Comparison'!H18</f>
        <v>4881.0880899272597</v>
      </c>
      <c r="I36" s="22">
        <v>4863.2526778557785</v>
      </c>
      <c r="J36" s="23">
        <f t="shared" si="11"/>
        <v>3.6673833857518989E-3</v>
      </c>
      <c r="K36" s="21">
        <f>$X36*'Summer NCP Comparison'!K18</f>
        <v>7146.0070663888382</v>
      </c>
      <c r="L36" s="22">
        <v>7028.330042971902</v>
      </c>
      <c r="M36" s="23">
        <f t="shared" si="12"/>
        <v>1.6743240954458116E-2</v>
      </c>
      <c r="N36" s="21">
        <f>$X36*'Summer NCP Comparison'!N18</f>
        <v>5471.1773003533917</v>
      </c>
      <c r="O36" s="22">
        <v>5393.5416904200974</v>
      </c>
      <c r="P36" s="23">
        <f t="shared" si="13"/>
        <v>1.4394180000719903E-2</v>
      </c>
      <c r="Q36" s="36">
        <f t="shared" si="14"/>
        <v>27690.929130832468</v>
      </c>
      <c r="R36" s="27">
        <f t="shared" si="14"/>
        <v>27486.173065738287</v>
      </c>
      <c r="S36" s="23">
        <f t="shared" si="15"/>
        <v>7.4494206452264677E-3</v>
      </c>
      <c r="T36" s="37">
        <f t="shared" si="16"/>
        <v>1159.4341723830032</v>
      </c>
      <c r="U36" s="37">
        <f t="shared" si="16"/>
        <v>0</v>
      </c>
      <c r="V36" s="38">
        <f t="shared" si="18"/>
        <v>28850.363303215472</v>
      </c>
      <c r="W36" s="37"/>
      <c r="X36" s="100">
        <f t="shared" si="17"/>
        <v>1.0339891875244027</v>
      </c>
    </row>
    <row r="37" spans="1:25" x14ac:dyDescent="0.25">
      <c r="A37" s="99">
        <v>2029</v>
      </c>
      <c r="B37" s="21">
        <f>$X37*'Summer NCP Comparison'!B19</f>
        <v>4705.9289415934027</v>
      </c>
      <c r="C37" s="22">
        <v>4548.9562609738787</v>
      </c>
      <c r="D37" s="23">
        <f t="shared" si="9"/>
        <v>3.4507406010080732E-2</v>
      </c>
      <c r="E37" s="21">
        <f>$X37*'Summer NCP Comparison'!E19</f>
        <v>5652.4408834726592</v>
      </c>
      <c r="F37" s="22">
        <v>5849.9649609141989</v>
      </c>
      <c r="G37" s="23">
        <f t="shared" si="10"/>
        <v>-3.3765001801082883E-2</v>
      </c>
      <c r="H37" s="21">
        <f>$X37*'Summer NCP Comparison'!H19</f>
        <v>4949.427107467478</v>
      </c>
      <c r="I37" s="22">
        <v>4948.3898325260834</v>
      </c>
      <c r="J37" s="23">
        <f t="shared" si="11"/>
        <v>2.0961867930791023E-4</v>
      </c>
      <c r="K37" s="21">
        <f>$X37*'Summer NCP Comparison'!K19</f>
        <v>7284.2945781806166</v>
      </c>
      <c r="L37" s="22">
        <v>7190.7583197084259</v>
      </c>
      <c r="M37" s="23">
        <f t="shared" si="12"/>
        <v>1.3007843444804212E-2</v>
      </c>
      <c r="N37" s="21">
        <f>$X37*'Summer NCP Comparison'!N19</f>
        <v>5586.3425101478624</v>
      </c>
      <c r="O37" s="22">
        <v>5524.856350393311</v>
      </c>
      <c r="P37" s="23">
        <f t="shared" si="13"/>
        <v>1.1129006051021406E-2</v>
      </c>
      <c r="Q37" s="36">
        <f t="shared" si="14"/>
        <v>28178.434020862023</v>
      </c>
      <c r="R37" s="27">
        <f t="shared" si="14"/>
        <v>28062.925724515899</v>
      </c>
      <c r="S37" s="23">
        <f t="shared" si="15"/>
        <v>4.1160461129401416E-3</v>
      </c>
      <c r="T37" s="37">
        <f t="shared" si="16"/>
        <v>1179.9241176948331</v>
      </c>
      <c r="U37" s="37">
        <f t="shared" si="16"/>
        <v>0</v>
      </c>
      <c r="V37" s="38">
        <f t="shared" si="18"/>
        <v>29358.358138556858</v>
      </c>
      <c r="W37" s="37"/>
      <c r="X37" s="100">
        <f t="shared" si="17"/>
        <v>1.0335439847079493</v>
      </c>
    </row>
    <row r="38" spans="1:25" ht="15.75" thickBot="1" x14ac:dyDescent="0.3">
      <c r="A38" s="101">
        <v>2030</v>
      </c>
      <c r="B38" s="65">
        <f>$X38*'Summer NCP Comparison'!B20</f>
        <v>4817.418805020312</v>
      </c>
      <c r="C38" s="63">
        <v>4660.5192669272674</v>
      </c>
      <c r="D38" s="64">
        <f t="shared" si="9"/>
        <v>3.3665677386307769E-2</v>
      </c>
      <c r="E38" s="65">
        <f>$X38*'Summer NCP Comparison'!E20</f>
        <v>5749.2353213077095</v>
      </c>
      <c r="F38" s="63">
        <v>5957.391587012251</v>
      </c>
      <c r="G38" s="64">
        <f t="shared" si="10"/>
        <v>-3.4940839906905663E-2</v>
      </c>
      <c r="H38" s="65">
        <f>$X38*'Summer NCP Comparison'!H20</f>
        <v>5038.8113854843632</v>
      </c>
      <c r="I38" s="63">
        <v>5044.3023293000188</v>
      </c>
      <c r="J38" s="64">
        <f t="shared" si="11"/>
        <v>-1.0885437583233459E-3</v>
      </c>
      <c r="K38" s="65">
        <f>$X38*'Summer NCP Comparison'!K20</f>
        <v>7453.7133680305215</v>
      </c>
      <c r="L38" s="63">
        <v>7369.3761767924379</v>
      </c>
      <c r="M38" s="64">
        <f t="shared" si="12"/>
        <v>1.1444278214983505E-2</v>
      </c>
      <c r="N38" s="65">
        <f>$X38*'Summer NCP Comparison'!N20</f>
        <v>5725.7348118832024</v>
      </c>
      <c r="O38" s="63">
        <v>5668.872026430623</v>
      </c>
      <c r="P38" s="64">
        <f t="shared" si="13"/>
        <v>1.0030705436189447E-2</v>
      </c>
      <c r="Q38" s="81">
        <f t="shared" si="14"/>
        <v>28784.913691726109</v>
      </c>
      <c r="R38" s="82">
        <f t="shared" si="14"/>
        <v>28700.461386462601</v>
      </c>
      <c r="S38" s="64">
        <f t="shared" si="15"/>
        <v>2.9425417287314293E-3</v>
      </c>
      <c r="T38" s="37">
        <f t="shared" si="16"/>
        <v>1200.7761688242092</v>
      </c>
      <c r="U38" s="37">
        <f t="shared" si="16"/>
        <v>0</v>
      </c>
      <c r="V38" s="38">
        <f t="shared" si="18"/>
        <v>29985.689860550319</v>
      </c>
      <c r="W38" s="37"/>
      <c r="X38" s="100">
        <f t="shared" si="17"/>
        <v>1.0341970836117167</v>
      </c>
      <c r="Y38">
        <f>V38/V19</f>
        <v>1.027880414016306</v>
      </c>
    </row>
  </sheetData>
  <mergeCells count="16">
    <mergeCell ref="B22:S22"/>
    <mergeCell ref="B23:S23"/>
    <mergeCell ref="B24:D24"/>
    <mergeCell ref="E24:G24"/>
    <mergeCell ref="H24:J24"/>
    <mergeCell ref="K24:M24"/>
    <mergeCell ref="N24:P24"/>
    <mergeCell ref="Q24:S24"/>
    <mergeCell ref="B3:S3"/>
    <mergeCell ref="B4:S4"/>
    <mergeCell ref="B5:D5"/>
    <mergeCell ref="E5:G5"/>
    <mergeCell ref="H5:J5"/>
    <mergeCell ref="K5:M5"/>
    <mergeCell ref="N5:P5"/>
    <mergeCell ref="Q5:S5"/>
  </mergeCells>
  <pageMargins left="0.7" right="0.7" top="0.75" bottom="0.75" header="0.3" footer="0.3"/>
  <pageSetup orientation="portrait" horizontalDpi="90" verticalDpi="9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48"/>
  <sheetViews>
    <sheetView zoomScale="90" zoomScaleNormal="90" workbookViewId="0">
      <pane xSplit="1" ySplit="5" topLeftCell="B24" activePane="bottomRight" state="frozen"/>
      <selection pane="topRight"/>
      <selection pane="bottomLeft"/>
      <selection pane="bottomRight" activeCell="N40" sqref="N40:R40"/>
    </sheetView>
  </sheetViews>
  <sheetFormatPr defaultRowHeight="15" x14ac:dyDescent="0.25"/>
  <cols>
    <col min="1" max="1" width="11" customWidth="1"/>
    <col min="2" max="6" width="9.5703125" bestFit="1" customWidth="1"/>
    <col min="7" max="7" width="19.7109375" bestFit="1" customWidth="1"/>
    <col min="8" max="12" width="9.5703125" bestFit="1" customWidth="1"/>
    <col min="13" max="13" width="14.140625" customWidth="1"/>
  </cols>
  <sheetData>
    <row r="1" spans="1:27" x14ac:dyDescent="0.25">
      <c r="A1" t="s">
        <v>75</v>
      </c>
    </row>
    <row r="2" spans="1:27" x14ac:dyDescent="0.25">
      <c r="A2" s="217" t="s">
        <v>73</v>
      </c>
    </row>
    <row r="4" spans="1:27" x14ac:dyDescent="0.25">
      <c r="B4" s="218" t="s">
        <v>23</v>
      </c>
      <c r="C4" s="218"/>
      <c r="D4" s="218"/>
      <c r="E4" s="218"/>
      <c r="F4" s="218"/>
      <c r="H4" s="218" t="s">
        <v>24</v>
      </c>
      <c r="I4" s="218"/>
      <c r="J4" s="218"/>
      <c r="K4" s="218"/>
      <c r="L4" s="218"/>
      <c r="N4" s="218" t="s">
        <v>25</v>
      </c>
      <c r="O4" s="218"/>
      <c r="P4" s="218"/>
      <c r="Q4" s="218"/>
      <c r="R4" s="218"/>
      <c r="W4" s="219" t="s">
        <v>53</v>
      </c>
      <c r="X4" s="218"/>
      <c r="Y4" s="218"/>
      <c r="Z4" s="218"/>
      <c r="AA4" s="218"/>
    </row>
    <row r="5" spans="1:27" x14ac:dyDescent="0.25">
      <c r="A5" s="72" t="s">
        <v>7</v>
      </c>
      <c r="B5" s="74" t="s">
        <v>18</v>
      </c>
      <c r="C5" s="15" t="s">
        <v>19</v>
      </c>
      <c r="D5" s="15" t="s">
        <v>20</v>
      </c>
      <c r="E5" s="15" t="s">
        <v>21</v>
      </c>
      <c r="F5" s="15" t="s">
        <v>22</v>
      </c>
      <c r="H5" s="74" t="s">
        <v>18</v>
      </c>
      <c r="I5" s="15" t="s">
        <v>19</v>
      </c>
      <c r="J5" s="15" t="s">
        <v>20</v>
      </c>
      <c r="K5" s="15" t="s">
        <v>21</v>
      </c>
      <c r="L5" s="15" t="s">
        <v>22</v>
      </c>
      <c r="N5" s="74" t="s">
        <v>18</v>
      </c>
      <c r="O5" s="15" t="s">
        <v>19</v>
      </c>
      <c r="P5" s="15" t="s">
        <v>20</v>
      </c>
      <c r="Q5" s="15" t="s">
        <v>21</v>
      </c>
      <c r="R5" s="15" t="s">
        <v>22</v>
      </c>
      <c r="W5" s="74" t="s">
        <v>18</v>
      </c>
      <c r="X5" s="129" t="s">
        <v>19</v>
      </c>
      <c r="Y5" s="129" t="s">
        <v>20</v>
      </c>
      <c r="Z5" s="129" t="s">
        <v>21</v>
      </c>
      <c r="AA5" s="129" t="s">
        <v>22</v>
      </c>
    </row>
    <row r="6" spans="1:27" x14ac:dyDescent="0.25">
      <c r="A6" s="73">
        <v>1988</v>
      </c>
      <c r="B6" s="1">
        <v>2391</v>
      </c>
      <c r="C6" s="1">
        <v>2480</v>
      </c>
      <c r="D6" s="1">
        <v>2631</v>
      </c>
      <c r="E6" s="1">
        <v>2071</v>
      </c>
      <c r="F6" s="1">
        <v>2799</v>
      </c>
      <c r="H6" s="1">
        <v>2438</v>
      </c>
      <c r="I6" s="1">
        <v>2480</v>
      </c>
      <c r="J6" s="1">
        <v>2631</v>
      </c>
      <c r="K6" s="1">
        <v>2071</v>
      </c>
      <c r="L6" s="1">
        <v>2799</v>
      </c>
      <c r="N6" s="16">
        <f>H6/B6</f>
        <v>1.0196570472605604</v>
      </c>
      <c r="O6" s="16">
        <f t="shared" ref="O6:R6" si="0">I6/C6</f>
        <v>1</v>
      </c>
      <c r="P6" s="16">
        <f t="shared" si="0"/>
        <v>1</v>
      </c>
      <c r="Q6" s="16">
        <f t="shared" si="0"/>
        <v>1</v>
      </c>
      <c r="R6" s="16">
        <f t="shared" si="0"/>
        <v>1</v>
      </c>
      <c r="W6" s="1">
        <f>'Winter NCP-CP Ratio'!B6</f>
        <v>2391</v>
      </c>
      <c r="X6" s="1">
        <f>'Winter NCP-CP Ratio'!C6</f>
        <v>2480</v>
      </c>
      <c r="Y6" s="1">
        <f>'Winter NCP-CP Ratio'!D6</f>
        <v>2631</v>
      </c>
      <c r="Z6" s="1">
        <f>'Winter NCP-CP Ratio'!E6</f>
        <v>2071</v>
      </c>
      <c r="AA6" s="1">
        <f>'Winter NCP-CP Ratio'!F6</f>
        <v>2799</v>
      </c>
    </row>
    <row r="7" spans="1:27" x14ac:dyDescent="0.25">
      <c r="A7" s="73">
        <v>1989</v>
      </c>
      <c r="B7" s="1">
        <v>2987</v>
      </c>
      <c r="C7" s="1">
        <v>2091</v>
      </c>
      <c r="D7" s="1">
        <v>2921</v>
      </c>
      <c r="E7" s="1">
        <v>2097</v>
      </c>
      <c r="F7" s="1">
        <v>2780</v>
      </c>
      <c r="H7" s="1">
        <v>3056</v>
      </c>
      <c r="I7" s="1">
        <v>2545</v>
      </c>
      <c r="J7" s="1">
        <v>2921</v>
      </c>
      <c r="K7" s="1">
        <v>2332</v>
      </c>
      <c r="L7" s="1">
        <v>2780</v>
      </c>
      <c r="N7" s="16">
        <f t="shared" ref="N7:N32" si="1">H7/B7</f>
        <v>1.0231001004352194</v>
      </c>
      <c r="O7" s="16">
        <f t="shared" ref="O7:O34" si="2">I7/C7</f>
        <v>1.2171209947393591</v>
      </c>
      <c r="P7" s="16">
        <f t="shared" ref="P7:P34" si="3">J7/D7</f>
        <v>1</v>
      </c>
      <c r="Q7" s="16">
        <f t="shared" ref="Q7:Q34" si="4">K7/E7</f>
        <v>1.112064854554125</v>
      </c>
      <c r="R7" s="16">
        <f t="shared" ref="R7:R34" si="5">L7/F7</f>
        <v>1</v>
      </c>
      <c r="W7" s="1">
        <f>'Winter NCP-CP Ratio'!B7</f>
        <v>2987</v>
      </c>
      <c r="X7" s="1">
        <f>'Winter NCP-CP Ratio'!C7</f>
        <v>2091</v>
      </c>
      <c r="Y7" s="1">
        <f>'Winter NCP-CP Ratio'!D7</f>
        <v>2921</v>
      </c>
      <c r="Z7" s="1">
        <f>'Winter NCP-CP Ratio'!E7</f>
        <v>2097</v>
      </c>
      <c r="AA7" s="1">
        <f>'Winter NCP-CP Ratio'!F7</f>
        <v>2780</v>
      </c>
    </row>
    <row r="8" spans="1:27" x14ac:dyDescent="0.25">
      <c r="A8" s="73">
        <v>1990</v>
      </c>
      <c r="B8" s="1">
        <v>3686</v>
      </c>
      <c r="C8" s="1">
        <v>2187</v>
      </c>
      <c r="D8" s="1">
        <v>3101</v>
      </c>
      <c r="E8" s="1">
        <v>2268</v>
      </c>
      <c r="F8" s="1">
        <v>2746</v>
      </c>
      <c r="H8" s="1">
        <v>3686</v>
      </c>
      <c r="I8" s="1">
        <v>2187</v>
      </c>
      <c r="J8" s="1">
        <v>3101</v>
      </c>
      <c r="K8" s="1">
        <v>2575</v>
      </c>
      <c r="L8" s="1">
        <v>2861</v>
      </c>
      <c r="N8" s="16">
        <f t="shared" si="1"/>
        <v>1</v>
      </c>
      <c r="O8" s="16">
        <f t="shared" si="2"/>
        <v>1</v>
      </c>
      <c r="P8" s="16">
        <f t="shared" si="3"/>
        <v>1</v>
      </c>
      <c r="Q8" s="16">
        <f t="shared" si="4"/>
        <v>1.1353615520282188</v>
      </c>
      <c r="R8" s="16">
        <f t="shared" si="5"/>
        <v>1.0418790968681719</v>
      </c>
      <c r="W8" s="1">
        <f>'Winter NCP-CP Ratio'!B8</f>
        <v>3686</v>
      </c>
      <c r="X8" s="1">
        <f>'Winter NCP-CP Ratio'!C8</f>
        <v>2187</v>
      </c>
      <c r="Y8" s="1">
        <f>'Winter NCP-CP Ratio'!D8</f>
        <v>3101</v>
      </c>
      <c r="Z8" s="1">
        <f>'Winter NCP-CP Ratio'!E8</f>
        <v>2268</v>
      </c>
      <c r="AA8" s="1">
        <f>'Winter NCP-CP Ratio'!F8</f>
        <v>2746</v>
      </c>
    </row>
    <row r="9" spans="1:27" x14ac:dyDescent="0.25">
      <c r="A9" s="73">
        <v>1991</v>
      </c>
      <c r="B9" s="1">
        <v>2434</v>
      </c>
      <c r="C9" s="1">
        <v>2092</v>
      </c>
      <c r="D9" s="1">
        <v>2620</v>
      </c>
      <c r="E9" s="1">
        <v>2264</v>
      </c>
      <c r="F9" s="1">
        <v>2458</v>
      </c>
      <c r="H9" s="1">
        <v>3300</v>
      </c>
      <c r="I9" s="1">
        <v>2125</v>
      </c>
      <c r="J9" s="1">
        <v>2620</v>
      </c>
      <c r="K9" s="1">
        <v>2264</v>
      </c>
      <c r="L9" s="1">
        <v>2592</v>
      </c>
      <c r="N9" s="16">
        <f t="shared" si="1"/>
        <v>1.3557929334428924</v>
      </c>
      <c r="O9" s="16">
        <f t="shared" si="2"/>
        <v>1.0157743785850861</v>
      </c>
      <c r="P9" s="16">
        <f t="shared" si="3"/>
        <v>1</v>
      </c>
      <c r="Q9" s="16">
        <f t="shared" si="4"/>
        <v>1</v>
      </c>
      <c r="R9" s="16">
        <f t="shared" si="5"/>
        <v>1.0545158665581773</v>
      </c>
      <c r="W9" s="1">
        <f>'Winter NCP-CP Ratio'!B9</f>
        <v>2434</v>
      </c>
      <c r="X9" s="1">
        <f>'Winter NCP-CP Ratio'!C9</f>
        <v>2092</v>
      </c>
      <c r="Y9" s="1">
        <f>'Winter NCP-CP Ratio'!D9</f>
        <v>2620</v>
      </c>
      <c r="Z9" s="1">
        <f>'Winter NCP-CP Ratio'!E9</f>
        <v>2264</v>
      </c>
      <c r="AA9" s="1">
        <f>'Winter NCP-CP Ratio'!F9</f>
        <v>2458</v>
      </c>
    </row>
    <row r="10" spans="1:27" x14ac:dyDescent="0.25">
      <c r="A10" s="73">
        <v>1992</v>
      </c>
      <c r="B10" s="1">
        <v>2742</v>
      </c>
      <c r="C10" s="1">
        <v>2184</v>
      </c>
      <c r="D10" s="1">
        <v>2907</v>
      </c>
      <c r="E10" s="1">
        <v>2533</v>
      </c>
      <c r="F10" s="1">
        <v>2953</v>
      </c>
      <c r="H10" s="1">
        <v>3320</v>
      </c>
      <c r="I10" s="1">
        <v>2322</v>
      </c>
      <c r="J10" s="1">
        <v>2907</v>
      </c>
      <c r="K10" s="1">
        <v>2533</v>
      </c>
      <c r="L10" s="1">
        <v>2953</v>
      </c>
      <c r="N10" s="16">
        <f t="shared" si="1"/>
        <v>1.2107950401167031</v>
      </c>
      <c r="O10" s="16">
        <f t="shared" si="2"/>
        <v>1.0631868131868132</v>
      </c>
      <c r="P10" s="16">
        <f t="shared" si="3"/>
        <v>1</v>
      </c>
      <c r="Q10" s="16">
        <f t="shared" si="4"/>
        <v>1</v>
      </c>
      <c r="R10" s="16">
        <f t="shared" si="5"/>
        <v>1</v>
      </c>
      <c r="W10" s="1">
        <f>'Winter NCP-CP Ratio'!B10</f>
        <v>2742</v>
      </c>
      <c r="X10" s="1">
        <f>'Winter NCP-CP Ratio'!C10</f>
        <v>2184</v>
      </c>
      <c r="Y10" s="1">
        <f>'Winter NCP-CP Ratio'!D10</f>
        <v>2907</v>
      </c>
      <c r="Z10" s="1">
        <f>'Winter NCP-CP Ratio'!E10</f>
        <v>2533</v>
      </c>
      <c r="AA10" s="1">
        <f>'Winter NCP-CP Ratio'!F10</f>
        <v>2953</v>
      </c>
    </row>
    <row r="11" spans="1:27" x14ac:dyDescent="0.25">
      <c r="A11" s="73">
        <v>1993</v>
      </c>
      <c r="B11" s="1">
        <v>2639</v>
      </c>
      <c r="C11" s="1">
        <v>2202</v>
      </c>
      <c r="D11" s="1">
        <v>2768</v>
      </c>
      <c r="E11" s="1">
        <v>2382</v>
      </c>
      <c r="F11" s="1">
        <v>2973</v>
      </c>
      <c r="H11" s="1">
        <v>3099</v>
      </c>
      <c r="I11" s="1">
        <v>2202</v>
      </c>
      <c r="J11" s="1">
        <v>2768</v>
      </c>
      <c r="K11" s="1">
        <v>2382</v>
      </c>
      <c r="L11" s="1">
        <v>2973</v>
      </c>
      <c r="N11" s="16">
        <f t="shared" si="1"/>
        <v>1.1743084501705192</v>
      </c>
      <c r="O11" s="16">
        <f t="shared" si="2"/>
        <v>1</v>
      </c>
      <c r="P11" s="16">
        <f t="shared" si="3"/>
        <v>1</v>
      </c>
      <c r="Q11" s="16">
        <f t="shared" si="4"/>
        <v>1</v>
      </c>
      <c r="R11" s="16">
        <f t="shared" si="5"/>
        <v>1</v>
      </c>
      <c r="W11" s="1">
        <f>'Winter NCP-CP Ratio'!B11</f>
        <v>2639</v>
      </c>
      <c r="X11" s="1">
        <f>'Winter NCP-CP Ratio'!C11</f>
        <v>2202</v>
      </c>
      <c r="Y11" s="1">
        <f>'Winter NCP-CP Ratio'!D11</f>
        <v>2768</v>
      </c>
      <c r="Z11" s="1">
        <f>'Winter NCP-CP Ratio'!E11</f>
        <v>2382</v>
      </c>
      <c r="AA11" s="1">
        <f>'Winter NCP-CP Ratio'!F11</f>
        <v>2973</v>
      </c>
    </row>
    <row r="12" spans="1:27" x14ac:dyDescent="0.25">
      <c r="A12" s="73">
        <v>1994</v>
      </c>
      <c r="B12" s="1">
        <v>2507</v>
      </c>
      <c r="C12" s="1">
        <v>2008</v>
      </c>
      <c r="D12" s="1">
        <v>2488</v>
      </c>
      <c r="E12" s="1">
        <v>2604</v>
      </c>
      <c r="F12" s="1">
        <v>2943</v>
      </c>
      <c r="H12" s="1">
        <v>3611</v>
      </c>
      <c r="I12" s="1">
        <v>2608</v>
      </c>
      <c r="J12" s="1">
        <v>2697</v>
      </c>
      <c r="K12" s="1">
        <v>2604</v>
      </c>
      <c r="L12" s="1">
        <v>2943</v>
      </c>
      <c r="N12" s="16">
        <f t="shared" si="1"/>
        <v>1.4403669724770642</v>
      </c>
      <c r="O12" s="16">
        <f t="shared" si="2"/>
        <v>1.298804780876494</v>
      </c>
      <c r="P12" s="16">
        <f t="shared" si="3"/>
        <v>1.0840032154340835</v>
      </c>
      <c r="Q12" s="16">
        <f t="shared" si="4"/>
        <v>1</v>
      </c>
      <c r="R12" s="16">
        <f t="shared" si="5"/>
        <v>1</v>
      </c>
      <c r="W12" s="1">
        <f>'Winter NCP-CP Ratio'!B12</f>
        <v>2507</v>
      </c>
      <c r="X12" s="1">
        <f>'Winter NCP-CP Ratio'!C12</f>
        <v>2008</v>
      </c>
      <c r="Y12" s="1">
        <f>'Winter NCP-CP Ratio'!D12</f>
        <v>2488</v>
      </c>
      <c r="Z12" s="1">
        <f>'Winter NCP-CP Ratio'!E12</f>
        <v>2604</v>
      </c>
      <c r="AA12" s="1">
        <f>'Winter NCP-CP Ratio'!F12</f>
        <v>2943</v>
      </c>
    </row>
    <row r="13" spans="1:27" x14ac:dyDescent="0.25">
      <c r="A13" s="73">
        <v>1995</v>
      </c>
      <c r="B13" s="1">
        <v>3290</v>
      </c>
      <c r="C13" s="1">
        <v>2523</v>
      </c>
      <c r="D13" s="1">
        <v>3676</v>
      </c>
      <c r="E13" s="1">
        <v>3181</v>
      </c>
      <c r="F13" s="1">
        <v>3893</v>
      </c>
      <c r="H13" s="1">
        <v>3609</v>
      </c>
      <c r="I13" s="1">
        <v>2567</v>
      </c>
      <c r="J13" s="1">
        <v>3676</v>
      </c>
      <c r="K13" s="1">
        <v>3181</v>
      </c>
      <c r="L13" s="1">
        <v>3893</v>
      </c>
      <c r="N13" s="16">
        <f t="shared" si="1"/>
        <v>1.0969604863221885</v>
      </c>
      <c r="O13" s="16">
        <f t="shared" si="2"/>
        <v>1.017439556084027</v>
      </c>
      <c r="P13" s="16">
        <f t="shared" si="3"/>
        <v>1</v>
      </c>
      <c r="Q13" s="16">
        <f t="shared" si="4"/>
        <v>1</v>
      </c>
      <c r="R13" s="16">
        <f t="shared" si="5"/>
        <v>1</v>
      </c>
      <c r="W13" s="1">
        <f>'Winter NCP-CP Ratio'!B13</f>
        <v>3290</v>
      </c>
      <c r="X13" s="1">
        <f>'Winter NCP-CP Ratio'!C13</f>
        <v>2523</v>
      </c>
      <c r="Y13" s="1">
        <f>'Winter NCP-CP Ratio'!D13</f>
        <v>3676</v>
      </c>
      <c r="Z13" s="1">
        <f>'Winter NCP-CP Ratio'!E13</f>
        <v>3181</v>
      </c>
      <c r="AA13" s="1">
        <f>'Winter NCP-CP Ratio'!F13</f>
        <v>3893</v>
      </c>
    </row>
    <row r="14" spans="1:27" x14ac:dyDescent="0.25">
      <c r="A14" s="73">
        <v>1996</v>
      </c>
      <c r="B14" s="1">
        <v>3534</v>
      </c>
      <c r="C14" s="1">
        <v>2823</v>
      </c>
      <c r="D14" s="1">
        <v>3940</v>
      </c>
      <c r="E14" s="1">
        <v>3047</v>
      </c>
      <c r="F14" s="1">
        <v>4752</v>
      </c>
      <c r="H14" s="1">
        <v>3547</v>
      </c>
      <c r="I14" s="1">
        <v>3087</v>
      </c>
      <c r="J14" s="1">
        <v>4105</v>
      </c>
      <c r="K14" s="1">
        <v>3047</v>
      </c>
      <c r="L14" s="1">
        <v>4752</v>
      </c>
      <c r="N14" s="16">
        <f t="shared" si="1"/>
        <v>1.0036785512167516</v>
      </c>
      <c r="O14" s="16">
        <f t="shared" si="2"/>
        <v>1.0935175345377259</v>
      </c>
      <c r="P14" s="16">
        <f t="shared" si="3"/>
        <v>1.0418781725888324</v>
      </c>
      <c r="Q14" s="16">
        <f t="shared" si="4"/>
        <v>1</v>
      </c>
      <c r="R14" s="16">
        <f t="shared" si="5"/>
        <v>1</v>
      </c>
      <c r="W14" s="1">
        <f>'Winter NCP-CP Ratio'!B14</f>
        <v>3534</v>
      </c>
      <c r="X14" s="1">
        <f>'Winter NCP-CP Ratio'!C14</f>
        <v>2823</v>
      </c>
      <c r="Y14" s="1">
        <f>'Winter NCP-CP Ratio'!D14</f>
        <v>3940</v>
      </c>
      <c r="Z14" s="1">
        <f>'Winter NCP-CP Ratio'!E14</f>
        <v>3047</v>
      </c>
      <c r="AA14" s="1">
        <f>'Winter NCP-CP Ratio'!F14</f>
        <v>4752</v>
      </c>
    </row>
    <row r="15" spans="1:27" x14ac:dyDescent="0.25">
      <c r="A15" s="73">
        <v>1997</v>
      </c>
      <c r="B15" s="1">
        <v>3019</v>
      </c>
      <c r="C15" s="1">
        <v>3115</v>
      </c>
      <c r="D15" s="1">
        <v>3647</v>
      </c>
      <c r="E15" s="1">
        <v>2785</v>
      </c>
      <c r="F15" s="1">
        <v>3924</v>
      </c>
      <c r="H15" s="1">
        <v>3511.2146824600145</v>
      </c>
      <c r="I15" s="1">
        <v>3115</v>
      </c>
      <c r="J15" s="1">
        <v>3647</v>
      </c>
      <c r="K15" s="1">
        <v>2785</v>
      </c>
      <c r="L15" s="1">
        <v>3924</v>
      </c>
      <c r="N15" s="16">
        <f t="shared" si="1"/>
        <v>1.1630389806094781</v>
      </c>
      <c r="O15" s="16">
        <f t="shared" si="2"/>
        <v>1</v>
      </c>
      <c r="P15" s="16">
        <f t="shared" si="3"/>
        <v>1</v>
      </c>
      <c r="Q15" s="16">
        <f t="shared" si="4"/>
        <v>1</v>
      </c>
      <c r="R15" s="16">
        <f t="shared" si="5"/>
        <v>1</v>
      </c>
      <c r="W15" s="1">
        <f>'Winter NCP-CP Ratio'!B15</f>
        <v>3019</v>
      </c>
      <c r="X15" s="1">
        <f>'Winter NCP-CP Ratio'!C15</f>
        <v>3115</v>
      </c>
      <c r="Y15" s="1">
        <f>'Winter NCP-CP Ratio'!D15</f>
        <v>3647</v>
      </c>
      <c r="Z15" s="1">
        <f>'Winter NCP-CP Ratio'!E15</f>
        <v>2785</v>
      </c>
      <c r="AA15" s="1">
        <f>'Winter NCP-CP Ratio'!F15</f>
        <v>3924</v>
      </c>
    </row>
    <row r="16" spans="1:27" x14ac:dyDescent="0.25">
      <c r="A16" s="73">
        <v>1998</v>
      </c>
      <c r="B16" s="1">
        <v>2861.7436926989226</v>
      </c>
      <c r="C16" s="1">
        <v>2900.2000267683866</v>
      </c>
      <c r="D16" s="1">
        <v>2545.1004483704746</v>
      </c>
      <c r="E16" s="1">
        <v>2208.9799237100983</v>
      </c>
      <c r="F16" s="1">
        <v>2543.9759084521179</v>
      </c>
      <c r="H16" s="1">
        <v>3755.9221276921899</v>
      </c>
      <c r="I16" s="1">
        <v>3231.0509695715491</v>
      </c>
      <c r="J16" s="1">
        <v>2789.0535367730708</v>
      </c>
      <c r="K16" s="1">
        <v>2377.4470158343483</v>
      </c>
      <c r="L16" s="1">
        <v>3133.048584621562</v>
      </c>
      <c r="N16" s="16">
        <f t="shared" si="1"/>
        <v>1.3124593013953545</v>
      </c>
      <c r="O16" s="16">
        <f t="shared" si="2"/>
        <v>1.1140786634540587</v>
      </c>
      <c r="P16" s="16">
        <f t="shared" si="3"/>
        <v>1.0958520472379742</v>
      </c>
      <c r="Q16" s="16">
        <f t="shared" si="4"/>
        <v>1.0762646551541766</v>
      </c>
      <c r="R16" s="16">
        <f t="shared" si="5"/>
        <v>1.2315559177318882</v>
      </c>
      <c r="W16" s="1">
        <f>'Winter NCP-CP Ratio'!B16</f>
        <v>2861.7436926989226</v>
      </c>
      <c r="X16" s="1">
        <f>'Winter NCP-CP Ratio'!C16</f>
        <v>2900.2000267683866</v>
      </c>
      <c r="Y16" s="1">
        <f>'Winter NCP-CP Ratio'!D16</f>
        <v>2545.1004483704746</v>
      </c>
      <c r="Z16" s="1">
        <f>'Winter NCP-CP Ratio'!E16</f>
        <v>2208.9799237100983</v>
      </c>
      <c r="AA16" s="1">
        <f>'Winter NCP-CP Ratio'!F16</f>
        <v>2543.9759084521179</v>
      </c>
    </row>
    <row r="17" spans="1:27" x14ac:dyDescent="0.25">
      <c r="A17" s="73">
        <v>1999</v>
      </c>
      <c r="B17" s="1">
        <v>3441.2251221307638</v>
      </c>
      <c r="C17" s="1">
        <v>2963.245198420665</v>
      </c>
      <c r="D17" s="1">
        <v>3668.1070735461421</v>
      </c>
      <c r="E17" s="1">
        <v>2765.1011845011044</v>
      </c>
      <c r="F17" s="1">
        <v>3964.3214214013251</v>
      </c>
      <c r="H17" s="1">
        <v>3594.4612862209729</v>
      </c>
      <c r="I17" s="1">
        <v>2963.245198420665</v>
      </c>
      <c r="J17" s="1">
        <v>3668.1070735461421</v>
      </c>
      <c r="K17" s="1">
        <v>2765.1011845011044</v>
      </c>
      <c r="L17" s="1">
        <v>3964.3214214013251</v>
      </c>
      <c r="N17" s="16">
        <f t="shared" si="1"/>
        <v>1.0445295377813955</v>
      </c>
      <c r="O17" s="16">
        <f t="shared" si="2"/>
        <v>1</v>
      </c>
      <c r="P17" s="16">
        <f t="shared" si="3"/>
        <v>1</v>
      </c>
      <c r="Q17" s="16">
        <f t="shared" si="4"/>
        <v>1</v>
      </c>
      <c r="R17" s="16">
        <f t="shared" si="5"/>
        <v>1</v>
      </c>
      <c r="W17" s="1">
        <f>'Winter NCP-CP Ratio'!B17</f>
        <v>3441.2251221307638</v>
      </c>
      <c r="X17" s="1">
        <f>'Winter NCP-CP Ratio'!C17</f>
        <v>2963.245198420665</v>
      </c>
      <c r="Y17" s="1">
        <f>'Winter NCP-CP Ratio'!D17</f>
        <v>3668.1070735461421</v>
      </c>
      <c r="Z17" s="1">
        <f>'Winter NCP-CP Ratio'!E17</f>
        <v>2765.1011845011044</v>
      </c>
      <c r="AA17" s="1">
        <f>'Winter NCP-CP Ratio'!F17</f>
        <v>3964.3214214013251</v>
      </c>
    </row>
    <row r="18" spans="1:27" x14ac:dyDescent="0.25">
      <c r="A18" s="73">
        <v>2000</v>
      </c>
      <c r="B18" s="1">
        <v>3328.2815365053871</v>
      </c>
      <c r="C18" s="1">
        <v>2956.9998661580671</v>
      </c>
      <c r="D18" s="1">
        <v>4093.4977581476278</v>
      </c>
      <c r="E18" s="1">
        <v>2786.1003814495079</v>
      </c>
      <c r="F18" s="1">
        <v>3892.1204577394096</v>
      </c>
      <c r="H18" s="1">
        <v>3629.452787258248</v>
      </c>
      <c r="I18" s="1">
        <v>3147.8705079301344</v>
      </c>
      <c r="J18" s="1">
        <v>4093.4977581476278</v>
      </c>
      <c r="K18" s="1">
        <v>2786.1003814495079</v>
      </c>
      <c r="L18" s="1">
        <v>3892.1204577394096</v>
      </c>
      <c r="N18" s="16">
        <f t="shared" si="1"/>
        <v>1.0904885141024108</v>
      </c>
      <c r="O18" s="16">
        <f t="shared" si="2"/>
        <v>1.0645487488709491</v>
      </c>
      <c r="P18" s="16">
        <f t="shared" si="3"/>
        <v>1</v>
      </c>
      <c r="Q18" s="16">
        <f t="shared" si="4"/>
        <v>1</v>
      </c>
      <c r="R18" s="16">
        <f t="shared" si="5"/>
        <v>1</v>
      </c>
      <c r="W18" s="1">
        <f>'Winter NCP-CP Ratio'!B18</f>
        <v>3328.2815365053871</v>
      </c>
      <c r="X18" s="1">
        <f>'Winter NCP-CP Ratio'!C18</f>
        <v>2956.9998661580671</v>
      </c>
      <c r="Y18" s="1">
        <f>'Winter NCP-CP Ratio'!D18</f>
        <v>4093.4977581476278</v>
      </c>
      <c r="Z18" s="1">
        <f>'Winter NCP-CP Ratio'!E18</f>
        <v>2786.1003814495079</v>
      </c>
      <c r="AA18" s="1">
        <f>'Winter NCP-CP Ratio'!F18</f>
        <v>3892.1204577394096</v>
      </c>
    </row>
    <row r="19" spans="1:27" x14ac:dyDescent="0.25">
      <c r="A19" s="73">
        <v>2001</v>
      </c>
      <c r="B19" s="1">
        <v>3804.1726560931538</v>
      </c>
      <c r="C19" s="1">
        <v>3382.44489058422</v>
      </c>
      <c r="D19" s="1">
        <v>4289.4519172856853</v>
      </c>
      <c r="E19" s="1">
        <v>2977.332061834973</v>
      </c>
      <c r="F19" s="1">
        <v>3745.5984742019673</v>
      </c>
      <c r="H19" s="1">
        <v>4223.0218162350266</v>
      </c>
      <c r="I19" s="1">
        <v>3382.44489058422</v>
      </c>
      <c r="J19" s="1">
        <v>4289.4519172856853</v>
      </c>
      <c r="K19" s="1">
        <v>2977.332061834973</v>
      </c>
      <c r="L19" s="1">
        <v>3773.0345312186309</v>
      </c>
      <c r="N19" s="16">
        <f t="shared" si="1"/>
        <v>1.1101025631607442</v>
      </c>
      <c r="O19" s="16">
        <f t="shared" si="2"/>
        <v>1</v>
      </c>
      <c r="P19" s="16">
        <f t="shared" si="3"/>
        <v>1</v>
      </c>
      <c r="Q19" s="16">
        <f t="shared" si="4"/>
        <v>1</v>
      </c>
      <c r="R19" s="16">
        <f t="shared" si="5"/>
        <v>1.0073248793765885</v>
      </c>
      <c r="W19" s="1">
        <f>'Winter NCP-CP Ratio'!B19</f>
        <v>3804.1726560931538</v>
      </c>
      <c r="X19" s="1">
        <f>'Winter NCP-CP Ratio'!C19</f>
        <v>3382.44489058422</v>
      </c>
      <c r="Y19" s="1">
        <f>'Winter NCP-CP Ratio'!D19</f>
        <v>4289.4519172856853</v>
      </c>
      <c r="Z19" s="1">
        <f>'Winter NCP-CP Ratio'!E19</f>
        <v>2977.332061834973</v>
      </c>
      <c r="AA19" s="1">
        <f>'Winter NCP-CP Ratio'!F19</f>
        <v>3745.5984742019673</v>
      </c>
    </row>
    <row r="20" spans="1:27" x14ac:dyDescent="0.25">
      <c r="A20" s="73">
        <v>2002</v>
      </c>
      <c r="B20" s="1">
        <v>3403.7700595596602</v>
      </c>
      <c r="C20" s="1">
        <v>3005.793548818845</v>
      </c>
      <c r="D20" s="1">
        <v>3011.791942715653</v>
      </c>
      <c r="E20" s="1">
        <v>4155.8383858662919</v>
      </c>
      <c r="F20" s="1">
        <v>4019.8060630395503</v>
      </c>
      <c r="H20" s="1">
        <v>3911.9041691762027</v>
      </c>
      <c r="I20" s="1">
        <v>3369.3483905507596</v>
      </c>
      <c r="J20" s="1">
        <v>3329.336077092953</v>
      </c>
      <c r="K20" s="1">
        <v>4540.0106404336475</v>
      </c>
      <c r="L20" s="1">
        <v>4028.5332262597872</v>
      </c>
      <c r="N20" s="16">
        <f t="shared" si="1"/>
        <v>1.1492856746269984</v>
      </c>
      <c r="O20" s="16">
        <f t="shared" si="2"/>
        <v>1.1209513680255176</v>
      </c>
      <c r="P20" s="16">
        <f t="shared" si="3"/>
        <v>1.105433622380628</v>
      </c>
      <c r="Q20" s="16">
        <f t="shared" si="4"/>
        <v>1.092441577101241</v>
      </c>
      <c r="R20" s="16">
        <f t="shared" si="5"/>
        <v>1.0021710408620157</v>
      </c>
      <c r="W20" s="1">
        <f>'Winter NCP-CP Ratio'!B20</f>
        <v>3403.7700595596602</v>
      </c>
      <c r="X20" s="1">
        <f>'Winter NCP-CP Ratio'!C20</f>
        <v>3005.793548818845</v>
      </c>
      <c r="Y20" s="1">
        <f>'Winter NCP-CP Ratio'!D20</f>
        <v>3011.791942715653</v>
      </c>
      <c r="Z20" s="1">
        <f>'Winter NCP-CP Ratio'!E20</f>
        <v>4155.8383858662919</v>
      </c>
      <c r="AA20" s="1">
        <f>'Winter NCP-CP Ratio'!F20</f>
        <v>4019.8060630395503</v>
      </c>
    </row>
    <row r="21" spans="1:27" x14ac:dyDescent="0.25">
      <c r="A21" s="73">
        <v>2003</v>
      </c>
      <c r="B21" s="1">
        <v>4323.867489815113</v>
      </c>
      <c r="C21" s="1">
        <v>3775.0171945742795</v>
      </c>
      <c r="D21" s="1">
        <v>5081.6164713353337</v>
      </c>
      <c r="E21" s="1">
        <v>2022.4324230527727</v>
      </c>
      <c r="F21" s="1">
        <v>4987.066421222501</v>
      </c>
      <c r="H21" s="1">
        <v>4323.867489815113</v>
      </c>
      <c r="I21" s="1">
        <v>3904.1523398866029</v>
      </c>
      <c r="J21" s="1">
        <v>5081.6164713353337</v>
      </c>
      <c r="K21" s="1">
        <v>2980.6409232346405</v>
      </c>
      <c r="L21" s="1">
        <v>4987.066421222501</v>
      </c>
      <c r="N21" s="16">
        <f t="shared" si="1"/>
        <v>1</v>
      </c>
      <c r="O21" s="16">
        <f t="shared" si="2"/>
        <v>1.0342078297015245</v>
      </c>
      <c r="P21" s="16">
        <f t="shared" si="3"/>
        <v>1</v>
      </c>
      <c r="Q21" s="16">
        <f t="shared" si="4"/>
        <v>1.4737901198871675</v>
      </c>
      <c r="R21" s="16">
        <f t="shared" si="5"/>
        <v>1</v>
      </c>
      <c r="W21" s="1">
        <f>'Winter NCP-CP Ratio'!B21</f>
        <v>4323.867489815113</v>
      </c>
      <c r="X21" s="1">
        <f>'Winter NCP-CP Ratio'!C21</f>
        <v>3775.0171945742795</v>
      </c>
      <c r="Y21" s="1">
        <f>'Winter NCP-CP Ratio'!D21</f>
        <v>5081.6164713353337</v>
      </c>
      <c r="Z21" s="1">
        <f>'Winter NCP-CP Ratio'!E21</f>
        <v>2022.4324230527727</v>
      </c>
      <c r="AA21" s="1">
        <f>'Winter NCP-CP Ratio'!F21</f>
        <v>4987.066421222501</v>
      </c>
    </row>
    <row r="22" spans="1:27" x14ac:dyDescent="0.25">
      <c r="A22" s="73">
        <v>2004</v>
      </c>
      <c r="B22" s="1">
        <v>3015.68</v>
      </c>
      <c r="C22" s="1">
        <v>2482.9299999999998</v>
      </c>
      <c r="D22" s="1">
        <v>3217.91</v>
      </c>
      <c r="E22" s="1">
        <v>2722.76</v>
      </c>
      <c r="F22" s="1">
        <v>3514.85</v>
      </c>
      <c r="H22" s="1">
        <v>3986.383357234366</v>
      </c>
      <c r="I22" s="1">
        <v>3287.59</v>
      </c>
      <c r="J22" s="1">
        <v>3615.871316061447</v>
      </c>
      <c r="K22" s="1">
        <v>2722.76</v>
      </c>
      <c r="L22" s="1">
        <v>3514.85</v>
      </c>
      <c r="N22" s="16">
        <f t="shared" si="1"/>
        <v>1.3218853980642395</v>
      </c>
      <c r="O22" s="16">
        <f t="shared" si="2"/>
        <v>1.3240767963655844</v>
      </c>
      <c r="P22" s="16">
        <f t="shared" si="3"/>
        <v>1.1236707415873803</v>
      </c>
      <c r="Q22" s="16">
        <f t="shared" si="4"/>
        <v>1</v>
      </c>
      <c r="R22" s="16">
        <f t="shared" si="5"/>
        <v>1</v>
      </c>
      <c r="W22" s="1">
        <f>'Winter NCP-CP Ratio'!B22</f>
        <v>3015.68</v>
      </c>
      <c r="X22" s="1">
        <f>'Winter NCP-CP Ratio'!C22</f>
        <v>2482.9299999999998</v>
      </c>
      <c r="Y22" s="1">
        <f>'Winter NCP-CP Ratio'!D22</f>
        <v>3217.91</v>
      </c>
      <c r="Z22" s="1">
        <f>'Winter NCP-CP Ratio'!E22</f>
        <v>2722.76</v>
      </c>
      <c r="AA22" s="1">
        <f>'Winter NCP-CP Ratio'!F22</f>
        <v>3514.85</v>
      </c>
    </row>
    <row r="23" spans="1:27" x14ac:dyDescent="0.25">
      <c r="A23" s="73">
        <v>2005</v>
      </c>
      <c r="B23" s="1">
        <v>3274.43</v>
      </c>
      <c r="C23" s="1">
        <v>3019.86</v>
      </c>
      <c r="D23" s="1">
        <v>4252.75</v>
      </c>
      <c r="E23" s="1">
        <v>3317.23</v>
      </c>
      <c r="F23" s="1">
        <v>4314.8999999999996</v>
      </c>
      <c r="H23" s="1">
        <v>4170.32</v>
      </c>
      <c r="I23" s="1">
        <v>3683.29</v>
      </c>
      <c r="J23" s="1">
        <v>4252.75</v>
      </c>
      <c r="K23" s="1">
        <v>3317.23</v>
      </c>
      <c r="L23" s="1">
        <v>4314.8999999999996</v>
      </c>
      <c r="N23" s="16">
        <f t="shared" si="1"/>
        <v>1.2736018177209467</v>
      </c>
      <c r="O23" s="16">
        <f t="shared" si="2"/>
        <v>1.2196889922049365</v>
      </c>
      <c r="P23" s="16">
        <f t="shared" si="3"/>
        <v>1</v>
      </c>
      <c r="Q23" s="16">
        <f t="shared" si="4"/>
        <v>1</v>
      </c>
      <c r="R23" s="16">
        <f t="shared" si="5"/>
        <v>1</v>
      </c>
      <c r="W23" s="1">
        <f>'Winter NCP-CP Ratio'!B23</f>
        <v>3274.43</v>
      </c>
      <c r="X23" s="1">
        <f>'Winter NCP-CP Ratio'!C23</f>
        <v>3019.86</v>
      </c>
      <c r="Y23" s="1">
        <f>'Winter NCP-CP Ratio'!D23</f>
        <v>4252.75</v>
      </c>
      <c r="Z23" s="1">
        <f>'Winter NCP-CP Ratio'!E23</f>
        <v>3317.23</v>
      </c>
      <c r="AA23" s="1">
        <f>'Winter NCP-CP Ratio'!F23</f>
        <v>4314.8999999999996</v>
      </c>
    </row>
    <row r="24" spans="1:27" x14ac:dyDescent="0.25">
      <c r="A24" s="73">
        <v>2006</v>
      </c>
      <c r="B24" s="1">
        <v>3518.49</v>
      </c>
      <c r="C24" s="1">
        <v>3257.56</v>
      </c>
      <c r="D24" s="1">
        <v>4694.87</v>
      </c>
      <c r="E24" s="1">
        <v>3571.62</v>
      </c>
      <c r="F24" s="1">
        <v>4636.46</v>
      </c>
      <c r="H24" s="1">
        <v>4486.68</v>
      </c>
      <c r="I24" s="1">
        <v>3376.91</v>
      </c>
      <c r="J24" s="1">
        <v>4694.87</v>
      </c>
      <c r="K24" s="1">
        <v>3571.62</v>
      </c>
      <c r="L24" s="1">
        <v>4636.46</v>
      </c>
      <c r="N24" s="16">
        <f t="shared" si="1"/>
        <v>1.2751720198153187</v>
      </c>
      <c r="O24" s="16">
        <f t="shared" si="2"/>
        <v>1.0366378516435615</v>
      </c>
      <c r="P24" s="16">
        <f t="shared" si="3"/>
        <v>1</v>
      </c>
      <c r="Q24" s="16">
        <f t="shared" si="4"/>
        <v>1</v>
      </c>
      <c r="R24" s="16">
        <f t="shared" si="5"/>
        <v>1</v>
      </c>
      <c r="W24" s="1">
        <f>'Winter NCP-CP Ratio'!B24</f>
        <v>3518.49</v>
      </c>
      <c r="X24" s="1">
        <f>'Winter NCP-CP Ratio'!C24</f>
        <v>3257.56</v>
      </c>
      <c r="Y24" s="1">
        <f>'Winter NCP-CP Ratio'!D24</f>
        <v>4694.87</v>
      </c>
      <c r="Z24" s="1">
        <f>'Winter NCP-CP Ratio'!E24</f>
        <v>3571.62</v>
      </c>
      <c r="AA24" s="1">
        <f>'Winter NCP-CP Ratio'!F24</f>
        <v>4636.46</v>
      </c>
    </row>
    <row r="25" spans="1:27" x14ac:dyDescent="0.25">
      <c r="A25" s="73">
        <v>2007</v>
      </c>
      <c r="B25" s="1">
        <v>3216.96</v>
      </c>
      <c r="C25" s="1">
        <v>2737.29</v>
      </c>
      <c r="D25" s="1">
        <v>4049.94</v>
      </c>
      <c r="E25" s="1">
        <v>3022.03</v>
      </c>
      <c r="F25" s="1">
        <v>4065.84</v>
      </c>
      <c r="H25" s="1">
        <v>4292.24</v>
      </c>
      <c r="I25" s="1">
        <v>3265.21</v>
      </c>
      <c r="J25" s="1">
        <v>4049.94</v>
      </c>
      <c r="K25" s="1">
        <v>3133.15</v>
      </c>
      <c r="L25" s="1">
        <v>4065.84</v>
      </c>
      <c r="N25" s="16">
        <f t="shared" si="1"/>
        <v>1.334253456679598</v>
      </c>
      <c r="O25" s="16">
        <f t="shared" si="2"/>
        <v>1.1928622834993734</v>
      </c>
      <c r="P25" s="16">
        <f t="shared" si="3"/>
        <v>1</v>
      </c>
      <c r="Q25" s="16">
        <f t="shared" si="4"/>
        <v>1.0367699857380634</v>
      </c>
      <c r="R25" s="16">
        <f t="shared" si="5"/>
        <v>1</v>
      </c>
      <c r="W25" s="1">
        <f>'Winter NCP-CP Ratio'!B25</f>
        <v>3216.96</v>
      </c>
      <c r="X25" s="1">
        <f>'Winter NCP-CP Ratio'!C25</f>
        <v>2737.29</v>
      </c>
      <c r="Y25" s="1">
        <f>'Winter NCP-CP Ratio'!D25</f>
        <v>4049.94</v>
      </c>
      <c r="Z25" s="1">
        <f>'Winter NCP-CP Ratio'!E25</f>
        <v>3022.03</v>
      </c>
      <c r="AA25" s="1">
        <f>'Winter NCP-CP Ratio'!F25</f>
        <v>4065.84</v>
      </c>
    </row>
    <row r="26" spans="1:27" x14ac:dyDescent="0.25">
      <c r="A26" s="73">
        <v>2008</v>
      </c>
      <c r="B26" s="1">
        <v>3956.62</v>
      </c>
      <c r="C26" s="1">
        <v>3110.93</v>
      </c>
      <c r="D26" s="1">
        <v>4270.76</v>
      </c>
      <c r="E26" s="1">
        <v>3302.63</v>
      </c>
      <c r="F26" s="1">
        <v>4437.5</v>
      </c>
      <c r="H26" s="1">
        <v>4356.58</v>
      </c>
      <c r="I26" s="1">
        <v>3286.1</v>
      </c>
      <c r="J26" s="1">
        <v>4270.76</v>
      </c>
      <c r="K26" s="1">
        <v>3302.63</v>
      </c>
      <c r="L26" s="1">
        <v>4437.5</v>
      </c>
      <c r="N26" s="16">
        <f t="shared" si="1"/>
        <v>1.1010862807143471</v>
      </c>
      <c r="O26" s="16">
        <f t="shared" si="2"/>
        <v>1.0563079207825312</v>
      </c>
      <c r="P26" s="16">
        <f t="shared" si="3"/>
        <v>1</v>
      </c>
      <c r="Q26" s="16">
        <f t="shared" si="4"/>
        <v>1</v>
      </c>
      <c r="R26" s="16">
        <f t="shared" si="5"/>
        <v>1</v>
      </c>
      <c r="W26" s="1">
        <f>'Winter NCP-CP Ratio'!B26</f>
        <v>3956.62</v>
      </c>
      <c r="X26" s="1">
        <f>'Winter NCP-CP Ratio'!C26</f>
        <v>3110.93</v>
      </c>
      <c r="Y26" s="1">
        <f>'Winter NCP-CP Ratio'!D26</f>
        <v>4270.76</v>
      </c>
      <c r="Z26" s="1">
        <f>'Winter NCP-CP Ratio'!E26</f>
        <v>3302.63</v>
      </c>
      <c r="AA26" s="1">
        <f>'Winter NCP-CP Ratio'!F26</f>
        <v>4437.5</v>
      </c>
    </row>
    <row r="27" spans="1:27" x14ac:dyDescent="0.25">
      <c r="A27" s="73">
        <v>2009</v>
      </c>
      <c r="B27" s="1">
        <v>3615.59</v>
      </c>
      <c r="C27" s="1">
        <v>3253.15</v>
      </c>
      <c r="D27" s="1">
        <v>4722.8599999999997</v>
      </c>
      <c r="E27" s="1">
        <v>3770.87</v>
      </c>
      <c r="F27" s="1">
        <v>4784.62</v>
      </c>
      <c r="H27" s="1">
        <v>4037.21</v>
      </c>
      <c r="I27" s="1">
        <v>3253.15</v>
      </c>
      <c r="J27" s="1">
        <v>4722.8599999999997</v>
      </c>
      <c r="K27" s="1">
        <v>3770.87</v>
      </c>
      <c r="L27" s="1">
        <v>4784.62</v>
      </c>
      <c r="N27" s="16">
        <f t="shared" si="1"/>
        <v>1.1166116733368552</v>
      </c>
      <c r="O27" s="16">
        <f t="shared" si="2"/>
        <v>1</v>
      </c>
      <c r="P27" s="16">
        <f t="shared" si="3"/>
        <v>1</v>
      </c>
      <c r="Q27" s="16">
        <f t="shared" si="4"/>
        <v>1</v>
      </c>
      <c r="R27" s="16">
        <f t="shared" si="5"/>
        <v>1</v>
      </c>
      <c r="W27" s="1">
        <f>'Winter NCP-CP Ratio'!B27</f>
        <v>3615.59</v>
      </c>
      <c r="X27" s="1">
        <f>'Winter NCP-CP Ratio'!C27</f>
        <v>3253.15</v>
      </c>
      <c r="Y27" s="1">
        <f>'Winter NCP-CP Ratio'!D27</f>
        <v>4722.8599999999997</v>
      </c>
      <c r="Z27" s="1">
        <f>'Winter NCP-CP Ratio'!E27</f>
        <v>3770.87</v>
      </c>
      <c r="AA27" s="1">
        <f>'Winter NCP-CP Ratio'!F27</f>
        <v>4784.62</v>
      </c>
    </row>
    <row r="28" spans="1:27" x14ac:dyDescent="0.25">
      <c r="A28" s="73">
        <v>2010</v>
      </c>
      <c r="B28" s="1">
        <v>4615.3900000000003</v>
      </c>
      <c r="C28" s="1">
        <v>4190.38</v>
      </c>
      <c r="D28" s="1">
        <v>5757.53</v>
      </c>
      <c r="E28" s="1">
        <v>4075.55</v>
      </c>
      <c r="F28" s="1">
        <v>5412.0280000000002</v>
      </c>
      <c r="H28" s="1">
        <v>4970.3900000000003</v>
      </c>
      <c r="I28" s="1">
        <v>4337.66</v>
      </c>
      <c r="J28" s="1">
        <v>5757.53</v>
      </c>
      <c r="K28" s="1">
        <v>4153.3100000000004</v>
      </c>
      <c r="L28" s="1">
        <v>5412.0280000000002</v>
      </c>
      <c r="N28" s="16">
        <f t="shared" si="1"/>
        <v>1.0769165769306603</v>
      </c>
      <c r="O28" s="16">
        <f t="shared" si="2"/>
        <v>1.0351471704236848</v>
      </c>
      <c r="P28" s="16">
        <f t="shared" si="3"/>
        <v>1</v>
      </c>
      <c r="Q28" s="16">
        <f t="shared" si="4"/>
        <v>1.0190796334237098</v>
      </c>
      <c r="R28" s="16">
        <f t="shared" si="5"/>
        <v>1</v>
      </c>
      <c r="W28" s="1">
        <f>'Winter NCP-CP Ratio'!B28</f>
        <v>4615.3900000000003</v>
      </c>
      <c r="X28" s="1">
        <f>'Winter NCP-CP Ratio'!C28</f>
        <v>4190.38</v>
      </c>
      <c r="Y28" s="1">
        <f>'Winter NCP-CP Ratio'!D28</f>
        <v>5757.53</v>
      </c>
      <c r="Z28" s="1">
        <f>'Winter NCP-CP Ratio'!E28</f>
        <v>4075.55</v>
      </c>
      <c r="AA28" s="1">
        <f>'Winter NCP-CP Ratio'!F28</f>
        <v>5412.0280000000002</v>
      </c>
    </row>
    <row r="29" spans="1:27" x14ac:dyDescent="0.25">
      <c r="A29" s="73">
        <v>2011</v>
      </c>
      <c r="B29" s="1">
        <v>4070.62</v>
      </c>
      <c r="C29" s="1">
        <v>3635.44</v>
      </c>
      <c r="D29" s="1">
        <v>5084.25</v>
      </c>
      <c r="E29" s="1">
        <v>3742.93</v>
      </c>
      <c r="F29" s="1">
        <v>4396.9160000000002</v>
      </c>
      <c r="H29" s="1">
        <v>4425.16</v>
      </c>
      <c r="I29" s="1">
        <v>3732.43</v>
      </c>
      <c r="J29" s="1">
        <v>5113.3100000000004</v>
      </c>
      <c r="K29" s="1">
        <v>3932.47</v>
      </c>
      <c r="L29" s="1">
        <v>4402.3959999999997</v>
      </c>
      <c r="N29" s="16">
        <f t="shared" si="1"/>
        <v>1.0870972972176229</v>
      </c>
      <c r="O29" s="16">
        <f t="shared" si="2"/>
        <v>1.0266790264727239</v>
      </c>
      <c r="P29" s="16">
        <f t="shared" si="3"/>
        <v>1.0057156906131681</v>
      </c>
      <c r="Q29" s="16">
        <f t="shared" si="4"/>
        <v>1.0506394722850814</v>
      </c>
      <c r="R29" s="16">
        <f t="shared" si="5"/>
        <v>1.0012463281081556</v>
      </c>
      <c r="W29" s="1">
        <f>'Winter NCP-CP Ratio'!B29</f>
        <v>4070.62</v>
      </c>
      <c r="X29" s="1">
        <f>'Winter NCP-CP Ratio'!C29</f>
        <v>3635.44</v>
      </c>
      <c r="Y29" s="1">
        <f>'Winter NCP-CP Ratio'!D29</f>
        <v>5084.25</v>
      </c>
      <c r="Z29" s="1">
        <f>'Winter NCP-CP Ratio'!E29</f>
        <v>3742.93</v>
      </c>
      <c r="AA29" s="1">
        <f>'Winter NCP-CP Ratio'!F29</f>
        <v>4396.9160000000002</v>
      </c>
    </row>
    <row r="30" spans="1:27" x14ac:dyDescent="0.25">
      <c r="A30" s="73">
        <v>2012</v>
      </c>
      <c r="B30" s="1">
        <v>3336.93</v>
      </c>
      <c r="C30" s="1">
        <v>2979.47</v>
      </c>
      <c r="D30" s="1">
        <v>4163.58</v>
      </c>
      <c r="E30" s="1">
        <v>3262.19</v>
      </c>
      <c r="F30" s="1">
        <v>3993.7049999999999</v>
      </c>
      <c r="H30" s="1">
        <v>4181.3500000000004</v>
      </c>
      <c r="I30" s="1">
        <v>3146.84</v>
      </c>
      <c r="J30" s="1">
        <v>4163.58</v>
      </c>
      <c r="K30" s="1">
        <v>3262.19</v>
      </c>
      <c r="L30" s="1">
        <v>3993.7049999999999</v>
      </c>
      <c r="N30" s="16">
        <f t="shared" si="1"/>
        <v>1.2530529558606265</v>
      </c>
      <c r="O30" s="16">
        <f t="shared" si="2"/>
        <v>1.0561744202828021</v>
      </c>
      <c r="P30" s="16">
        <f t="shared" si="3"/>
        <v>1</v>
      </c>
      <c r="Q30" s="16">
        <f t="shared" si="4"/>
        <v>1</v>
      </c>
      <c r="R30" s="16">
        <f t="shared" si="5"/>
        <v>1</v>
      </c>
      <c r="W30" s="1">
        <f>'Winter NCP-CP Ratio'!B30</f>
        <v>3336.93</v>
      </c>
      <c r="X30" s="1">
        <f>'Winter NCP-CP Ratio'!C30</f>
        <v>2979.47</v>
      </c>
      <c r="Y30" s="1">
        <f>'Winter NCP-CP Ratio'!D30</f>
        <v>4163.58</v>
      </c>
      <c r="Z30" s="1">
        <f>'Winter NCP-CP Ratio'!E30</f>
        <v>3262.19</v>
      </c>
      <c r="AA30" s="1">
        <f>'Winter NCP-CP Ratio'!F30</f>
        <v>3993.7049999999999</v>
      </c>
    </row>
    <row r="31" spans="1:27" x14ac:dyDescent="0.25">
      <c r="A31" s="73">
        <v>2013</v>
      </c>
      <c r="B31" s="1">
        <v>2962.69</v>
      </c>
      <c r="C31" s="1">
        <v>2484.38</v>
      </c>
      <c r="D31" s="1">
        <v>3715.76</v>
      </c>
      <c r="E31" s="1">
        <v>3180.06</v>
      </c>
      <c r="F31" s="1">
        <v>3369.36</v>
      </c>
      <c r="H31" s="1">
        <v>4473.58</v>
      </c>
      <c r="I31" s="1">
        <v>3221.73</v>
      </c>
      <c r="J31" s="1">
        <v>3715.76</v>
      </c>
      <c r="K31" s="1">
        <v>3180.06</v>
      </c>
      <c r="L31" s="1">
        <v>3612.66</v>
      </c>
      <c r="N31" s="117">
        <f t="shared" si="1"/>
        <v>1.5099723562033152</v>
      </c>
      <c r="O31" s="16">
        <f t="shared" si="2"/>
        <v>1.296794371231454</v>
      </c>
      <c r="P31" s="16">
        <f t="shared" si="3"/>
        <v>1</v>
      </c>
      <c r="Q31" s="16">
        <f t="shared" si="4"/>
        <v>1</v>
      </c>
      <c r="R31" s="16">
        <f t="shared" si="5"/>
        <v>1.0722095590854048</v>
      </c>
      <c r="W31" s="1">
        <f>'Winter NCP-CP Ratio'!B31</f>
        <v>2962.69</v>
      </c>
      <c r="X31" s="1">
        <f>'Winter NCP-CP Ratio'!C31</f>
        <v>2484.38</v>
      </c>
      <c r="Y31" s="1">
        <f>'Winter NCP-CP Ratio'!D31</f>
        <v>3715.76</v>
      </c>
      <c r="Z31" s="1">
        <f>'Winter NCP-CP Ratio'!E31</f>
        <v>3180.06</v>
      </c>
      <c r="AA31" s="1">
        <f>'Winter NCP-CP Ratio'!F31</f>
        <v>3369.36</v>
      </c>
    </row>
    <row r="32" spans="1:27" x14ac:dyDescent="0.25">
      <c r="A32" s="73">
        <v>2014</v>
      </c>
      <c r="B32" s="1">
        <v>3044.99</v>
      </c>
      <c r="C32" s="1">
        <v>2348.25</v>
      </c>
      <c r="D32" s="1">
        <v>4261.3500000000004</v>
      </c>
      <c r="E32" s="1">
        <v>3173.31</v>
      </c>
      <c r="F32" s="1">
        <v>3216.92</v>
      </c>
      <c r="H32" s="1">
        <v>4473.75</v>
      </c>
      <c r="I32" s="1">
        <v>2926.89</v>
      </c>
      <c r="J32" s="1">
        <v>4261.3500000000004</v>
      </c>
      <c r="K32" s="1">
        <v>3173.31</v>
      </c>
      <c r="L32" s="1">
        <v>3522.3599999999997</v>
      </c>
      <c r="N32" s="117">
        <f t="shared" si="1"/>
        <v>1.4692166476737198</v>
      </c>
      <c r="O32" s="16">
        <f t="shared" si="2"/>
        <v>1.2464132864899393</v>
      </c>
      <c r="P32" s="16">
        <f t="shared" si="3"/>
        <v>1</v>
      </c>
      <c r="Q32" s="16">
        <f t="shared" si="4"/>
        <v>1</v>
      </c>
      <c r="R32" s="16">
        <f t="shared" si="5"/>
        <v>1.0949479626475012</v>
      </c>
      <c r="W32" s="1">
        <f>'Winter NCP-CP Ratio'!B32</f>
        <v>3044.99</v>
      </c>
      <c r="X32" s="1">
        <f>'Winter NCP-CP Ratio'!C32</f>
        <v>2348.25</v>
      </c>
      <c r="Y32" s="1">
        <f>'Winter NCP-CP Ratio'!D32</f>
        <v>4261.3500000000004</v>
      </c>
      <c r="Z32" s="1">
        <f>'Winter NCP-CP Ratio'!E32</f>
        <v>3173.31</v>
      </c>
      <c r="AA32" s="1">
        <f>'Winter NCP-CP Ratio'!F32</f>
        <v>3216.92</v>
      </c>
    </row>
    <row r="33" spans="1:28" x14ac:dyDescent="0.25">
      <c r="A33" s="73">
        <v>2015</v>
      </c>
      <c r="B33" s="1">
        <v>3328.4</v>
      </c>
      <c r="C33" s="1">
        <v>2826.07</v>
      </c>
      <c r="D33" s="1">
        <v>4239.21</v>
      </c>
      <c r="E33" s="1">
        <v>3611.03</v>
      </c>
      <c r="F33" s="1">
        <v>4552.01</v>
      </c>
      <c r="H33" s="1">
        <v>4186.62</v>
      </c>
      <c r="I33" s="1">
        <v>2827.41</v>
      </c>
      <c r="J33" s="1">
        <v>4239.21</v>
      </c>
      <c r="K33" s="1">
        <v>3611.03</v>
      </c>
      <c r="L33" s="1">
        <v>4552.01</v>
      </c>
      <c r="N33" s="16">
        <f t="shared" ref="N33:N38" si="6">H33/B33</f>
        <v>1.2578476144694146</v>
      </c>
      <c r="O33" s="16">
        <f t="shared" si="2"/>
        <v>1.000474156691094</v>
      </c>
      <c r="P33" s="16">
        <f t="shared" si="3"/>
        <v>1</v>
      </c>
      <c r="Q33" s="16">
        <f t="shared" si="4"/>
        <v>1</v>
      </c>
      <c r="R33" s="16">
        <f t="shared" si="5"/>
        <v>1</v>
      </c>
      <c r="W33" s="1">
        <f>'Winter NCP-CP Ratio'!B33</f>
        <v>3328.4</v>
      </c>
      <c r="X33" s="1">
        <f>'Winter NCP-CP Ratio'!C33</f>
        <v>2826.07</v>
      </c>
      <c r="Y33" s="1">
        <f>'Winter NCP-CP Ratio'!D33</f>
        <v>4239.21</v>
      </c>
      <c r="Z33" s="1">
        <f>'Winter NCP-CP Ratio'!E33</f>
        <v>3611.03</v>
      </c>
      <c r="AA33" s="1">
        <f>'Winter NCP-CP Ratio'!F33</f>
        <v>4552.01</v>
      </c>
    </row>
    <row r="34" spans="1:28" x14ac:dyDescent="0.25">
      <c r="A34" s="73">
        <v>2016</v>
      </c>
      <c r="B34" s="1">
        <f>'Winter Peak'!$AB$5</f>
        <v>2957.9425491036359</v>
      </c>
      <c r="C34" s="1">
        <f>'Winter Peak'!$AC5</f>
        <v>2421.6377722476991</v>
      </c>
      <c r="D34" s="1">
        <f>'Winter Peak'!$Z5</f>
        <v>3670.0762414843389</v>
      </c>
      <c r="E34" s="1">
        <f>'Winter Peak'!$AA5</f>
        <v>3415.6675407535763</v>
      </c>
      <c r="F34" s="1">
        <f>'Winter Peak'!$AD5</f>
        <v>3663.6758964107494</v>
      </c>
      <c r="H34" s="1">
        <v>4280.25</v>
      </c>
      <c r="I34" s="1">
        <v>2916.84</v>
      </c>
      <c r="J34" s="1">
        <v>3658.41</v>
      </c>
      <c r="K34" s="1">
        <v>3404.81</v>
      </c>
      <c r="L34" s="1">
        <v>3652.0299999999997</v>
      </c>
      <c r="N34" s="117">
        <f t="shared" si="6"/>
        <v>1.4470362182311727</v>
      </c>
      <c r="O34" s="16">
        <f t="shared" si="2"/>
        <v>1.2044906275527192</v>
      </c>
      <c r="P34" s="16">
        <f t="shared" si="3"/>
        <v>0.99682125364250729</v>
      </c>
      <c r="Q34" s="16">
        <f t="shared" si="4"/>
        <v>0.99682125364250729</v>
      </c>
      <c r="R34" s="16">
        <f t="shared" si="5"/>
        <v>0.99682125364250729</v>
      </c>
      <c r="W34" s="1">
        <f>'Winter NCP-CP Ratio'!B34</f>
        <v>2957.9425491036359</v>
      </c>
      <c r="X34" s="1">
        <f>'Winter NCP-CP Ratio'!C34</f>
        <v>2421.6377722476991</v>
      </c>
      <c r="Y34" s="1">
        <f>'Winter NCP-CP Ratio'!D34</f>
        <v>3670.0762414843389</v>
      </c>
      <c r="Z34" s="1">
        <f>'Winter NCP-CP Ratio'!E34</f>
        <v>3415.6675407535763</v>
      </c>
      <c r="AA34" s="1">
        <f>'Winter NCP-CP Ratio'!F34</f>
        <v>3663.6758964107494</v>
      </c>
    </row>
    <row r="35" spans="1:28" x14ac:dyDescent="0.25">
      <c r="A35" s="73">
        <v>2017</v>
      </c>
      <c r="B35" s="173">
        <f>'Winter Peak'!$AB$6</f>
        <v>2712.793586110492</v>
      </c>
      <c r="C35" s="173">
        <f>'Winter Peak'!$AC6</f>
        <v>2208.6476813130389</v>
      </c>
      <c r="D35" s="173">
        <f>'Winter Peak'!$Z6</f>
        <v>3198.0575352021169</v>
      </c>
      <c r="E35" s="173">
        <f>'Winter Peak'!$AA6</f>
        <v>2898.6524508322459</v>
      </c>
      <c r="F35" s="173">
        <f>'Winter Peak'!$AD6</f>
        <v>2903.8487465421049</v>
      </c>
      <c r="H35" s="173">
        <v>4315.9277000000002</v>
      </c>
      <c r="I35" s="173">
        <v>3039.5419000000002</v>
      </c>
      <c r="J35" s="173">
        <v>3356.2094999999999</v>
      </c>
      <c r="K35" s="173">
        <v>4053.4562999999998</v>
      </c>
      <c r="L35" s="173">
        <v>2137.5794999999998</v>
      </c>
      <c r="M35" s="158"/>
      <c r="N35" s="175">
        <f t="shared" si="6"/>
        <v>1.5909532233110391</v>
      </c>
      <c r="O35" s="174">
        <f>I35/C35</f>
        <v>1.3762004350974599</v>
      </c>
      <c r="P35" s="179">
        <f>J35/D35</f>
        <v>1.0494525076728765</v>
      </c>
      <c r="Q35" s="174">
        <f>K35/E35</f>
        <v>1.3983933461344056</v>
      </c>
      <c r="R35" s="175">
        <f>L35/F35</f>
        <v>0.73611943547177638</v>
      </c>
      <c r="W35" s="173">
        <f>'Winter NCP-CP Ratio'!B35</f>
        <v>2712.793586110492</v>
      </c>
      <c r="X35" s="173">
        <f>'Winter NCP-CP Ratio'!C35</f>
        <v>2208.6476813130389</v>
      </c>
      <c r="Y35" s="173">
        <f>'Winter NCP-CP Ratio'!D35</f>
        <v>3198.0575352021169</v>
      </c>
      <c r="Z35" s="173">
        <f>'Winter NCP-CP Ratio'!E35</f>
        <v>2898.6524508322459</v>
      </c>
      <c r="AA35" s="173">
        <f>'Winter NCP-CP Ratio'!F35</f>
        <v>2903.8487465421049</v>
      </c>
    </row>
    <row r="36" spans="1:28" x14ac:dyDescent="0.25">
      <c r="A36" s="73">
        <v>2018</v>
      </c>
      <c r="B36" s="154">
        <f>'Winter Peak'!AB7</f>
        <v>3070.6039129033911</v>
      </c>
      <c r="C36" s="154">
        <f>'Winter Peak'!AC7</f>
        <v>2660.6325508218129</v>
      </c>
      <c r="D36" s="154">
        <f>'Winter Peak'!Z7</f>
        <v>4381.2034663359864</v>
      </c>
      <c r="E36" s="154">
        <f>'Winter Peak'!AA7</f>
        <v>3806.7755500912945</v>
      </c>
      <c r="F36" s="154">
        <f>'Winter Peak'!AD7</f>
        <v>4157.7845198475097</v>
      </c>
      <c r="G36" s="158"/>
      <c r="H36" s="154">
        <v>4419.6030000000001</v>
      </c>
      <c r="I36" s="154">
        <v>3148.5327000000002</v>
      </c>
      <c r="J36" s="154">
        <v>4443.6499999999996</v>
      </c>
      <c r="K36" s="154">
        <v>3979.3779</v>
      </c>
      <c r="L36" s="154">
        <v>4646.3954999999996</v>
      </c>
      <c r="M36" s="158"/>
      <c r="N36" s="175">
        <f t="shared" si="6"/>
        <v>1.4393269615230415</v>
      </c>
      <c r="O36" s="174">
        <f t="shared" ref="O36:R36" si="7">I36/C36</f>
        <v>1.1833775013492507</v>
      </c>
      <c r="P36" s="174">
        <f t="shared" si="7"/>
        <v>1.0142532831775186</v>
      </c>
      <c r="Q36" s="174">
        <f t="shared" si="7"/>
        <v>1.0453408265440201</v>
      </c>
      <c r="R36" s="174">
        <f t="shared" si="7"/>
        <v>1.117517148332259</v>
      </c>
      <c r="S36" s="158"/>
      <c r="T36" s="158"/>
      <c r="U36" s="158"/>
      <c r="V36" s="158"/>
      <c r="W36" s="173">
        <f>'Winter NCP-CP Ratio'!B36</f>
        <v>3070.6039129033911</v>
      </c>
      <c r="X36" s="173">
        <f>'Winter NCP-CP Ratio'!C36</f>
        <v>2660.6325508218129</v>
      </c>
      <c r="Y36" s="173">
        <f>'Winter NCP-CP Ratio'!D36</f>
        <v>4381.2034663359864</v>
      </c>
      <c r="Z36" s="173">
        <f>'Winter NCP-CP Ratio'!E36</f>
        <v>3806.7755500912945</v>
      </c>
      <c r="AA36" s="173">
        <f>'Winter NCP-CP Ratio'!F36</f>
        <v>4157.7845198475097</v>
      </c>
      <c r="AB36" s="158"/>
    </row>
    <row r="37" spans="1:28" x14ac:dyDescent="0.25">
      <c r="A37" s="73">
        <v>2019</v>
      </c>
      <c r="B37" s="154">
        <f>'Winter Peak'!AB8</f>
        <v>2776.1466344609703</v>
      </c>
      <c r="C37" s="154">
        <f>'Winter Peak'!AC8</f>
        <v>2296.1408925119135</v>
      </c>
      <c r="D37" s="154">
        <f>'Winter Peak'!Z8</f>
        <v>3225.3956683554266</v>
      </c>
      <c r="E37" s="154">
        <f>'Winter Peak'!AA8</f>
        <v>2747.1772710504911</v>
      </c>
      <c r="F37" s="154">
        <f>'Winter Peak'!AD8</f>
        <v>4310.1395336212008</v>
      </c>
      <c r="H37" s="154">
        <v>4733.2587999999996</v>
      </c>
      <c r="I37" s="154">
        <v>3091.1122999999998</v>
      </c>
      <c r="J37" s="154">
        <v>4243.2731999999996</v>
      </c>
      <c r="K37" s="154">
        <v>2915.2582000000002</v>
      </c>
      <c r="L37" s="154">
        <v>3728.8473999999997</v>
      </c>
      <c r="M37" s="158"/>
      <c r="N37" s="175">
        <f t="shared" si="6"/>
        <v>1.7049743487051185</v>
      </c>
      <c r="O37" s="174">
        <f t="shared" ref="O37" si="8">I37/C37</f>
        <v>1.346220656615897</v>
      </c>
      <c r="P37" s="174">
        <f t="shared" ref="P37" si="9">J37/D37</f>
        <v>1.3155822219366875</v>
      </c>
      <c r="Q37" s="174">
        <f t="shared" ref="Q37" si="10">K37/E37</f>
        <v>1.0611831390426569</v>
      </c>
      <c r="R37" s="174">
        <f t="shared" ref="R37" si="11">L37/F37</f>
        <v>0.86513380156562503</v>
      </c>
      <c r="S37" s="158"/>
      <c r="T37" s="158"/>
      <c r="U37" s="158"/>
      <c r="V37" s="158"/>
      <c r="W37" s="173">
        <f>'Winter NCP-CP Ratio'!B37</f>
        <v>2776.1466344609703</v>
      </c>
      <c r="X37" s="173">
        <f>'Winter NCP-CP Ratio'!C37</f>
        <v>2296.1408925119135</v>
      </c>
      <c r="Y37" s="173">
        <f>'Winter NCP-CP Ratio'!D37</f>
        <v>3225.3956683554266</v>
      </c>
      <c r="Z37" s="173">
        <f>'Winter NCP-CP Ratio'!E37</f>
        <v>2747.1772710504911</v>
      </c>
      <c r="AA37" s="173">
        <f>'Winter NCP-CP Ratio'!F37</f>
        <v>4310.1395336212008</v>
      </c>
    </row>
    <row r="38" spans="1:28" x14ac:dyDescent="0.25">
      <c r="A38" s="122">
        <v>2020</v>
      </c>
      <c r="B38" s="111">
        <f>'Winter Peak'!AB9</f>
        <v>2874.7087178457932</v>
      </c>
      <c r="C38" s="111">
        <f>'Winter Peak'!AC9</f>
        <v>2514.6557071786847</v>
      </c>
      <c r="D38" s="111">
        <f>'Winter Peak'!Z9</f>
        <v>4202.9033309116658</v>
      </c>
      <c r="E38" s="111">
        <f>'Winter Peak'!AA9</f>
        <v>3156.7470985013629</v>
      </c>
      <c r="F38" s="111">
        <f>'Winter Peak'!AD9</f>
        <v>4160.1366049531489</v>
      </c>
      <c r="G38" s="114" t="s">
        <v>52</v>
      </c>
      <c r="H38" s="111">
        <v>4654.58</v>
      </c>
      <c r="I38" s="111">
        <v>3125.37</v>
      </c>
      <c r="J38" s="111">
        <v>4998.58</v>
      </c>
      <c r="K38" s="111">
        <v>3354.61</v>
      </c>
      <c r="L38" s="111">
        <v>4883.7</v>
      </c>
      <c r="M38" s="114"/>
      <c r="N38" s="192">
        <f t="shared" si="6"/>
        <v>1.6191483927067158</v>
      </c>
      <c r="O38" s="123">
        <f t="shared" ref="O38" si="12">I38/C38</f>
        <v>1.2428619914359988</v>
      </c>
      <c r="P38" s="123">
        <f t="shared" ref="P38" si="13">J38/D38</f>
        <v>1.1893159576705614</v>
      </c>
      <c r="Q38" s="123">
        <f t="shared" ref="Q38" si="14">K38/E38</f>
        <v>1.062679364334435</v>
      </c>
      <c r="R38" s="123">
        <f t="shared" ref="R38" si="15">L38/F38</f>
        <v>1.1739277970308379</v>
      </c>
      <c r="S38" s="114"/>
      <c r="T38" s="114"/>
      <c r="U38" s="114"/>
      <c r="V38" s="114"/>
      <c r="W38" s="111">
        <f>'Winter CP Comparison'!L10</f>
        <v>3659.9532115731363</v>
      </c>
      <c r="X38" s="111">
        <f>'Winter CP Comparison'!I10</f>
        <v>3114.9470463573821</v>
      </c>
      <c r="Y38" s="111">
        <f>'Winter CP Comparison'!F10</f>
        <v>4461.7595860803822</v>
      </c>
      <c r="Z38" s="111">
        <f>'Winter CP Comparison'!C10</f>
        <v>3386.1931307375585</v>
      </c>
      <c r="AA38" s="111">
        <f>'Winter CP Comparison'!O10</f>
        <v>4621.2489051976581</v>
      </c>
    </row>
    <row r="39" spans="1:28" x14ac:dyDescent="0.25">
      <c r="A39" s="73">
        <v>2021</v>
      </c>
      <c r="B39" s="2">
        <f>'Winter Peak'!AB10</f>
        <v>3282.319045981726</v>
      </c>
      <c r="C39" s="2">
        <f>'Winter Peak'!AC10</f>
        <v>2860.1855377946426</v>
      </c>
      <c r="D39" s="2">
        <f>'Winter Peak'!Z10</f>
        <v>4792.1732328757298</v>
      </c>
      <c r="E39" s="2">
        <f>'Winter Peak'!AA10</f>
        <v>3628.8626268541125</v>
      </c>
      <c r="F39" s="2">
        <f>'Winter Peak'!AD10</f>
        <v>4785.4184150367573</v>
      </c>
      <c r="H39" s="177" t="s">
        <v>18</v>
      </c>
      <c r="I39" s="178" t="s">
        <v>19</v>
      </c>
      <c r="J39" s="178" t="s">
        <v>20</v>
      </c>
      <c r="K39" s="178" t="s">
        <v>21</v>
      </c>
      <c r="L39" s="178" t="s">
        <v>22</v>
      </c>
      <c r="M39" s="158"/>
      <c r="N39" s="177" t="s">
        <v>18</v>
      </c>
      <c r="O39" s="178" t="s">
        <v>19</v>
      </c>
      <c r="P39" s="178" t="s">
        <v>20</v>
      </c>
      <c r="Q39" s="178" t="s">
        <v>21</v>
      </c>
      <c r="R39" s="178" t="s">
        <v>22</v>
      </c>
      <c r="W39" s="2">
        <f>'Winter CP Comparison'!L11</f>
        <v>3719.6032454937249</v>
      </c>
      <c r="X39" s="2">
        <f>'Winter CP Comparison'!I11</f>
        <v>3139.7468880907577</v>
      </c>
      <c r="Y39" s="2">
        <f>'Winter CP Comparison'!F11</f>
        <v>4500.2681279145036</v>
      </c>
      <c r="Z39" s="2">
        <f>'Winter CP Comparison'!C11</f>
        <v>3441.3274078280606</v>
      </c>
      <c r="AA39" s="2">
        <f>'Winter CP Comparison'!O11</f>
        <v>4707.3694519685623</v>
      </c>
    </row>
    <row r="40" spans="1:28" x14ac:dyDescent="0.25">
      <c r="A40" s="73">
        <v>2022</v>
      </c>
      <c r="B40" s="2">
        <f>'Winter Peak'!AB11</f>
        <v>3319.0036942919342</v>
      </c>
      <c r="C40" s="2">
        <f>'Winter Peak'!AC11</f>
        <v>2874.4286396381449</v>
      </c>
      <c r="D40" s="2">
        <f>'Winter Peak'!Z11</f>
        <v>4817.9622557221646</v>
      </c>
      <c r="E40" s="2">
        <f>'Winter Peak'!AA11</f>
        <v>3675.8752798910527</v>
      </c>
      <c r="F40" s="2">
        <f>'Winter Peak'!AD11</f>
        <v>4861.2350774524348</v>
      </c>
      <c r="M40" s="116" t="s">
        <v>46</v>
      </c>
      <c r="N40" s="231">
        <f>AVERAGE(N33,N22:N30)</f>
        <v>1.2097525090809629</v>
      </c>
      <c r="O40" s="231">
        <f>AVERAGE(O29:O38)</f>
        <v>1.1979686473219338</v>
      </c>
      <c r="P40" s="231">
        <f>AVERAGE(P29:P38)</f>
        <v>1.057114091471332</v>
      </c>
      <c r="Q40" s="231">
        <f>AVERAGE(Q29:Q38)</f>
        <v>1.0615057401983106</v>
      </c>
      <c r="R40" s="231">
        <f>AVERAGE(R27:R34,R36:R37)</f>
        <v>1.0147876053381453</v>
      </c>
      <c r="W40" s="2">
        <f>'Winter CP Comparison'!L12</f>
        <v>3720.4959120848484</v>
      </c>
      <c r="X40" s="2">
        <f>'Winter CP Comparison'!I12</f>
        <v>3116.1661321304514</v>
      </c>
      <c r="Y40" s="2">
        <f>'Winter CP Comparison'!F12</f>
        <v>4468.5231004228244</v>
      </c>
      <c r="Z40" s="2">
        <f>'Winter CP Comparison'!C12</f>
        <v>3441.9404399877862</v>
      </c>
      <c r="AA40" s="2">
        <f>'Winter CP Comparison'!O12</f>
        <v>4715.6014227010137</v>
      </c>
    </row>
    <row r="41" spans="1:28" x14ac:dyDescent="0.25">
      <c r="A41" s="73">
        <v>2023</v>
      </c>
      <c r="B41" s="2">
        <f>'Winter Peak'!AB12</f>
        <v>3383.8276330350154</v>
      </c>
      <c r="C41" s="2">
        <f>'Winter Peak'!AC12</f>
        <v>2912.4385407090704</v>
      </c>
      <c r="D41" s="2">
        <f>'Winter Peak'!Z12</f>
        <v>4881.7549014896331</v>
      </c>
      <c r="E41" s="2">
        <f>'Winter Peak'!AA12</f>
        <v>3752.3646538056319</v>
      </c>
      <c r="F41" s="2">
        <f>'Winter Peak'!AD12</f>
        <v>4971.122502014774</v>
      </c>
      <c r="N41" s="5"/>
      <c r="O41" s="5"/>
      <c r="P41" s="5"/>
      <c r="Q41" s="5"/>
      <c r="R41" s="5"/>
      <c r="W41" s="2">
        <f>'Winter CP Comparison'!L13</f>
        <v>3768.6286123841946</v>
      </c>
      <c r="X41" s="2">
        <f>'Winter CP Comparison'!I13</f>
        <v>3134.2611998425386</v>
      </c>
      <c r="Y41" s="2">
        <f>'Winter CP Comparison'!F13</f>
        <v>4494.4218195727653</v>
      </c>
      <c r="Z41" s="2">
        <f>'Winter CP Comparison'!C13</f>
        <v>3486.6870117562571</v>
      </c>
      <c r="AA41" s="2">
        <f>'Winter CP Comparison'!O13</f>
        <v>4781.9504541528686</v>
      </c>
    </row>
    <row r="42" spans="1:28" x14ac:dyDescent="0.25">
      <c r="A42" s="73">
        <v>2024</v>
      </c>
      <c r="B42" s="2">
        <f>'Winter Peak'!AB13</f>
        <v>3450.1674990868437</v>
      </c>
      <c r="C42" s="2">
        <f>'Winter Peak'!AC13</f>
        <v>2952.1955223747686</v>
      </c>
      <c r="D42" s="2">
        <f>'Winter Peak'!Z13</f>
        <v>4946.9940693590952</v>
      </c>
      <c r="E42" s="2">
        <f>'Winter Peak'!AA13</f>
        <v>3830.4182469002544</v>
      </c>
      <c r="F42" s="2">
        <f>'Winter Peak'!AD13</f>
        <v>5080.6069477054498</v>
      </c>
      <c r="W42" s="2">
        <f>'Winter CP Comparison'!L14</f>
        <v>3816.1932281828272</v>
      </c>
      <c r="X42" s="2">
        <f>'Winter CP Comparison'!I14</f>
        <v>3153.5462706231601</v>
      </c>
      <c r="Y42" s="2">
        <f>'Winter CP Comparison'!F14</f>
        <v>4520.5232202145226</v>
      </c>
      <c r="Z42" s="2">
        <f>'Winter CP Comparison'!C14</f>
        <v>3531.6223546212159</v>
      </c>
      <c r="AA42" s="2">
        <f>'Winter CP Comparison'!O14</f>
        <v>4847.8787162769095</v>
      </c>
    </row>
    <row r="43" spans="1:28" x14ac:dyDescent="0.25">
      <c r="A43" s="73">
        <v>2025</v>
      </c>
      <c r="B43" s="2">
        <f>'Winter Peak'!AB14</f>
        <v>3503.0236211340361</v>
      </c>
      <c r="C43" s="2">
        <f>'Winter Peak'!AC14</f>
        <v>2980.4350827775856</v>
      </c>
      <c r="D43" s="2">
        <f>'Winter Peak'!Z14</f>
        <v>4992.2449418023371</v>
      </c>
      <c r="E43" s="2">
        <f>'Winter Peak'!AA14</f>
        <v>3893.4566061650476</v>
      </c>
      <c r="F43" s="2">
        <f>'Winter Peak'!AD14</f>
        <v>5169.2167822807514</v>
      </c>
      <c r="W43" s="2">
        <f>'Winter CP Comparison'!L15</f>
        <v>3863.868551179401</v>
      </c>
      <c r="X43" s="2">
        <f>'Winter CP Comparison'!I15</f>
        <v>3173.6603018527971</v>
      </c>
      <c r="Y43" s="2">
        <f>'Winter CP Comparison'!F15</f>
        <v>4547.1232029687235</v>
      </c>
      <c r="Z43" s="2">
        <f>'Winter CP Comparison'!C15</f>
        <v>3577.0405869545802</v>
      </c>
      <c r="AA43" s="2">
        <f>'Winter CP Comparison'!O15</f>
        <v>4914.5895808003761</v>
      </c>
    </row>
    <row r="44" spans="1:28" x14ac:dyDescent="0.25">
      <c r="A44" s="73">
        <v>2026</v>
      </c>
      <c r="B44" s="2">
        <f>'Winter Peak'!AB15</f>
        <v>3557.4977195410752</v>
      </c>
      <c r="C44" s="2">
        <f>'Winter Peak'!AC15</f>
        <v>3009.767345160561</v>
      </c>
      <c r="D44" s="2">
        <f>'Winter Peak'!Z15</f>
        <v>5038.9855753691181</v>
      </c>
      <c r="E44" s="2">
        <f>'Winter Peak'!AA15</f>
        <v>3958.1111542134827</v>
      </c>
      <c r="F44" s="2">
        <f>'Winter Peak'!AD15</f>
        <v>5259.6574944335243</v>
      </c>
      <c r="W44" s="2">
        <f>'Winter CP Comparison'!L16</f>
        <v>3920.6060052804091</v>
      </c>
      <c r="X44" s="2">
        <f>'Winter CP Comparison'!I16</f>
        <v>3201.1705823540146</v>
      </c>
      <c r="Y44" s="2">
        <f>'Winter CP Comparison'!F16</f>
        <v>4583.9975766483531</v>
      </c>
      <c r="Z44" s="2">
        <f>'Winter CP Comparison'!C16</f>
        <v>3630.8745931430517</v>
      </c>
      <c r="AA44" s="2">
        <f>'Winter CP Comparison'!O16</f>
        <v>4993.067411696753</v>
      </c>
    </row>
    <row r="45" spans="1:28" x14ac:dyDescent="0.25">
      <c r="A45" s="73">
        <v>2027</v>
      </c>
      <c r="B45" s="2">
        <f>'Winter Peak'!AB16</f>
        <v>3596.5032205444136</v>
      </c>
      <c r="C45" s="2">
        <f>'Winter Peak'!AC16</f>
        <v>3026.0868166586565</v>
      </c>
      <c r="D45" s="2">
        <f>'Winter Peak'!Z16</f>
        <v>5062.98331029581</v>
      </c>
      <c r="E45" s="2">
        <f>'Winter Peak'!AA16</f>
        <v>4005.2520810826732</v>
      </c>
      <c r="F45" s="2">
        <f>'Winter Peak'!AD16</f>
        <v>5326.831746608158</v>
      </c>
      <c r="W45" s="2">
        <f>'Winter CP Comparison'!L17</f>
        <v>3964.7849337862817</v>
      </c>
      <c r="X45" s="2">
        <f>'Winter CP Comparison'!I17</f>
        <v>3218.5989348593366</v>
      </c>
      <c r="Y45" s="2">
        <f>'Winter CP Comparison'!F17</f>
        <v>4605.5693962281393</v>
      </c>
      <c r="Z45" s="2">
        <f>'Winter CP Comparison'!C17</f>
        <v>3672.8130770328144</v>
      </c>
      <c r="AA45" s="2">
        <f>'Winter CP Comparison'!O17</f>
        <v>5055.5543858468618</v>
      </c>
    </row>
    <row r="46" spans="1:28" x14ac:dyDescent="0.25">
      <c r="A46" s="73">
        <v>2028</v>
      </c>
      <c r="B46" s="2">
        <f>'Winter Peak'!AB17</f>
        <v>3654.082608701025</v>
      </c>
      <c r="C46" s="2">
        <f>'Winter Peak'!AC17</f>
        <v>3058.0909868039953</v>
      </c>
      <c r="D46" s="2">
        <f>'Winter Peak'!Z17</f>
        <v>5112.7463349126292</v>
      </c>
      <c r="E46" s="2">
        <f>'Winter Peak'!AA17</f>
        <v>4072.5110339638472</v>
      </c>
      <c r="F46" s="2">
        <f>'Winter Peak'!AD17</f>
        <v>5421.2333611954036</v>
      </c>
      <c r="W46" s="2">
        <f>'Winter CP Comparison'!L18</f>
        <v>4029.7284071557042</v>
      </c>
      <c r="X46" s="2">
        <f>'Winter CP Comparison'!I18</f>
        <v>3253.003923736761</v>
      </c>
      <c r="Y46" s="2">
        <f>'Winter CP Comparison'!F18</f>
        <v>4650.9871784944862</v>
      </c>
      <c r="Z46" s="2">
        <f>'Winter CP Comparison'!C18</f>
        <v>3733.4585220703057</v>
      </c>
      <c r="AA46" s="2">
        <f>'Winter CP Comparison'!O18</f>
        <v>5144.5070469170878</v>
      </c>
    </row>
    <row r="47" spans="1:28" x14ac:dyDescent="0.25">
      <c r="A47" s="73">
        <v>2029</v>
      </c>
      <c r="B47" s="2">
        <f>'Winter Peak'!AB18</f>
        <v>3713.5246096861842</v>
      </c>
      <c r="C47" s="2">
        <f>'Winter Peak'!AC18</f>
        <v>3091.4688829744541</v>
      </c>
      <c r="D47" s="2">
        <f>'Winter Peak'!Z18</f>
        <v>5164.4669727243872</v>
      </c>
      <c r="E47" s="2">
        <f>'Winter Peak'!AA18</f>
        <v>4141.2084085799415</v>
      </c>
      <c r="F47" s="2">
        <f>'Winter Peak'!AD18</f>
        <v>5518.6288105996337</v>
      </c>
      <c r="W47" s="2">
        <f>'Winter CP Comparison'!L19</f>
        <v>4098.4261910723753</v>
      </c>
      <c r="X47" s="2">
        <f>'Winter CP Comparison'!I19</f>
        <v>3290.2593115034761</v>
      </c>
      <c r="Y47" s="2">
        <f>'Winter CP Comparison'!F19</f>
        <v>4700.1473961944139</v>
      </c>
      <c r="Z47" s="2">
        <f>'Winter CP Comparison'!C19</f>
        <v>3796.6512890695471</v>
      </c>
      <c r="AA47" s="2">
        <f>'Winter CP Comparison'!O19</f>
        <v>5238.5582336244315</v>
      </c>
    </row>
    <row r="48" spans="1:28" x14ac:dyDescent="0.25">
      <c r="A48" s="73">
        <v>2030</v>
      </c>
      <c r="B48" s="2">
        <f>'Winter Peak'!AB19</f>
        <v>3774.4575481362008</v>
      </c>
      <c r="C48" s="2">
        <f>'Winter Peak'!AC19</f>
        <v>3126.1358783424198</v>
      </c>
      <c r="D48" s="2">
        <f>'Winter Peak'!Z19</f>
        <v>5217.5541450838018</v>
      </c>
      <c r="E48" s="2">
        <f>'Winter Peak'!AA19</f>
        <v>4210.9518451958766</v>
      </c>
      <c r="F48" s="2">
        <f>'Winter Peak'!AD19</f>
        <v>5618.5234025937225</v>
      </c>
      <c r="W48" s="2">
        <f>'Winter CP Comparison'!L20</f>
        <v>4172.6474516521512</v>
      </c>
      <c r="X48" s="2">
        <f>'Winter CP Comparison'!I20</f>
        <v>3331.9206986634699</v>
      </c>
      <c r="Y48" s="2">
        <f>'Winter CP Comparison'!F20</f>
        <v>4754.880218639667</v>
      </c>
      <c r="Z48" s="2">
        <f>'Winter CP Comparison'!C20</f>
        <v>3864.2138596724449</v>
      </c>
      <c r="AA48" s="2">
        <f>'Winter CP Comparison'!O20</f>
        <v>5339.8429440240043</v>
      </c>
    </row>
  </sheetData>
  <mergeCells count="4">
    <mergeCell ref="B4:F4"/>
    <mergeCell ref="H4:L4"/>
    <mergeCell ref="N4:R4"/>
    <mergeCell ref="W4:AA4"/>
  </mergeCells>
  <phoneticPr fontId="60" type="noConversion"/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C37"/>
  <sheetViews>
    <sheetView topLeftCell="A19" workbookViewId="0"/>
  </sheetViews>
  <sheetFormatPr defaultRowHeight="15" x14ac:dyDescent="0.25"/>
  <cols>
    <col min="2" max="3" width="10.42578125" bestFit="1" customWidth="1"/>
    <col min="5" max="6" width="10.42578125" bestFit="1" customWidth="1"/>
    <col min="8" max="9" width="10.42578125" bestFit="1" customWidth="1"/>
    <col min="11" max="12" width="10.42578125" bestFit="1" customWidth="1"/>
    <col min="14" max="15" width="10.42578125" bestFit="1" customWidth="1"/>
    <col min="17" max="18" width="10.42578125" bestFit="1" customWidth="1"/>
    <col min="20" max="20" width="5.85546875" bestFit="1" customWidth="1"/>
    <col min="23" max="23" width="8.5703125" customWidth="1"/>
    <col min="24" max="24" width="6.5703125" bestFit="1" customWidth="1"/>
    <col min="25" max="26" width="10.42578125" bestFit="1" customWidth="1"/>
    <col min="27" max="27" width="7.7109375" bestFit="1" customWidth="1"/>
  </cols>
  <sheetData>
    <row r="1" spans="1:29" x14ac:dyDescent="0.25">
      <c r="A1" s="210" t="s">
        <v>76</v>
      </c>
    </row>
    <row r="2" spans="1:29" x14ac:dyDescent="0.25">
      <c r="A2" s="210" t="s">
        <v>73</v>
      </c>
    </row>
    <row r="3" spans="1:29" s="7" customFormat="1" ht="18" x14ac:dyDescent="0.25">
      <c r="A3" s="39"/>
      <c r="B3" s="224" t="s">
        <v>67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40"/>
      <c r="U3" s="102"/>
      <c r="V3" s="40"/>
      <c r="W3" s="40"/>
      <c r="X3"/>
      <c r="Y3"/>
      <c r="Z3"/>
    </row>
    <row r="4" spans="1:29" s="8" customFormat="1" ht="16.5" thickBot="1" x14ac:dyDescent="0.3">
      <c r="A4" s="41"/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42"/>
      <c r="U4" s="42"/>
      <c r="V4" s="42"/>
      <c r="W4" s="42"/>
      <c r="X4"/>
      <c r="Y4"/>
      <c r="Z4"/>
    </row>
    <row r="5" spans="1:29" s="8" customFormat="1" ht="15.75" thickBot="1" x14ac:dyDescent="0.3">
      <c r="A5" s="43" t="s">
        <v>7</v>
      </c>
      <c r="B5" s="221" t="s">
        <v>8</v>
      </c>
      <c r="C5" s="222"/>
      <c r="D5" s="223"/>
      <c r="E5" s="221" t="s">
        <v>9</v>
      </c>
      <c r="F5" s="222"/>
      <c r="G5" s="223"/>
      <c r="H5" s="221" t="s">
        <v>10</v>
      </c>
      <c r="I5" s="222"/>
      <c r="J5" s="223"/>
      <c r="K5" s="221" t="s">
        <v>11</v>
      </c>
      <c r="L5" s="222"/>
      <c r="M5" s="223"/>
      <c r="N5" s="221" t="s">
        <v>12</v>
      </c>
      <c r="O5" s="222"/>
      <c r="P5" s="223"/>
      <c r="Q5" s="221" t="s">
        <v>13</v>
      </c>
      <c r="R5" s="222"/>
      <c r="S5" s="223"/>
      <c r="T5" s="44"/>
      <c r="U5" s="44"/>
      <c r="V5" s="44" t="s">
        <v>36</v>
      </c>
      <c r="W5" s="44"/>
      <c r="X5"/>
      <c r="Y5" s="218" t="s">
        <v>54</v>
      </c>
      <c r="Z5" s="218"/>
      <c r="AA5" s="218"/>
    </row>
    <row r="6" spans="1:29" s="9" customFormat="1" ht="12.75" x14ac:dyDescent="0.2">
      <c r="A6" s="45"/>
      <c r="B6" s="168" t="s">
        <v>71</v>
      </c>
      <c r="C6" s="124" t="s">
        <v>61</v>
      </c>
      <c r="D6" s="47" t="s">
        <v>14</v>
      </c>
      <c r="E6" s="168" t="s">
        <v>71</v>
      </c>
      <c r="F6" s="124" t="s">
        <v>61</v>
      </c>
      <c r="G6" s="47" t="s">
        <v>14</v>
      </c>
      <c r="H6" s="168" t="s">
        <v>71</v>
      </c>
      <c r="I6" s="124" t="s">
        <v>61</v>
      </c>
      <c r="J6" s="47" t="s">
        <v>14</v>
      </c>
      <c r="K6" s="168" t="s">
        <v>71</v>
      </c>
      <c r="L6" s="124" t="s">
        <v>61</v>
      </c>
      <c r="M6" s="47" t="s">
        <v>14</v>
      </c>
      <c r="N6" s="168" t="s">
        <v>71</v>
      </c>
      <c r="O6" s="124" t="s">
        <v>61</v>
      </c>
      <c r="P6" s="47" t="s">
        <v>14</v>
      </c>
      <c r="Q6" s="168" t="s">
        <v>71</v>
      </c>
      <c r="R6" s="124" t="s">
        <v>61</v>
      </c>
      <c r="S6" s="47" t="s">
        <v>14</v>
      </c>
      <c r="T6" s="44" t="s">
        <v>1</v>
      </c>
      <c r="U6" s="44" t="s">
        <v>35</v>
      </c>
      <c r="V6" s="185" t="s">
        <v>71</v>
      </c>
      <c r="W6" s="44"/>
      <c r="X6" s="44" t="s">
        <v>17</v>
      </c>
      <c r="Y6" s="124" t="s">
        <v>71</v>
      </c>
      <c r="Z6" s="124" t="s">
        <v>61</v>
      </c>
      <c r="AA6" s="46" t="s">
        <v>14</v>
      </c>
      <c r="AB6" s="131"/>
      <c r="AC6" s="131"/>
    </row>
    <row r="7" spans="1:29" s="8" customFormat="1" x14ac:dyDescent="0.25">
      <c r="A7" s="41"/>
      <c r="B7" s="48"/>
      <c r="C7" s="49"/>
      <c r="D7" s="50"/>
      <c r="E7" s="48"/>
      <c r="F7" s="49"/>
      <c r="G7" s="50"/>
      <c r="H7" s="48"/>
      <c r="I7" s="49"/>
      <c r="J7" s="50"/>
      <c r="K7" s="48"/>
      <c r="L7" s="49"/>
      <c r="M7" s="50"/>
      <c r="N7" s="48"/>
      <c r="O7" s="49"/>
      <c r="P7" s="50"/>
      <c r="Q7" s="51"/>
      <c r="R7" s="52"/>
      <c r="S7" s="53"/>
      <c r="T7" s="52"/>
      <c r="U7" s="52"/>
      <c r="V7" s="52"/>
      <c r="W7" s="52"/>
      <c r="X7"/>
      <c r="Y7"/>
      <c r="Z7"/>
    </row>
    <row r="8" spans="1:29" s="8" customFormat="1" x14ac:dyDescent="0.25">
      <c r="A8" s="180">
        <v>2018</v>
      </c>
      <c r="B8" s="54">
        <f>'Winter Peak'!AA7</f>
        <v>3806.7755500912945</v>
      </c>
      <c r="C8" s="55">
        <v>3806.7755500912945</v>
      </c>
      <c r="D8" s="56">
        <f t="shared" ref="D8:D20" si="0">B8/C8-1</f>
        <v>0</v>
      </c>
      <c r="E8" s="57">
        <f>'Winter Peak'!Z7</f>
        <v>4381.2034663359864</v>
      </c>
      <c r="F8" s="55">
        <v>4381.2034663359864</v>
      </c>
      <c r="G8" s="56">
        <f t="shared" ref="G8:G14" si="1">E8/F8-1</f>
        <v>0</v>
      </c>
      <c r="H8" s="57">
        <f>'Winter Peak'!AC7</f>
        <v>2660.6325508218129</v>
      </c>
      <c r="I8" s="55">
        <v>2660.6325508218129</v>
      </c>
      <c r="J8" s="56">
        <f t="shared" ref="J8:J14" si="2">H8/I8-1</f>
        <v>0</v>
      </c>
      <c r="K8" s="57">
        <f>'Winter Peak'!AB7</f>
        <v>3070.6039129033911</v>
      </c>
      <c r="L8" s="55">
        <v>3070.6039129033911</v>
      </c>
      <c r="M8" s="56">
        <f t="shared" ref="M8:M14" si="3">K8/L8-1</f>
        <v>0</v>
      </c>
      <c r="N8" s="57">
        <f>'Winter Peak'!AD7</f>
        <v>4157.7845198475097</v>
      </c>
      <c r="O8" s="55">
        <v>4157.7845198475097</v>
      </c>
      <c r="P8" s="56">
        <f t="shared" ref="P8:P14" si="4">N8/O8-1</f>
        <v>0</v>
      </c>
      <c r="Q8" s="59">
        <f t="shared" ref="Q8:Q14" si="5">+N8+K8+H8+E8+B8</f>
        <v>18076.999999999993</v>
      </c>
      <c r="R8" s="44">
        <f t="shared" ref="R8:R20" si="6">+O8+L8+I8+F8+C8</f>
        <v>18076.999999999993</v>
      </c>
      <c r="S8" s="56">
        <f t="shared" ref="S8:S14" si="7">Q8/R8-1</f>
        <v>0</v>
      </c>
      <c r="T8" s="60">
        <f>'Winter Peak'!C7</f>
        <v>832</v>
      </c>
      <c r="U8" s="60">
        <f>'Winter Peak'!D7</f>
        <v>200</v>
      </c>
      <c r="V8" s="61">
        <f>Q8+T8+U8</f>
        <v>19108.999999999993</v>
      </c>
      <c r="W8" s="60"/>
      <c r="X8" s="181">
        <f>V8-'Winter Peak'!B7</f>
        <v>0</v>
      </c>
      <c r="Y8" s="154">
        <f t="shared" ref="Y8:Y20" si="8">H8+K8</f>
        <v>5731.236463725204</v>
      </c>
      <c r="Z8" s="154">
        <f>I8+L8</f>
        <v>5731.236463725204</v>
      </c>
      <c r="AA8" s="130">
        <f t="shared" ref="AA8:AA20" si="9">Y8/Z8-1</f>
        <v>0</v>
      </c>
      <c r="AB8" s="182"/>
      <c r="AC8" s="182"/>
    </row>
    <row r="9" spans="1:29" s="8" customFormat="1" x14ac:dyDescent="0.25">
      <c r="A9" s="180">
        <v>2019</v>
      </c>
      <c r="B9" s="54">
        <f>'Winter Peak'!AA8</f>
        <v>2747.1772710504911</v>
      </c>
      <c r="C9" s="55">
        <v>2695.7386486701407</v>
      </c>
      <c r="D9" s="56">
        <f t="shared" si="0"/>
        <v>1.9081457472046148E-2</v>
      </c>
      <c r="E9" s="57">
        <f>'Winter Peak'!Z8</f>
        <v>3225.3956683554266</v>
      </c>
      <c r="F9" s="55">
        <v>3572.0129403107667</v>
      </c>
      <c r="G9" s="56">
        <f t="shared" si="1"/>
        <v>-9.7036958641360416E-2</v>
      </c>
      <c r="H9" s="57">
        <f>'Winter Peak'!AC8</f>
        <v>2296.1408925119135</v>
      </c>
      <c r="I9" s="55">
        <v>2498.7777570641315</v>
      </c>
      <c r="J9" s="56">
        <f t="shared" si="2"/>
        <v>-8.1094392640304491E-2</v>
      </c>
      <c r="K9" s="57">
        <f>'Winter Peak'!AB8</f>
        <v>2776.1466344609703</v>
      </c>
      <c r="L9" s="55">
        <v>2917.2307761444172</v>
      </c>
      <c r="M9" s="56">
        <f t="shared" si="3"/>
        <v>-4.8362352007650156E-2</v>
      </c>
      <c r="N9" s="57">
        <f>'Winter Peak'!AD8</f>
        <v>4310.1395336212008</v>
      </c>
      <c r="O9" s="55">
        <v>3671.2398778105453</v>
      </c>
      <c r="P9" s="56">
        <f t="shared" si="4"/>
        <v>0.17402830571552919</v>
      </c>
      <c r="Q9" s="59">
        <f>+N9+K9+H9+E9+B9</f>
        <v>15355.000000000004</v>
      </c>
      <c r="R9" s="44">
        <f t="shared" si="6"/>
        <v>15355</v>
      </c>
      <c r="S9" s="56">
        <f t="shared" si="7"/>
        <v>0</v>
      </c>
      <c r="T9" s="60">
        <f>'Winter Peak'!C8</f>
        <v>845</v>
      </c>
      <c r="U9" s="60">
        <f>'Winter Peak'!D8</f>
        <v>200</v>
      </c>
      <c r="V9" s="61">
        <f>Q9+T9+U9</f>
        <v>16400.000000000004</v>
      </c>
      <c r="W9" s="60"/>
      <c r="X9" s="181">
        <f>V9-'Winter Peak'!B8</f>
        <v>0</v>
      </c>
      <c r="Y9" s="154">
        <f>H9+K9</f>
        <v>5072.2875269728838</v>
      </c>
      <c r="Z9" s="154">
        <f t="shared" ref="Z9:Z20" si="10">I9+L9</f>
        <v>5416.0085332085491</v>
      </c>
      <c r="AA9" s="130">
        <f t="shared" si="9"/>
        <v>-6.3463896729135771E-2</v>
      </c>
    </row>
    <row r="10" spans="1:29" s="8" customFormat="1" x14ac:dyDescent="0.25">
      <c r="A10" s="132">
        <v>2020</v>
      </c>
      <c r="B10" s="133">
        <f>'Winter Peak'!AA9</f>
        <v>3156.7470985013629</v>
      </c>
      <c r="C10" s="134">
        <v>3386.1931307375585</v>
      </c>
      <c r="D10" s="135">
        <f t="shared" si="0"/>
        <v>-6.7759287015687453E-2</v>
      </c>
      <c r="E10" s="136">
        <f>'Winter Peak'!Z9</f>
        <v>4202.9033309116658</v>
      </c>
      <c r="F10" s="134">
        <v>4461.7595860803822</v>
      </c>
      <c r="G10" s="135">
        <f t="shared" si="1"/>
        <v>-5.8016630025581328E-2</v>
      </c>
      <c r="H10" s="136">
        <f>'Winter Peak'!AC9</f>
        <v>2514.6557071786847</v>
      </c>
      <c r="I10" s="134">
        <v>3114.9470463573821</v>
      </c>
      <c r="J10" s="135">
        <f t="shared" si="2"/>
        <v>-0.19271317625790074</v>
      </c>
      <c r="K10" s="136">
        <f>'Winter Peak'!AB9</f>
        <v>2874.7087178457932</v>
      </c>
      <c r="L10" s="134">
        <v>3659.9532115731363</v>
      </c>
      <c r="M10" s="135">
        <f t="shared" si="3"/>
        <v>-0.21455041863494917</v>
      </c>
      <c r="N10" s="136">
        <f>'Winter Peak'!AD9</f>
        <v>4160.1366049531489</v>
      </c>
      <c r="O10" s="134">
        <v>4621.2489051976581</v>
      </c>
      <c r="P10" s="135">
        <f t="shared" si="4"/>
        <v>-9.9780883848494373E-2</v>
      </c>
      <c r="Q10" s="137">
        <f>+N10+K10+H10+E10+B10</f>
        <v>16909.151459390654</v>
      </c>
      <c r="R10" s="138">
        <f t="shared" si="6"/>
        <v>19244.101879946116</v>
      </c>
      <c r="S10" s="135">
        <f t="shared" si="7"/>
        <v>-0.12133330176289836</v>
      </c>
      <c r="T10" s="139">
        <f>'Winter Peak'!C9</f>
        <v>794.20699999999999</v>
      </c>
      <c r="U10" s="139">
        <f>'Winter Peak'!D9</f>
        <v>200</v>
      </c>
      <c r="V10" s="140">
        <f>Q10+T10</f>
        <v>17703.358459390653</v>
      </c>
      <c r="W10" s="139"/>
      <c r="X10" s="141">
        <f>V10-'Winter Peak'!B9</f>
        <v>0</v>
      </c>
      <c r="Y10" s="111">
        <f t="shared" si="8"/>
        <v>5389.3644250244779</v>
      </c>
      <c r="Z10" s="111">
        <f t="shared" si="10"/>
        <v>6774.9002579305179</v>
      </c>
      <c r="AA10" s="142">
        <f t="shared" si="9"/>
        <v>-0.20451014482230478</v>
      </c>
    </row>
    <row r="11" spans="1:29" s="8" customFormat="1" x14ac:dyDescent="0.25">
      <c r="A11" s="43">
        <v>2021</v>
      </c>
      <c r="B11" s="54">
        <f>'Winter Peak'!AA10</f>
        <v>3628.8626268541125</v>
      </c>
      <c r="C11" s="55">
        <v>3441.3274078280606</v>
      </c>
      <c r="D11" s="56">
        <f t="shared" si="0"/>
        <v>5.4495023809551402E-2</v>
      </c>
      <c r="E11" s="57">
        <f>'Winter Peak'!Z10</f>
        <v>4792.1732328757298</v>
      </c>
      <c r="F11" s="55">
        <v>4500.2681279145036</v>
      </c>
      <c r="G11" s="56">
        <f t="shared" si="1"/>
        <v>6.486393625094955E-2</v>
      </c>
      <c r="H11" s="57">
        <f>'Winter Peak'!AC10</f>
        <v>2860.1855377946426</v>
      </c>
      <c r="I11" s="55">
        <v>3139.7468880907577</v>
      </c>
      <c r="J11" s="56">
        <f t="shared" si="2"/>
        <v>-8.9039454535812301E-2</v>
      </c>
      <c r="K11" s="57">
        <f>'Winter Peak'!AB10</f>
        <v>3282.319045981726</v>
      </c>
      <c r="L11" s="55">
        <v>3719.6032454937249</v>
      </c>
      <c r="M11" s="56">
        <f t="shared" si="3"/>
        <v>-0.11756205451260582</v>
      </c>
      <c r="N11" s="57">
        <f>'Winter Peak'!AD10</f>
        <v>4785.4184150367573</v>
      </c>
      <c r="O11" s="55">
        <v>4707.3694519685623</v>
      </c>
      <c r="P11" s="56">
        <f t="shared" si="4"/>
        <v>1.6580165178145423E-2</v>
      </c>
      <c r="Q11" s="59">
        <f t="shared" si="5"/>
        <v>19348.95885854297</v>
      </c>
      <c r="R11" s="44">
        <f t="shared" si="6"/>
        <v>19508.315121295607</v>
      </c>
      <c r="S11" s="56">
        <f t="shared" si="7"/>
        <v>-8.1686327989791696E-3</v>
      </c>
      <c r="T11" s="60">
        <f>'Winter Peak'!C10</f>
        <v>712.38949357466913</v>
      </c>
      <c r="U11" s="60">
        <f>'Winter Peak'!D10</f>
        <v>200</v>
      </c>
      <c r="V11" s="61">
        <f t="shared" ref="V11:V20" si="11">Q11+T11</f>
        <v>20061.348352117639</v>
      </c>
      <c r="W11" s="60"/>
      <c r="X11" s="10">
        <f>V11-'Winter Peak'!B10</f>
        <v>0</v>
      </c>
      <c r="Y11" s="2">
        <f t="shared" si="8"/>
        <v>6142.5045837763682</v>
      </c>
      <c r="Z11" s="2">
        <f t="shared" si="10"/>
        <v>6859.350133584483</v>
      </c>
      <c r="AA11" s="130">
        <f t="shared" si="9"/>
        <v>-0.10450633600088788</v>
      </c>
    </row>
    <row r="12" spans="1:29" s="8" customFormat="1" x14ac:dyDescent="0.25">
      <c r="A12" s="43">
        <v>2022</v>
      </c>
      <c r="B12" s="54">
        <f>'Winter Peak'!AA11</f>
        <v>3675.8752798910527</v>
      </c>
      <c r="C12" s="55">
        <v>3441.9404399877862</v>
      </c>
      <c r="D12" s="56">
        <f t="shared" si="0"/>
        <v>6.7965975583266225E-2</v>
      </c>
      <c r="E12" s="57">
        <f>'Winter Peak'!Z11</f>
        <v>4817.9622557221646</v>
      </c>
      <c r="F12" s="55">
        <v>4468.5231004228244</v>
      </c>
      <c r="G12" s="56">
        <f t="shared" si="1"/>
        <v>7.8200145203741966E-2</v>
      </c>
      <c r="H12" s="57">
        <f>'Winter Peak'!AC11</f>
        <v>2874.4286396381449</v>
      </c>
      <c r="I12" s="55">
        <v>3116.1661321304514</v>
      </c>
      <c r="J12" s="56">
        <f t="shared" si="2"/>
        <v>-7.7575290354316317E-2</v>
      </c>
      <c r="K12" s="57">
        <f>'Winter Peak'!AB11</f>
        <v>3319.0036942919342</v>
      </c>
      <c r="L12" s="55">
        <v>3720.4959120848484</v>
      </c>
      <c r="M12" s="56">
        <f t="shared" si="3"/>
        <v>-0.10791362960211681</v>
      </c>
      <c r="N12" s="57">
        <f>'Winter Peak'!AD11</f>
        <v>4861.2350774524348</v>
      </c>
      <c r="O12" s="55">
        <v>4715.6014227010137</v>
      </c>
      <c r="P12" s="56">
        <f t="shared" si="4"/>
        <v>3.0883368142680112E-2</v>
      </c>
      <c r="Q12" s="59">
        <f t="shared" si="5"/>
        <v>19548.50494699573</v>
      </c>
      <c r="R12" s="44">
        <f t="shared" si="6"/>
        <v>19462.727007326925</v>
      </c>
      <c r="S12" s="56">
        <f t="shared" si="7"/>
        <v>4.4072929572773756E-3</v>
      </c>
      <c r="T12" s="60">
        <f>'Winter Peak'!C11</f>
        <v>740.91160697503494</v>
      </c>
      <c r="U12" s="60">
        <f>'Winter Peak'!D11</f>
        <v>0</v>
      </c>
      <c r="V12" s="61">
        <f t="shared" si="11"/>
        <v>20289.416553970765</v>
      </c>
      <c r="W12" s="60"/>
      <c r="X12" s="10">
        <f>V12-'Winter Peak'!B11</f>
        <v>0</v>
      </c>
      <c r="Y12" s="2">
        <f t="shared" si="8"/>
        <v>6193.432333930079</v>
      </c>
      <c r="Z12" s="2">
        <f t="shared" si="10"/>
        <v>6836.6620442152998</v>
      </c>
      <c r="AA12" s="130">
        <f t="shared" si="9"/>
        <v>-9.4085345469062109E-2</v>
      </c>
    </row>
    <row r="13" spans="1:29" s="8" customFormat="1" x14ac:dyDescent="0.25">
      <c r="A13" s="43">
        <v>2023</v>
      </c>
      <c r="B13" s="54">
        <f>'Winter Peak'!AA12</f>
        <v>3752.3646538056319</v>
      </c>
      <c r="C13" s="55">
        <v>3486.6870117562571</v>
      </c>
      <c r="D13" s="56">
        <f t="shared" si="0"/>
        <v>7.6197731873717034E-2</v>
      </c>
      <c r="E13" s="57">
        <f>'Winter Peak'!Z12</f>
        <v>4881.7549014896331</v>
      </c>
      <c r="F13" s="55">
        <v>4494.4218195727653</v>
      </c>
      <c r="G13" s="56">
        <f t="shared" si="1"/>
        <v>8.618084760759892E-2</v>
      </c>
      <c r="H13" s="57">
        <f>'Winter Peak'!AC12</f>
        <v>2912.4385407090704</v>
      </c>
      <c r="I13" s="55">
        <v>3134.2611998425386</v>
      </c>
      <c r="J13" s="56">
        <f t="shared" si="2"/>
        <v>-7.0773507691258231E-2</v>
      </c>
      <c r="K13" s="57">
        <f>'Winter Peak'!AB12</f>
        <v>3383.8276330350154</v>
      </c>
      <c r="L13" s="55">
        <v>3768.6286123841946</v>
      </c>
      <c r="M13" s="56">
        <f t="shared" si="3"/>
        <v>-0.10210636784019367</v>
      </c>
      <c r="N13" s="57">
        <f>'Winter Peak'!AD12</f>
        <v>4971.122502014774</v>
      </c>
      <c r="O13" s="55">
        <v>4781.9504541528686</v>
      </c>
      <c r="P13" s="56">
        <f t="shared" si="4"/>
        <v>3.9559600141322981E-2</v>
      </c>
      <c r="Q13" s="59">
        <f t="shared" si="5"/>
        <v>19901.508231054122</v>
      </c>
      <c r="R13" s="44">
        <f t="shared" si="6"/>
        <v>19665.949097708624</v>
      </c>
      <c r="S13" s="56">
        <f t="shared" si="7"/>
        <v>1.1978020088180941E-2</v>
      </c>
      <c r="T13" s="60">
        <f>'Winter Peak'!C12</f>
        <v>770.77559739872481</v>
      </c>
      <c r="U13" s="60">
        <f>'Winter Peak'!D12</f>
        <v>0</v>
      </c>
      <c r="V13" s="61">
        <f t="shared" si="11"/>
        <v>20672.283828452848</v>
      </c>
      <c r="W13" s="60"/>
      <c r="X13" s="10">
        <f>V13-'Winter Peak'!B12</f>
        <v>0</v>
      </c>
      <c r="Y13" s="2">
        <f t="shared" si="8"/>
        <v>6296.2661737440858</v>
      </c>
      <c r="Z13" s="2">
        <f t="shared" si="10"/>
        <v>6902.8898122267328</v>
      </c>
      <c r="AA13" s="130">
        <f t="shared" si="9"/>
        <v>-8.7879664167341276E-2</v>
      </c>
    </row>
    <row r="14" spans="1:29" s="8" customFormat="1" x14ac:dyDescent="0.25">
      <c r="A14" s="43">
        <v>2024</v>
      </c>
      <c r="B14" s="54">
        <f>'Winter Peak'!AA13</f>
        <v>3830.4182469002544</v>
      </c>
      <c r="C14" s="55">
        <v>3531.6223546212159</v>
      </c>
      <c r="D14" s="56">
        <f t="shared" si="0"/>
        <v>8.4605844644758399E-2</v>
      </c>
      <c r="E14" s="57">
        <f>'Winter Peak'!Z13</f>
        <v>4946.9940693590952</v>
      </c>
      <c r="F14" s="55">
        <v>4520.5232202145226</v>
      </c>
      <c r="G14" s="56">
        <f t="shared" si="1"/>
        <v>9.4341037169660691E-2</v>
      </c>
      <c r="H14" s="57">
        <f>'Winter Peak'!AC13</f>
        <v>2952.1955223747686</v>
      </c>
      <c r="I14" s="55">
        <v>3153.5462706231601</v>
      </c>
      <c r="J14" s="56">
        <f t="shared" si="2"/>
        <v>-6.3848991252823284E-2</v>
      </c>
      <c r="K14" s="57">
        <f>'Winter Peak'!AB13</f>
        <v>3450.1674990868437</v>
      </c>
      <c r="L14" s="55">
        <v>3816.1932281828272</v>
      </c>
      <c r="M14" s="56">
        <f t="shared" si="3"/>
        <v>-9.5913835387804958E-2</v>
      </c>
      <c r="N14" s="57">
        <f>'Winter Peak'!AD13</f>
        <v>5080.6069477054498</v>
      </c>
      <c r="O14" s="55">
        <v>4847.8787162769095</v>
      </c>
      <c r="P14" s="56">
        <f t="shared" si="4"/>
        <v>4.8006199215988588E-2</v>
      </c>
      <c r="Q14" s="59">
        <f t="shared" si="5"/>
        <v>20260.382285426411</v>
      </c>
      <c r="R14" s="44">
        <f t="shared" si="6"/>
        <v>19869.763789918637</v>
      </c>
      <c r="S14" s="56">
        <f t="shared" si="7"/>
        <v>1.9658940067821096E-2</v>
      </c>
      <c r="T14" s="60">
        <f>'Winter Peak'!C13</f>
        <v>802.04739359118093</v>
      </c>
      <c r="U14" s="60">
        <f>'Winter Peak'!D13</f>
        <v>0</v>
      </c>
      <c r="V14" s="61">
        <f t="shared" si="11"/>
        <v>21062.42967901759</v>
      </c>
      <c r="W14" s="60"/>
      <c r="X14" s="10">
        <f>V14-'Winter Peak'!B13</f>
        <v>0</v>
      </c>
      <c r="Y14" s="2">
        <f t="shared" si="8"/>
        <v>6402.3630214616123</v>
      </c>
      <c r="Z14" s="2">
        <f t="shared" si="10"/>
        <v>6969.7394988059878</v>
      </c>
      <c r="AA14" s="130">
        <f t="shared" si="9"/>
        <v>-8.1405693489918107E-2</v>
      </c>
    </row>
    <row r="15" spans="1:29" s="8" customFormat="1" x14ac:dyDescent="0.25">
      <c r="A15" s="43">
        <v>2025</v>
      </c>
      <c r="B15" s="54">
        <f>'Winter Peak'!AA14</f>
        <v>3893.4566061650476</v>
      </c>
      <c r="C15" s="55">
        <v>3577.0405869545802</v>
      </c>
      <c r="D15" s="56">
        <f t="shared" si="0"/>
        <v>8.8457486438491273E-2</v>
      </c>
      <c r="E15" s="57">
        <f>'Winter Peak'!Z14</f>
        <v>4992.2449418023371</v>
      </c>
      <c r="F15" s="55">
        <v>4547.1232029687235</v>
      </c>
      <c r="G15" s="56">
        <f t="shared" ref="G15:G20" si="12">E15/F15-1</f>
        <v>9.7890846358199113E-2</v>
      </c>
      <c r="H15" s="57">
        <f>'Winter Peak'!AC14</f>
        <v>2980.4350827775856</v>
      </c>
      <c r="I15" s="55">
        <v>3173.6603018527971</v>
      </c>
      <c r="J15" s="56">
        <f t="shared" ref="J15:J20" si="13">H15/I15-1</f>
        <v>-6.0884026863998519E-2</v>
      </c>
      <c r="K15" s="57">
        <f>'Winter Peak'!AB14</f>
        <v>3503.0236211340361</v>
      </c>
      <c r="L15" s="55">
        <v>3863.868551179401</v>
      </c>
      <c r="M15" s="56">
        <f t="shared" ref="M15:M20" si="14">K15/L15-1</f>
        <v>-9.3389546063936679E-2</v>
      </c>
      <c r="N15" s="57">
        <f>'Winter Peak'!AD14</f>
        <v>5169.2167822807514</v>
      </c>
      <c r="O15" s="55">
        <v>4914.5895808003761</v>
      </c>
      <c r="P15" s="56">
        <f t="shared" ref="P15:P20" si="15">N15/O15-1</f>
        <v>5.1810471107316181E-2</v>
      </c>
      <c r="Q15" s="59">
        <f t="shared" ref="Q15:Q20" si="16">+N15+K15+H15+E15+B15</f>
        <v>20538.377034159756</v>
      </c>
      <c r="R15" s="44">
        <f t="shared" si="6"/>
        <v>20076.282223755876</v>
      </c>
      <c r="S15" s="56">
        <f t="shared" ref="S15:S20" si="17">Q15/R15-1</f>
        <v>2.301695130869863E-2</v>
      </c>
      <c r="T15" s="60">
        <f>'Winter Peak'!C14</f>
        <v>834.79620210820769</v>
      </c>
      <c r="U15" s="60">
        <f>'Winter Peak'!D14</f>
        <v>0</v>
      </c>
      <c r="V15" s="61">
        <f t="shared" si="11"/>
        <v>21373.173236267965</v>
      </c>
      <c r="W15" s="60"/>
      <c r="X15" s="10">
        <f>V15-'Winter Peak'!B14</f>
        <v>0</v>
      </c>
      <c r="Y15" s="2">
        <f t="shared" si="8"/>
        <v>6483.4587039116213</v>
      </c>
      <c r="Z15" s="2">
        <f t="shared" si="10"/>
        <v>7037.5288530321977</v>
      </c>
      <c r="AA15" s="130">
        <f t="shared" si="9"/>
        <v>-7.8730781882599188E-2</v>
      </c>
    </row>
    <row r="16" spans="1:29" s="8" customFormat="1" x14ac:dyDescent="0.25">
      <c r="A16" s="43">
        <v>2026</v>
      </c>
      <c r="B16" s="54">
        <f>'Winter Peak'!AA15</f>
        <v>3958.1111542134827</v>
      </c>
      <c r="C16" s="55">
        <v>3630.8745931430517</v>
      </c>
      <c r="D16" s="56">
        <f t="shared" si="0"/>
        <v>9.0126098458046755E-2</v>
      </c>
      <c r="E16" s="57">
        <f>'Winter Peak'!Z15</f>
        <v>5038.9855753691181</v>
      </c>
      <c r="F16" s="55">
        <v>4583.9975766483531</v>
      </c>
      <c r="G16" s="56">
        <f t="shared" si="12"/>
        <v>9.9255724095176134E-2</v>
      </c>
      <c r="H16" s="57">
        <f>'Winter Peak'!AC15</f>
        <v>3009.767345160561</v>
      </c>
      <c r="I16" s="55">
        <v>3201.1705823540146</v>
      </c>
      <c r="J16" s="56">
        <f t="shared" si="13"/>
        <v>-5.9791639423570908E-2</v>
      </c>
      <c r="K16" s="57">
        <f>'Winter Peak'!AB15</f>
        <v>3557.4977195410752</v>
      </c>
      <c r="L16" s="55">
        <v>3920.6060052804091</v>
      </c>
      <c r="M16" s="56">
        <f t="shared" si="14"/>
        <v>-9.2615347028058181E-2</v>
      </c>
      <c r="N16" s="57">
        <f>'Winter Peak'!AD15</f>
        <v>5259.6574944335243</v>
      </c>
      <c r="O16" s="55">
        <v>4993.067411696753</v>
      </c>
      <c r="P16" s="56">
        <f t="shared" si="15"/>
        <v>5.3392045561463375E-2</v>
      </c>
      <c r="Q16" s="59">
        <f t="shared" si="16"/>
        <v>20824.019288717762</v>
      </c>
      <c r="R16" s="44">
        <f t="shared" si="6"/>
        <v>20329.716169122585</v>
      </c>
      <c r="S16" s="56">
        <f t="shared" si="17"/>
        <v>2.431431484252311E-2</v>
      </c>
      <c r="T16" s="60">
        <f>'Winter Peak'!C15</f>
        <v>869.09467087602968</v>
      </c>
      <c r="U16" s="60">
        <f>'Winter Peak'!D15</f>
        <v>0</v>
      </c>
      <c r="V16" s="61">
        <f t="shared" si="11"/>
        <v>21693.113959593793</v>
      </c>
      <c r="W16" s="60"/>
      <c r="X16" s="10">
        <f>V16-'Winter Peak'!B15</f>
        <v>0</v>
      </c>
      <c r="Y16" s="2">
        <f t="shared" si="8"/>
        <v>6567.2650647016362</v>
      </c>
      <c r="Z16" s="2">
        <f t="shared" si="10"/>
        <v>7121.7765876344238</v>
      </c>
      <c r="AA16" s="130">
        <f t="shared" si="9"/>
        <v>-7.7861403837855336E-2</v>
      </c>
    </row>
    <row r="17" spans="1:27" s="8" customFormat="1" x14ac:dyDescent="0.25">
      <c r="A17" s="43">
        <v>2027</v>
      </c>
      <c r="B17" s="54">
        <f>'Winter Peak'!AA16</f>
        <v>4005.2520810826732</v>
      </c>
      <c r="C17" s="55">
        <v>3672.8130770328144</v>
      </c>
      <c r="D17" s="56">
        <f t="shared" si="0"/>
        <v>9.0513455783714614E-2</v>
      </c>
      <c r="E17" s="57">
        <f>'Winter Peak'!Z16</f>
        <v>5062.98331029581</v>
      </c>
      <c r="F17" s="55">
        <v>4605.5693962281393</v>
      </c>
      <c r="G17" s="56">
        <f t="shared" si="12"/>
        <v>9.9317559831425539E-2</v>
      </c>
      <c r="H17" s="57">
        <f>'Winter Peak'!AC16</f>
        <v>3026.0868166586565</v>
      </c>
      <c r="I17" s="55">
        <v>3218.5989348593366</v>
      </c>
      <c r="J17" s="56">
        <f t="shared" si="13"/>
        <v>-5.9812397287422048E-2</v>
      </c>
      <c r="K17" s="57">
        <f>'Winter Peak'!AB16</f>
        <v>3596.5032205444136</v>
      </c>
      <c r="L17" s="55">
        <v>3964.7849337862817</v>
      </c>
      <c r="M17" s="56">
        <f t="shared" si="14"/>
        <v>-9.2888194288553105E-2</v>
      </c>
      <c r="N17" s="57">
        <f>'Winter Peak'!AD16</f>
        <v>5326.831746608158</v>
      </c>
      <c r="O17" s="55">
        <v>5055.5543858468618</v>
      </c>
      <c r="P17" s="56">
        <f t="shared" si="15"/>
        <v>5.3659270587760544E-2</v>
      </c>
      <c r="Q17" s="59">
        <f t="shared" si="16"/>
        <v>21017.65717518971</v>
      </c>
      <c r="R17" s="44">
        <f t="shared" si="6"/>
        <v>20517.320727753435</v>
      </c>
      <c r="S17" s="56">
        <f t="shared" si="17"/>
        <v>2.4386051866873482E-2</v>
      </c>
      <c r="T17" s="60">
        <f>'Winter Peak'!C16</f>
        <v>905.01906092311856</v>
      </c>
      <c r="U17" s="60">
        <f>'Winter Peak'!D16</f>
        <v>0</v>
      </c>
      <c r="V17" s="61">
        <f t="shared" si="11"/>
        <v>21922.676236112828</v>
      </c>
      <c r="W17" s="60"/>
      <c r="X17" s="10">
        <f>V17-'Winter Peak'!B16</f>
        <v>0</v>
      </c>
      <c r="Y17" s="2">
        <f t="shared" si="8"/>
        <v>6622.5900372030701</v>
      </c>
      <c r="Z17" s="2">
        <f t="shared" si="10"/>
        <v>7183.3838686456183</v>
      </c>
      <c r="AA17" s="130">
        <f t="shared" si="9"/>
        <v>-7.8068197620668522E-2</v>
      </c>
    </row>
    <row r="18" spans="1:27" s="8" customFormat="1" x14ac:dyDescent="0.25">
      <c r="A18" s="43">
        <v>2028</v>
      </c>
      <c r="B18" s="54">
        <f>'Winter Peak'!AA17</f>
        <v>4072.5110339638472</v>
      </c>
      <c r="C18" s="55">
        <v>3733.4585220703057</v>
      </c>
      <c r="D18" s="56">
        <f t="shared" si="0"/>
        <v>9.0814591856112958E-2</v>
      </c>
      <c r="E18" s="57">
        <f>'Winter Peak'!Z17</f>
        <v>5112.7463349126292</v>
      </c>
      <c r="F18" s="55">
        <v>4650.9871784944862</v>
      </c>
      <c r="G18" s="56">
        <f t="shared" si="12"/>
        <v>9.92819671817744E-2</v>
      </c>
      <c r="H18" s="57">
        <f>'Winter Peak'!AC17</f>
        <v>3058.0909868039953</v>
      </c>
      <c r="I18" s="55">
        <v>3253.003923736761</v>
      </c>
      <c r="J18" s="56">
        <f t="shared" si="13"/>
        <v>-5.9917830258522153E-2</v>
      </c>
      <c r="K18" s="57">
        <f>'Winter Peak'!AB17</f>
        <v>3654.082608701025</v>
      </c>
      <c r="L18" s="55">
        <v>4029.7284071557042</v>
      </c>
      <c r="M18" s="56">
        <f t="shared" si="14"/>
        <v>-9.3218639198521247E-2</v>
      </c>
      <c r="N18" s="57">
        <f>'Winter Peak'!AD17</f>
        <v>5421.2333611954036</v>
      </c>
      <c r="O18" s="55">
        <v>5144.5070469170878</v>
      </c>
      <c r="P18" s="56">
        <f t="shared" si="15"/>
        <v>5.3790637616901948E-2</v>
      </c>
      <c r="Q18" s="59">
        <f t="shared" si="16"/>
        <v>21318.664325576901</v>
      </c>
      <c r="R18" s="44">
        <f t="shared" si="6"/>
        <v>20811.685078374347</v>
      </c>
      <c r="S18" s="56">
        <f t="shared" si="17"/>
        <v>2.4360317066750348E-2</v>
      </c>
      <c r="T18" s="60">
        <f>'Winter Peak'!C17</f>
        <v>942.64942669226446</v>
      </c>
      <c r="U18" s="60">
        <f>'Winter Peak'!D17</f>
        <v>0</v>
      </c>
      <c r="V18" s="61">
        <f t="shared" si="11"/>
        <v>22261.313752269165</v>
      </c>
      <c r="W18" s="60"/>
      <c r="X18" s="10">
        <f>V18-'Winter Peak'!B17</f>
        <v>0</v>
      </c>
      <c r="Y18" s="2">
        <f t="shared" si="8"/>
        <v>6712.1735955050208</v>
      </c>
      <c r="Z18" s="2">
        <f t="shared" si="10"/>
        <v>7282.7323308924651</v>
      </c>
      <c r="AA18" s="130">
        <f t="shared" si="9"/>
        <v>-7.8344048560895718E-2</v>
      </c>
    </row>
    <row r="19" spans="1:27" s="8" customFormat="1" x14ac:dyDescent="0.25">
      <c r="A19" s="43">
        <v>2029</v>
      </c>
      <c r="B19" s="54">
        <f>'Winter Peak'!AA18</f>
        <v>4141.2084085799415</v>
      </c>
      <c r="C19" s="55">
        <v>3796.6512890695471</v>
      </c>
      <c r="D19" s="56">
        <f t="shared" si="0"/>
        <v>9.0752901248098539E-2</v>
      </c>
      <c r="E19" s="57">
        <f>'Winter Peak'!Z18</f>
        <v>5164.4669727243872</v>
      </c>
      <c r="F19" s="55">
        <v>4700.1473961944139</v>
      </c>
      <c r="G19" s="56">
        <f t="shared" si="12"/>
        <v>9.878830117241022E-2</v>
      </c>
      <c r="H19" s="57">
        <f>'Winter Peak'!AC18</f>
        <v>3091.4688829744541</v>
      </c>
      <c r="I19" s="55">
        <v>3290.2593115034761</v>
      </c>
      <c r="J19" s="56">
        <f t="shared" si="13"/>
        <v>-6.0417860633052989E-2</v>
      </c>
      <c r="K19" s="57">
        <f>'Winter Peak'!AB18</f>
        <v>3713.5246096861842</v>
      </c>
      <c r="L19" s="55">
        <v>4098.4261910723753</v>
      </c>
      <c r="M19" s="56">
        <f t="shared" si="14"/>
        <v>-9.3914484107246898E-2</v>
      </c>
      <c r="N19" s="57">
        <f>'Winter Peak'!AD18</f>
        <v>5518.6288105996337</v>
      </c>
      <c r="O19" s="55">
        <v>5238.5582336244315</v>
      </c>
      <c r="P19" s="56">
        <f t="shared" si="15"/>
        <v>5.3463293617226348E-2</v>
      </c>
      <c r="Q19" s="59">
        <f t="shared" si="16"/>
        <v>21629.297684564604</v>
      </c>
      <c r="R19" s="44">
        <f t="shared" si="6"/>
        <v>21124.042421464244</v>
      </c>
      <c r="S19" s="56">
        <f t="shared" si="17"/>
        <v>2.3918493109394978E-2</v>
      </c>
      <c r="T19" s="60">
        <f>'Winter Peak'!C18</f>
        <v>982.06980536177014</v>
      </c>
      <c r="U19" s="60">
        <f>'Winter Peak'!D18</f>
        <v>0</v>
      </c>
      <c r="V19" s="61">
        <f t="shared" si="11"/>
        <v>22611.367489926375</v>
      </c>
      <c r="W19" s="60"/>
      <c r="X19" s="10">
        <f>V19-'Winter Peak'!B18</f>
        <v>0</v>
      </c>
      <c r="Y19" s="2">
        <f t="shared" si="8"/>
        <v>6804.9934926606384</v>
      </c>
      <c r="Z19" s="2">
        <f t="shared" si="10"/>
        <v>7388.6855025758514</v>
      </c>
      <c r="AA19" s="130">
        <f t="shared" si="9"/>
        <v>-7.899808561505639E-2</v>
      </c>
    </row>
    <row r="20" spans="1:27" s="8" customFormat="1" ht="15.75" thickBot="1" x14ac:dyDescent="0.3">
      <c r="A20" s="43">
        <v>2030</v>
      </c>
      <c r="B20" s="83">
        <f>'Winter Peak'!AA19</f>
        <v>4210.9518451958766</v>
      </c>
      <c r="C20" s="66">
        <v>3864.2138596724449</v>
      </c>
      <c r="D20" s="67">
        <f t="shared" si="0"/>
        <v>8.9730537210179984E-2</v>
      </c>
      <c r="E20" s="86">
        <f>'Winter Peak'!Z19</f>
        <v>5217.5541450838018</v>
      </c>
      <c r="F20" s="66">
        <v>4754.880218639667</v>
      </c>
      <c r="G20" s="67">
        <f t="shared" si="12"/>
        <v>9.7305064516746587E-2</v>
      </c>
      <c r="H20" s="86">
        <f>'Winter Peak'!AC19</f>
        <v>3126.1358783424198</v>
      </c>
      <c r="I20" s="66">
        <v>3331.9206986634699</v>
      </c>
      <c r="J20" s="67">
        <f t="shared" si="13"/>
        <v>-6.1761620078051749E-2</v>
      </c>
      <c r="K20" s="86">
        <f>'Winter Peak'!AB19</f>
        <v>3774.4575481362008</v>
      </c>
      <c r="L20" s="66">
        <v>4172.6474516521512</v>
      </c>
      <c r="M20" s="67">
        <f t="shared" si="14"/>
        <v>-9.5428599739066811E-2</v>
      </c>
      <c r="N20" s="86">
        <f>'Winter Peak'!AD19</f>
        <v>5618.5234025937225</v>
      </c>
      <c r="O20" s="66">
        <v>5339.8429440240043</v>
      </c>
      <c r="P20" s="67">
        <f t="shared" si="15"/>
        <v>5.2188886731509454E-2</v>
      </c>
      <c r="Q20" s="84">
        <f t="shared" si="16"/>
        <v>21947.622819352022</v>
      </c>
      <c r="R20" s="85">
        <f t="shared" si="6"/>
        <v>21463.505172651738</v>
      </c>
      <c r="S20" s="67">
        <f t="shared" si="17"/>
        <v>2.2555386121980492E-2</v>
      </c>
      <c r="T20" s="60">
        <f>'Winter Peak'!C19</f>
        <v>1023.3684156261099</v>
      </c>
      <c r="U20" s="60">
        <f>'Winter Peak'!D19</f>
        <v>0</v>
      </c>
      <c r="V20" s="61">
        <f t="shared" si="11"/>
        <v>22970.991234978133</v>
      </c>
      <c r="W20" s="60"/>
      <c r="X20" s="10">
        <f>V20-'Winter Peak'!B19</f>
        <v>0</v>
      </c>
      <c r="Y20" s="2">
        <f t="shared" si="8"/>
        <v>6900.593426478621</v>
      </c>
      <c r="Z20" s="2">
        <f t="shared" si="10"/>
        <v>7504.5681503156211</v>
      </c>
      <c r="AA20" s="130">
        <f t="shared" si="9"/>
        <v>-8.0480943305391794E-2</v>
      </c>
    </row>
    <row r="21" spans="1:27" x14ac:dyDescent="0.25">
      <c r="A21" t="s">
        <v>66</v>
      </c>
      <c r="B21" s="176">
        <f>(B20/B10)^(1/10)-1</f>
        <v>2.9233820189651372E-2</v>
      </c>
      <c r="C21" s="176">
        <f>(C20/C10)^(1/10)-1</f>
        <v>1.3292767769177427E-2</v>
      </c>
      <c r="D21" s="196"/>
      <c r="E21" s="176">
        <f>(E20/E10)^(1/10)-1</f>
        <v>2.1860840051302066E-2</v>
      </c>
      <c r="F21" s="176">
        <f>(F20/F10)^(1/10)-1</f>
        <v>6.3831148805579829E-3</v>
      </c>
      <c r="G21" s="196"/>
      <c r="H21" s="176">
        <f>(H20/H10)^(1/10)-1</f>
        <v>2.2004791348866792E-2</v>
      </c>
      <c r="I21" s="176">
        <f>(I20/I10)^(1/10)-1</f>
        <v>6.7563993336394734E-3</v>
      </c>
      <c r="J21" s="196"/>
      <c r="K21" s="176">
        <f>(K20/K10)^(1/10)-1</f>
        <v>2.7604671521037183E-2</v>
      </c>
      <c r="L21" s="176">
        <f>(L20/L10)^(1/10)-1</f>
        <v>1.3196348412428671E-2</v>
      </c>
      <c r="M21" s="196"/>
      <c r="N21" s="176">
        <f>(N20/N10)^(1/10)-1</f>
        <v>3.0508219783524471E-2</v>
      </c>
      <c r="O21" s="176">
        <f>(O20/O10)^(1/10)-1</f>
        <v>1.4558076117030749E-2</v>
      </c>
      <c r="P21" s="196"/>
      <c r="Q21" s="176">
        <f>(Q20/Q10)^(1/10)-1</f>
        <v>2.6423454413423197E-2</v>
      </c>
      <c r="R21" s="176">
        <f>(R20/R10)^(1/10)-1</f>
        <v>1.0974729431505459E-2</v>
      </c>
    </row>
    <row r="22" spans="1:27" ht="15.75" thickBot="1" x14ac:dyDescent="0.3"/>
    <row r="23" spans="1:27" s="13" customFormat="1" ht="15.75" thickBot="1" x14ac:dyDescent="0.3">
      <c r="A23" s="43" t="s">
        <v>7</v>
      </c>
      <c r="B23" s="221" t="s">
        <v>8</v>
      </c>
      <c r="C23" s="222"/>
      <c r="D23" s="223"/>
      <c r="E23" s="221" t="s">
        <v>9</v>
      </c>
      <c r="F23" s="222"/>
      <c r="G23" s="223"/>
      <c r="H23" s="221" t="s">
        <v>10</v>
      </c>
      <c r="I23" s="222"/>
      <c r="J23" s="223"/>
      <c r="K23" s="221" t="s">
        <v>11</v>
      </c>
      <c r="L23" s="222"/>
      <c r="M23" s="223"/>
      <c r="N23" s="221" t="s">
        <v>12</v>
      </c>
      <c r="O23" s="222"/>
      <c r="P23" s="223"/>
      <c r="Q23" s="221" t="s">
        <v>13</v>
      </c>
      <c r="R23" s="222"/>
      <c r="S23" s="223"/>
      <c r="T23" s="11"/>
      <c r="U23" s="11"/>
      <c r="V23" s="11"/>
      <c r="W23" s="11"/>
      <c r="X23" s="12"/>
      <c r="Y23" s="12"/>
      <c r="Z23" s="12"/>
    </row>
    <row r="24" spans="1:27" s="14" customFormat="1" x14ac:dyDescent="0.25">
      <c r="A24" s="45"/>
      <c r="B24" s="168" t="s">
        <v>71</v>
      </c>
      <c r="C24" s="124" t="s">
        <v>61</v>
      </c>
      <c r="D24" s="47"/>
      <c r="E24" s="168" t="s">
        <v>71</v>
      </c>
      <c r="F24" s="124" t="s">
        <v>61</v>
      </c>
      <c r="G24" s="47"/>
      <c r="H24" s="168" t="s">
        <v>71</v>
      </c>
      <c r="I24" s="124" t="s">
        <v>61</v>
      </c>
      <c r="J24" s="47"/>
      <c r="K24" s="168" t="s">
        <v>71</v>
      </c>
      <c r="L24" s="124" t="s">
        <v>61</v>
      </c>
      <c r="M24" s="47"/>
      <c r="N24" s="168" t="s">
        <v>71</v>
      </c>
      <c r="O24" s="124" t="s">
        <v>61</v>
      </c>
      <c r="P24" s="47"/>
      <c r="Q24" s="168" t="s">
        <v>71</v>
      </c>
      <c r="R24" s="124" t="s">
        <v>61</v>
      </c>
      <c r="S24" s="47"/>
      <c r="T24" s="11"/>
      <c r="U24" s="11"/>
      <c r="V24" s="11"/>
      <c r="W24" s="11"/>
      <c r="X24" s="12"/>
      <c r="Y24" s="12"/>
      <c r="Z24" s="12"/>
    </row>
    <row r="25" spans="1:27" x14ac:dyDescent="0.25">
      <c r="A25" s="41"/>
      <c r="B25" s="54"/>
      <c r="C25" s="55"/>
      <c r="D25" s="56"/>
      <c r="E25" s="54"/>
      <c r="F25" s="55"/>
      <c r="G25" s="56"/>
      <c r="H25" s="54"/>
      <c r="I25" s="55"/>
      <c r="J25" s="56"/>
      <c r="K25" s="54"/>
      <c r="L25" s="55"/>
      <c r="M25" s="56"/>
      <c r="N25" s="54"/>
      <c r="O25" s="55"/>
      <c r="P25" s="56"/>
      <c r="Q25" s="54"/>
      <c r="R25" s="55"/>
      <c r="S25" s="56"/>
    </row>
    <row r="26" spans="1:27" x14ac:dyDescent="0.25">
      <c r="A26" s="43">
        <f t="shared" ref="A26:A37" si="18">A9</f>
        <v>2019</v>
      </c>
      <c r="B26" s="68">
        <f t="shared" ref="B26:B31" si="19">B9/B8-1</f>
        <v>-0.27834535162321083</v>
      </c>
      <c r="C26" s="119">
        <f t="shared" ref="C26:C37" si="20">C9/C8-1</f>
        <v>-0.29185773807822968</v>
      </c>
      <c r="D26" s="56"/>
      <c r="E26" s="68">
        <f t="shared" ref="E26:E31" si="21">E9/E8-1</f>
        <v>-0.26381057325035973</v>
      </c>
      <c r="F26" s="119">
        <f t="shared" ref="F26:F32" si="22">F9/F8-1</f>
        <v>-0.18469594764151598</v>
      </c>
      <c r="G26" s="56"/>
      <c r="H26" s="68">
        <f t="shared" ref="H26:H31" si="23">H9/H8-1</f>
        <v>-0.1369943618096815</v>
      </c>
      <c r="I26" s="119">
        <f t="shared" ref="I26:I32" si="24">I9/I8-1</f>
        <v>-6.0833200626553174E-2</v>
      </c>
      <c r="J26" s="56"/>
      <c r="K26" s="68">
        <f t="shared" ref="K26:K31" si="25">K9/K8-1</f>
        <v>-9.5895558917593715E-2</v>
      </c>
      <c r="L26" s="119">
        <f t="shared" ref="L26:L32" si="26">L9/L8-1</f>
        <v>-4.9948850815458301E-2</v>
      </c>
      <c r="M26" s="56"/>
      <c r="N26" s="68">
        <f t="shared" ref="N26:N31" si="27">N9/N8-1</f>
        <v>3.664331642162133E-2</v>
      </c>
      <c r="O26" s="119">
        <f t="shared" ref="O26:O32" si="28">O9/O8-1</f>
        <v>-0.11702016776348212</v>
      </c>
      <c r="P26" s="56"/>
      <c r="Q26" s="68">
        <f t="shared" ref="Q26:Q31" si="29">Q9/Q8-1</f>
        <v>-0.15057808264645633</v>
      </c>
      <c r="R26" s="119">
        <f t="shared" ref="R26:R32" si="30">R9/R8-1</f>
        <v>-0.15057808264645645</v>
      </c>
      <c r="S26" s="56"/>
    </row>
    <row r="27" spans="1:27" x14ac:dyDescent="0.25">
      <c r="A27" s="43">
        <f t="shared" si="18"/>
        <v>2020</v>
      </c>
      <c r="B27" s="68">
        <f t="shared" si="19"/>
        <v>0.14908751312370039</v>
      </c>
      <c r="C27" s="119">
        <f t="shared" si="20"/>
        <v>0.25612812369924365</v>
      </c>
      <c r="D27" s="56"/>
      <c r="E27" s="68">
        <f t="shared" si="21"/>
        <v>0.30306596866444413</v>
      </c>
      <c r="F27" s="119">
        <f t="shared" si="22"/>
        <v>0.24908830416840733</v>
      </c>
      <c r="G27" s="56"/>
      <c r="H27" s="68">
        <f t="shared" si="23"/>
        <v>9.5166117801996908E-2</v>
      </c>
      <c r="I27" s="119">
        <f t="shared" si="24"/>
        <v>0.2465882720267214</v>
      </c>
      <c r="J27" s="56"/>
      <c r="K27" s="68">
        <f t="shared" si="25"/>
        <v>3.5503197907973627E-2</v>
      </c>
      <c r="L27" s="119">
        <f t="shared" si="26"/>
        <v>0.25459845052448826</v>
      </c>
      <c r="M27" s="56"/>
      <c r="N27" s="68">
        <f t="shared" si="27"/>
        <v>-3.4802337023652097E-2</v>
      </c>
      <c r="O27" s="119">
        <f t="shared" si="28"/>
        <v>0.25877062218927493</v>
      </c>
      <c r="P27" s="56"/>
      <c r="Q27" s="68">
        <f t="shared" si="29"/>
        <v>0.1012146831254086</v>
      </c>
      <c r="R27" s="119">
        <f t="shared" si="30"/>
        <v>0.25327918462690424</v>
      </c>
      <c r="S27" s="56"/>
    </row>
    <row r="28" spans="1:27" x14ac:dyDescent="0.25">
      <c r="A28" s="43">
        <f t="shared" si="18"/>
        <v>2021</v>
      </c>
      <c r="B28" s="68">
        <f t="shared" si="19"/>
        <v>0.14955760269071994</v>
      </c>
      <c r="C28" s="119">
        <f t="shared" si="20"/>
        <v>1.628208284696786E-2</v>
      </c>
      <c r="D28" s="56"/>
      <c r="E28" s="68">
        <f t="shared" si="21"/>
        <v>0.14020543790052953</v>
      </c>
      <c r="F28" s="119">
        <f t="shared" si="22"/>
        <v>8.6307971308581255E-3</v>
      </c>
      <c r="G28" s="56"/>
      <c r="H28" s="68">
        <f t="shared" si="23"/>
        <v>0.13740641696179745</v>
      </c>
      <c r="I28" s="119">
        <f t="shared" si="24"/>
        <v>7.9615612606886987E-3</v>
      </c>
      <c r="J28" s="56"/>
      <c r="K28" s="68">
        <f t="shared" si="25"/>
        <v>0.14179187115743042</v>
      </c>
      <c r="L28" s="119">
        <f t="shared" si="26"/>
        <v>1.6298031825098036E-2</v>
      </c>
      <c r="M28" s="56"/>
      <c r="N28" s="68">
        <f t="shared" si="27"/>
        <v>0.15030319180844542</v>
      </c>
      <c r="O28" s="119">
        <f t="shared" si="28"/>
        <v>1.8635773259051636E-2</v>
      </c>
      <c r="P28" s="56"/>
      <c r="Q28" s="68">
        <f t="shared" si="29"/>
        <v>0.14428916820644755</v>
      </c>
      <c r="R28" s="119">
        <f t="shared" si="30"/>
        <v>1.3729569870175151E-2</v>
      </c>
      <c r="S28" s="56"/>
    </row>
    <row r="29" spans="1:27" x14ac:dyDescent="0.25">
      <c r="A29" s="43">
        <f t="shared" si="18"/>
        <v>2022</v>
      </c>
      <c r="B29" s="68">
        <f t="shared" si="19"/>
        <v>1.2955203288501416E-2</v>
      </c>
      <c r="C29" s="119">
        <f t="shared" si="20"/>
        <v>1.7813828417811983E-4</v>
      </c>
      <c r="D29" s="56"/>
      <c r="E29" s="68">
        <f t="shared" si="21"/>
        <v>5.3814880208240545E-3</v>
      </c>
      <c r="F29" s="119">
        <f t="shared" si="22"/>
        <v>-7.0540302465023075E-3</v>
      </c>
      <c r="G29" s="56"/>
      <c r="H29" s="68">
        <f t="shared" si="23"/>
        <v>4.9797824844903804E-3</v>
      </c>
      <c r="I29" s="119">
        <f t="shared" si="24"/>
        <v>-7.5104002968359174E-3</v>
      </c>
      <c r="J29" s="56"/>
      <c r="K29" s="68">
        <f t="shared" si="25"/>
        <v>1.1176441959570571E-2</v>
      </c>
      <c r="L29" s="119">
        <f t="shared" si="26"/>
        <v>2.3998973336869511E-4</v>
      </c>
      <c r="M29" s="56"/>
      <c r="N29" s="68">
        <f t="shared" si="27"/>
        <v>1.584326715871831E-2</v>
      </c>
      <c r="O29" s="119">
        <f t="shared" si="28"/>
        <v>1.7487411634982131E-3</v>
      </c>
      <c r="P29" s="56"/>
      <c r="Q29" s="68">
        <f t="shared" si="29"/>
        <v>1.0313014251134067E-2</v>
      </c>
      <c r="R29" s="119">
        <f t="shared" si="30"/>
        <v>-2.3368555246945366E-3</v>
      </c>
      <c r="S29" s="56"/>
    </row>
    <row r="30" spans="1:27" x14ac:dyDescent="0.25">
      <c r="A30" s="43">
        <f t="shared" si="18"/>
        <v>2023</v>
      </c>
      <c r="B30" s="68">
        <f t="shared" si="19"/>
        <v>2.0808479094221566E-2</v>
      </c>
      <c r="C30" s="119">
        <f t="shared" si="20"/>
        <v>1.300039107260953E-2</v>
      </c>
      <c r="D30" s="56"/>
      <c r="E30" s="68">
        <f t="shared" si="21"/>
        <v>1.3240586451606973E-2</v>
      </c>
      <c r="F30" s="119">
        <f t="shared" si="22"/>
        <v>5.7958118527998703E-3</v>
      </c>
      <c r="G30" s="56"/>
      <c r="H30" s="68">
        <f t="shared" si="23"/>
        <v>1.3223463107336242E-2</v>
      </c>
      <c r="I30" s="119">
        <f t="shared" si="24"/>
        <v>5.8068366527417314E-3</v>
      </c>
      <c r="J30" s="56"/>
      <c r="K30" s="68">
        <f t="shared" si="25"/>
        <v>1.9531143895550995E-2</v>
      </c>
      <c r="L30" s="119">
        <f t="shared" si="26"/>
        <v>1.2937173279240044E-2</v>
      </c>
      <c r="M30" s="56"/>
      <c r="N30" s="68">
        <f t="shared" si="27"/>
        <v>2.2604836592252653E-2</v>
      </c>
      <c r="O30" s="119">
        <f t="shared" si="28"/>
        <v>1.4070110152323068E-2</v>
      </c>
      <c r="P30" s="56"/>
      <c r="Q30" s="68">
        <f t="shared" si="29"/>
        <v>1.8057814907868064E-2</v>
      </c>
      <c r="R30" s="119">
        <f t="shared" si="30"/>
        <v>1.0441604113606173E-2</v>
      </c>
      <c r="S30" s="56"/>
    </row>
    <row r="31" spans="1:27" x14ac:dyDescent="0.25">
      <c r="A31" s="43">
        <f t="shared" si="18"/>
        <v>2024</v>
      </c>
      <c r="B31" s="68">
        <f t="shared" si="19"/>
        <v>2.0801174804655709E-2</v>
      </c>
      <c r="C31" s="119">
        <f t="shared" si="20"/>
        <v>1.2887690438931898E-2</v>
      </c>
      <c r="D31" s="56"/>
      <c r="E31" s="68">
        <f t="shared" si="21"/>
        <v>1.3363876144120823E-2</v>
      </c>
      <c r="F31" s="119">
        <f t="shared" si="22"/>
        <v>5.8075102181305294E-3</v>
      </c>
      <c r="G31" s="56"/>
      <c r="H31" s="68">
        <f t="shared" si="23"/>
        <v>1.3650753864841603E-2</v>
      </c>
      <c r="I31" s="119">
        <f t="shared" si="24"/>
        <v>6.152987754048711E-3</v>
      </c>
      <c r="J31" s="56"/>
      <c r="K31" s="68">
        <f t="shared" si="25"/>
        <v>1.9604977926232836E-2</v>
      </c>
      <c r="L31" s="119">
        <f t="shared" si="26"/>
        <v>1.2621200094466545E-2</v>
      </c>
      <c r="M31" s="56"/>
      <c r="N31" s="68">
        <f t="shared" si="27"/>
        <v>2.2024089256762913E-2</v>
      </c>
      <c r="O31" s="119">
        <f t="shared" si="28"/>
        <v>1.3786897784937358E-2</v>
      </c>
      <c r="P31" s="56"/>
      <c r="Q31" s="68">
        <f t="shared" si="29"/>
        <v>1.8032505386315734E-2</v>
      </c>
      <c r="R31" s="119">
        <f t="shared" si="30"/>
        <v>1.036383706666677E-2</v>
      </c>
      <c r="S31" s="56"/>
    </row>
    <row r="32" spans="1:27" x14ac:dyDescent="0.25">
      <c r="A32" s="43">
        <f t="shared" si="18"/>
        <v>2025</v>
      </c>
      <c r="B32" s="68">
        <f t="shared" ref="B32" si="31">B15/B14-1</f>
        <v>1.6457304451232391E-2</v>
      </c>
      <c r="C32" s="119">
        <f t="shared" si="20"/>
        <v>1.2860444230095469E-2</v>
      </c>
      <c r="D32" s="56"/>
      <c r="E32" s="68">
        <f t="shared" ref="E32" si="32">E15/E14-1</f>
        <v>9.1471450761420048E-3</v>
      </c>
      <c r="F32" s="119">
        <f t="shared" si="22"/>
        <v>5.8842707930917282E-3</v>
      </c>
      <c r="G32" s="56"/>
      <c r="H32" s="68">
        <f t="shared" ref="H32" si="33">H15/H14-1</f>
        <v>9.565613181372612E-3</v>
      </c>
      <c r="I32" s="119">
        <f t="shared" si="24"/>
        <v>6.3782261313267696E-3</v>
      </c>
      <c r="J32" s="56"/>
      <c r="K32" s="68">
        <f t="shared" ref="K32" si="34">K15/K14-1</f>
        <v>1.5319871299344756E-2</v>
      </c>
      <c r="L32" s="119">
        <f t="shared" si="26"/>
        <v>1.2492900685554531E-2</v>
      </c>
      <c r="M32" s="56"/>
      <c r="N32" s="68">
        <f t="shared" ref="N32" si="35">N15/N14-1</f>
        <v>1.7440797032197253E-2</v>
      </c>
      <c r="O32" s="119">
        <f t="shared" si="28"/>
        <v>1.3760836115698005E-2</v>
      </c>
      <c r="P32" s="56"/>
      <c r="Q32" s="68">
        <f t="shared" ref="Q32" si="36">Q15/Q14-1</f>
        <v>1.3721100856685764E-2</v>
      </c>
      <c r="R32" s="119">
        <f t="shared" si="30"/>
        <v>1.0393602864168017E-2</v>
      </c>
      <c r="S32" s="56"/>
    </row>
    <row r="33" spans="1:19" x14ac:dyDescent="0.25">
      <c r="A33" s="43">
        <f t="shared" si="18"/>
        <v>2026</v>
      </c>
      <c r="B33" s="68">
        <f t="shared" ref="B33" si="37">B16/B15-1</f>
        <v>1.6605950595688812E-2</v>
      </c>
      <c r="C33" s="119">
        <f t="shared" si="20"/>
        <v>1.504987289906734E-2</v>
      </c>
      <c r="D33" s="56"/>
      <c r="E33" s="68">
        <f t="shared" ref="E33:F33" si="38">E16/E15-1</f>
        <v>9.3626482898305774E-3</v>
      </c>
      <c r="F33" s="119">
        <f t="shared" si="38"/>
        <v>8.1093852164715319E-3</v>
      </c>
      <c r="G33" s="56"/>
      <c r="H33" s="68">
        <f t="shared" ref="H33:I33" si="39">H16/H15-1</f>
        <v>9.8416041847284585E-3</v>
      </c>
      <c r="I33" s="119">
        <f t="shared" si="39"/>
        <v>8.6683128894282646E-3</v>
      </c>
      <c r="J33" s="56"/>
      <c r="K33" s="68">
        <f t="shared" ref="K33:L33" si="40">K16/K15-1</f>
        <v>1.555059408631787E-2</v>
      </c>
      <c r="L33" s="119">
        <f t="shared" si="40"/>
        <v>1.4684105670129455E-2</v>
      </c>
      <c r="M33" s="56"/>
      <c r="N33" s="68">
        <f t="shared" ref="N33:O33" si="41">N16/N15-1</f>
        <v>1.7496018441863326E-2</v>
      </c>
      <c r="O33" s="119">
        <f t="shared" si="41"/>
        <v>1.5968338679380967E-2</v>
      </c>
      <c r="P33" s="56"/>
      <c r="Q33" s="68">
        <f t="shared" ref="Q33:R33" si="42">Q16/Q15-1</f>
        <v>1.3907732538112505E-2</v>
      </c>
      <c r="R33" s="119">
        <f t="shared" si="42"/>
        <v>1.2623549646399335E-2</v>
      </c>
      <c r="S33" s="56"/>
    </row>
    <row r="34" spans="1:19" x14ac:dyDescent="0.25">
      <c r="A34" s="43">
        <f t="shared" si="18"/>
        <v>2027</v>
      </c>
      <c r="B34" s="68">
        <f t="shared" ref="B34" si="43">B17/B16-1</f>
        <v>1.1909955287387142E-2</v>
      </c>
      <c r="C34" s="119">
        <f t="shared" si="20"/>
        <v>1.1550518425770928E-2</v>
      </c>
      <c r="D34" s="56"/>
      <c r="E34" s="68">
        <f t="shared" ref="E34:F34" si="44">E17/E16-1</f>
        <v>4.7624138961608331E-3</v>
      </c>
      <c r="F34" s="119">
        <f t="shared" si="44"/>
        <v>4.7058968114810362E-3</v>
      </c>
      <c r="G34" s="56"/>
      <c r="H34" s="68">
        <f t="shared" ref="H34:I34" si="45">H17/H16-1</f>
        <v>5.4221704293309081E-3</v>
      </c>
      <c r="I34" s="119">
        <f t="shared" si="45"/>
        <v>5.4443685698579714E-3</v>
      </c>
      <c r="J34" s="56"/>
      <c r="K34" s="68">
        <f t="shared" ref="K34:L34" si="46">K17/K16-1</f>
        <v>1.0964308083483587E-2</v>
      </c>
      <c r="L34" s="119">
        <f t="shared" si="46"/>
        <v>1.1268392806206728E-2</v>
      </c>
      <c r="M34" s="56"/>
      <c r="N34" s="68">
        <f t="shared" ref="N34:O34" si="47">N17/N16-1</f>
        <v>1.2771601999888027E-2</v>
      </c>
      <c r="O34" s="119">
        <f t="shared" si="47"/>
        <v>1.2514746747405603E-2</v>
      </c>
      <c r="P34" s="56"/>
      <c r="Q34" s="68">
        <f t="shared" ref="Q34:R34" si="48">Q17/Q16-1</f>
        <v>9.298775792858649E-3</v>
      </c>
      <c r="R34" s="119">
        <f t="shared" si="48"/>
        <v>9.2280953196872684E-3</v>
      </c>
      <c r="S34" s="56"/>
    </row>
    <row r="35" spans="1:19" x14ac:dyDescent="0.25">
      <c r="A35" s="43">
        <f t="shared" si="18"/>
        <v>2028</v>
      </c>
      <c r="B35" s="68">
        <f t="shared" ref="B35" si="49">B18/B17-1</f>
        <v>1.6792689079133671E-2</v>
      </c>
      <c r="C35" s="119">
        <f t="shared" si="20"/>
        <v>1.6511987886539847E-2</v>
      </c>
      <c r="D35" s="56"/>
      <c r="E35" s="68">
        <f t="shared" ref="E35:F35" si="50">E18/E17-1</f>
        <v>9.8287949153661458E-3</v>
      </c>
      <c r="F35" s="119">
        <f t="shared" si="50"/>
        <v>9.8614912422214651E-3</v>
      </c>
      <c r="G35" s="56"/>
      <c r="H35" s="68">
        <f t="shared" ref="H35:I35" si="51">H18/H17-1</f>
        <v>1.0576091197765702E-2</v>
      </c>
      <c r="I35" s="119">
        <f t="shared" si="51"/>
        <v>1.0689430268803646E-2</v>
      </c>
      <c r="J35" s="56"/>
      <c r="K35" s="68">
        <f t="shared" ref="K35:L35" si="52">K18/K17-1</f>
        <v>1.6009825273532119E-2</v>
      </c>
      <c r="L35" s="119">
        <f t="shared" si="52"/>
        <v>1.6380074696107805E-2</v>
      </c>
      <c r="M35" s="56"/>
      <c r="N35" s="68">
        <f t="shared" ref="N35:O35" si="53">N18/N17-1</f>
        <v>1.7721906581215974E-2</v>
      </c>
      <c r="O35" s="119">
        <f t="shared" si="53"/>
        <v>1.7595035931024849E-2</v>
      </c>
      <c r="P35" s="56"/>
      <c r="Q35" s="68">
        <f t="shared" ref="Q35:R35" si="54">Q18/Q17-1</f>
        <v>1.4321631943950308E-2</v>
      </c>
      <c r="R35" s="119">
        <f t="shared" si="54"/>
        <v>1.4347114544187578E-2</v>
      </c>
      <c r="S35" s="56"/>
    </row>
    <row r="36" spans="1:19" x14ac:dyDescent="0.25">
      <c r="A36" s="43">
        <f t="shared" si="18"/>
        <v>2029</v>
      </c>
      <c r="B36" s="68">
        <f t="shared" ref="B36:B37" si="55">B19/B18-1</f>
        <v>1.6868554570674821E-2</v>
      </c>
      <c r="C36" s="119">
        <f t="shared" si="20"/>
        <v>1.6926066440989818E-2</v>
      </c>
      <c r="D36" s="56"/>
      <c r="E36" s="68">
        <f t="shared" ref="E36:F37" si="56">E19/E18-1</f>
        <v>1.0116018754652734E-2</v>
      </c>
      <c r="F36" s="119">
        <f t="shared" si="56"/>
        <v>1.0569845887178131E-2</v>
      </c>
      <c r="G36" s="56"/>
      <c r="H36" s="68">
        <f t="shared" ref="H36:I37" si="57">H19/H18-1</f>
        <v>1.0914618405563514E-2</v>
      </c>
      <c r="I36" s="119">
        <f t="shared" si="57"/>
        <v>1.145261076842452E-2</v>
      </c>
      <c r="J36" s="56"/>
      <c r="K36" s="68">
        <f t="shared" ref="K36:L37" si="58">K19/K18-1</f>
        <v>1.6267284391331849E-2</v>
      </c>
      <c r="L36" s="119">
        <f t="shared" si="58"/>
        <v>1.7047745400082581E-2</v>
      </c>
      <c r="M36" s="56"/>
      <c r="N36" s="68">
        <f t="shared" ref="N36:O37" si="59">N19/N18-1</f>
        <v>1.7965551916907962E-2</v>
      </c>
      <c r="O36" s="119">
        <f t="shared" si="59"/>
        <v>1.82818656578001E-2</v>
      </c>
      <c r="P36" s="56"/>
      <c r="Q36" s="68">
        <f t="shared" ref="Q36:R37" si="60">Q19/Q18-1</f>
        <v>1.4570957835056353E-2</v>
      </c>
      <c r="R36" s="119">
        <f t="shared" si="60"/>
        <v>1.500874830238863E-2</v>
      </c>
      <c r="S36" s="56"/>
    </row>
    <row r="37" spans="1:19" ht="15.75" thickBot="1" x14ac:dyDescent="0.3">
      <c r="A37" s="43">
        <f t="shared" si="18"/>
        <v>2030</v>
      </c>
      <c r="B37" s="69">
        <f t="shared" si="55"/>
        <v>1.6841324979307348E-2</v>
      </c>
      <c r="C37" s="120">
        <f t="shared" si="20"/>
        <v>1.7795305773118608E-2</v>
      </c>
      <c r="D37" s="67"/>
      <c r="E37" s="69">
        <f t="shared" si="56"/>
        <v>1.0279312974560417E-2</v>
      </c>
      <c r="F37" s="120">
        <f t="shared" si="56"/>
        <v>1.1644916176366982E-2</v>
      </c>
      <c r="G37" s="67"/>
      <c r="H37" s="69">
        <f t="shared" si="57"/>
        <v>1.1213761703663394E-2</v>
      </c>
      <c r="I37" s="120">
        <f t="shared" si="57"/>
        <v>1.2662037613368815E-2</v>
      </c>
      <c r="J37" s="67"/>
      <c r="K37" s="69">
        <f t="shared" si="58"/>
        <v>1.640838417795365E-2</v>
      </c>
      <c r="L37" s="120">
        <f t="shared" si="58"/>
        <v>1.8109697996136376E-2</v>
      </c>
      <c r="M37" s="67"/>
      <c r="N37" s="69">
        <f t="shared" si="59"/>
        <v>1.8101342819473842E-2</v>
      </c>
      <c r="O37" s="120">
        <f t="shared" si="59"/>
        <v>1.9334463011112968E-2</v>
      </c>
      <c r="P37" s="67"/>
      <c r="Q37" s="69">
        <f t="shared" si="60"/>
        <v>1.4717312574350716E-2</v>
      </c>
      <c r="R37" s="120">
        <f t="shared" si="60"/>
        <v>1.6069971098077396E-2</v>
      </c>
      <c r="S37" s="67"/>
    </row>
  </sheetData>
  <mergeCells count="15">
    <mergeCell ref="Y5:AA5"/>
    <mergeCell ref="Q23:S23"/>
    <mergeCell ref="B3:S3"/>
    <mergeCell ref="B4:S4"/>
    <mergeCell ref="B5:D5"/>
    <mergeCell ref="E5:G5"/>
    <mergeCell ref="H5:J5"/>
    <mergeCell ref="K5:M5"/>
    <mergeCell ref="N5:P5"/>
    <mergeCell ref="Q5:S5"/>
    <mergeCell ref="B23:D23"/>
    <mergeCell ref="E23:G23"/>
    <mergeCell ref="H23:J23"/>
    <mergeCell ref="K23:M23"/>
    <mergeCell ref="N23:P23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AA37"/>
  <sheetViews>
    <sheetView topLeftCell="A19" workbookViewId="0"/>
  </sheetViews>
  <sheetFormatPr defaultRowHeight="15" x14ac:dyDescent="0.25"/>
  <cols>
    <col min="2" max="3" width="10.42578125" bestFit="1" customWidth="1"/>
    <col min="5" max="6" width="10.42578125" bestFit="1" customWidth="1"/>
    <col min="8" max="9" width="10.42578125" bestFit="1" customWidth="1"/>
    <col min="11" max="12" width="10.42578125" bestFit="1" customWidth="1"/>
    <col min="14" max="15" width="10.42578125" bestFit="1" customWidth="1"/>
    <col min="17" max="18" width="10.42578125" bestFit="1" customWidth="1"/>
  </cols>
  <sheetData>
    <row r="1" spans="1:27" x14ac:dyDescent="0.25">
      <c r="A1" s="217" t="s">
        <v>77</v>
      </c>
    </row>
    <row r="2" spans="1:27" x14ac:dyDescent="0.25">
      <c r="A2" s="217" t="s">
        <v>73</v>
      </c>
    </row>
    <row r="3" spans="1:27" s="7" customFormat="1" ht="18" x14ac:dyDescent="0.25">
      <c r="A3" s="39"/>
      <c r="B3" s="224" t="s">
        <v>68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40"/>
      <c r="U3" s="102"/>
      <c r="V3" s="40"/>
      <c r="W3" s="40"/>
      <c r="X3"/>
      <c r="Y3"/>
      <c r="Z3"/>
      <c r="AA3"/>
    </row>
    <row r="4" spans="1:27" s="8" customFormat="1" ht="16.5" thickBot="1" x14ac:dyDescent="0.3">
      <c r="A4" s="41"/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42"/>
      <c r="U4" s="42"/>
      <c r="V4" s="42"/>
      <c r="W4" s="42"/>
      <c r="X4"/>
      <c r="Y4"/>
      <c r="Z4"/>
      <c r="AA4"/>
    </row>
    <row r="5" spans="1:27" s="8" customFormat="1" ht="15.75" thickBot="1" x14ac:dyDescent="0.3">
      <c r="A5" s="43" t="s">
        <v>7</v>
      </c>
      <c r="B5" s="221" t="s">
        <v>8</v>
      </c>
      <c r="C5" s="222"/>
      <c r="D5" s="223"/>
      <c r="E5" s="221" t="s">
        <v>9</v>
      </c>
      <c r="F5" s="222"/>
      <c r="G5" s="223"/>
      <c r="H5" s="221" t="s">
        <v>10</v>
      </c>
      <c r="I5" s="222"/>
      <c r="J5" s="223"/>
      <c r="K5" s="221" t="s">
        <v>11</v>
      </c>
      <c r="L5" s="222"/>
      <c r="M5" s="223"/>
      <c r="N5" s="221" t="s">
        <v>12</v>
      </c>
      <c r="O5" s="222"/>
      <c r="P5" s="223"/>
      <c r="Q5" s="221" t="s">
        <v>13</v>
      </c>
      <c r="R5" s="222"/>
      <c r="S5" s="223"/>
      <c r="T5" s="44"/>
      <c r="U5" s="44"/>
      <c r="V5" s="44" t="s">
        <v>36</v>
      </c>
      <c r="W5" s="44"/>
      <c r="X5"/>
      <c r="Y5"/>
      <c r="Z5"/>
      <c r="AA5"/>
    </row>
    <row r="6" spans="1:27" s="9" customFormat="1" x14ac:dyDescent="0.25">
      <c r="A6" s="45"/>
      <c r="B6" s="168" t="s">
        <v>71</v>
      </c>
      <c r="C6" s="124" t="s">
        <v>61</v>
      </c>
      <c r="D6" s="47" t="s">
        <v>14</v>
      </c>
      <c r="E6" s="168" t="s">
        <v>71</v>
      </c>
      <c r="F6" s="124" t="s">
        <v>61</v>
      </c>
      <c r="G6" s="47" t="s">
        <v>14</v>
      </c>
      <c r="H6" s="168" t="s">
        <v>71</v>
      </c>
      <c r="I6" s="124" t="s">
        <v>61</v>
      </c>
      <c r="J6" s="47" t="s">
        <v>14</v>
      </c>
      <c r="K6" s="168" t="s">
        <v>71</v>
      </c>
      <c r="L6" s="124" t="s">
        <v>61</v>
      </c>
      <c r="M6" s="47" t="s">
        <v>14</v>
      </c>
      <c r="N6" s="168" t="s">
        <v>71</v>
      </c>
      <c r="O6" s="124" t="s">
        <v>61</v>
      </c>
      <c r="P6" s="47" t="s">
        <v>14</v>
      </c>
      <c r="Q6" s="168" t="s">
        <v>71</v>
      </c>
      <c r="R6" s="124" t="s">
        <v>61</v>
      </c>
      <c r="S6" s="47" t="s">
        <v>14</v>
      </c>
      <c r="T6" s="44" t="s">
        <v>1</v>
      </c>
      <c r="U6" s="44" t="s">
        <v>35</v>
      </c>
      <c r="V6" s="185" t="s">
        <v>61</v>
      </c>
      <c r="W6" s="44"/>
      <c r="X6"/>
      <c r="Y6"/>
      <c r="Z6"/>
      <c r="AA6"/>
    </row>
    <row r="7" spans="1:27" s="8" customFormat="1" x14ac:dyDescent="0.25">
      <c r="A7" s="41"/>
      <c r="B7" s="48"/>
      <c r="C7" s="49"/>
      <c r="D7" s="50"/>
      <c r="E7" s="48"/>
      <c r="F7" s="49"/>
      <c r="G7" s="50"/>
      <c r="H7" s="48"/>
      <c r="I7" s="49"/>
      <c r="J7" s="50"/>
      <c r="K7" s="48"/>
      <c r="L7" s="49"/>
      <c r="M7" s="50"/>
      <c r="N7" s="48"/>
      <c r="O7" s="49"/>
      <c r="P7" s="50"/>
      <c r="Q7" s="51"/>
      <c r="R7" s="52"/>
      <c r="S7" s="53"/>
      <c r="T7" s="52"/>
      <c r="U7" s="52"/>
      <c r="V7" s="52"/>
      <c r="W7" s="52"/>
      <c r="X7"/>
      <c r="Y7"/>
      <c r="Z7"/>
      <c r="AA7"/>
    </row>
    <row r="8" spans="1:27" s="8" customFormat="1" x14ac:dyDescent="0.25">
      <c r="A8" s="180">
        <v>2018</v>
      </c>
      <c r="B8" s="54">
        <f>'Winter CP Comparison'!B8*'Winter NCP-CP Ratio'!$Q$40</f>
        <v>4040.9140980684906</v>
      </c>
      <c r="C8" s="55">
        <v>4032.0249688204754</v>
      </c>
      <c r="D8" s="56">
        <f t="shared" ref="D8:D20" si="0">B8/C8-1</f>
        <v>2.2046314982557824E-3</v>
      </c>
      <c r="E8" s="54">
        <f>'Winter CP Comparison'!E8*'Winter NCP-CP Ratio'!$P$40</f>
        <v>4631.4319218668161</v>
      </c>
      <c r="F8" s="55">
        <v>4492.5582626311125</v>
      </c>
      <c r="G8" s="56">
        <f t="shared" ref="G8:G20" si="1">E8/F8-1</f>
        <v>3.0911932826970467E-2</v>
      </c>
      <c r="H8" s="54">
        <f>'Winter CP Comparison'!H8*'Winter NCP-CP Ratio'!$O$40</f>
        <v>3187.3543779287133</v>
      </c>
      <c r="I8" s="55">
        <v>3103.0427191330173</v>
      </c>
      <c r="J8" s="56">
        <f t="shared" ref="J8:J20" si="2">H8/I8-1</f>
        <v>2.7170640699156312E-2</v>
      </c>
      <c r="K8" s="54">
        <f>'Winter CP Comparison'!K8*'Winter NCP-CP Ratio'!$N$40</f>
        <v>3714.6707880286999</v>
      </c>
      <c r="L8" s="55">
        <v>3714.6707880286999</v>
      </c>
      <c r="M8" s="56">
        <f t="shared" ref="M8:M20" si="3">K8/L8-1</f>
        <v>0</v>
      </c>
      <c r="N8" s="54">
        <f>'Winter CP Comparison'!N8*'Winter NCP-CP Ratio'!$R$40</f>
        <v>4219.2681964080648</v>
      </c>
      <c r="O8" s="55">
        <v>4281.8668728297462</v>
      </c>
      <c r="P8" s="56">
        <f t="shared" ref="P8:P20" si="4">N8/O8-1</f>
        <v>-1.4619482174678677E-2</v>
      </c>
      <c r="Q8" s="59">
        <f t="shared" ref="Q8:R20" si="5">+N8+K8+H8+E8+B8</f>
        <v>19793.639382300786</v>
      </c>
      <c r="R8" s="44">
        <f t="shared" si="5"/>
        <v>19624.163611443051</v>
      </c>
      <c r="S8" s="56">
        <f t="shared" ref="S8:S20" si="6">Q8/R8-1</f>
        <v>8.6360761260118046E-3</v>
      </c>
      <c r="T8" s="60">
        <f>'Winter Peak'!C7</f>
        <v>832</v>
      </c>
      <c r="U8" s="60">
        <f>'Winter Peak'!D7</f>
        <v>200</v>
      </c>
      <c r="V8" s="61">
        <f t="shared" ref="V8" si="7">Q8+T8+U8</f>
        <v>20825.639382300786</v>
      </c>
      <c r="W8" s="60"/>
      <c r="X8" s="4"/>
      <c r="Y8" s="10"/>
      <c r="Z8"/>
      <c r="AA8"/>
    </row>
    <row r="9" spans="1:27" s="8" customFormat="1" x14ac:dyDescent="0.25">
      <c r="A9" s="180">
        <v>2019</v>
      </c>
      <c r="B9" s="54">
        <f>'Winter CP Comparison'!B9*'Winter NCP-CP Ratio'!$Q$40</f>
        <v>2916.1444425624263</v>
      </c>
      <c r="C9" s="55">
        <v>2855.2472815455867</v>
      </c>
      <c r="D9" s="56">
        <f t="shared" si="0"/>
        <v>2.132815655247744E-2</v>
      </c>
      <c r="E9" s="57">
        <f>'Winter CP Comparison'!E9*'Winter NCP-CP Ratio'!$P$40</f>
        <v>3409.6112115891165</v>
      </c>
      <c r="F9" s="55">
        <v>3662.8009569797364</v>
      </c>
      <c r="G9" s="56">
        <f t="shared" si="1"/>
        <v>-6.9124625761645131E-2</v>
      </c>
      <c r="H9" s="57">
        <f>'Winter CP Comparison'!H9*'Winter NCP-CP Ratio'!$O$40</f>
        <v>2750.7047990630749</v>
      </c>
      <c r="I9" s="55">
        <v>2914.2746988472331</v>
      </c>
      <c r="J9" s="56">
        <f t="shared" si="2"/>
        <v>-5.6127138546294142E-2</v>
      </c>
      <c r="K9" s="57">
        <f>'Winter CP Comparison'!K9*'Winter NCP-CP Ratio'!$N$40</f>
        <v>3358.4503566158296</v>
      </c>
      <c r="L9" s="55">
        <v>3529.1272510089134</v>
      </c>
      <c r="M9" s="56">
        <f t="shared" si="3"/>
        <v>-4.8362352007650156E-2</v>
      </c>
      <c r="N9" s="57">
        <f>'Winter CP Comparison'!N9*'Winter NCP-CP Ratio'!$R$40</f>
        <v>4373.8761759967283</v>
      </c>
      <c r="O9" s="55">
        <v>3780.8020930303128</v>
      </c>
      <c r="P9" s="56">
        <f t="shared" si="4"/>
        <v>0.15686461982755273</v>
      </c>
      <c r="Q9" s="59">
        <f t="shared" si="5"/>
        <v>16808.786985827173</v>
      </c>
      <c r="R9" s="44">
        <f t="shared" si="5"/>
        <v>16742.252281411784</v>
      </c>
      <c r="S9" s="56">
        <f t="shared" si="6"/>
        <v>3.974059361729898E-3</v>
      </c>
      <c r="T9" s="60">
        <f>'Winter Peak'!C8</f>
        <v>845</v>
      </c>
      <c r="U9" s="60">
        <f>'Winter Peak'!D8</f>
        <v>200</v>
      </c>
      <c r="V9" s="61">
        <f>Q9+T9+U9</f>
        <v>17853.786985827173</v>
      </c>
      <c r="W9" s="60"/>
      <c r="X9" s="181"/>
      <c r="Y9" s="154"/>
      <c r="Z9" s="154"/>
      <c r="AA9" s="130"/>
    </row>
    <row r="10" spans="1:27" s="8" customFormat="1" x14ac:dyDescent="0.25">
      <c r="A10" s="132">
        <v>2020</v>
      </c>
      <c r="B10" s="133">
        <f>'Winter CP Comparison'!B10*'Winter NCP-CP Ratio'!$Q$40</f>
        <v>3350.9051654135583</v>
      </c>
      <c r="C10" s="134">
        <v>3586.556410465224</v>
      </c>
      <c r="D10" s="135">
        <f t="shared" si="0"/>
        <v>-6.5704039775885903E-2</v>
      </c>
      <c r="E10" s="136">
        <f>'Winter CP Comparison'!E10*'Winter NCP-CP Ratio'!$P$40</f>
        <v>4442.9483361985203</v>
      </c>
      <c r="F10" s="134">
        <v>4575.1618358602382</v>
      </c>
      <c r="G10" s="135">
        <f t="shared" si="1"/>
        <v>-2.8898103368808714E-2</v>
      </c>
      <c r="H10" s="136">
        <f>'Winter CP Comparison'!H10*'Winter NCP-CP Ratio'!$O$40</f>
        <v>3012.4786960092297</v>
      </c>
      <c r="I10" s="134">
        <v>3632.9006610471661</v>
      </c>
      <c r="J10" s="135">
        <f t="shared" si="2"/>
        <v>-0.170778676028841</v>
      </c>
      <c r="K10" s="136">
        <f>'Winter CP Comparison'!K10*'Winter NCP-CP Ratio'!$N$40</f>
        <v>3477.6860842908659</v>
      </c>
      <c r="L10" s="134">
        <v>4427.6375808195298</v>
      </c>
      <c r="M10" s="135">
        <f t="shared" si="3"/>
        <v>-0.21455041863494917</v>
      </c>
      <c r="N10" s="136">
        <f>'Winter CP Comparison'!N10*'Winter NCP-CP Ratio'!$R$40</f>
        <v>4221.6550632199678</v>
      </c>
      <c r="O10" s="134">
        <v>4759.1626030182797</v>
      </c>
      <c r="P10" s="135">
        <f t="shared" si="4"/>
        <v>-0.11294162117037621</v>
      </c>
      <c r="Q10" s="137">
        <f t="shared" si="5"/>
        <v>18505.673345132142</v>
      </c>
      <c r="R10" s="138">
        <f t="shared" si="5"/>
        <v>20981.419091210439</v>
      </c>
      <c r="S10" s="135">
        <f t="shared" si="6"/>
        <v>-0.11799705898422475</v>
      </c>
      <c r="T10" s="139">
        <f>'Winter Peak'!C9</f>
        <v>794.20699999999999</v>
      </c>
      <c r="U10" s="139">
        <f>'Winter Peak'!D9</f>
        <v>200</v>
      </c>
      <c r="V10" s="140">
        <f>Q10+T10</f>
        <v>19299.88034513214</v>
      </c>
      <c r="W10" s="139"/>
      <c r="X10" s="181"/>
      <c r="Y10" s="154"/>
      <c r="Z10" s="154"/>
      <c r="AA10" s="130"/>
    </row>
    <row r="11" spans="1:27" s="8" customFormat="1" x14ac:dyDescent="0.25">
      <c r="A11" s="43">
        <v>2021</v>
      </c>
      <c r="B11" s="54">
        <f>'Winter CP Comparison'!B11*'Winter NCP-CP Ratio'!$Q$40</f>
        <v>3852.0585087967602</v>
      </c>
      <c r="C11" s="55">
        <v>3644.9530190757423</v>
      </c>
      <c r="D11" s="56">
        <f t="shared" si="0"/>
        <v>5.6819796753795782E-2</v>
      </c>
      <c r="E11" s="57">
        <f>'Winter CP Comparison'!E11*'Winter NCP-CP Ratio'!$P$40</f>
        <v>5065.8738532446632</v>
      </c>
      <c r="F11" s="55">
        <v>4614.6491295063925</v>
      </c>
      <c r="G11" s="56">
        <f t="shared" si="1"/>
        <v>9.7780938718202481E-2</v>
      </c>
      <c r="H11" s="57">
        <f>'Winter CP Comparison'!H11*'Winter NCP-CP Ratio'!$O$40</f>
        <v>3426.4125998016057</v>
      </c>
      <c r="I11" s="55">
        <v>3661.8242222140893</v>
      </c>
      <c r="J11" s="56">
        <f t="shared" si="2"/>
        <v>-6.4288072863897372E-2</v>
      </c>
      <c r="K11" s="57">
        <f>'Winter CP Comparison'!K11*'Winter NCP-CP Ratio'!$N$40</f>
        <v>3970.7937014806253</v>
      </c>
      <c r="L11" s="55">
        <v>4499.7993590217266</v>
      </c>
      <c r="M11" s="56">
        <f t="shared" si="3"/>
        <v>-0.11756205451260593</v>
      </c>
      <c r="N11" s="57">
        <f>'Winter CP Comparison'!N11*'Winter NCP-CP Ratio'!$R$40</f>
        <v>4856.1832939362139</v>
      </c>
      <c r="O11" s="55">
        <v>4847.8532781910862</v>
      </c>
      <c r="P11" s="56">
        <f t="shared" si="4"/>
        <v>1.7182895741918447E-3</v>
      </c>
      <c r="Q11" s="59">
        <f t="shared" si="5"/>
        <v>21171.321957259868</v>
      </c>
      <c r="R11" s="44">
        <f t="shared" si="5"/>
        <v>21269.079008009037</v>
      </c>
      <c r="S11" s="56">
        <f t="shared" si="6"/>
        <v>-4.5962051630142886E-3</v>
      </c>
      <c r="T11" s="60">
        <f>'Winter Peak'!C10</f>
        <v>712.38949357466913</v>
      </c>
      <c r="U11" s="60">
        <f>'Winter Peak'!D10</f>
        <v>200</v>
      </c>
      <c r="V11" s="61">
        <f t="shared" ref="V11:V20" si="8">Q11+T11</f>
        <v>21883.711450834537</v>
      </c>
      <c r="W11" s="60"/>
      <c r="X11" s="181"/>
      <c r="Y11" s="154"/>
      <c r="Z11" s="154"/>
      <c r="AA11" s="130"/>
    </row>
    <row r="12" spans="1:27" s="8" customFormat="1" x14ac:dyDescent="0.25">
      <c r="A12" s="43">
        <v>2022</v>
      </c>
      <c r="B12" s="54">
        <f>'Winter CP Comparison'!B12*'Winter NCP-CP Ratio'!$Q$40</f>
        <v>3901.9627098574238</v>
      </c>
      <c r="C12" s="55">
        <v>3645.6023247524699</v>
      </c>
      <c r="D12" s="56">
        <f t="shared" si="0"/>
        <v>7.0320447012102605E-2</v>
      </c>
      <c r="E12" s="54">
        <f>'Winter CP Comparison'!E12*'Winter NCP-CP Ratio'!$P$40</f>
        <v>5093.1357927009049</v>
      </c>
      <c r="F12" s="55">
        <v>4582.097254969859</v>
      </c>
      <c r="G12" s="56">
        <f t="shared" si="1"/>
        <v>0.11152939566630993</v>
      </c>
      <c r="H12" s="54">
        <f>'Winter CP Comparison'!H12*'Winter NCP-CP Ratio'!$O$40</f>
        <v>3443.4753892507347</v>
      </c>
      <c r="I12" s="55">
        <v>3634.3224564886123</v>
      </c>
      <c r="J12" s="56">
        <f t="shared" si="2"/>
        <v>-5.2512419996509907E-2</v>
      </c>
      <c r="K12" s="54">
        <f>'Winter CP Comparison'!K12*'Winter NCP-CP Ratio'!$N$40</f>
        <v>4015.1730468186524</v>
      </c>
      <c r="L12" s="55">
        <v>4500.8792646701113</v>
      </c>
      <c r="M12" s="56">
        <f t="shared" si="3"/>
        <v>-0.10791362960211692</v>
      </c>
      <c r="N12" s="54">
        <f>'Winter CP Comparison'!N12*'Winter NCP-CP Ratio'!$R$40</f>
        <v>4933.1211032337496</v>
      </c>
      <c r="O12" s="55">
        <v>4856.3309187732593</v>
      </c>
      <c r="P12" s="56">
        <f t="shared" si="4"/>
        <v>1.5812387117945415E-2</v>
      </c>
      <c r="Q12" s="59">
        <f t="shared" si="5"/>
        <v>21386.868041861464</v>
      </c>
      <c r="R12" s="44">
        <f t="shared" si="5"/>
        <v>21219.23221965431</v>
      </c>
      <c r="S12" s="56">
        <f t="shared" si="6"/>
        <v>7.9001832145406681E-3</v>
      </c>
      <c r="T12" s="60">
        <f>'Winter Peak'!C11</f>
        <v>740.91160697503494</v>
      </c>
      <c r="U12" s="60">
        <f>'Winter Peak'!D11</f>
        <v>0</v>
      </c>
      <c r="V12" s="61">
        <f t="shared" si="8"/>
        <v>22127.779648836498</v>
      </c>
      <c r="W12" s="60"/>
      <c r="X12" s="156"/>
      <c r="Y12" s="181"/>
      <c r="Z12" s="158"/>
      <c r="AA12" s="158"/>
    </row>
    <row r="13" spans="1:27" s="8" customFormat="1" x14ac:dyDescent="0.25">
      <c r="A13" s="43">
        <v>2023</v>
      </c>
      <c r="B13" s="54">
        <f>'Winter CP Comparison'!B13*'Winter NCP-CP Ratio'!$Q$40</f>
        <v>3983.1566193319245</v>
      </c>
      <c r="C13" s="55">
        <v>3692.9965806694668</v>
      </c>
      <c r="D13" s="56">
        <f t="shared" si="0"/>
        <v>7.8570351291757046E-2</v>
      </c>
      <c r="E13" s="54">
        <f>'Winter CP Comparison'!E13*'Winter NCP-CP Ratio'!$P$40</f>
        <v>5160.5718974739348</v>
      </c>
      <c r="F13" s="55">
        <v>4608.6542285508958</v>
      </c>
      <c r="G13" s="56">
        <f t="shared" si="1"/>
        <v>0.11975679700678676</v>
      </c>
      <c r="H13" s="54">
        <f>'Winter CP Comparison'!H13*'Winter NCP-CP Ratio'!$O$40</f>
        <v>3489.0100590215116</v>
      </c>
      <c r="I13" s="55">
        <v>3655.4263733368321</v>
      </c>
      <c r="J13" s="56">
        <f t="shared" si="2"/>
        <v>-4.5525828540600166E-2</v>
      </c>
      <c r="K13" s="54">
        <f>'Winter CP Comparison'!K13*'Winter NCP-CP Ratio'!$N$40</f>
        <v>4093.5939693616056</v>
      </c>
      <c r="L13" s="55">
        <v>4559.1079196260871</v>
      </c>
      <c r="M13" s="56">
        <f t="shared" si="3"/>
        <v>-0.10210636784019367</v>
      </c>
      <c r="N13" s="54">
        <f>'Winter CP Comparison'!N13*'Winter NCP-CP Ratio'!$R$40</f>
        <v>5044.6334996621417</v>
      </c>
      <c r="O13" s="55">
        <v>4924.6600297365312</v>
      </c>
      <c r="P13" s="56">
        <f t="shared" si="4"/>
        <v>2.4361777097540838E-2</v>
      </c>
      <c r="Q13" s="59">
        <f t="shared" si="5"/>
        <v>21770.966044851117</v>
      </c>
      <c r="R13" s="44">
        <f t="shared" si="5"/>
        <v>21440.845131919814</v>
      </c>
      <c r="S13" s="56">
        <f t="shared" si="6"/>
        <v>1.5396823721273822E-2</v>
      </c>
      <c r="T13" s="60">
        <f>'Winter Peak'!C12</f>
        <v>770.77559739872481</v>
      </c>
      <c r="U13" s="60">
        <f>'Winter Peak'!D12</f>
        <v>0</v>
      </c>
      <c r="V13" s="61">
        <f t="shared" si="8"/>
        <v>22541.741642249843</v>
      </c>
      <c r="W13" s="60"/>
      <c r="X13" s="4"/>
      <c r="Y13" s="10"/>
      <c r="Z13"/>
      <c r="AA13"/>
    </row>
    <row r="14" spans="1:27" s="8" customFormat="1" x14ac:dyDescent="0.25">
      <c r="A14" s="43">
        <v>2024</v>
      </c>
      <c r="B14" s="54">
        <f>'Winter CP Comparison'!B14*'Winter NCP-CP Ratio'!$Q$40</f>
        <v>4066.0109564449699</v>
      </c>
      <c r="C14" s="55">
        <v>3740.5907773931681</v>
      </c>
      <c r="D14" s="56">
        <f t="shared" si="0"/>
        <v>8.6997000853054729E-2</v>
      </c>
      <c r="E14" s="54">
        <f>'Winter CP Comparison'!E14*'Winter NCP-CP Ratio'!$P$40</f>
        <v>5229.5371411446076</v>
      </c>
      <c r="F14" s="55">
        <v>4635.419035075035</v>
      </c>
      <c r="G14" s="56">
        <f t="shared" si="1"/>
        <v>0.12816923380044654</v>
      </c>
      <c r="H14" s="54">
        <f>'Winter CP Comparison'!H14*'Winter NCP-CP Ratio'!$O$40</f>
        <v>3536.6376765691712</v>
      </c>
      <c r="I14" s="55">
        <v>3677.9181670478006</v>
      </c>
      <c r="J14" s="56">
        <f t="shared" si="2"/>
        <v>-3.8413168554001009E-2</v>
      </c>
      <c r="K14" s="54">
        <f>'Winter CP Comparison'!K14*'Winter NCP-CP Ratio'!$N$40</f>
        <v>4173.8487887699002</v>
      </c>
      <c r="L14" s="55">
        <v>4616.6493329319546</v>
      </c>
      <c r="M14" s="56">
        <f t="shared" si="3"/>
        <v>-9.5913835387804847E-2</v>
      </c>
      <c r="N14" s="54">
        <f>'Winter CP Comparison'!N14*'Winter NCP-CP Ratio'!$R$40</f>
        <v>5155.7369581263565</v>
      </c>
      <c r="O14" s="55">
        <v>4992.5558141920756</v>
      </c>
      <c r="P14" s="56">
        <f t="shared" si="4"/>
        <v>3.268489126759766E-2</v>
      </c>
      <c r="Q14" s="59">
        <f t="shared" si="5"/>
        <v>22161.771521055005</v>
      </c>
      <c r="R14" s="44">
        <f t="shared" si="5"/>
        <v>21663.133126640034</v>
      </c>
      <c r="S14" s="56">
        <f t="shared" si="6"/>
        <v>2.3017833639298324E-2</v>
      </c>
      <c r="T14" s="60">
        <f>'Winter Peak'!C13</f>
        <v>802.04739359118093</v>
      </c>
      <c r="U14" s="60">
        <f>'Winter Peak'!D13</f>
        <v>0</v>
      </c>
      <c r="V14" s="61">
        <f t="shared" si="8"/>
        <v>22963.818914646185</v>
      </c>
      <c r="W14" s="60"/>
      <c r="X14" s="4"/>
      <c r="Y14" s="10"/>
      <c r="Z14"/>
      <c r="AA14"/>
    </row>
    <row r="15" spans="1:27" s="8" customFormat="1" x14ac:dyDescent="0.25">
      <c r="A15" s="43">
        <v>2025</v>
      </c>
      <c r="B15" s="54">
        <f>'Winter CP Comparison'!B15*'Winter NCP-CP Ratio'!$Q$40</f>
        <v>4132.9265366572308</v>
      </c>
      <c r="C15" s="55">
        <v>3788.6964364734422</v>
      </c>
      <c r="D15" s="56">
        <f t="shared" si="0"/>
        <v>9.0857134097605874E-2</v>
      </c>
      <c r="E15" s="54">
        <f>'Winter CP Comparison'!E15*'Winter NCP-CP Ratio'!$P$40</f>
        <v>5277.3724760557297</v>
      </c>
      <c r="F15" s="55">
        <v>4662.695095916868</v>
      </c>
      <c r="G15" s="56">
        <f t="shared" si="1"/>
        <v>0.13182877445216956</v>
      </c>
      <c r="H15" s="54">
        <f>'Winter CP Comparison'!H15*'Winter NCP-CP Ratio'!$O$40</f>
        <v>3570.4677845459</v>
      </c>
      <c r="I15" s="55">
        <v>3701.3767608097469</v>
      </c>
      <c r="J15" s="56">
        <f t="shared" si="2"/>
        <v>-3.5367644183081803E-2</v>
      </c>
      <c r="K15" s="54">
        <f>'Winter CP Comparison'!K15*'Winter NCP-CP Ratio'!$N$40</f>
        <v>4237.791615036781</v>
      </c>
      <c r="L15" s="55">
        <v>4674.3246745483057</v>
      </c>
      <c r="M15" s="56">
        <f t="shared" si="3"/>
        <v>-9.3389546063936679E-2</v>
      </c>
      <c r="N15" s="54">
        <f>'Winter CP Comparison'!N15*'Winter NCP-CP Ratio'!$R$40</f>
        <v>5245.6571199644368</v>
      </c>
      <c r="O15" s="55">
        <v>5061.2575565496481</v>
      </c>
      <c r="P15" s="56">
        <f t="shared" si="4"/>
        <v>3.6433546673822592E-2</v>
      </c>
      <c r="Q15" s="59">
        <f t="shared" si="5"/>
        <v>22464.215532260081</v>
      </c>
      <c r="R15" s="44">
        <f t="shared" si="5"/>
        <v>21888.35052429801</v>
      </c>
      <c r="S15" s="56">
        <f t="shared" si="6"/>
        <v>2.6309200746890804E-2</v>
      </c>
      <c r="T15" s="60">
        <f>'Winter Peak'!C14</f>
        <v>834.79620210820769</v>
      </c>
      <c r="U15" s="60">
        <f>'Winter Peak'!D14</f>
        <v>0</v>
      </c>
      <c r="V15" s="61">
        <f t="shared" si="8"/>
        <v>23299.01173436829</v>
      </c>
      <c r="W15" s="60"/>
      <c r="X15" s="4"/>
      <c r="Y15" s="10"/>
      <c r="Z15"/>
      <c r="AA15"/>
    </row>
    <row r="16" spans="1:27" s="8" customFormat="1" x14ac:dyDescent="0.25">
      <c r="A16" s="43">
        <v>2026</v>
      </c>
      <c r="B16" s="54">
        <f>'Winter CP Comparison'!B16*'Winter NCP-CP Ratio'!$Q$40</f>
        <v>4201.5577105405719</v>
      </c>
      <c r="C16" s="55">
        <v>3845.715836295517</v>
      </c>
      <c r="D16" s="56">
        <f t="shared" si="0"/>
        <v>9.2529424791777837E-2</v>
      </c>
      <c r="E16" s="54">
        <f>'Winter CP Comparison'!E16*'Winter NCP-CP Ratio'!$P$40</f>
        <v>5326.7826584434724</v>
      </c>
      <c r="F16" s="55">
        <v>4700.506686596611</v>
      </c>
      <c r="G16" s="56">
        <f t="shared" si="1"/>
        <v>0.13323584319806914</v>
      </c>
      <c r="H16" s="54">
        <f>'Winter CP Comparison'!H16*'Winter NCP-CP Ratio'!$O$40</f>
        <v>3605.606915235725</v>
      </c>
      <c r="I16" s="55">
        <v>3733.4614526941045</v>
      </c>
      <c r="J16" s="56">
        <f t="shared" si="2"/>
        <v>-3.4245575876005963E-2</v>
      </c>
      <c r="K16" s="54">
        <f>'Winter CP Comparison'!K16*'Winter NCP-CP Ratio'!$N$40</f>
        <v>4303.6917922646189</v>
      </c>
      <c r="L16" s="55">
        <v>4742.9629520058661</v>
      </c>
      <c r="M16" s="56">
        <f t="shared" si="3"/>
        <v>-9.2615347028058292E-2</v>
      </c>
      <c r="N16" s="54">
        <f>'Winter CP Comparison'!N16*'Winter NCP-CP Ratio'!$R$40</f>
        <v>5337.4352336750253</v>
      </c>
      <c r="O16" s="55">
        <v>5142.0774313562088</v>
      </c>
      <c r="P16" s="56">
        <f t="shared" si="4"/>
        <v>3.7991999328429227E-2</v>
      </c>
      <c r="Q16" s="59">
        <f t="shared" si="5"/>
        <v>22775.074310159413</v>
      </c>
      <c r="R16" s="44">
        <f t="shared" si="5"/>
        <v>22164.724358948304</v>
      </c>
      <c r="S16" s="56">
        <f t="shared" si="6"/>
        <v>2.753699713683555E-2</v>
      </c>
      <c r="T16" s="60">
        <f>'Winter Peak'!C15</f>
        <v>869.09467087602968</v>
      </c>
      <c r="U16" s="60">
        <f>'Winter Peak'!D15</f>
        <v>0</v>
      </c>
      <c r="V16" s="61">
        <f t="shared" si="8"/>
        <v>23644.168981035444</v>
      </c>
      <c r="W16" s="60"/>
      <c r="X16" s="4"/>
      <c r="Y16" s="10"/>
      <c r="Z16"/>
      <c r="AA16"/>
    </row>
    <row r="17" spans="1:27" s="8" customFormat="1" x14ac:dyDescent="0.25">
      <c r="A17" s="43">
        <v>2027</v>
      </c>
      <c r="B17" s="54">
        <f>'Winter CP Comparison'!B17*'Winter NCP-CP Ratio'!$Q$40</f>
        <v>4251.5980750104864</v>
      </c>
      <c r="C17" s="55">
        <v>3890.1358479229275</v>
      </c>
      <c r="D17" s="56">
        <f t="shared" si="0"/>
        <v>9.291763609760717E-2</v>
      </c>
      <c r="E17" s="54">
        <f>'Winter CP Comparison'!E17*'Winter NCP-CP Ratio'!$P$40</f>
        <v>5352.151002197872</v>
      </c>
      <c r="F17" s="55">
        <v>4722.6267860254111</v>
      </c>
      <c r="G17" s="56">
        <f t="shared" si="1"/>
        <v>0.13329959039644379</v>
      </c>
      <c r="H17" s="54">
        <f>'Winter CP Comparison'!H17*'Winter NCP-CP Ratio'!$O$40</f>
        <v>3625.1571304313075</v>
      </c>
      <c r="I17" s="55">
        <v>3753.7877928839284</v>
      </c>
      <c r="J17" s="56">
        <f t="shared" si="2"/>
        <v>-3.426689774431757E-2</v>
      </c>
      <c r="K17" s="54">
        <f>'Winter CP Comparison'!K17*'Winter NCP-CP Ratio'!$N$40</f>
        <v>4350.8787949713678</v>
      </c>
      <c r="L17" s="55">
        <v>4796.408521614354</v>
      </c>
      <c r="M17" s="56">
        <f t="shared" si="3"/>
        <v>-9.2888194288553105E-2</v>
      </c>
      <c r="N17" s="54">
        <f>'Winter CP Comparison'!N17*'Winter NCP-CP Ratio'!$R$40</f>
        <v>5405.6028321797021</v>
      </c>
      <c r="O17" s="55">
        <v>5206.4292281651815</v>
      </c>
      <c r="P17" s="56">
        <f t="shared" si="4"/>
        <v>3.8255317663217658E-2</v>
      </c>
      <c r="Q17" s="59">
        <f t="shared" si="5"/>
        <v>22985.387834790738</v>
      </c>
      <c r="R17" s="44">
        <f t="shared" si="5"/>
        <v>22369.388176611803</v>
      </c>
      <c r="S17" s="56">
        <f t="shared" si="6"/>
        <v>2.7537617627959587E-2</v>
      </c>
      <c r="T17" s="60">
        <f>'Winter Peak'!C16</f>
        <v>905.01906092311856</v>
      </c>
      <c r="U17" s="60">
        <f>'Winter Peak'!D16</f>
        <v>0</v>
      </c>
      <c r="V17" s="61">
        <f t="shared" si="8"/>
        <v>23890.406895713855</v>
      </c>
      <c r="W17" s="60"/>
      <c r="X17" s="4"/>
      <c r="Y17" s="10"/>
      <c r="Z17"/>
      <c r="AA17"/>
    </row>
    <row r="18" spans="1:27" s="8" customFormat="1" x14ac:dyDescent="0.25">
      <c r="A18" s="43">
        <v>2028</v>
      </c>
      <c r="B18" s="54">
        <f>'Winter CP Comparison'!B18*'Winter NCP-CP Ratio'!$Q$40</f>
        <v>4322.9938395735808</v>
      </c>
      <c r="C18" s="55">
        <v>3954.3697239208259</v>
      </c>
      <c r="D18" s="56">
        <f t="shared" si="0"/>
        <v>9.32194360640759E-2</v>
      </c>
      <c r="E18" s="54">
        <f>'Winter CP Comparison'!E18*'Winter NCP-CP Ratio'!$P$40</f>
        <v>5404.7561967545462</v>
      </c>
      <c r="F18" s="55">
        <v>4769.1989287160814</v>
      </c>
      <c r="G18" s="56">
        <f t="shared" si="1"/>
        <v>0.1332628975091974</v>
      </c>
      <c r="H18" s="54">
        <f>'Winter CP Comparison'!H18*'Winter NCP-CP Ratio'!$O$40</f>
        <v>3663.4971228489799</v>
      </c>
      <c r="I18" s="55">
        <v>3793.9136457398472</v>
      </c>
      <c r="J18" s="56">
        <f t="shared" si="2"/>
        <v>-3.4375195396793234E-2</v>
      </c>
      <c r="K18" s="54">
        <f>'Winter CP Comparison'!K18*'Winter NCP-CP Ratio'!$N$40</f>
        <v>4420.5356042651756</v>
      </c>
      <c r="L18" s="55">
        <v>4874.9740514714449</v>
      </c>
      <c r="M18" s="56">
        <f t="shared" si="3"/>
        <v>-9.3218639198521136E-2</v>
      </c>
      <c r="N18" s="54">
        <f>'Winter CP Comparison'!N18*'Winter NCP-CP Ratio'!$R$40</f>
        <v>5501.4004205867477</v>
      </c>
      <c r="O18" s="55">
        <v>5298.036537507086</v>
      </c>
      <c r="P18" s="56">
        <f t="shared" si="4"/>
        <v>3.8384764174418384E-2</v>
      </c>
      <c r="Q18" s="59">
        <f t="shared" si="5"/>
        <v>23313.183184029029</v>
      </c>
      <c r="R18" s="44">
        <f t="shared" si="5"/>
        <v>22690.492887355285</v>
      </c>
      <c r="S18" s="56">
        <f t="shared" si="6"/>
        <v>2.7442784066658676E-2</v>
      </c>
      <c r="T18" s="60">
        <f>'Winter Peak'!C17</f>
        <v>942.64942669226446</v>
      </c>
      <c r="U18" s="60">
        <f>'Winter Peak'!D17</f>
        <v>0</v>
      </c>
      <c r="V18" s="61">
        <f t="shared" si="8"/>
        <v>24255.832610721292</v>
      </c>
      <c r="W18" s="60"/>
      <c r="X18" s="4"/>
      <c r="Y18" s="10"/>
      <c r="Z18"/>
      <c r="AA18"/>
    </row>
    <row r="19" spans="1:27" s="8" customFormat="1" x14ac:dyDescent="0.25">
      <c r="A19" s="43">
        <v>2029</v>
      </c>
      <c r="B19" s="54">
        <f>'Winter CP Comparison'!B19*'Winter NCP-CP Ratio'!$Q$40</f>
        <v>4395.9164970651182</v>
      </c>
      <c r="C19" s="55">
        <v>4021.3016486001479</v>
      </c>
      <c r="D19" s="56">
        <f t="shared" si="0"/>
        <v>9.315760945100382E-2</v>
      </c>
      <c r="E19" s="54">
        <f>'Winter CP Comparison'!E19*'Winter NCP-CP Ratio'!$P$40</f>
        <v>5459.4308118052404</v>
      </c>
      <c r="F19" s="55">
        <v>4819.608626397905</v>
      </c>
      <c r="G19" s="56">
        <f t="shared" si="1"/>
        <v>0.13275397132931266</v>
      </c>
      <c r="H19" s="54">
        <f>'Winter CP Comparison'!H19*'Winter NCP-CP Ratio'!$O$40</f>
        <v>3703.4827959747563</v>
      </c>
      <c r="I19" s="55">
        <v>3837.3638620135202</v>
      </c>
      <c r="J19" s="56">
        <f t="shared" si="2"/>
        <v>-3.4888811916969131E-2</v>
      </c>
      <c r="K19" s="54">
        <f>'Winter CP Comparison'!K19*'Winter NCP-CP Ratio'!$N$40</f>
        <v>4492.4457141017647</v>
      </c>
      <c r="L19" s="55">
        <v>4958.0813679329394</v>
      </c>
      <c r="M19" s="56">
        <f t="shared" si="3"/>
        <v>-9.3914484107246898E-2</v>
      </c>
      <c r="N19" s="54">
        <f>'Winter CP Comparison'!N19*'Winter NCP-CP Ratio'!$R$40</f>
        <v>5600.2361154584987</v>
      </c>
      <c r="O19" s="55">
        <v>5394.894529735906</v>
      </c>
      <c r="P19" s="56">
        <f t="shared" si="4"/>
        <v>3.8062205774511249E-2</v>
      </c>
      <c r="Q19" s="59">
        <f t="shared" si="5"/>
        <v>23651.511934405378</v>
      </c>
      <c r="R19" s="44">
        <f t="shared" si="5"/>
        <v>23031.250034680419</v>
      </c>
      <c r="S19" s="56">
        <f t="shared" si="6"/>
        <v>2.6931317179526459E-2</v>
      </c>
      <c r="T19" s="60">
        <f>'Winter Peak'!C18</f>
        <v>982.06980536177014</v>
      </c>
      <c r="U19" s="60">
        <f>'Winter Peak'!D18</f>
        <v>0</v>
      </c>
      <c r="V19" s="61">
        <f t="shared" si="8"/>
        <v>24633.581739767149</v>
      </c>
      <c r="W19" s="60"/>
      <c r="X19" s="4"/>
      <c r="Y19" s="10"/>
      <c r="Z19"/>
      <c r="AA19"/>
    </row>
    <row r="20" spans="1:27" s="8" customFormat="1" ht="15.75" thickBot="1" x14ac:dyDescent="0.3">
      <c r="A20" s="43">
        <v>2030</v>
      </c>
      <c r="B20" s="83">
        <f>'Winter CP Comparison'!B20*'Winter NCP-CP Ratio'!$Q$40</f>
        <v>4469.9495553740908</v>
      </c>
      <c r="C20" s="66">
        <v>4092.8619410429337</v>
      </c>
      <c r="D20" s="67">
        <f t="shared" si="0"/>
        <v>9.2132991477124726E-2</v>
      </c>
      <c r="E20" s="83">
        <f>'Winter CP Comparison'!E20*'Winter NCP-CP Ratio'!$P$40</f>
        <v>5515.5500097827453</v>
      </c>
      <c r="F20" s="66">
        <v>4875.7325648552032</v>
      </c>
      <c r="G20" s="67">
        <f t="shared" si="1"/>
        <v>0.13122488496178275</v>
      </c>
      <c r="H20" s="83">
        <f>'Winter CP Comparison'!H20*'Winter NCP-CP Ratio'!$O$40</f>
        <v>3745.0127695224337</v>
      </c>
      <c r="I20" s="66">
        <v>3885.9527075705173</v>
      </c>
      <c r="J20" s="67">
        <f t="shared" si="2"/>
        <v>-3.6269082167034061E-2</v>
      </c>
      <c r="K20" s="83">
        <f>'Winter CP Comparison'!K20*'Winter NCP-CP Ratio'!$N$40</f>
        <v>4566.1594892773483</v>
      </c>
      <c r="L20" s="66">
        <v>5047.8707241464754</v>
      </c>
      <c r="M20" s="67">
        <f t="shared" si="3"/>
        <v>-9.5428599739066811E-2</v>
      </c>
      <c r="N20" s="83">
        <f>'Winter CP Comparison'!N20*'Winter NCP-CP Ratio'!$R$40</f>
        <v>5701.6079092544114</v>
      </c>
      <c r="O20" s="66">
        <v>5499.2019184699411</v>
      </c>
      <c r="P20" s="67">
        <f t="shared" si="4"/>
        <v>3.6806430057543027E-2</v>
      </c>
      <c r="Q20" s="84">
        <f t="shared" si="5"/>
        <v>23998.279733211028</v>
      </c>
      <c r="R20" s="85">
        <f t="shared" si="5"/>
        <v>23401.619856085072</v>
      </c>
      <c r="S20" s="67">
        <f t="shared" si="6"/>
        <v>2.5496520360354769E-2</v>
      </c>
      <c r="T20" s="60">
        <f>'Winter Peak'!C19</f>
        <v>1023.3684156261099</v>
      </c>
      <c r="U20" s="60">
        <f>'Winter Peak'!D19</f>
        <v>0</v>
      </c>
      <c r="V20" s="61">
        <f t="shared" si="8"/>
        <v>25021.648148837139</v>
      </c>
      <c r="W20" s="60"/>
      <c r="X20" s="4"/>
      <c r="Y20" s="10"/>
      <c r="Z20"/>
      <c r="AA20"/>
    </row>
    <row r="21" spans="1:27" x14ac:dyDescent="0.25">
      <c r="A21" t="s">
        <v>66</v>
      </c>
      <c r="B21" s="176">
        <f>(B20/B10)^(1/10)-1</f>
        <v>2.9233820189651372E-2</v>
      </c>
      <c r="C21" s="176">
        <f>(C20/C10)^(1/10)-1</f>
        <v>1.3292767769177427E-2</v>
      </c>
      <c r="D21" s="196"/>
      <c r="E21" s="176">
        <f>(E20/E10)^(1/10)-1</f>
        <v>2.1860840051302066E-2</v>
      </c>
      <c r="F21" s="176">
        <f>(F20/F10)^(1/10)-1</f>
        <v>6.3831148805579829E-3</v>
      </c>
      <c r="G21" s="196"/>
      <c r="H21" s="176">
        <f>(H20/H10)^(1/10)-1</f>
        <v>2.2004791348866792E-2</v>
      </c>
      <c r="I21" s="176">
        <f>(I20/I10)^(1/10)-1</f>
        <v>6.7563993336394734E-3</v>
      </c>
      <c r="J21" s="196"/>
      <c r="K21" s="176">
        <f>(K20/K10)^(1/10)-1</f>
        <v>2.7604671521037183E-2</v>
      </c>
      <c r="L21" s="176">
        <f>(L20/L10)^(1/10)-1</f>
        <v>1.3196348412428671E-2</v>
      </c>
      <c r="M21" s="196"/>
      <c r="N21" s="176">
        <f>(N20/N10)^(1/10)-1</f>
        <v>3.0508219783524471E-2</v>
      </c>
      <c r="O21" s="176">
        <f>(O20/O10)^(1/10)-1</f>
        <v>1.4558076117030749E-2</v>
      </c>
      <c r="P21" s="196"/>
      <c r="Q21" s="176">
        <f>(Q20/Q10)^(1/10)-1</f>
        <v>2.6331177509873349E-2</v>
      </c>
      <c r="R21" s="176">
        <f>(R20/R10)^(1/10)-1</f>
        <v>1.0976606067490513E-2</v>
      </c>
    </row>
    <row r="22" spans="1:27" ht="15.75" thickBot="1" x14ac:dyDescent="0.3"/>
    <row r="23" spans="1:27" s="13" customFormat="1" ht="15.75" thickBot="1" x14ac:dyDescent="0.3">
      <c r="A23" s="43" t="s">
        <v>7</v>
      </c>
      <c r="B23" s="221" t="s">
        <v>8</v>
      </c>
      <c r="C23" s="222"/>
      <c r="D23" s="223"/>
      <c r="E23" s="221" t="s">
        <v>9</v>
      </c>
      <c r="F23" s="222"/>
      <c r="G23" s="223"/>
      <c r="H23" s="221" t="s">
        <v>10</v>
      </c>
      <c r="I23" s="222"/>
      <c r="J23" s="223"/>
      <c r="K23" s="221" t="s">
        <v>11</v>
      </c>
      <c r="L23" s="222"/>
      <c r="M23" s="223"/>
      <c r="N23" s="221" t="s">
        <v>12</v>
      </c>
      <c r="O23" s="222"/>
      <c r="P23" s="223"/>
      <c r="Q23" s="221" t="s">
        <v>13</v>
      </c>
      <c r="R23" s="222"/>
      <c r="S23" s="223"/>
      <c r="T23" s="11"/>
      <c r="U23" s="11"/>
      <c r="V23" s="11"/>
      <c r="W23" s="11"/>
      <c r="X23" s="12"/>
      <c r="Y23" s="12"/>
      <c r="Z23" s="12"/>
      <c r="AA23" s="12"/>
    </row>
    <row r="24" spans="1:27" s="14" customFormat="1" x14ac:dyDescent="0.25">
      <c r="A24" s="45"/>
      <c r="B24" s="168" t="s">
        <v>71</v>
      </c>
      <c r="C24" s="124" t="s">
        <v>61</v>
      </c>
      <c r="D24" s="47"/>
      <c r="E24" s="168" t="s">
        <v>71</v>
      </c>
      <c r="F24" s="124" t="s">
        <v>61</v>
      </c>
      <c r="G24" s="47"/>
      <c r="H24" s="168" t="s">
        <v>71</v>
      </c>
      <c r="I24" s="124" t="s">
        <v>61</v>
      </c>
      <c r="J24" s="47"/>
      <c r="K24" s="168" t="s">
        <v>71</v>
      </c>
      <c r="L24" s="124" t="s">
        <v>61</v>
      </c>
      <c r="M24" s="47"/>
      <c r="N24" s="168" t="s">
        <v>71</v>
      </c>
      <c r="O24" s="124" t="s">
        <v>61</v>
      </c>
      <c r="P24" s="47"/>
      <c r="Q24" s="168" t="s">
        <v>71</v>
      </c>
      <c r="R24" s="124" t="s">
        <v>61</v>
      </c>
      <c r="S24" s="47"/>
      <c r="T24" s="11"/>
      <c r="U24" s="11"/>
      <c r="V24" s="11"/>
      <c r="W24" s="11"/>
      <c r="X24" s="12"/>
      <c r="Y24" s="12"/>
      <c r="Z24" s="12"/>
      <c r="AA24" s="12"/>
    </row>
    <row r="25" spans="1:27" x14ac:dyDescent="0.25">
      <c r="A25" s="41"/>
      <c r="B25" s="54"/>
      <c r="C25" s="55"/>
      <c r="D25" s="56"/>
      <c r="E25" s="54"/>
      <c r="F25" s="55"/>
      <c r="G25" s="56"/>
      <c r="H25" s="54"/>
      <c r="I25" s="55"/>
      <c r="J25" s="56"/>
      <c r="K25" s="54"/>
      <c r="L25" s="55"/>
      <c r="M25" s="56"/>
      <c r="N25" s="54"/>
      <c r="O25" s="55"/>
      <c r="P25" s="56"/>
      <c r="Q25" s="54"/>
      <c r="R25" s="55"/>
      <c r="S25" s="56"/>
    </row>
    <row r="26" spans="1:27" x14ac:dyDescent="0.25">
      <c r="A26" s="43">
        <f t="shared" ref="A26" si="9">A9</f>
        <v>2019</v>
      </c>
      <c r="B26" s="68">
        <f>B9/B8-1</f>
        <v>-0.27834535162321095</v>
      </c>
      <c r="C26" s="75">
        <f>C9/C8-1</f>
        <v>-0.29185773807822968</v>
      </c>
      <c r="D26" s="56"/>
      <c r="E26" s="68">
        <f>E9/E8-1</f>
        <v>-0.26381057325035961</v>
      </c>
      <c r="F26" s="75">
        <f>F9/F8-1</f>
        <v>-0.18469594764151598</v>
      </c>
      <c r="G26" s="56"/>
      <c r="H26" s="68">
        <f>H9/H8-1</f>
        <v>-0.1369943618096815</v>
      </c>
      <c r="I26" s="75">
        <f>I9/I8-1</f>
        <v>-6.0833200626553285E-2</v>
      </c>
      <c r="J26" s="56"/>
      <c r="K26" s="68">
        <f>K9/K8-1</f>
        <v>-9.5895558917593715E-2</v>
      </c>
      <c r="L26" s="75">
        <f>L9/L8-1</f>
        <v>-4.9948850815458301E-2</v>
      </c>
      <c r="M26" s="56"/>
      <c r="N26" s="68">
        <f>N9/N8-1</f>
        <v>3.6643316421621108E-2</v>
      </c>
      <c r="O26" s="75">
        <f>O9/O8-1</f>
        <v>-0.11702016776348212</v>
      </c>
      <c r="P26" s="56"/>
      <c r="Q26" s="68">
        <f>Q9/Q8-1</f>
        <v>-0.15079856406511216</v>
      </c>
      <c r="R26" s="75">
        <f>R9/R8-1</f>
        <v>-0.14685524372365077</v>
      </c>
      <c r="S26" s="56"/>
    </row>
    <row r="27" spans="1:27" x14ac:dyDescent="0.25">
      <c r="A27" s="43">
        <f t="shared" ref="A27:A37" si="10">A10</f>
        <v>2020</v>
      </c>
      <c r="B27" s="68">
        <f>B10/B9-1</f>
        <v>0.14908751312370039</v>
      </c>
      <c r="C27" s="75">
        <f t="shared" ref="B27:C37" si="11">C10/C9-1</f>
        <v>0.25612812369924365</v>
      </c>
      <c r="D27" s="56"/>
      <c r="E27" s="68">
        <f t="shared" ref="E27:F37" si="12">E10/E9-1</f>
        <v>0.30306596866444391</v>
      </c>
      <c r="F27" s="75">
        <f t="shared" si="12"/>
        <v>0.24908830416840733</v>
      </c>
      <c r="G27" s="56"/>
      <c r="H27" s="68">
        <f t="shared" ref="H27:I37" si="13">H10/H9-1</f>
        <v>9.5166117801996908E-2</v>
      </c>
      <c r="I27" s="75">
        <f t="shared" si="13"/>
        <v>0.2465882720267214</v>
      </c>
      <c r="J27" s="56"/>
      <c r="K27" s="68">
        <f t="shared" ref="K27:L37" si="14">K10/K9-1</f>
        <v>3.5503197907973627E-2</v>
      </c>
      <c r="L27" s="75">
        <f t="shared" si="14"/>
        <v>0.25459845052448826</v>
      </c>
      <c r="M27" s="56"/>
      <c r="N27" s="68">
        <f t="shared" ref="N27:O37" si="15">N10/N9-1</f>
        <v>-3.4802337023651986E-2</v>
      </c>
      <c r="O27" s="75">
        <f t="shared" si="15"/>
        <v>0.25877062218927493</v>
      </c>
      <c r="P27" s="56"/>
      <c r="Q27" s="68">
        <f t="shared" ref="Q27:R37" si="16">Q10/Q9-1</f>
        <v>0.10095233884133026</v>
      </c>
      <c r="R27" s="75">
        <f t="shared" si="16"/>
        <v>0.25320170419993149</v>
      </c>
      <c r="S27" s="56"/>
    </row>
    <row r="28" spans="1:27" x14ac:dyDescent="0.25">
      <c r="A28" s="43">
        <f t="shared" si="10"/>
        <v>2021</v>
      </c>
      <c r="B28" s="68">
        <f t="shared" si="11"/>
        <v>0.14955760269071994</v>
      </c>
      <c r="C28" s="75">
        <f t="shared" si="11"/>
        <v>1.628208284696786E-2</v>
      </c>
      <c r="D28" s="56"/>
      <c r="E28" s="68">
        <f t="shared" si="12"/>
        <v>0.14020543790052953</v>
      </c>
      <c r="F28" s="75">
        <f t="shared" si="12"/>
        <v>8.6307971308581255E-3</v>
      </c>
      <c r="G28" s="56"/>
      <c r="H28" s="68">
        <f t="shared" si="13"/>
        <v>0.13740641696179745</v>
      </c>
      <c r="I28" s="75">
        <f t="shared" si="13"/>
        <v>7.9615612606886987E-3</v>
      </c>
      <c r="J28" s="56"/>
      <c r="K28" s="68">
        <f t="shared" si="14"/>
        <v>0.14179187115743042</v>
      </c>
      <c r="L28" s="75">
        <f t="shared" si="14"/>
        <v>1.6298031825098036E-2</v>
      </c>
      <c r="M28" s="56"/>
      <c r="N28" s="68">
        <f t="shared" si="15"/>
        <v>0.15030319180844542</v>
      </c>
      <c r="O28" s="75">
        <f t="shared" si="15"/>
        <v>1.8635773259051636E-2</v>
      </c>
      <c r="P28" s="56"/>
      <c r="Q28" s="68">
        <f t="shared" si="16"/>
        <v>0.14404494029550774</v>
      </c>
      <c r="R28" s="75">
        <f t="shared" si="16"/>
        <v>1.3710222151708695E-2</v>
      </c>
      <c r="S28" s="56"/>
    </row>
    <row r="29" spans="1:27" x14ac:dyDescent="0.25">
      <c r="A29" s="43">
        <f t="shared" si="10"/>
        <v>2022</v>
      </c>
      <c r="B29" s="68">
        <f t="shared" si="11"/>
        <v>1.2955203288501416E-2</v>
      </c>
      <c r="C29" s="75">
        <f t="shared" si="11"/>
        <v>1.7813828417811983E-4</v>
      </c>
      <c r="D29" s="56"/>
      <c r="E29" s="68">
        <f t="shared" si="12"/>
        <v>5.3814880208240545E-3</v>
      </c>
      <c r="F29" s="75">
        <f t="shared" si="12"/>
        <v>-7.0540302465023075E-3</v>
      </c>
      <c r="G29" s="56"/>
      <c r="H29" s="68">
        <f t="shared" si="13"/>
        <v>4.9797824844903804E-3</v>
      </c>
      <c r="I29" s="75">
        <f t="shared" si="13"/>
        <v>-7.5104002968358063E-3</v>
      </c>
      <c r="J29" s="56"/>
      <c r="K29" s="68">
        <f t="shared" si="14"/>
        <v>1.1176441959570793E-2</v>
      </c>
      <c r="L29" s="75">
        <f t="shared" si="14"/>
        <v>2.3998973336869511E-4</v>
      </c>
      <c r="M29" s="56"/>
      <c r="N29" s="68">
        <f t="shared" si="15"/>
        <v>1.584326715871831E-2</v>
      </c>
      <c r="O29" s="75">
        <f t="shared" si="15"/>
        <v>1.7487411634984351E-3</v>
      </c>
      <c r="P29" s="56"/>
      <c r="Q29" s="68">
        <f t="shared" si="16"/>
        <v>1.0181040420467635E-2</v>
      </c>
      <c r="R29" s="75">
        <f t="shared" si="16"/>
        <v>-2.3436270247506608E-3</v>
      </c>
      <c r="S29" s="56"/>
    </row>
    <row r="30" spans="1:27" x14ac:dyDescent="0.25">
      <c r="A30" s="43">
        <f t="shared" si="10"/>
        <v>2023</v>
      </c>
      <c r="B30" s="68">
        <f t="shared" si="11"/>
        <v>2.0808479094221566E-2</v>
      </c>
      <c r="C30" s="75">
        <f t="shared" si="11"/>
        <v>1.300039107260953E-2</v>
      </c>
      <c r="D30" s="56"/>
      <c r="E30" s="68">
        <f t="shared" si="12"/>
        <v>1.3240586451606973E-2</v>
      </c>
      <c r="F30" s="75">
        <f t="shared" si="12"/>
        <v>5.7958118528000924E-3</v>
      </c>
      <c r="G30" s="56"/>
      <c r="H30" s="68">
        <f t="shared" si="13"/>
        <v>1.322346310733602E-2</v>
      </c>
      <c r="I30" s="75">
        <f t="shared" si="13"/>
        <v>5.8068366527415094E-3</v>
      </c>
      <c r="J30" s="56"/>
      <c r="K30" s="68">
        <f t="shared" si="14"/>
        <v>1.9531143895550995E-2</v>
      </c>
      <c r="L30" s="75">
        <f t="shared" si="14"/>
        <v>1.2937173279240044E-2</v>
      </c>
      <c r="M30" s="56"/>
      <c r="N30" s="68">
        <f t="shared" si="15"/>
        <v>2.2604836592252653E-2</v>
      </c>
      <c r="O30" s="75">
        <f t="shared" si="15"/>
        <v>1.4070110152323068E-2</v>
      </c>
      <c r="P30" s="56"/>
      <c r="Q30" s="68">
        <f t="shared" si="16"/>
        <v>1.7959525548006505E-2</v>
      </c>
      <c r="R30" s="75">
        <f t="shared" si="16"/>
        <v>1.0443964700109776E-2</v>
      </c>
      <c r="S30" s="56"/>
    </row>
    <row r="31" spans="1:27" x14ac:dyDescent="0.25">
      <c r="A31" s="43">
        <f t="shared" si="10"/>
        <v>2024</v>
      </c>
      <c r="B31" s="68">
        <f t="shared" si="11"/>
        <v>2.0801174804655931E-2</v>
      </c>
      <c r="C31" s="75">
        <f t="shared" si="11"/>
        <v>1.2887690438931676E-2</v>
      </c>
      <c r="D31" s="56"/>
      <c r="E31" s="68">
        <f t="shared" si="12"/>
        <v>1.3363876144121045E-2</v>
      </c>
      <c r="F31" s="75">
        <f t="shared" si="12"/>
        <v>5.8075102181303073E-3</v>
      </c>
      <c r="G31" s="56"/>
      <c r="H31" s="68">
        <f t="shared" si="13"/>
        <v>1.3650753864841825E-2</v>
      </c>
      <c r="I31" s="75">
        <f t="shared" si="13"/>
        <v>6.152987754048711E-3</v>
      </c>
      <c r="J31" s="56"/>
      <c r="K31" s="68">
        <f t="shared" si="14"/>
        <v>1.9604977926233058E-2</v>
      </c>
      <c r="L31" s="75">
        <f t="shared" si="14"/>
        <v>1.2621200094466545E-2</v>
      </c>
      <c r="M31" s="56"/>
      <c r="N31" s="68">
        <f t="shared" si="15"/>
        <v>2.2024089256762913E-2</v>
      </c>
      <c r="O31" s="75">
        <f t="shared" si="15"/>
        <v>1.3786897784937358E-2</v>
      </c>
      <c r="P31" s="56"/>
      <c r="Q31" s="68">
        <f t="shared" si="16"/>
        <v>1.7950764123134233E-2</v>
      </c>
      <c r="R31" s="75">
        <f t="shared" si="16"/>
        <v>1.036750153049204E-2</v>
      </c>
      <c r="S31" s="56"/>
    </row>
    <row r="32" spans="1:27" x14ac:dyDescent="0.25">
      <c r="A32" s="43">
        <f t="shared" si="10"/>
        <v>2025</v>
      </c>
      <c r="B32" s="68">
        <f t="shared" si="11"/>
        <v>1.6457304451232169E-2</v>
      </c>
      <c r="C32" s="75">
        <f t="shared" si="11"/>
        <v>1.2860444230095469E-2</v>
      </c>
      <c r="D32" s="56"/>
      <c r="E32" s="68">
        <f t="shared" si="12"/>
        <v>9.1471450761420048E-3</v>
      </c>
      <c r="F32" s="75">
        <f t="shared" si="12"/>
        <v>5.8842707930917282E-3</v>
      </c>
      <c r="G32" s="56"/>
      <c r="H32" s="68">
        <f t="shared" si="13"/>
        <v>9.565613181372612E-3</v>
      </c>
      <c r="I32" s="75">
        <f t="shared" si="13"/>
        <v>6.3782261313269917E-3</v>
      </c>
      <c r="J32" s="56"/>
      <c r="K32" s="68">
        <f t="shared" si="14"/>
        <v>1.5319871299344756E-2</v>
      </c>
      <c r="L32" s="75">
        <f t="shared" si="14"/>
        <v>1.2492900685554753E-2</v>
      </c>
      <c r="M32" s="56"/>
      <c r="N32" s="68">
        <f t="shared" si="15"/>
        <v>1.7440797032197253E-2</v>
      </c>
      <c r="O32" s="75">
        <f t="shared" si="15"/>
        <v>1.3760836115698005E-2</v>
      </c>
      <c r="P32" s="56"/>
      <c r="Q32" s="68">
        <f t="shared" si="16"/>
        <v>1.3647104470765559E-2</v>
      </c>
      <c r="R32" s="75">
        <f t="shared" si="16"/>
        <v>1.0396344625746456E-2</v>
      </c>
      <c r="S32" s="56"/>
    </row>
    <row r="33" spans="1:19" x14ac:dyDescent="0.25">
      <c r="A33" s="43">
        <f t="shared" si="10"/>
        <v>2026</v>
      </c>
      <c r="B33" s="68">
        <f t="shared" si="11"/>
        <v>1.6605950595688812E-2</v>
      </c>
      <c r="C33" s="75">
        <f t="shared" si="11"/>
        <v>1.504987289906734E-2</v>
      </c>
      <c r="D33" s="56"/>
      <c r="E33" s="68">
        <f t="shared" si="12"/>
        <v>9.3626482898305774E-3</v>
      </c>
      <c r="F33" s="75">
        <f t="shared" si="12"/>
        <v>8.1093852164715319E-3</v>
      </c>
      <c r="G33" s="56"/>
      <c r="H33" s="68">
        <f t="shared" si="13"/>
        <v>9.8416041847284585E-3</v>
      </c>
      <c r="I33" s="75">
        <f t="shared" si="13"/>
        <v>8.6683128894282646E-3</v>
      </c>
      <c r="J33" s="56"/>
      <c r="K33" s="68">
        <f t="shared" si="14"/>
        <v>1.555059408631787E-2</v>
      </c>
      <c r="L33" s="75">
        <f t="shared" si="14"/>
        <v>1.4684105670129455E-2</v>
      </c>
      <c r="M33" s="56"/>
      <c r="N33" s="68">
        <f t="shared" si="15"/>
        <v>1.7496018441863104E-2</v>
      </c>
      <c r="O33" s="75">
        <f t="shared" si="15"/>
        <v>1.5968338679380967E-2</v>
      </c>
      <c r="P33" s="56"/>
      <c r="Q33" s="68">
        <f t="shared" si="16"/>
        <v>1.3837953853893525E-2</v>
      </c>
      <c r="R33" s="75">
        <f t="shared" si="16"/>
        <v>1.262652634987238E-2</v>
      </c>
      <c r="S33" s="56"/>
    </row>
    <row r="34" spans="1:19" x14ac:dyDescent="0.25">
      <c r="A34" s="43">
        <f t="shared" si="10"/>
        <v>2027</v>
      </c>
      <c r="B34" s="68">
        <f t="shared" si="11"/>
        <v>1.1909955287387142E-2</v>
      </c>
      <c r="C34" s="75">
        <f t="shared" si="11"/>
        <v>1.1550518425770928E-2</v>
      </c>
      <c r="D34" s="56"/>
      <c r="E34" s="68">
        <f t="shared" si="12"/>
        <v>4.7624138961608331E-3</v>
      </c>
      <c r="F34" s="75">
        <f t="shared" si="12"/>
        <v>4.7058968114810362E-3</v>
      </c>
      <c r="G34" s="56"/>
      <c r="H34" s="68">
        <f t="shared" si="13"/>
        <v>5.4221704293309081E-3</v>
      </c>
      <c r="I34" s="75">
        <f t="shared" si="13"/>
        <v>5.4443685698579714E-3</v>
      </c>
      <c r="J34" s="56"/>
      <c r="K34" s="68">
        <f t="shared" si="14"/>
        <v>1.0964308083483587E-2</v>
      </c>
      <c r="L34" s="75">
        <f t="shared" si="14"/>
        <v>1.1268392806206728E-2</v>
      </c>
      <c r="M34" s="56"/>
      <c r="N34" s="68">
        <f t="shared" si="15"/>
        <v>1.2771601999888027E-2</v>
      </c>
      <c r="O34" s="75">
        <f t="shared" si="15"/>
        <v>1.2514746747405603E-2</v>
      </c>
      <c r="P34" s="56"/>
      <c r="Q34" s="68">
        <f t="shared" si="16"/>
        <v>9.2343727079524651E-3</v>
      </c>
      <c r="R34" s="75">
        <f t="shared" si="16"/>
        <v>9.233763269466122E-3</v>
      </c>
      <c r="S34" s="56"/>
    </row>
    <row r="35" spans="1:19" x14ac:dyDescent="0.25">
      <c r="A35" s="43">
        <f t="shared" si="10"/>
        <v>2028</v>
      </c>
      <c r="B35" s="68">
        <f t="shared" si="11"/>
        <v>1.6792689079133671E-2</v>
      </c>
      <c r="C35" s="75">
        <f t="shared" si="11"/>
        <v>1.6511987886540069E-2</v>
      </c>
      <c r="D35" s="56"/>
      <c r="E35" s="68">
        <f t="shared" si="12"/>
        <v>9.8287949153661458E-3</v>
      </c>
      <c r="F35" s="75">
        <f t="shared" si="12"/>
        <v>9.8614912422214651E-3</v>
      </c>
      <c r="G35" s="56"/>
      <c r="H35" s="68">
        <f t="shared" si="13"/>
        <v>1.0576091197765702E-2</v>
      </c>
      <c r="I35" s="75">
        <f t="shared" si="13"/>
        <v>1.0689430268803646E-2</v>
      </c>
      <c r="J35" s="56"/>
      <c r="K35" s="68">
        <f t="shared" si="14"/>
        <v>1.6009825273532119E-2</v>
      </c>
      <c r="L35" s="75">
        <f t="shared" si="14"/>
        <v>1.6380074696107805E-2</v>
      </c>
      <c r="M35" s="56"/>
      <c r="N35" s="68">
        <f t="shared" si="15"/>
        <v>1.7721906581215974E-2</v>
      </c>
      <c r="O35" s="75">
        <f t="shared" si="15"/>
        <v>1.7595035931024849E-2</v>
      </c>
      <c r="P35" s="56"/>
      <c r="Q35" s="68">
        <f t="shared" si="16"/>
        <v>1.4261031904022836E-2</v>
      </c>
      <c r="R35" s="75">
        <f t="shared" si="16"/>
        <v>1.4354648781999879E-2</v>
      </c>
      <c r="S35" s="56"/>
    </row>
    <row r="36" spans="1:19" x14ac:dyDescent="0.25">
      <c r="A36" s="43">
        <f t="shared" si="10"/>
        <v>2029</v>
      </c>
      <c r="B36" s="68">
        <f t="shared" si="11"/>
        <v>1.6868554570674599E-2</v>
      </c>
      <c r="C36" s="75">
        <f t="shared" si="11"/>
        <v>1.6926066440989818E-2</v>
      </c>
      <c r="D36" s="56"/>
      <c r="E36" s="68">
        <f t="shared" si="12"/>
        <v>1.0116018754652734E-2</v>
      </c>
      <c r="F36" s="75">
        <f t="shared" si="12"/>
        <v>1.0569845887178131E-2</v>
      </c>
      <c r="G36" s="56"/>
      <c r="H36" s="68">
        <f t="shared" si="13"/>
        <v>1.0914618405563514E-2</v>
      </c>
      <c r="I36" s="75">
        <f t="shared" si="13"/>
        <v>1.145261076842452E-2</v>
      </c>
      <c r="J36" s="56"/>
      <c r="K36" s="68">
        <f t="shared" si="14"/>
        <v>1.6267284391331627E-2</v>
      </c>
      <c r="L36" s="75">
        <f t="shared" si="14"/>
        <v>1.7047745400082581E-2</v>
      </c>
      <c r="M36" s="56"/>
      <c r="N36" s="68">
        <f t="shared" si="15"/>
        <v>1.7965551916907962E-2</v>
      </c>
      <c r="O36" s="75">
        <f t="shared" si="15"/>
        <v>1.8281865657799878E-2</v>
      </c>
      <c r="P36" s="56"/>
      <c r="Q36" s="68">
        <f t="shared" si="16"/>
        <v>1.4512336119253177E-2</v>
      </c>
      <c r="R36" s="75">
        <f t="shared" si="16"/>
        <v>1.5017617687583362E-2</v>
      </c>
      <c r="S36" s="56"/>
    </row>
    <row r="37" spans="1:19" ht="15.75" thickBot="1" x14ac:dyDescent="0.3">
      <c r="A37" s="43">
        <f t="shared" si="10"/>
        <v>2030</v>
      </c>
      <c r="B37" s="69">
        <f t="shared" si="11"/>
        <v>1.684132497930757E-2</v>
      </c>
      <c r="C37" s="76">
        <f t="shared" si="11"/>
        <v>1.7795305773118608E-2</v>
      </c>
      <c r="D37" s="67"/>
      <c r="E37" s="69">
        <f t="shared" si="12"/>
        <v>1.0279312974560417E-2</v>
      </c>
      <c r="F37" s="76">
        <f t="shared" si="12"/>
        <v>1.164491617636676E-2</v>
      </c>
      <c r="G37" s="67"/>
      <c r="H37" s="69">
        <f t="shared" si="13"/>
        <v>1.1213761703663172E-2</v>
      </c>
      <c r="I37" s="76">
        <f t="shared" si="13"/>
        <v>1.2662037613368815E-2</v>
      </c>
      <c r="J37" s="67"/>
      <c r="K37" s="69">
        <f t="shared" si="14"/>
        <v>1.640838417795365E-2</v>
      </c>
      <c r="L37" s="76">
        <f t="shared" si="14"/>
        <v>1.8109697996136376E-2</v>
      </c>
      <c r="M37" s="67"/>
      <c r="N37" s="69">
        <f t="shared" si="15"/>
        <v>1.8101342819473842E-2</v>
      </c>
      <c r="O37" s="76">
        <f t="shared" si="15"/>
        <v>1.9334463011112968E-2</v>
      </c>
      <c r="P37" s="67"/>
      <c r="Q37" s="69">
        <f t="shared" si="16"/>
        <v>1.4661548900863908E-2</v>
      </c>
      <c r="R37" s="76">
        <f t="shared" si="16"/>
        <v>1.608118625115651E-2</v>
      </c>
      <c r="S37" s="67"/>
    </row>
  </sheetData>
  <mergeCells count="14">
    <mergeCell ref="Q23:S23"/>
    <mergeCell ref="B3:S3"/>
    <mergeCell ref="B4:S4"/>
    <mergeCell ref="B5:D5"/>
    <mergeCell ref="E5:G5"/>
    <mergeCell ref="H5:J5"/>
    <mergeCell ref="K5:M5"/>
    <mergeCell ref="N5:P5"/>
    <mergeCell ref="Q5:S5"/>
    <mergeCell ref="B23:D23"/>
    <mergeCell ref="E23:G23"/>
    <mergeCell ref="H23:J23"/>
    <mergeCell ref="K23:M23"/>
    <mergeCell ref="N23:P23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B39"/>
  <sheetViews>
    <sheetView topLeftCell="A19" zoomScaleNormal="100" workbookViewId="0"/>
  </sheetViews>
  <sheetFormatPr defaultRowHeight="15" x14ac:dyDescent="0.25"/>
  <cols>
    <col min="2" max="3" width="10.42578125" bestFit="1" customWidth="1"/>
    <col min="5" max="6" width="10.42578125" bestFit="1" customWidth="1"/>
    <col min="8" max="9" width="10.42578125" bestFit="1" customWidth="1"/>
    <col min="11" max="12" width="10.42578125" bestFit="1" customWidth="1"/>
    <col min="14" max="15" width="10.42578125" bestFit="1" customWidth="1"/>
    <col min="17" max="18" width="10.42578125" bestFit="1" customWidth="1"/>
    <col min="21" max="21" width="9.7109375" bestFit="1" customWidth="1"/>
    <col min="22" max="22" width="9.42578125" customWidth="1"/>
    <col min="23" max="23" width="4.5703125" customWidth="1"/>
    <col min="24" max="24" width="13.5703125" bestFit="1" customWidth="1"/>
    <col min="25" max="25" width="5.140625" customWidth="1"/>
    <col min="26" max="26" width="10.5703125" bestFit="1" customWidth="1"/>
  </cols>
  <sheetData>
    <row r="1" spans="1:28" x14ac:dyDescent="0.25">
      <c r="A1" s="216" t="s">
        <v>78</v>
      </c>
    </row>
    <row r="2" spans="1:28" x14ac:dyDescent="0.25">
      <c r="A2" s="216" t="s">
        <v>73</v>
      </c>
    </row>
    <row r="3" spans="1:28" ht="18" x14ac:dyDescent="0.25">
      <c r="A3" s="39"/>
      <c r="B3" s="224" t="s">
        <v>26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40"/>
      <c r="U3" s="102"/>
      <c r="V3" s="40"/>
      <c r="W3" s="40"/>
      <c r="X3" s="39"/>
    </row>
    <row r="4" spans="1:28" ht="16.5" thickBot="1" x14ac:dyDescent="0.3">
      <c r="A4" s="41"/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42"/>
      <c r="U4" s="42"/>
      <c r="V4" s="42"/>
      <c r="W4" s="42"/>
      <c r="X4" s="41"/>
    </row>
    <row r="5" spans="1:28" ht="15.75" thickBot="1" x14ac:dyDescent="0.3">
      <c r="A5" s="90" t="s">
        <v>7</v>
      </c>
      <c r="B5" s="221" t="s">
        <v>8</v>
      </c>
      <c r="C5" s="222"/>
      <c r="D5" s="223"/>
      <c r="E5" s="221" t="s">
        <v>9</v>
      </c>
      <c r="F5" s="222"/>
      <c r="G5" s="223"/>
      <c r="H5" s="221" t="s">
        <v>10</v>
      </c>
      <c r="I5" s="222"/>
      <c r="J5" s="223"/>
      <c r="K5" s="221" t="s">
        <v>11</v>
      </c>
      <c r="L5" s="222"/>
      <c r="M5" s="223"/>
      <c r="N5" s="221" t="s">
        <v>12</v>
      </c>
      <c r="O5" s="222"/>
      <c r="P5" s="223"/>
      <c r="Q5" s="221" t="s">
        <v>13</v>
      </c>
      <c r="R5" s="222"/>
      <c r="S5" s="223"/>
      <c r="T5" s="44"/>
      <c r="U5" s="44"/>
      <c r="V5" s="44" t="s">
        <v>36</v>
      </c>
      <c r="W5" s="44"/>
      <c r="X5" s="87"/>
    </row>
    <row r="6" spans="1:28" x14ac:dyDescent="0.25">
      <c r="A6" s="91"/>
      <c r="B6" s="168" t="s">
        <v>71</v>
      </c>
      <c r="C6" s="124" t="s">
        <v>61</v>
      </c>
      <c r="D6" s="47" t="s">
        <v>14</v>
      </c>
      <c r="E6" s="168" t="s">
        <v>71</v>
      </c>
      <c r="F6" s="124" t="s">
        <v>61</v>
      </c>
      <c r="G6" s="47" t="s">
        <v>14</v>
      </c>
      <c r="H6" s="168" t="s">
        <v>71</v>
      </c>
      <c r="I6" s="124" t="s">
        <v>61</v>
      </c>
      <c r="J6" s="47" t="s">
        <v>14</v>
      </c>
      <c r="K6" s="168" t="s">
        <v>71</v>
      </c>
      <c r="L6" s="124" t="s">
        <v>61</v>
      </c>
      <c r="M6" s="47" t="s">
        <v>14</v>
      </c>
      <c r="N6" s="168" t="s">
        <v>71</v>
      </c>
      <c r="O6" s="124" t="s">
        <v>61</v>
      </c>
      <c r="P6" s="47" t="s">
        <v>14</v>
      </c>
      <c r="Q6" s="168" t="s">
        <v>71</v>
      </c>
      <c r="R6" s="124" t="s">
        <v>61</v>
      </c>
      <c r="S6" s="47" t="s">
        <v>14</v>
      </c>
      <c r="T6" s="44" t="s">
        <v>1</v>
      </c>
      <c r="U6" s="44" t="s">
        <v>35</v>
      </c>
      <c r="V6" s="185" t="s">
        <v>61</v>
      </c>
      <c r="W6" s="44"/>
      <c r="X6" s="88" t="s">
        <v>27</v>
      </c>
    </row>
    <row r="7" spans="1:28" x14ac:dyDescent="0.25">
      <c r="A7" s="93"/>
      <c r="B7" s="54"/>
      <c r="C7" s="55"/>
      <c r="D7" s="56"/>
      <c r="E7" s="54"/>
      <c r="F7" s="58"/>
      <c r="G7" s="56"/>
      <c r="H7" s="54"/>
      <c r="I7" s="58"/>
      <c r="J7" s="56"/>
      <c r="K7" s="54"/>
      <c r="L7" s="58"/>
      <c r="M7" s="56"/>
      <c r="N7" s="54"/>
      <c r="O7" s="58"/>
      <c r="P7" s="56"/>
      <c r="Q7" s="59"/>
      <c r="R7" s="44"/>
      <c r="S7" s="56"/>
      <c r="T7" s="60"/>
      <c r="U7" s="60"/>
      <c r="V7" s="61"/>
      <c r="W7" s="60"/>
      <c r="X7" s="89"/>
      <c r="Z7" s="1" t="s">
        <v>48</v>
      </c>
      <c r="AA7" s="3" t="s">
        <v>17</v>
      </c>
      <c r="AB7" s="3"/>
    </row>
    <row r="8" spans="1:28" x14ac:dyDescent="0.25">
      <c r="A8" s="93">
        <v>2019</v>
      </c>
      <c r="B8" s="54"/>
      <c r="C8" s="55"/>
      <c r="D8" s="56"/>
      <c r="E8" s="54"/>
      <c r="F8" s="58"/>
      <c r="G8" s="56"/>
      <c r="H8" s="54"/>
      <c r="I8" s="58"/>
      <c r="J8" s="56"/>
      <c r="K8" s="54"/>
      <c r="L8" s="58"/>
      <c r="M8" s="56"/>
      <c r="N8" s="54"/>
      <c r="O8" s="58"/>
      <c r="P8" s="56"/>
      <c r="Q8" s="59"/>
      <c r="R8" s="44"/>
      <c r="S8" s="56"/>
      <c r="T8" s="60"/>
      <c r="U8" s="60"/>
      <c r="V8" s="61"/>
      <c r="W8" s="60"/>
      <c r="X8" s="198"/>
      <c r="Z8" s="1"/>
      <c r="AA8" s="3">
        <f t="shared" ref="AA8:AA19" si="0">V8-Z8</f>
        <v>0</v>
      </c>
      <c r="AB8" s="3"/>
    </row>
    <row r="9" spans="1:28" x14ac:dyDescent="0.25">
      <c r="A9" s="93">
        <v>2020</v>
      </c>
      <c r="B9" s="54"/>
      <c r="C9" s="55"/>
      <c r="D9" s="56"/>
      <c r="E9" s="54"/>
      <c r="F9" s="55"/>
      <c r="G9" s="56"/>
      <c r="H9" s="54"/>
      <c r="I9" s="55"/>
      <c r="J9" s="56"/>
      <c r="K9" s="54"/>
      <c r="L9" s="55"/>
      <c r="M9" s="56"/>
      <c r="N9" s="54"/>
      <c r="O9" s="55"/>
      <c r="P9" s="56"/>
      <c r="Q9" s="59"/>
      <c r="R9" s="44"/>
      <c r="S9" s="56"/>
      <c r="T9" s="60"/>
      <c r="U9" s="60"/>
      <c r="V9" s="61"/>
      <c r="W9" s="60"/>
      <c r="X9" s="89"/>
      <c r="Y9" s="5"/>
      <c r="Z9" s="1"/>
      <c r="AA9" s="3"/>
      <c r="AB9" s="3"/>
    </row>
    <row r="10" spans="1:28" x14ac:dyDescent="0.25">
      <c r="A10" s="93">
        <v>2021</v>
      </c>
      <c r="B10" s="54">
        <f>$X10*'Winter CP Comparison'!B11</f>
        <v>3938.0887192100713</v>
      </c>
      <c r="C10" s="55">
        <v>3733.5548420329746</v>
      </c>
      <c r="D10" s="56">
        <f t="shared" ref="D10:D14" si="1">B10/C10-1</f>
        <v>5.4782609558702733E-2</v>
      </c>
      <c r="E10" s="54">
        <f>$X10*'Winter CP Comparison'!E11</f>
        <v>5200.5284546272969</v>
      </c>
      <c r="F10" s="55">
        <v>4882.4177034716322</v>
      </c>
      <c r="G10" s="56">
        <f t="shared" ref="G10:G14" si="2">E10/F10-1</f>
        <v>6.5154349847919235E-2</v>
      </c>
      <c r="H10" s="54">
        <f>$X10*'Winter CP Comparison'!H11</f>
        <v>3103.9103872062046</v>
      </c>
      <c r="I10" s="55">
        <v>3406.3649887319589</v>
      </c>
      <c r="J10" s="56">
        <f t="shared" ref="J10:J14" si="3">H10/I10-1</f>
        <v>-8.8791014035857874E-2</v>
      </c>
      <c r="K10" s="54">
        <f>$X10*'Winter CP Comparison'!K11</f>
        <v>3562.0151372427945</v>
      </c>
      <c r="L10" s="55">
        <v>4035.4610479853882</v>
      </c>
      <c r="M10" s="56">
        <f t="shared" ref="M10:M14" si="4">K10/L10-1</f>
        <v>-0.11732139280069398</v>
      </c>
      <c r="N10" s="54">
        <f>$X10*'Winter CP Comparison'!N11</f>
        <v>5193.1980388283837</v>
      </c>
      <c r="O10" s="55">
        <v>5107.1054647856536</v>
      </c>
      <c r="P10" s="56">
        <f t="shared" ref="P10:P14" si="5">N10/O10-1</f>
        <v>1.6857410648037918E-2</v>
      </c>
      <c r="Q10" s="59">
        <f t="shared" ref="Q10:R19" si="6">+N10+K10+H10+E10+B10</f>
        <v>20997.740737114749</v>
      </c>
      <c r="R10" s="44">
        <f t="shared" si="6"/>
        <v>21164.904047007611</v>
      </c>
      <c r="S10" s="56">
        <f t="shared" ref="S10:S14" si="7">Q10/R10-1</f>
        <v>-7.8981369120119105E-3</v>
      </c>
      <c r="T10" s="60">
        <f>'Winter Peak'!C10</f>
        <v>712.38949357466913</v>
      </c>
      <c r="U10" s="60">
        <f>'Winter Peak'!D10</f>
        <v>200</v>
      </c>
      <c r="V10" s="61">
        <f>Q10+T10+(U10*(1-X10))</f>
        <v>21693.087640536367</v>
      </c>
      <c r="W10" s="60"/>
      <c r="X10" s="89">
        <v>1.0852129507652455</v>
      </c>
      <c r="Z10" s="1">
        <v>21693.087640536367</v>
      </c>
      <c r="AA10" s="3">
        <f t="shared" si="0"/>
        <v>0</v>
      </c>
      <c r="AB10" s="3"/>
    </row>
    <row r="11" spans="1:28" x14ac:dyDescent="0.25">
      <c r="A11" s="93">
        <v>2022</v>
      </c>
      <c r="B11" s="54">
        <f>$X11*'Winter CP Comparison'!B12</f>
        <v>3995.1308755309469</v>
      </c>
      <c r="C11" s="55">
        <v>3737.5545510915763</v>
      </c>
      <c r="D11" s="56">
        <f t="shared" si="1"/>
        <v>6.8915736457717758E-2</v>
      </c>
      <c r="E11" s="54">
        <f>$X11*'Winter CP Comparison'!E12</f>
        <v>5236.4099158306699</v>
      </c>
      <c r="F11" s="55">
        <v>4852.3061749152266</v>
      </c>
      <c r="G11" s="56">
        <f t="shared" si="2"/>
        <v>7.9159007504746803E-2</v>
      </c>
      <c r="H11" s="54">
        <f>$X11*'Winter CP Comparison'!H12</f>
        <v>3124.0773239915611</v>
      </c>
      <c r="I11" s="55">
        <v>3383.8008275189477</v>
      </c>
      <c r="J11" s="56">
        <f t="shared" si="3"/>
        <v>-7.6754961880489803E-2</v>
      </c>
      <c r="K11" s="54">
        <f>$X11*'Winter CP Comparison'!K12</f>
        <v>3607.2644269530233</v>
      </c>
      <c r="L11" s="55">
        <v>4040.0340072647141</v>
      </c>
      <c r="M11" s="56">
        <f t="shared" si="4"/>
        <v>-0.10712028154552478</v>
      </c>
      <c r="N11" s="54">
        <f>$X11*'Winter CP Comparison'!N12</f>
        <v>5283.4410507311641</v>
      </c>
      <c r="O11" s="55">
        <v>5120.6050383058418</v>
      </c>
      <c r="P11" s="56">
        <f t="shared" si="5"/>
        <v>3.180015080389742E-2</v>
      </c>
      <c r="Q11" s="59">
        <f t="shared" si="6"/>
        <v>21246.323593037367</v>
      </c>
      <c r="R11" s="44">
        <f t="shared" si="6"/>
        <v>21134.300599096307</v>
      </c>
      <c r="S11" s="56">
        <f t="shared" si="7"/>
        <v>5.3005299804360639E-3</v>
      </c>
      <c r="T11" s="60">
        <f>'Winter Peak'!C11</f>
        <v>740.91160697503494</v>
      </c>
      <c r="U11" s="60">
        <f>'Winter Peak'!D11</f>
        <v>0</v>
      </c>
      <c r="V11" s="61">
        <f t="shared" ref="V11:V19" si="8">Q11+T11</f>
        <v>21987.235200012401</v>
      </c>
      <c r="W11" s="60"/>
      <c r="X11" s="89">
        <v>1.0868515853588363</v>
      </c>
      <c r="Z11" s="1">
        <v>21987.235200012397</v>
      </c>
      <c r="AA11" s="3">
        <f t="shared" si="0"/>
        <v>0</v>
      </c>
      <c r="AB11" s="3"/>
    </row>
    <row r="12" spans="1:28" x14ac:dyDescent="0.25">
      <c r="A12" s="93">
        <v>2023</v>
      </c>
      <c r="B12" s="54">
        <f>$X12*'Winter CP Comparison'!B13</f>
        <v>4067.11522447073</v>
      </c>
      <c r="C12" s="55">
        <v>3785.2761186535949</v>
      </c>
      <c r="D12" s="56">
        <f t="shared" si="1"/>
        <v>7.4456683471055163E-2</v>
      </c>
      <c r="E12" s="54">
        <f>$X12*'Winter CP Comparison'!E13</f>
        <v>5291.2393953627579</v>
      </c>
      <c r="F12" s="55">
        <v>4879.310222977284</v>
      </c>
      <c r="G12" s="56">
        <f t="shared" si="2"/>
        <v>8.4423648745604929E-2</v>
      </c>
      <c r="H12" s="54">
        <f>$X12*'Winter CP Comparison'!H13</f>
        <v>3156.7356113004112</v>
      </c>
      <c r="I12" s="55">
        <v>3402.6696486905375</v>
      </c>
      <c r="J12" s="56">
        <f t="shared" si="3"/>
        <v>-7.2276789339444147E-2</v>
      </c>
      <c r="K12" s="54">
        <f>$X12*'Winter CP Comparison'!K13</f>
        <v>3667.6651000173138</v>
      </c>
      <c r="L12" s="55">
        <v>4091.3623271700098</v>
      </c>
      <c r="M12" s="56">
        <f t="shared" si="4"/>
        <v>-0.10355895989436037</v>
      </c>
      <c r="N12" s="54">
        <f>$X12*'Winter CP Comparison'!N13</f>
        <v>5388.1032031756768</v>
      </c>
      <c r="O12" s="55">
        <v>5191.4619217777235</v>
      </c>
      <c r="P12" s="56">
        <f t="shared" si="5"/>
        <v>3.7877824081317124E-2</v>
      </c>
      <c r="Q12" s="59">
        <f t="shared" si="6"/>
        <v>21570.85853432689</v>
      </c>
      <c r="R12" s="44">
        <f t="shared" si="6"/>
        <v>21350.080239269151</v>
      </c>
      <c r="S12" s="56">
        <f t="shared" si="7"/>
        <v>1.0340864885915568E-2</v>
      </c>
      <c r="T12" s="60">
        <f>'Winter Peak'!C12</f>
        <v>770.77559739872481</v>
      </c>
      <c r="U12" s="60">
        <f>'Winter Peak'!D12</f>
        <v>0</v>
      </c>
      <c r="V12" s="61">
        <f t="shared" si="8"/>
        <v>22341.634131725616</v>
      </c>
      <c r="W12" s="60"/>
      <c r="X12" s="89">
        <v>1.0838805925607149</v>
      </c>
      <c r="Z12" s="1">
        <v>22341.634131725616</v>
      </c>
      <c r="AA12" s="3">
        <f t="shared" si="0"/>
        <v>0</v>
      </c>
      <c r="AB12" s="3"/>
    </row>
    <row r="13" spans="1:28" x14ac:dyDescent="0.25">
      <c r="A13" s="93">
        <v>2024</v>
      </c>
      <c r="B13" s="54">
        <f>$X13*'Winter CP Comparison'!B14</f>
        <v>4155.4862910578158</v>
      </c>
      <c r="C13" s="55">
        <v>3825.581558718518</v>
      </c>
      <c r="D13" s="56">
        <f t="shared" si="1"/>
        <v>8.623649170083536E-2</v>
      </c>
      <c r="E13" s="54">
        <f>$X13*'Winter CP Comparison'!E14</f>
        <v>5366.8202039821144</v>
      </c>
      <c r="F13" s="55">
        <v>4896.7948807953326</v>
      </c>
      <c r="G13" s="56">
        <f t="shared" si="2"/>
        <v>9.5986320568616668E-2</v>
      </c>
      <c r="H13" s="54">
        <f>$X13*'Winter CP Comparison'!H14</f>
        <v>3202.7332868096787</v>
      </c>
      <c r="I13" s="55">
        <v>3416.0358175542974</v>
      </c>
      <c r="J13" s="56">
        <f t="shared" si="3"/>
        <v>-6.2441538126884244E-2</v>
      </c>
      <c r="K13" s="54">
        <f>$X13*'Winter CP Comparison'!K14</f>
        <v>3742.9656032760522</v>
      </c>
      <c r="L13" s="55">
        <v>4133.8390610024735</v>
      </c>
      <c r="M13" s="56">
        <f t="shared" si="4"/>
        <v>-9.4554590045320408E-2</v>
      </c>
      <c r="N13" s="54">
        <f>$X13*'Winter CP Comparison'!N14</f>
        <v>5511.7721252837546</v>
      </c>
      <c r="O13" s="55">
        <v>5251.3982395725589</v>
      </c>
      <c r="P13" s="56">
        <f t="shared" si="5"/>
        <v>4.9581820656661835E-2</v>
      </c>
      <c r="Q13" s="59">
        <f t="shared" si="6"/>
        <v>21979.777510409414</v>
      </c>
      <c r="R13" s="44">
        <f t="shared" si="6"/>
        <v>21523.649557643181</v>
      </c>
      <c r="S13" s="56">
        <f t="shared" si="7"/>
        <v>2.1191942915845363E-2</v>
      </c>
      <c r="T13" s="60">
        <f>'Winter Peak'!C13</f>
        <v>802.04739359118093</v>
      </c>
      <c r="U13" s="60">
        <f>'Winter Peak'!D13</f>
        <v>0</v>
      </c>
      <c r="V13" s="61">
        <f t="shared" si="8"/>
        <v>22781.824904000594</v>
      </c>
      <c r="W13" s="60"/>
      <c r="X13" s="89">
        <v>1.0848648954773075</v>
      </c>
      <c r="Z13" s="1">
        <v>22781.824904000594</v>
      </c>
      <c r="AA13" s="3">
        <f t="shared" si="0"/>
        <v>0</v>
      </c>
      <c r="AB13" s="3"/>
    </row>
    <row r="14" spans="1:28" x14ac:dyDescent="0.25">
      <c r="A14" s="93">
        <v>2025</v>
      </c>
      <c r="B14" s="54">
        <f>$X14*'Winter CP Comparison'!B15</f>
        <v>4222.3839161472388</v>
      </c>
      <c r="C14" s="55">
        <v>3874.6512636136713</v>
      </c>
      <c r="D14" s="56">
        <f t="shared" si="1"/>
        <v>8.9745535501240647E-2</v>
      </c>
      <c r="E14" s="54">
        <f>$X14*'Winter CP Comparison'!E15</f>
        <v>5414.0001751543923</v>
      </c>
      <c r="F14" s="55">
        <v>4925.4449973098726</v>
      </c>
      <c r="G14" s="56">
        <f t="shared" si="2"/>
        <v>9.9190058585844287E-2</v>
      </c>
      <c r="H14" s="54">
        <f>$X14*'Winter CP Comparison'!H15</f>
        <v>3232.2284359646383</v>
      </c>
      <c r="I14" s="55">
        <v>3437.7096373188638</v>
      </c>
      <c r="J14" s="56">
        <f t="shared" si="3"/>
        <v>-5.9772704222478823E-2</v>
      </c>
      <c r="K14" s="54">
        <f>$X14*'Winter CP Comparison'!K15</f>
        <v>3798.9663406905329</v>
      </c>
      <c r="L14" s="55">
        <v>4185.3433866151681</v>
      </c>
      <c r="M14" s="56">
        <f t="shared" si="4"/>
        <v>-9.2316689512329742E-2</v>
      </c>
      <c r="N14" s="54">
        <f>$X14*'Winter CP Comparison'!N15</f>
        <v>5605.9229647043821</v>
      </c>
      <c r="O14" s="55">
        <v>5323.4846702153318</v>
      </c>
      <c r="P14" s="56">
        <f t="shared" si="5"/>
        <v>5.3055153153587664E-2</v>
      </c>
      <c r="Q14" s="59">
        <f t="shared" si="6"/>
        <v>22273.501832661183</v>
      </c>
      <c r="R14" s="44">
        <f t="shared" si="6"/>
        <v>21746.633955072906</v>
      </c>
      <c r="S14" s="56">
        <f t="shared" si="7"/>
        <v>2.4227559937632259E-2</v>
      </c>
      <c r="T14" s="60">
        <f>'Winter Peak'!C14</f>
        <v>834.79620210820769</v>
      </c>
      <c r="U14" s="60">
        <f>'Winter Peak'!D14</f>
        <v>0</v>
      </c>
      <c r="V14" s="61">
        <f t="shared" si="8"/>
        <v>23108.298034769392</v>
      </c>
      <c r="W14" s="60"/>
      <c r="X14" s="89">
        <v>1.0844820793588286</v>
      </c>
      <c r="Z14" s="1">
        <v>23108.298034769392</v>
      </c>
      <c r="AA14" s="3">
        <f t="shared" si="0"/>
        <v>0</v>
      </c>
      <c r="AB14" s="3"/>
    </row>
    <row r="15" spans="1:28" x14ac:dyDescent="0.25">
      <c r="A15" s="93">
        <v>2026</v>
      </c>
      <c r="B15" s="54">
        <f>$X15*'Winter CP Comparison'!B16</f>
        <v>4300.416491700772</v>
      </c>
      <c r="C15" s="55">
        <v>3940.2991896093345</v>
      </c>
      <c r="D15" s="56">
        <f t="shared" ref="D15:D19" si="9">B15/C15-1</f>
        <v>9.139339039052552E-2</v>
      </c>
      <c r="E15" s="54">
        <f>$X15*'Winter CP Comparison'!E16</f>
        <v>5474.7670859854006</v>
      </c>
      <c r="F15" s="55">
        <v>4974.647697981517</v>
      </c>
      <c r="G15" s="56">
        <f t="shared" ref="G15:G19" si="10">E15/F15-1</f>
        <v>0.10053362938782762</v>
      </c>
      <c r="H15" s="54">
        <f>$X15*'Winter CP Comparison'!H16</f>
        <v>3270.0580208649758</v>
      </c>
      <c r="I15" s="55">
        <v>3473.9756298032535</v>
      </c>
      <c r="J15" s="56">
        <f t="shared" ref="J15:J19" si="11">H15/I15-1</f>
        <v>-5.8698629659018731E-2</v>
      </c>
      <c r="K15" s="54">
        <f>$X15*'Winter CP Comparison'!K16</f>
        <v>3865.157209144204</v>
      </c>
      <c r="L15" s="55">
        <v>4254.7216294824102</v>
      </c>
      <c r="M15" s="56">
        <f t="shared" ref="M15:M19" si="12">K15/L15-1</f>
        <v>-9.1560495436124878E-2</v>
      </c>
      <c r="N15" s="54">
        <f>$X15*'Winter CP Comparison'!N16</f>
        <v>5714.5231522064369</v>
      </c>
      <c r="O15" s="55">
        <v>5418.5786292725197</v>
      </c>
      <c r="P15" s="56">
        <f t="shared" ref="P15:P19" si="13">N15/O15-1</f>
        <v>5.4616633471949783E-2</v>
      </c>
      <c r="Q15" s="59">
        <f t="shared" ref="Q15:Q19" si="14">+N15+K15+H15+E15+B15</f>
        <v>22624.921959901789</v>
      </c>
      <c r="R15" s="44">
        <f t="shared" si="6"/>
        <v>22062.222776149036</v>
      </c>
      <c r="S15" s="56">
        <f t="shared" ref="S15:S19" si="15">Q15/R15-1</f>
        <v>2.5505099348424487E-2</v>
      </c>
      <c r="T15" s="60">
        <f>'Winter Peak'!C15</f>
        <v>869.09467087602968</v>
      </c>
      <c r="U15" s="60">
        <f>'Winter Peak'!D15</f>
        <v>0</v>
      </c>
      <c r="V15" s="61">
        <f t="shared" si="8"/>
        <v>23494.01663077782</v>
      </c>
      <c r="W15" s="60"/>
      <c r="X15" s="89">
        <v>1.0864819920792015</v>
      </c>
      <c r="Z15" s="1">
        <v>23494.016630777824</v>
      </c>
      <c r="AA15" s="3">
        <f t="shared" si="0"/>
        <v>0</v>
      </c>
      <c r="AB15" s="3"/>
    </row>
    <row r="16" spans="1:28" x14ac:dyDescent="0.25">
      <c r="A16" s="93">
        <v>2027</v>
      </c>
      <c r="B16" s="54">
        <f>$X16*'Winter CP Comparison'!B17</f>
        <v>4342.495507516971</v>
      </c>
      <c r="C16" s="55">
        <v>3984.3685686779413</v>
      </c>
      <c r="D16" s="56">
        <f t="shared" si="9"/>
        <v>8.9882984635093699E-2</v>
      </c>
      <c r="E16" s="54">
        <f>$X16*'Winter CP Comparison'!E17</f>
        <v>5489.2880234519107</v>
      </c>
      <c r="F16" s="55">
        <v>4996.2482593917466</v>
      </c>
      <c r="G16" s="56">
        <f t="shared" si="10"/>
        <v>9.868199866437144E-2</v>
      </c>
      <c r="H16" s="54">
        <f>$X16*'Winter CP Comparison'!H17</f>
        <v>3280.8842341689574</v>
      </c>
      <c r="I16" s="55">
        <v>3491.6245837357287</v>
      </c>
      <c r="J16" s="56">
        <f t="shared" si="11"/>
        <v>-6.0355958813102961E-2</v>
      </c>
      <c r="K16" s="54">
        <f>$X16*'Winter CP Comparison'!K17</f>
        <v>3899.3298703343371</v>
      </c>
      <c r="L16" s="55">
        <v>4301.1076633685097</v>
      </c>
      <c r="M16" s="56">
        <f t="shared" si="12"/>
        <v>-9.3412633321415472E-2</v>
      </c>
      <c r="N16" s="54">
        <f>$X16*'Winter CP Comparison'!N17</f>
        <v>5775.3525772320145</v>
      </c>
      <c r="O16" s="55">
        <v>5484.4043434095465</v>
      </c>
      <c r="P16" s="56">
        <f t="shared" si="13"/>
        <v>5.3050106375196915E-2</v>
      </c>
      <c r="Q16" s="59">
        <f t="shared" si="14"/>
        <v>22787.350212704194</v>
      </c>
      <c r="R16" s="44">
        <f t="shared" si="6"/>
        <v>22257.753418583474</v>
      </c>
      <c r="S16" s="56">
        <f t="shared" si="15"/>
        <v>2.3793811718596292E-2</v>
      </c>
      <c r="T16" s="60">
        <f>'Winter Peak'!C16</f>
        <v>905.01906092311856</v>
      </c>
      <c r="U16" s="60">
        <f>'Winter Peak'!D16</f>
        <v>0</v>
      </c>
      <c r="V16" s="61">
        <f t="shared" si="8"/>
        <v>23692.369273627311</v>
      </c>
      <c r="W16" s="60"/>
      <c r="X16" s="89">
        <v>1.0842002999079989</v>
      </c>
      <c r="Z16" s="1">
        <v>23692.369273627304</v>
      </c>
      <c r="AA16" s="3">
        <f t="shared" si="0"/>
        <v>0</v>
      </c>
      <c r="AB16" s="3"/>
    </row>
    <row r="17" spans="1:28" x14ac:dyDescent="0.25">
      <c r="A17" s="93">
        <v>2028</v>
      </c>
      <c r="B17" s="54">
        <f>$X17*'Winter CP Comparison'!B18</f>
        <v>4411.3521529411219</v>
      </c>
      <c r="C17" s="55">
        <v>4039.846546928065</v>
      </c>
      <c r="D17" s="56">
        <f t="shared" si="9"/>
        <v>9.1960326140494875E-2</v>
      </c>
      <c r="E17" s="54">
        <f>$X17*'Winter CP Comparison'!E18</f>
        <v>5538.13712568541</v>
      </c>
      <c r="F17" s="55">
        <v>5032.6726229245696</v>
      </c>
      <c r="G17" s="56">
        <f t="shared" si="10"/>
        <v>0.10043659515192283</v>
      </c>
      <c r="H17" s="54">
        <f>$X17*'Winter CP Comparison'!H18</f>
        <v>3312.5303150860418</v>
      </c>
      <c r="I17" s="55">
        <v>3519.9632166166398</v>
      </c>
      <c r="J17" s="56">
        <f t="shared" si="11"/>
        <v>-5.8930417383730727E-2</v>
      </c>
      <c r="K17" s="54">
        <f>$X17*'Winter CP Comparison'!K18</f>
        <v>3958.1096400931383</v>
      </c>
      <c r="L17" s="55">
        <v>4360.4299591035715</v>
      </c>
      <c r="M17" s="56">
        <f t="shared" si="12"/>
        <v>-9.2266203742243591E-2</v>
      </c>
      <c r="N17" s="54">
        <f>$X17*'Winter CP Comparison'!N18</f>
        <v>5872.2908937655393</v>
      </c>
      <c r="O17" s="55">
        <v>5566.6934308434038</v>
      </c>
      <c r="P17" s="56">
        <f t="shared" si="13"/>
        <v>5.4897483886737986E-2</v>
      </c>
      <c r="Q17" s="59">
        <f t="shared" si="14"/>
        <v>23092.420127571251</v>
      </c>
      <c r="R17" s="44">
        <f t="shared" si="6"/>
        <v>22519.605776416247</v>
      </c>
      <c r="S17" s="56">
        <f t="shared" si="15"/>
        <v>2.5436251275539057E-2</v>
      </c>
      <c r="T17" s="60">
        <f>'Winter Peak'!C17</f>
        <v>942.64942669226446</v>
      </c>
      <c r="U17" s="60">
        <f>'Winter Peak'!D17</f>
        <v>0</v>
      </c>
      <c r="V17" s="61">
        <f t="shared" si="8"/>
        <v>24035.069554263515</v>
      </c>
      <c r="W17" s="60"/>
      <c r="X17" s="89">
        <v>1.083202013733398</v>
      </c>
      <c r="Z17" s="1">
        <v>24035.069554263515</v>
      </c>
      <c r="AA17" s="3">
        <f t="shared" si="0"/>
        <v>0</v>
      </c>
      <c r="AB17" s="3"/>
    </row>
    <row r="18" spans="1:28" x14ac:dyDescent="0.25">
      <c r="A18" s="93">
        <v>2029</v>
      </c>
      <c r="B18" s="54">
        <f>$X18*'Winter CP Comparison'!B19</f>
        <v>4491.1639230058754</v>
      </c>
      <c r="C18" s="55">
        <v>4111.5199827166707</v>
      </c>
      <c r="D18" s="56">
        <f t="shared" si="9"/>
        <v>9.2336639949480714E-2</v>
      </c>
      <c r="E18" s="54">
        <f>$X18*'Winter CP Comparison'!E19</f>
        <v>5600.893618732106</v>
      </c>
      <c r="F18" s="55">
        <v>5089.9459733904123</v>
      </c>
      <c r="G18" s="56">
        <f t="shared" si="10"/>
        <v>0.10038370702024402</v>
      </c>
      <c r="H18" s="54">
        <f>$X18*'Winter CP Comparison'!H19</f>
        <v>3352.7154749188758</v>
      </c>
      <c r="I18" s="55">
        <v>3563.1312642572084</v>
      </c>
      <c r="J18" s="56">
        <f t="shared" si="11"/>
        <v>-5.9053617094905753E-2</v>
      </c>
      <c r="K18" s="54">
        <f>$X18*'Winter CP Comparison'!K19</f>
        <v>4027.3384260648986</v>
      </c>
      <c r="L18" s="55">
        <v>4438.3220631287131</v>
      </c>
      <c r="M18" s="56">
        <f t="shared" si="12"/>
        <v>-9.2598876606556857E-2</v>
      </c>
      <c r="N18" s="54">
        <f>$X18*'Winter CP Comparison'!N19</f>
        <v>5984.9841334416024</v>
      </c>
      <c r="O18" s="55">
        <v>5673.0089803560186</v>
      </c>
      <c r="P18" s="56">
        <f t="shared" si="13"/>
        <v>5.4992888988165456E-2</v>
      </c>
      <c r="Q18" s="59">
        <f t="shared" si="14"/>
        <v>23457.09557616336</v>
      </c>
      <c r="R18" s="44">
        <f t="shared" si="6"/>
        <v>22875.928263849026</v>
      </c>
      <c r="S18" s="56">
        <f t="shared" si="15"/>
        <v>2.5405190364788721E-2</v>
      </c>
      <c r="T18" s="60">
        <f>'Winter Peak'!C18</f>
        <v>982.06980536177014</v>
      </c>
      <c r="U18" s="60">
        <f>'Winter Peak'!D18</f>
        <v>0</v>
      </c>
      <c r="V18" s="61">
        <f t="shared" si="8"/>
        <v>24439.16538152513</v>
      </c>
      <c r="W18" s="60"/>
      <c r="X18" s="89">
        <v>1.0845056514665816</v>
      </c>
      <c r="Z18" s="1">
        <v>24439.165381525123</v>
      </c>
      <c r="AA18" s="3">
        <f t="shared" si="0"/>
        <v>0</v>
      </c>
      <c r="AB18" s="3"/>
    </row>
    <row r="19" spans="1:28" ht="15.75" thickBot="1" x14ac:dyDescent="0.3">
      <c r="A19" s="94">
        <v>2030</v>
      </c>
      <c r="B19" s="83">
        <f>$X19*'Winter CP Comparison'!B20</f>
        <v>4562.8370243323216</v>
      </c>
      <c r="C19" s="66">
        <v>4182.9963730150021</v>
      </c>
      <c r="D19" s="67">
        <f t="shared" si="9"/>
        <v>9.0805876325333656E-2</v>
      </c>
      <c r="E19" s="83">
        <f>$X19*'Winter CP Comparison'!E20</f>
        <v>5653.5553254562437</v>
      </c>
      <c r="F19" s="66">
        <v>5147.1392192502717</v>
      </c>
      <c r="G19" s="67">
        <f t="shared" si="10"/>
        <v>9.8387878126936723E-2</v>
      </c>
      <c r="H19" s="83">
        <f>$X19*'Winter CP Comparison'!H20</f>
        <v>3387.3691871038077</v>
      </c>
      <c r="I19" s="66">
        <v>3606.7911103823662</v>
      </c>
      <c r="J19" s="67">
        <f t="shared" si="11"/>
        <v>-6.0835772453508352E-2</v>
      </c>
      <c r="K19" s="83">
        <f>$X19*'Winter CP Comparison'!K20</f>
        <v>4089.8673935335264</v>
      </c>
      <c r="L19" s="66">
        <v>4516.8745286811754</v>
      </c>
      <c r="M19" s="67">
        <f t="shared" si="12"/>
        <v>-9.4535974474439399E-2</v>
      </c>
      <c r="N19" s="83">
        <f>$X19*'Winter CP Comparison'!N20</f>
        <v>6088.0312921839522</v>
      </c>
      <c r="O19" s="66">
        <v>5780.3590790949511</v>
      </c>
      <c r="P19" s="67">
        <f t="shared" si="13"/>
        <v>5.3227179986398809E-2</v>
      </c>
      <c r="Q19" s="84">
        <f t="shared" si="14"/>
        <v>23781.660222609855</v>
      </c>
      <c r="R19" s="85">
        <f t="shared" si="6"/>
        <v>23234.160310423766</v>
      </c>
      <c r="S19" s="67">
        <f t="shared" si="15"/>
        <v>2.3564437228250412E-2</v>
      </c>
      <c r="T19" s="60">
        <f>'Winter Peak'!C19</f>
        <v>1023.3684156261099</v>
      </c>
      <c r="U19" s="60">
        <f>'Winter Peak'!D19</f>
        <v>0</v>
      </c>
      <c r="V19" s="61">
        <f t="shared" si="8"/>
        <v>24805.028638235966</v>
      </c>
      <c r="W19" s="60"/>
      <c r="X19" s="89">
        <v>1.0835642847680385</v>
      </c>
      <c r="Z19" s="1">
        <v>24805.028638235963</v>
      </c>
      <c r="AA19" s="3">
        <f t="shared" si="0"/>
        <v>0</v>
      </c>
      <c r="AB19" s="3"/>
    </row>
    <row r="20" spans="1:28" x14ac:dyDescent="0.25">
      <c r="A20" t="s">
        <v>66</v>
      </c>
      <c r="B20" s="176">
        <f>(B19/B10)^(1/9)-1</f>
        <v>1.6495582615227766E-2</v>
      </c>
      <c r="C20" s="176">
        <f>(C19/C10)^(1/9)-1</f>
        <v>1.270975826860532E-2</v>
      </c>
      <c r="D20" s="196"/>
      <c r="E20" s="176">
        <f>(E19/E10)^(1/9)-1</f>
        <v>9.3236819010731331E-3</v>
      </c>
      <c r="F20" s="176">
        <f>(F19/F10)^(1/9)-1</f>
        <v>5.8839696899111171E-3</v>
      </c>
      <c r="G20" s="196"/>
      <c r="H20" s="176">
        <f>(H19/H10)^(1/9)-1</f>
        <v>9.7573889457511775E-3</v>
      </c>
      <c r="I20" s="176">
        <f>(I19/I10)^(1/9)-1</f>
        <v>6.372747980861293E-3</v>
      </c>
      <c r="J20" s="196"/>
      <c r="K20" s="176">
        <f>(K19/K10)^(1/9)-1</f>
        <v>1.5472490992118448E-2</v>
      </c>
      <c r="L20" s="176">
        <f>(L19/L10)^(1/9)-1</f>
        <v>1.2600922178533702E-2</v>
      </c>
      <c r="M20" s="196"/>
      <c r="N20" s="176">
        <f>(N19/N10)^(1/9)-1</f>
        <v>1.7820824865703022E-2</v>
      </c>
      <c r="O20" s="176">
        <f>(O19/O10)^(1/9)-1</f>
        <v>1.3854316711796821E-2</v>
      </c>
      <c r="P20" s="196"/>
      <c r="Q20" s="176">
        <f>(Q19/Q10)^(1/9)-1</f>
        <v>1.3929440475115795E-2</v>
      </c>
      <c r="R20" s="176">
        <f>(R19/R10)^(1/9)-1</f>
        <v>1.0418260788199962E-2</v>
      </c>
    </row>
    <row r="22" spans="1:28" ht="18" x14ac:dyDescent="0.25">
      <c r="A22" s="39"/>
      <c r="B22" s="224" t="s">
        <v>28</v>
      </c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40"/>
      <c r="U22" s="102"/>
      <c r="V22" s="40"/>
      <c r="W22" s="40"/>
      <c r="X22" s="39"/>
    </row>
    <row r="23" spans="1:28" ht="16.5" thickBot="1" x14ac:dyDescent="0.3">
      <c r="A23" s="41"/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42"/>
      <c r="U23" s="42"/>
      <c r="V23" s="42"/>
      <c r="W23" s="42"/>
      <c r="X23" s="41"/>
    </row>
    <row r="24" spans="1:28" ht="15.75" thickBot="1" x14ac:dyDescent="0.3">
      <c r="A24" s="90" t="s">
        <v>7</v>
      </c>
      <c r="B24" s="221" t="s">
        <v>8</v>
      </c>
      <c r="C24" s="222"/>
      <c r="D24" s="223"/>
      <c r="E24" s="221" t="s">
        <v>9</v>
      </c>
      <c r="F24" s="222"/>
      <c r="G24" s="223"/>
      <c r="H24" s="221" t="s">
        <v>10</v>
      </c>
      <c r="I24" s="222"/>
      <c r="J24" s="223"/>
      <c r="K24" s="221" t="s">
        <v>11</v>
      </c>
      <c r="L24" s="222"/>
      <c r="M24" s="223"/>
      <c r="N24" s="221" t="s">
        <v>12</v>
      </c>
      <c r="O24" s="222"/>
      <c r="P24" s="223"/>
      <c r="Q24" s="221" t="s">
        <v>13</v>
      </c>
      <c r="R24" s="222"/>
      <c r="S24" s="223"/>
      <c r="T24" s="44"/>
      <c r="U24" s="44"/>
      <c r="V24" s="44" t="s">
        <v>36</v>
      </c>
      <c r="W24" s="44"/>
      <c r="X24" s="87"/>
    </row>
    <row r="25" spans="1:28" x14ac:dyDescent="0.25">
      <c r="A25" s="91"/>
      <c r="B25" s="168" t="s">
        <v>71</v>
      </c>
      <c r="C25" s="124" t="s">
        <v>61</v>
      </c>
      <c r="D25" s="47" t="s">
        <v>14</v>
      </c>
      <c r="E25" s="168" t="s">
        <v>71</v>
      </c>
      <c r="F25" s="124" t="s">
        <v>61</v>
      </c>
      <c r="G25" s="47" t="s">
        <v>14</v>
      </c>
      <c r="H25" s="168" t="s">
        <v>71</v>
      </c>
      <c r="I25" s="124" t="s">
        <v>61</v>
      </c>
      <c r="J25" s="47" t="s">
        <v>14</v>
      </c>
      <c r="K25" s="168" t="s">
        <v>71</v>
      </c>
      <c r="L25" s="124" t="s">
        <v>61</v>
      </c>
      <c r="M25" s="47" t="s">
        <v>14</v>
      </c>
      <c r="N25" s="168" t="s">
        <v>71</v>
      </c>
      <c r="O25" s="124" t="s">
        <v>61</v>
      </c>
      <c r="P25" s="47" t="s">
        <v>14</v>
      </c>
      <c r="Q25" s="168" t="s">
        <v>71</v>
      </c>
      <c r="R25" s="124" t="s">
        <v>61</v>
      </c>
      <c r="S25" s="47" t="s">
        <v>14</v>
      </c>
      <c r="T25" s="44" t="s">
        <v>1</v>
      </c>
      <c r="U25" s="44" t="s">
        <v>35</v>
      </c>
      <c r="V25" s="185" t="s">
        <v>61</v>
      </c>
      <c r="W25" s="44"/>
      <c r="X25" s="88" t="s">
        <v>27</v>
      </c>
    </row>
    <row r="26" spans="1:28" x14ac:dyDescent="0.25">
      <c r="A26" s="92"/>
      <c r="B26" s="48"/>
      <c r="C26" s="49"/>
      <c r="D26" s="50"/>
      <c r="E26" s="48"/>
      <c r="F26" s="49"/>
      <c r="G26" s="50"/>
      <c r="H26" s="48"/>
      <c r="I26" s="49"/>
      <c r="J26" s="50"/>
      <c r="K26" s="48"/>
      <c r="L26" s="49"/>
      <c r="M26" s="50"/>
      <c r="N26" s="48"/>
      <c r="O26" s="49"/>
      <c r="P26" s="50"/>
      <c r="Q26" s="51"/>
      <c r="R26" s="52"/>
      <c r="S26" s="53"/>
      <c r="T26" s="52"/>
      <c r="U26" s="52"/>
      <c r="V26" s="52"/>
      <c r="W26" s="52"/>
      <c r="X26" s="41"/>
      <c r="Z26" s="108"/>
    </row>
    <row r="27" spans="1:28" x14ac:dyDescent="0.25">
      <c r="A27" s="93">
        <v>2019</v>
      </c>
      <c r="B27" s="54"/>
      <c r="C27" s="55"/>
      <c r="D27" s="56"/>
      <c r="E27" s="54"/>
      <c r="F27" s="58"/>
      <c r="G27" s="56"/>
      <c r="H27" s="54"/>
      <c r="I27" s="58"/>
      <c r="J27" s="56"/>
      <c r="K27" s="54"/>
      <c r="L27" s="58"/>
      <c r="M27" s="56"/>
      <c r="N27" s="54"/>
      <c r="O27" s="58"/>
      <c r="P27" s="56"/>
      <c r="Q27" s="59"/>
      <c r="R27" s="44"/>
      <c r="S27" s="56"/>
      <c r="T27" s="60"/>
      <c r="U27" s="60"/>
      <c r="V27" s="61"/>
      <c r="W27" s="60"/>
      <c r="X27" s="89"/>
    </row>
    <row r="28" spans="1:28" x14ac:dyDescent="0.25">
      <c r="A28" s="93">
        <v>2020</v>
      </c>
      <c r="B28" s="54"/>
      <c r="C28" s="55"/>
      <c r="D28" s="56"/>
      <c r="E28" s="54"/>
      <c r="F28" s="55"/>
      <c r="G28" s="56"/>
      <c r="H28" s="54"/>
      <c r="I28" s="55"/>
      <c r="J28" s="56"/>
      <c r="K28" s="54"/>
      <c r="L28" s="55"/>
      <c r="M28" s="56"/>
      <c r="N28" s="54"/>
      <c r="O28" s="55"/>
      <c r="P28" s="56"/>
      <c r="Q28" s="59"/>
      <c r="R28" s="44"/>
      <c r="S28" s="56"/>
      <c r="T28" s="60"/>
      <c r="U28" s="60"/>
      <c r="V28" s="61"/>
      <c r="W28" s="60"/>
      <c r="X28" s="89"/>
    </row>
    <row r="29" spans="1:28" x14ac:dyDescent="0.25">
      <c r="A29" s="93">
        <v>2021</v>
      </c>
      <c r="B29" s="54">
        <f>$X29*'Winter NCP Comparison'!B11</f>
        <v>4180.3037808517038</v>
      </c>
      <c r="C29" s="55">
        <v>3954.4717431991803</v>
      </c>
      <c r="D29" s="56">
        <f t="shared" ref="D29:D33" si="16">B29/C29-1</f>
        <v>5.7108016523548244E-2</v>
      </c>
      <c r="E29" s="54">
        <f>$X29*'Winter NCP Comparison'!E11</f>
        <v>5497.5519124841449</v>
      </c>
      <c r="F29" s="55">
        <v>5006.5116043770113</v>
      </c>
      <c r="G29" s="56">
        <f t="shared" ref="G29:G33" si="17">E29/F29-1</f>
        <v>9.8080329560773283E-2</v>
      </c>
      <c r="H29" s="54">
        <f>$X29*'Winter NCP Comparison'!H11</f>
        <v>3718.3873279699169</v>
      </c>
      <c r="I29" s="55">
        <v>3972.7755994451204</v>
      </c>
      <c r="J29" s="56">
        <f t="shared" ref="J29:J33" si="18">H29/I29-1</f>
        <v>-6.4032882076383579E-2</v>
      </c>
      <c r="K29" s="54">
        <f>$X29*'Winter NCP Comparison'!K11</f>
        <v>4309.1567496638409</v>
      </c>
      <c r="L29" s="55">
        <v>4881.909128098815</v>
      </c>
      <c r="M29" s="56">
        <f t="shared" ref="M29:M33" si="19">K29/L29-1</f>
        <v>-0.11732139280069387</v>
      </c>
      <c r="N29" s="54">
        <f>$X29*'Winter NCP Comparison'!N11</f>
        <v>5269.9930018694085</v>
      </c>
      <c r="O29" s="55">
        <v>5259.5187656611597</v>
      </c>
      <c r="P29" s="56">
        <f t="shared" ref="P29:P33" si="20">N29/O29-1</f>
        <v>1.9914818588790961E-3</v>
      </c>
      <c r="Q29" s="59">
        <f t="shared" ref="Q29:R33" si="21">+N29+K29+H29+E29+B29</f>
        <v>22975.392772839012</v>
      </c>
      <c r="R29" s="44">
        <f t="shared" si="21"/>
        <v>23075.186840781287</v>
      </c>
      <c r="S29" s="56">
        <f t="shared" ref="S29:S33" si="22">Q29/R29-1</f>
        <v>-4.3247349904836918E-3</v>
      </c>
      <c r="T29" s="60">
        <f t="shared" ref="T29:T38" si="23">T10</f>
        <v>712.38949357466913</v>
      </c>
      <c r="U29" s="60">
        <f>'Winter Peak'!D10</f>
        <v>200</v>
      </c>
      <c r="V29" s="61">
        <f>Q29+T29+(U29*(1-X29))</f>
        <v>23670.739676260629</v>
      </c>
      <c r="W29" s="60"/>
      <c r="X29" s="89">
        <f t="shared" ref="X29:X38" si="24">X10</f>
        <v>1.0852129507652455</v>
      </c>
    </row>
    <row r="30" spans="1:28" x14ac:dyDescent="0.25">
      <c r="A30" s="93">
        <v>2022</v>
      </c>
      <c r="B30" s="54">
        <f>$X30*'Winter NCP Comparison'!B12</f>
        <v>4240.8543572196022</v>
      </c>
      <c r="C30" s="55">
        <v>3958.7081176793909</v>
      </c>
      <c r="D30" s="56">
        <f t="shared" si="16"/>
        <v>7.1272301759293777E-2</v>
      </c>
      <c r="E30" s="54">
        <f>$X30*'Winter NCP Comparison'!E12</f>
        <v>5535.4827107448118</v>
      </c>
      <c r="F30" s="55">
        <v>4975.6347465784693</v>
      </c>
      <c r="G30" s="56">
        <f t="shared" si="17"/>
        <v>0.11251789825435354</v>
      </c>
      <c r="H30" s="54">
        <f>$X30*'Winter NCP Comparison'!H12</f>
        <v>3742.5466859512971</v>
      </c>
      <c r="I30" s="55">
        <v>3946.4594679132597</v>
      </c>
      <c r="J30" s="56">
        <f t="shared" si="18"/>
        <v>-5.1669802672465792E-2</v>
      </c>
      <c r="K30" s="54">
        <f>$X30*'Winter NCP Comparison'!K12</f>
        <v>4363.8971914249214</v>
      </c>
      <c r="L30" s="55">
        <v>4887.4412770609051</v>
      </c>
      <c r="M30" s="56">
        <f t="shared" si="19"/>
        <v>-0.10712028154552489</v>
      </c>
      <c r="N30" s="54">
        <f>$X30*'Winter NCP Comparison'!N12</f>
        <v>5361.5704918167321</v>
      </c>
      <c r="O30" s="55">
        <v>5273.4212121149139</v>
      </c>
      <c r="P30" s="56">
        <f t="shared" si="20"/>
        <v>1.6715766891388872E-2</v>
      </c>
      <c r="Q30" s="59">
        <f t="shared" si="21"/>
        <v>23244.351437157366</v>
      </c>
      <c r="R30" s="44">
        <f t="shared" si="21"/>
        <v>23041.664821346942</v>
      </c>
      <c r="S30" s="56">
        <f t="shared" si="22"/>
        <v>8.7965265262710535E-3</v>
      </c>
      <c r="T30" s="60">
        <f t="shared" si="23"/>
        <v>740.91160697503494</v>
      </c>
      <c r="U30" s="60">
        <f>'Winter Peak'!D11</f>
        <v>0</v>
      </c>
      <c r="V30" s="61">
        <f t="shared" ref="V30:V38" si="25">Q30+T30</f>
        <v>23985.2630441324</v>
      </c>
      <c r="W30" s="60"/>
      <c r="X30" s="89">
        <f t="shared" si="24"/>
        <v>1.0868515853588363</v>
      </c>
    </row>
    <row r="31" spans="1:28" x14ac:dyDescent="0.25">
      <c r="A31" s="93">
        <v>2023</v>
      </c>
      <c r="B31" s="54">
        <f>$X31*'Winter NCP Comparison'!B13</f>
        <v>4317.2661568236199</v>
      </c>
      <c r="C31" s="55">
        <v>4009.2534018521601</v>
      </c>
      <c r="D31" s="56">
        <f t="shared" si="16"/>
        <v>7.6825464518946784E-2</v>
      </c>
      <c r="E31" s="54">
        <f>$X31*'Winter NCP Comparison'!E13</f>
        <v>5593.4437261862213</v>
      </c>
      <c r="F31" s="55">
        <v>5003.3251426483748</v>
      </c>
      <c r="G31" s="56">
        <f t="shared" si="17"/>
        <v>0.11794527973160718</v>
      </c>
      <c r="H31" s="54">
        <f>$X31*'Winter NCP Comparison'!H13</f>
        <v>3781.6702902225306</v>
      </c>
      <c r="I31" s="55">
        <v>3968.4657980008315</v>
      </c>
      <c r="J31" s="56">
        <f t="shared" si="18"/>
        <v>-4.7069955314318568E-2</v>
      </c>
      <c r="K31" s="54">
        <f>$X31*'Winter NCP Comparison'!K13</f>
        <v>4436.967057214626</v>
      </c>
      <c r="L31" s="55">
        <v>4949.5358408532466</v>
      </c>
      <c r="M31" s="56">
        <f t="shared" si="19"/>
        <v>-0.10355895989436037</v>
      </c>
      <c r="N31" s="54">
        <f>$X31*'Winter NCP Comparison'!N13</f>
        <v>5467.7803468654347</v>
      </c>
      <c r="O31" s="55">
        <v>5346.3927046494355</v>
      </c>
      <c r="P31" s="56">
        <f t="shared" si="20"/>
        <v>2.2704587732666148E-2</v>
      </c>
      <c r="Q31" s="59">
        <f t="shared" si="21"/>
        <v>23597.127577312436</v>
      </c>
      <c r="R31" s="44">
        <f t="shared" si="21"/>
        <v>23276.972888004049</v>
      </c>
      <c r="S31" s="56">
        <f t="shared" si="22"/>
        <v>1.3754137655647591E-2</v>
      </c>
      <c r="T31" s="60">
        <f t="shared" si="23"/>
        <v>770.77559739872481</v>
      </c>
      <c r="U31" s="60">
        <f>'Winter Peak'!D12</f>
        <v>0</v>
      </c>
      <c r="V31" s="61">
        <f t="shared" si="25"/>
        <v>24367.903174711162</v>
      </c>
      <c r="W31" s="60"/>
      <c r="X31" s="89">
        <f t="shared" si="24"/>
        <v>1.0838805925607149</v>
      </c>
    </row>
    <row r="32" spans="1:28" x14ac:dyDescent="0.25">
      <c r="A32" s="93">
        <v>2024</v>
      </c>
      <c r="B32" s="54">
        <f>$X32*'Winter NCP Comparison'!B14</f>
        <v>4411.0725512732588</v>
      </c>
      <c r="C32" s="55">
        <v>4051.9437413751111</v>
      </c>
      <c r="D32" s="56">
        <f t="shared" si="16"/>
        <v>8.8631242884993799E-2</v>
      </c>
      <c r="E32" s="54">
        <f>$X32*'Winter NCP Comparison'!E14</f>
        <v>5673.3412640225424</v>
      </c>
      <c r="F32" s="55">
        <v>5021.2541990259915</v>
      </c>
      <c r="G32" s="56">
        <f t="shared" si="17"/>
        <v>0.1298653760893127</v>
      </c>
      <c r="H32" s="54">
        <f>$X32*'Winter NCP Comparison'!H14</f>
        <v>3836.7740633323215</v>
      </c>
      <c r="I32" s="55">
        <v>3984.0544943665063</v>
      </c>
      <c r="J32" s="56">
        <f t="shared" si="18"/>
        <v>-3.6967474024876101E-2</v>
      </c>
      <c r="K32" s="54">
        <f>$X32*'Winter NCP Comparison'!K14</f>
        <v>4528.0620299669445</v>
      </c>
      <c r="L32" s="55">
        <v>5000.9221761846347</v>
      </c>
      <c r="M32" s="56">
        <f t="shared" si="19"/>
        <v>-9.4554590045320519E-2</v>
      </c>
      <c r="N32" s="54">
        <f>$X32*'Winter NCP Comparison'!N14</f>
        <v>5593.2780361862406</v>
      </c>
      <c r="O32" s="55">
        <v>5408.1177248903869</v>
      </c>
      <c r="P32" s="56">
        <f t="shared" si="20"/>
        <v>3.4237477938704908E-2</v>
      </c>
      <c r="Q32" s="59">
        <f t="shared" si="21"/>
        <v>24042.527944781308</v>
      </c>
      <c r="R32" s="44">
        <f t="shared" si="21"/>
        <v>23466.292335842631</v>
      </c>
      <c r="S32" s="56">
        <f t="shared" si="22"/>
        <v>2.4555886404710403E-2</v>
      </c>
      <c r="T32" s="60">
        <f t="shared" si="23"/>
        <v>802.04739359118093</v>
      </c>
      <c r="U32" s="60">
        <f>'Winter Peak'!D13</f>
        <v>0</v>
      </c>
      <c r="V32" s="61">
        <f t="shared" si="25"/>
        <v>24844.575338372488</v>
      </c>
      <c r="W32" s="60"/>
      <c r="X32" s="89">
        <f t="shared" si="24"/>
        <v>1.0848648954773075</v>
      </c>
    </row>
    <row r="33" spans="1:25" x14ac:dyDescent="0.25">
      <c r="A33" s="93">
        <v>2025</v>
      </c>
      <c r="B33" s="54">
        <f>$X33*'Winter NCP Comparison'!B15</f>
        <v>4482.0847643113157</v>
      </c>
      <c r="C33" s="55">
        <v>4103.9169330557097</v>
      </c>
      <c r="D33" s="56">
        <f t="shared" si="16"/>
        <v>9.2148022833890231E-2</v>
      </c>
      <c r="E33" s="54">
        <f>$X33*'Winter NCP Comparison'!E15</f>
        <v>5723.215876383968</v>
      </c>
      <c r="F33" s="55">
        <v>5050.6325008240556</v>
      </c>
      <c r="G33" s="56">
        <f t="shared" si="17"/>
        <v>0.13316814784092368</v>
      </c>
      <c r="H33" s="54">
        <f>$X33*'Winter NCP Comparison'!H15</f>
        <v>3872.1083272680476</v>
      </c>
      <c r="I33" s="55">
        <v>4009.3322384110443</v>
      </c>
      <c r="J33" s="56">
        <f t="shared" si="18"/>
        <v>-3.42261261933684E-2</v>
      </c>
      <c r="K33" s="54">
        <f>$X33*'Winter NCP Comparison'!K15</f>
        <v>4595.8090625644963</v>
      </c>
      <c r="L33" s="55">
        <v>5063.2296633231144</v>
      </c>
      <c r="M33" s="56">
        <f t="shared" si="19"/>
        <v>-9.2316689512329853E-2</v>
      </c>
      <c r="N33" s="54">
        <f>$X33*'Winter NCP Comparison'!N15</f>
        <v>5688.8211410624763</v>
      </c>
      <c r="O33" s="55">
        <v>5482.355458442089</v>
      </c>
      <c r="P33" s="56">
        <f t="shared" si="20"/>
        <v>3.7660032113105313E-2</v>
      </c>
      <c r="Q33" s="59">
        <f t="shared" si="21"/>
        <v>24362.039171590306</v>
      </c>
      <c r="R33" s="44">
        <f t="shared" si="21"/>
        <v>23709.466794056014</v>
      </c>
      <c r="S33" s="56">
        <f t="shared" si="22"/>
        <v>2.7523705328450943E-2</v>
      </c>
      <c r="T33" s="60">
        <f t="shared" si="23"/>
        <v>834.79620210820769</v>
      </c>
      <c r="U33" s="60">
        <f>'Winter Peak'!D14</f>
        <v>0</v>
      </c>
      <c r="V33" s="61">
        <f t="shared" si="25"/>
        <v>25196.835373698515</v>
      </c>
      <c r="W33" s="60"/>
      <c r="X33" s="89">
        <f t="shared" si="24"/>
        <v>1.0844820793588286</v>
      </c>
    </row>
    <row r="34" spans="1:25" x14ac:dyDescent="0.25">
      <c r="A34" s="93">
        <v>2026</v>
      </c>
      <c r="B34" s="54">
        <f>$X34*'Winter NCP Comparison'!B16</f>
        <v>4564.9167911838495</v>
      </c>
      <c r="C34" s="55">
        <v>4173.4492901077156</v>
      </c>
      <c r="D34" s="56">
        <f t="shared" ref="D34:D38" si="26">B34/C34-1</f>
        <v>9.3799510635968586E-2</v>
      </c>
      <c r="E34" s="54">
        <f>$X34*'Winter NCP Comparison'!E16</f>
        <v>5787.453434118609</v>
      </c>
      <c r="F34" s="55">
        <v>5101.0857612454492</v>
      </c>
      <c r="G34" s="56">
        <f t="shared" ref="G34:G38" si="27">E34/F34-1</f>
        <v>0.1345532510132863</v>
      </c>
      <c r="H34" s="54">
        <f>$X34*'Winter NCP Comparison'!H16</f>
        <v>3917.426983919855</v>
      </c>
      <c r="I34" s="55">
        <v>4051.6285426850259</v>
      </c>
      <c r="J34" s="56">
        <f t="shared" ref="J34:J38" si="28">H34/I34-1</f>
        <v>-3.3122868335860645E-2</v>
      </c>
      <c r="K34" s="54">
        <f>$X34*'Winter NCP Comparison'!K16</f>
        <v>4675.883631754572</v>
      </c>
      <c r="L34" s="55">
        <v>5147.1601667073883</v>
      </c>
      <c r="M34" s="56">
        <f t="shared" ref="M34:M38" si="29">K34/L34-1</f>
        <v>-9.1560495436124989E-2</v>
      </c>
      <c r="N34" s="54">
        <f>$X34*'Winter NCP Comparison'!N16</f>
        <v>5799.02726527696</v>
      </c>
      <c r="O34" s="55">
        <v>5580.2873428746507</v>
      </c>
      <c r="P34" s="56">
        <f t="shared" ref="P34:P38" si="30">N34/O34-1</f>
        <v>3.9198684397787176E-2</v>
      </c>
      <c r="Q34" s="59">
        <f t="shared" ref="Q34:Q38" si="31">+N34+K34+H34+E34+B34</f>
        <v>24744.708106253845</v>
      </c>
      <c r="R34" s="44">
        <f t="shared" ref="R34:R38" si="32">+O34+L34+I34+F34+C34</f>
        <v>24053.611103620227</v>
      </c>
      <c r="S34" s="56">
        <f t="shared" ref="S34:S38" si="33">Q34/R34-1</f>
        <v>2.8731528071043178E-2</v>
      </c>
      <c r="T34" s="60">
        <f t="shared" si="23"/>
        <v>869.09467087602968</v>
      </c>
      <c r="U34" s="60">
        <f>'Winter Peak'!D15</f>
        <v>0</v>
      </c>
      <c r="V34" s="61">
        <f t="shared" si="25"/>
        <v>25613.802777129877</v>
      </c>
      <c r="W34" s="60"/>
      <c r="X34" s="89">
        <f t="shared" si="24"/>
        <v>1.0864819920792015</v>
      </c>
    </row>
    <row r="35" spans="1:25" x14ac:dyDescent="0.25">
      <c r="A35" s="93">
        <v>2027</v>
      </c>
      <c r="B35" s="54">
        <f>$X35*'Winter NCP Comparison'!B17</f>
        <v>4609.5839080146407</v>
      </c>
      <c r="C35" s="55">
        <v>4220.1262833863912</v>
      </c>
      <c r="D35" s="56">
        <f t="shared" si="26"/>
        <v>9.2285774992433067E-2</v>
      </c>
      <c r="E35" s="54">
        <f>$X35*'Winter NCP Comparison'!E17</f>
        <v>5802.8037217358296</v>
      </c>
      <c r="F35" s="55">
        <v>5123.2353330210217</v>
      </c>
      <c r="G35" s="56">
        <f t="shared" si="27"/>
        <v>0.13264438280528612</v>
      </c>
      <c r="H35" s="54">
        <f>$X35*'Winter NCP Comparison'!H17</f>
        <v>3930.3964480272443</v>
      </c>
      <c r="I35" s="55">
        <v>4072.2121659228778</v>
      </c>
      <c r="J35" s="56">
        <f t="shared" si="28"/>
        <v>-3.4825228184910628E-2</v>
      </c>
      <c r="K35" s="54">
        <f>$X35*'Winter NCP Comparison'!K17</f>
        <v>4717.2240943713095</v>
      </c>
      <c r="L35" s="55">
        <v>5203.2757875874122</v>
      </c>
      <c r="M35" s="56">
        <f t="shared" si="29"/>
        <v>-9.3412633321415584E-2</v>
      </c>
      <c r="N35" s="54">
        <f>$X35*'Winter NCP Comparison'!N17</f>
        <v>5860.7562118327614</v>
      </c>
      <c r="O35" s="55">
        <v>5648.0775189644</v>
      </c>
      <c r="P35" s="56">
        <f t="shared" si="30"/>
        <v>3.7655059116001199E-2</v>
      </c>
      <c r="Q35" s="59">
        <f t="shared" si="31"/>
        <v>24920.764383981783</v>
      </c>
      <c r="R35" s="44">
        <f t="shared" si="32"/>
        <v>24266.927088882105</v>
      </c>
      <c r="S35" s="56">
        <f t="shared" si="33"/>
        <v>2.6943555428541766E-2</v>
      </c>
      <c r="T35" s="60">
        <f t="shared" si="23"/>
        <v>905.01906092311856</v>
      </c>
      <c r="U35" s="60">
        <f>'Winter Peak'!D16</f>
        <v>0</v>
      </c>
      <c r="V35" s="61">
        <f t="shared" si="25"/>
        <v>25825.783444904901</v>
      </c>
      <c r="W35" s="60"/>
      <c r="X35" s="89">
        <f t="shared" si="24"/>
        <v>1.0842002999079989</v>
      </c>
    </row>
    <row r="36" spans="1:25" x14ac:dyDescent="0.25">
      <c r="A36" s="93">
        <v>2028</v>
      </c>
      <c r="B36" s="54">
        <f>$X36*'Winter NCP Comparison'!B18</f>
        <v>4682.6756323831769</v>
      </c>
      <c r="C36" s="55">
        <v>4278.8869301807135</v>
      </c>
      <c r="D36" s="56">
        <f t="shared" si="26"/>
        <v>9.436769627034991E-2</v>
      </c>
      <c r="E36" s="54">
        <f>$X36*'Winter NCP Comparison'!E18</f>
        <v>5854.4427960625853</v>
      </c>
      <c r="F36" s="55">
        <v>5160.5854758773903</v>
      </c>
      <c r="G36" s="56">
        <f t="shared" si="27"/>
        <v>0.13445321726159909</v>
      </c>
      <c r="H36" s="54">
        <f>$X36*'Winter NCP Comparison'!H18</f>
        <v>3968.3074607765247</v>
      </c>
      <c r="I36" s="55">
        <v>4105.2629486790811</v>
      </c>
      <c r="J36" s="56">
        <f t="shared" si="28"/>
        <v>-3.336095388155913E-2</v>
      </c>
      <c r="K36" s="54">
        <f>$X36*'Winter NCP Comparison'!K18</f>
        <v>4788.3330683202212</v>
      </c>
      <c r="L36" s="55">
        <v>5275.0410836973451</v>
      </c>
      <c r="M36" s="56">
        <f t="shared" si="29"/>
        <v>-9.226620374224348E-2</v>
      </c>
      <c r="N36" s="54">
        <f>$X36*'Winter NCP Comparison'!N18</f>
        <v>5959.1280139333276</v>
      </c>
      <c r="O36" s="55">
        <v>5732.8223910943643</v>
      </c>
      <c r="P36" s="56">
        <f t="shared" si="30"/>
        <v>3.947542892494238E-2</v>
      </c>
      <c r="Q36" s="59">
        <f t="shared" si="31"/>
        <v>25252.886971475837</v>
      </c>
      <c r="R36" s="44">
        <f t="shared" si="32"/>
        <v>24552.598829528895</v>
      </c>
      <c r="S36" s="56">
        <f t="shared" si="33"/>
        <v>2.8521955936685606E-2</v>
      </c>
      <c r="T36" s="60">
        <f t="shared" si="23"/>
        <v>942.64942669226446</v>
      </c>
      <c r="U36" s="60">
        <f>'Winter Peak'!D17</f>
        <v>0</v>
      </c>
      <c r="V36" s="61">
        <f t="shared" si="25"/>
        <v>26195.5363981681</v>
      </c>
      <c r="W36" s="60"/>
      <c r="X36" s="89">
        <f t="shared" si="24"/>
        <v>1.083202013733398</v>
      </c>
    </row>
    <row r="37" spans="1:25" x14ac:dyDescent="0.25">
      <c r="A37" s="93">
        <v>2029</v>
      </c>
      <c r="B37" s="54">
        <f>$X37*'Winter NCP Comparison'!B19</f>
        <v>4767.3962844422995</v>
      </c>
      <c r="C37" s="55">
        <v>4354.8013304121314</v>
      </c>
      <c r="D37" s="56">
        <f t="shared" si="26"/>
        <v>9.4744839712612272E-2</v>
      </c>
      <c r="E37" s="54">
        <f>$X37*'Winter NCP Comparison'!E19</f>
        <v>5920.7835691935707</v>
      </c>
      <c r="F37" s="55">
        <v>5219.3145136499897</v>
      </c>
      <c r="G37" s="56">
        <f t="shared" si="27"/>
        <v>0.1343986942555464</v>
      </c>
      <c r="H37" s="54">
        <f>$X37*'Winter NCP Comparison'!H19</f>
        <v>4016.4480223438804</v>
      </c>
      <c r="I37" s="55">
        <v>4155.608982327688</v>
      </c>
      <c r="J37" s="56">
        <f t="shared" si="28"/>
        <v>-3.348750100782083E-2</v>
      </c>
      <c r="K37" s="54">
        <f>$X37*'Winter NCP Comparison'!K19</f>
        <v>4872.0827658501867</v>
      </c>
      <c r="L37" s="55">
        <v>5369.2712519793567</v>
      </c>
      <c r="M37" s="56">
        <f t="shared" si="29"/>
        <v>-9.2598876606556968E-2</v>
      </c>
      <c r="N37" s="54">
        <f>$X37*'Winter NCP Comparison'!N19</f>
        <v>6073.4877167619979</v>
      </c>
      <c r="O37" s="55">
        <v>5842.3107561964234</v>
      </c>
      <c r="P37" s="56">
        <f t="shared" si="30"/>
        <v>3.9569439253190231E-2</v>
      </c>
      <c r="Q37" s="59">
        <f t="shared" si="31"/>
        <v>25650.198358591937</v>
      </c>
      <c r="R37" s="44">
        <f t="shared" si="32"/>
        <v>24941.306834565588</v>
      </c>
      <c r="S37" s="56">
        <f t="shared" si="33"/>
        <v>2.8422388960145151E-2</v>
      </c>
      <c r="T37" s="60">
        <f t="shared" si="23"/>
        <v>982.06980536177014</v>
      </c>
      <c r="U37" s="60">
        <f>'Winter Peak'!D18</f>
        <v>0</v>
      </c>
      <c r="V37" s="61">
        <f t="shared" si="25"/>
        <v>26632.268163953708</v>
      </c>
      <c r="W37" s="60"/>
      <c r="X37" s="89">
        <f t="shared" si="24"/>
        <v>1.0845056514665816</v>
      </c>
    </row>
    <row r="38" spans="1:25" ht="15.75" thickBot="1" x14ac:dyDescent="0.3">
      <c r="A38" s="94">
        <v>2030</v>
      </c>
      <c r="B38" s="83">
        <f>$X38*'Winter NCP Comparison'!B20</f>
        <v>4843.477692918138</v>
      </c>
      <c r="C38" s="66">
        <v>4430.5070258417245</v>
      </c>
      <c r="D38" s="67">
        <f t="shared" si="26"/>
        <v>9.3210701318762856E-2</v>
      </c>
      <c r="E38" s="83">
        <f>$X38*'Winter NCP Comparison'!E20</f>
        <v>5976.4530014525881</v>
      </c>
      <c r="F38" s="66">
        <v>5277.9614108390142</v>
      </c>
      <c r="G38" s="67">
        <f t="shared" si="27"/>
        <v>0.13234117043355531</v>
      </c>
      <c r="H38" s="83">
        <f>$X38*'Winter NCP Comparison'!H20</f>
        <v>4057.9620830547469</v>
      </c>
      <c r="I38" s="66">
        <v>4206.5285907476073</v>
      </c>
      <c r="J38" s="67">
        <f t="shared" si="28"/>
        <v>-3.5318078669342001E-2</v>
      </c>
      <c r="K38" s="83">
        <f>$X38*'Winter NCP Comparison'!K20</f>
        <v>4947.7273411356018</v>
      </c>
      <c r="L38" s="66">
        <v>5464.3002942759431</v>
      </c>
      <c r="M38" s="67">
        <f t="shared" si="29"/>
        <v>-9.4535974474439177E-2</v>
      </c>
      <c r="N38" s="83">
        <f>$X38*'Winter NCP Comparison'!N20</f>
        <v>6178.0586962190473</v>
      </c>
      <c r="O38" s="66">
        <v>5952.8645449728801</v>
      </c>
      <c r="P38" s="67">
        <f t="shared" si="30"/>
        <v>3.7829544002700555E-2</v>
      </c>
      <c r="Q38" s="84">
        <f t="shared" si="31"/>
        <v>26003.678814780124</v>
      </c>
      <c r="R38" s="85">
        <f t="shared" si="32"/>
        <v>25332.161866677168</v>
      </c>
      <c r="S38" s="67">
        <f t="shared" si="33"/>
        <v>2.6508473759055295E-2</v>
      </c>
      <c r="T38" s="60">
        <f t="shared" si="23"/>
        <v>1023.3684156261099</v>
      </c>
      <c r="U38" s="60">
        <f>'Winter Peak'!D19</f>
        <v>0</v>
      </c>
      <c r="V38" s="61">
        <f t="shared" si="25"/>
        <v>27027.047230406235</v>
      </c>
      <c r="W38" s="60"/>
      <c r="X38" s="89">
        <f t="shared" si="24"/>
        <v>1.0835642847680385</v>
      </c>
    </row>
    <row r="39" spans="1:25" x14ac:dyDescent="0.25">
      <c r="Y39">
        <f>V38/V19</f>
        <v>1.089579360079638</v>
      </c>
    </row>
  </sheetData>
  <mergeCells count="16">
    <mergeCell ref="B22:S22"/>
    <mergeCell ref="B23:S23"/>
    <mergeCell ref="B24:D24"/>
    <mergeCell ref="E24:G24"/>
    <mergeCell ref="H24:J24"/>
    <mergeCell ref="K24:M24"/>
    <mergeCell ref="N24:P24"/>
    <mergeCell ref="Q24:S24"/>
    <mergeCell ref="B3:S3"/>
    <mergeCell ref="B4:S4"/>
    <mergeCell ref="B5:D5"/>
    <mergeCell ref="E5:G5"/>
    <mergeCell ref="H5:J5"/>
    <mergeCell ref="K5:M5"/>
    <mergeCell ref="N5:P5"/>
    <mergeCell ref="Q5:S5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B38"/>
  <sheetViews>
    <sheetView topLeftCell="A16" workbookViewId="0"/>
  </sheetViews>
  <sheetFormatPr defaultRowHeight="15" x14ac:dyDescent="0.25"/>
  <cols>
    <col min="2" max="3" width="10.42578125" bestFit="1" customWidth="1"/>
    <col min="5" max="6" width="10.42578125" bestFit="1" customWidth="1"/>
    <col min="8" max="9" width="10.42578125" bestFit="1" customWidth="1"/>
    <col min="11" max="12" width="10.42578125" bestFit="1" customWidth="1"/>
    <col min="14" max="15" width="10.42578125" bestFit="1" customWidth="1"/>
    <col min="17" max="18" width="10.42578125" bestFit="1" customWidth="1"/>
    <col min="22" max="22" width="10.140625" customWidth="1"/>
    <col min="23" max="23" width="4.42578125" customWidth="1"/>
    <col min="24" max="24" width="13.5703125" bestFit="1" customWidth="1"/>
    <col min="25" max="25" width="4.140625" customWidth="1"/>
    <col min="26" max="26" width="10.5703125" bestFit="1" customWidth="1"/>
  </cols>
  <sheetData>
    <row r="1" spans="1:28" x14ac:dyDescent="0.25">
      <c r="A1" s="215" t="s">
        <v>79</v>
      </c>
    </row>
    <row r="2" spans="1:28" x14ac:dyDescent="0.25">
      <c r="A2" s="215" t="s">
        <v>73</v>
      </c>
    </row>
    <row r="3" spans="1:28" ht="18" x14ac:dyDescent="0.25">
      <c r="A3" s="39"/>
      <c r="B3" s="224" t="s">
        <v>29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40"/>
      <c r="U3" s="102"/>
      <c r="V3" s="40"/>
      <c r="W3" s="40"/>
      <c r="X3" s="39"/>
    </row>
    <row r="4" spans="1:28" ht="16.5" thickBot="1" x14ac:dyDescent="0.3">
      <c r="A4" s="41"/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42"/>
      <c r="U4" s="42"/>
      <c r="V4" s="42"/>
      <c r="W4" s="42"/>
      <c r="X4" s="41"/>
    </row>
    <row r="5" spans="1:28" ht="15.75" thickBot="1" x14ac:dyDescent="0.3">
      <c r="A5" s="90" t="s">
        <v>7</v>
      </c>
      <c r="B5" s="221" t="s">
        <v>8</v>
      </c>
      <c r="C5" s="222"/>
      <c r="D5" s="223"/>
      <c r="E5" s="221" t="s">
        <v>9</v>
      </c>
      <c r="F5" s="222"/>
      <c r="G5" s="223"/>
      <c r="H5" s="221" t="s">
        <v>10</v>
      </c>
      <c r="I5" s="222"/>
      <c r="J5" s="223"/>
      <c r="K5" s="221" t="s">
        <v>11</v>
      </c>
      <c r="L5" s="222"/>
      <c r="M5" s="223"/>
      <c r="N5" s="221" t="s">
        <v>12</v>
      </c>
      <c r="O5" s="222"/>
      <c r="P5" s="223"/>
      <c r="Q5" s="221" t="s">
        <v>13</v>
      </c>
      <c r="R5" s="222"/>
      <c r="S5" s="223"/>
      <c r="T5" s="44"/>
      <c r="U5" s="44"/>
      <c r="V5" s="44" t="s">
        <v>36</v>
      </c>
      <c r="W5" s="44"/>
      <c r="X5" s="87"/>
    </row>
    <row r="6" spans="1:28" x14ac:dyDescent="0.25">
      <c r="A6" s="91"/>
      <c r="B6" s="168" t="s">
        <v>71</v>
      </c>
      <c r="C6" s="124" t="s">
        <v>61</v>
      </c>
      <c r="D6" s="47" t="s">
        <v>14</v>
      </c>
      <c r="E6" s="168" t="s">
        <v>71</v>
      </c>
      <c r="F6" s="124" t="s">
        <v>61</v>
      </c>
      <c r="G6" s="47" t="s">
        <v>14</v>
      </c>
      <c r="H6" s="168" t="s">
        <v>71</v>
      </c>
      <c r="I6" s="124" t="s">
        <v>61</v>
      </c>
      <c r="J6" s="47" t="s">
        <v>14</v>
      </c>
      <c r="K6" s="168" t="s">
        <v>71</v>
      </c>
      <c r="L6" s="124" t="s">
        <v>61</v>
      </c>
      <c r="M6" s="47" t="s">
        <v>14</v>
      </c>
      <c r="N6" s="168" t="s">
        <v>71</v>
      </c>
      <c r="O6" s="124" t="s">
        <v>61</v>
      </c>
      <c r="P6" s="47" t="s">
        <v>14</v>
      </c>
      <c r="Q6" s="168" t="s">
        <v>71</v>
      </c>
      <c r="R6" s="124" t="s">
        <v>61</v>
      </c>
      <c r="S6" s="47" t="s">
        <v>14</v>
      </c>
      <c r="T6" s="44" t="s">
        <v>1</v>
      </c>
      <c r="U6" s="44" t="s">
        <v>35</v>
      </c>
      <c r="V6" s="185" t="s">
        <v>71</v>
      </c>
      <c r="W6" s="44"/>
      <c r="X6" s="127" t="s">
        <v>51</v>
      </c>
    </row>
    <row r="7" spans="1:28" x14ac:dyDescent="0.25">
      <c r="A7" s="93"/>
      <c r="B7" s="54"/>
      <c r="C7" s="55"/>
      <c r="D7" s="56"/>
      <c r="E7" s="54"/>
      <c r="F7" s="58"/>
      <c r="G7" s="56"/>
      <c r="H7" s="54"/>
      <c r="I7" s="58"/>
      <c r="J7" s="56"/>
      <c r="K7" s="54"/>
      <c r="L7" s="58"/>
      <c r="M7" s="56"/>
      <c r="N7" s="54"/>
      <c r="O7" s="58"/>
      <c r="P7" s="56"/>
      <c r="Q7" s="59"/>
      <c r="R7" s="44"/>
      <c r="S7" s="56"/>
      <c r="T7" s="60"/>
      <c r="U7" s="60"/>
      <c r="V7" s="61"/>
      <c r="W7" s="60"/>
      <c r="X7" s="89"/>
      <c r="Z7" s="1" t="s">
        <v>50</v>
      </c>
      <c r="AA7" s="3" t="s">
        <v>17</v>
      </c>
      <c r="AB7" s="3"/>
    </row>
    <row r="8" spans="1:28" x14ac:dyDescent="0.25">
      <c r="A8" s="93">
        <v>2019</v>
      </c>
      <c r="B8" s="54"/>
      <c r="C8" s="55"/>
      <c r="D8" s="56"/>
      <c r="E8" s="54"/>
      <c r="F8" s="58"/>
      <c r="G8" s="56"/>
      <c r="H8" s="54"/>
      <c r="I8" s="58"/>
      <c r="J8" s="56"/>
      <c r="K8" s="54"/>
      <c r="L8" s="58"/>
      <c r="M8" s="56"/>
      <c r="N8" s="54"/>
      <c r="O8" s="58"/>
      <c r="P8" s="56"/>
      <c r="Q8" s="59"/>
      <c r="R8" s="44"/>
      <c r="S8" s="56"/>
      <c r="T8" s="60"/>
      <c r="U8" s="60"/>
      <c r="V8" s="61"/>
      <c r="W8" s="60"/>
      <c r="X8" s="89"/>
      <c r="Z8" s="1"/>
      <c r="AA8" s="3"/>
      <c r="AB8" s="3"/>
    </row>
    <row r="9" spans="1:28" x14ac:dyDescent="0.25">
      <c r="A9" s="93">
        <v>2020</v>
      </c>
      <c r="B9" s="54"/>
      <c r="C9" s="55"/>
      <c r="D9" s="56"/>
      <c r="E9" s="54"/>
      <c r="F9" s="55"/>
      <c r="G9" s="56"/>
      <c r="H9" s="54"/>
      <c r="I9" s="55"/>
      <c r="J9" s="56"/>
      <c r="K9" s="54"/>
      <c r="L9" s="55"/>
      <c r="M9" s="56"/>
      <c r="N9" s="54"/>
      <c r="O9" s="55"/>
      <c r="P9" s="56"/>
      <c r="Q9" s="59"/>
      <c r="R9" s="44"/>
      <c r="S9" s="56"/>
      <c r="T9" s="60"/>
      <c r="U9" s="60"/>
      <c r="V9" s="61"/>
      <c r="W9" s="60"/>
      <c r="X9" s="89"/>
      <c r="Z9" s="1"/>
      <c r="AA9" s="3"/>
      <c r="AB9" s="3"/>
    </row>
    <row r="10" spans="1:28" x14ac:dyDescent="0.25">
      <c r="A10" s="93">
        <v>2021</v>
      </c>
      <c r="B10" s="54">
        <f>$X10*'Winter CP Comparison'!B11</f>
        <v>4241.5933139830286</v>
      </c>
      <c r="C10" s="55">
        <v>4010.5455888083766</v>
      </c>
      <c r="D10" s="56">
        <f t="shared" ref="D10:D19" si="0">B10/C10-1</f>
        <v>5.7610048323450513E-2</v>
      </c>
      <c r="E10" s="54">
        <f>$X10*'Winter CP Comparison'!E11</f>
        <v>5601.3280286763784</v>
      </c>
      <c r="F10" s="55">
        <v>5244.6420668394021</v>
      </c>
      <c r="G10" s="56">
        <f t="shared" ref="G10:G19" si="1">E10/F10-1</f>
        <v>6.8009590986621404E-2</v>
      </c>
      <c r="H10" s="54">
        <f>$X10*'Winter CP Comparison'!H11</f>
        <v>3343.1256846384968</v>
      </c>
      <c r="I10" s="55">
        <v>3659.0816681271599</v>
      </c>
      <c r="J10" s="56">
        <f t="shared" ref="J10:J19" si="2">H10/I10-1</f>
        <v>-8.6348437161387515E-2</v>
      </c>
      <c r="K10" s="54">
        <f>$X10*'Winter CP Comparison'!K11</f>
        <v>3836.5361137587488</v>
      </c>
      <c r="L10" s="55">
        <v>4334.8500797682636</v>
      </c>
      <c r="M10" s="56">
        <f t="shared" ref="M10:M19" si="3">K10/L10-1</f>
        <v>-0.11495529414852435</v>
      </c>
      <c r="N10" s="54">
        <f>$X10*'Winter CP Comparison'!N11</f>
        <v>5593.4326649966033</v>
      </c>
      <c r="O10" s="55">
        <v>5485.9993116432597</v>
      </c>
      <c r="P10" s="56">
        <f t="shared" ref="P10:P19" si="4">N10/O10-1</f>
        <v>1.9583187538017244E-2</v>
      </c>
      <c r="Q10" s="59">
        <f t="shared" ref="Q10:R19" si="5">+N10+K10+H10+E10+B10</f>
        <v>22616.015806053256</v>
      </c>
      <c r="R10" s="44">
        <f t="shared" si="5"/>
        <v>22735.118715186465</v>
      </c>
      <c r="S10" s="56">
        <f t="shared" ref="S10:S19" si="6">Q10/R10-1</f>
        <v>-5.2387194729558439E-3</v>
      </c>
      <c r="T10" s="60">
        <f>'Winter Peak'!C10</f>
        <v>712.38949357466913</v>
      </c>
      <c r="U10" s="60">
        <f>'Winter Peak'!D10</f>
        <v>200</v>
      </c>
      <c r="V10" s="61">
        <f>Q10+T10+(U10*(1-X10))</f>
        <v>23294.635452150393</v>
      </c>
      <c r="W10" s="60"/>
      <c r="X10" s="89">
        <v>1.1688492373876651</v>
      </c>
      <c r="Z10" s="1">
        <v>23294.635452150389</v>
      </c>
      <c r="AA10" s="3">
        <f t="shared" ref="AA10:AA19" si="7">V10-Z10</f>
        <v>0</v>
      </c>
      <c r="AB10" s="3"/>
    </row>
    <row r="11" spans="1:28" x14ac:dyDescent="0.25">
      <c r="A11" s="93">
        <v>2022</v>
      </c>
      <c r="B11" s="54">
        <f>$X11*'Winter CP Comparison'!B12</f>
        <v>4291.5863905868728</v>
      </c>
      <c r="C11" s="55">
        <v>4019.7457305642488</v>
      </c>
      <c r="D11" s="56">
        <f t="shared" si="0"/>
        <v>6.7626332172126213E-2</v>
      </c>
      <c r="E11" s="54">
        <f>$X11*'Winter CP Comparison'!E12</f>
        <v>5624.9735566739082</v>
      </c>
      <c r="F11" s="55">
        <v>5218.6628351175386</v>
      </c>
      <c r="G11" s="56">
        <f t="shared" si="1"/>
        <v>7.7857247036964061E-2</v>
      </c>
      <c r="H11" s="54">
        <f>$X11*'Winter CP Comparison'!H12</f>
        <v>3355.8970017475176</v>
      </c>
      <c r="I11" s="55">
        <v>3639.2830508725306</v>
      </c>
      <c r="J11" s="56">
        <f t="shared" si="2"/>
        <v>-7.786864752305267E-2</v>
      </c>
      <c r="K11" s="54">
        <f>$X11*'Winter CP Comparison'!K12</f>
        <v>3874.9386201027428</v>
      </c>
      <c r="L11" s="55">
        <v>4345.0628559504885</v>
      </c>
      <c r="M11" s="56">
        <f t="shared" si="3"/>
        <v>-0.1081973383201853</v>
      </c>
      <c r="N11" s="54">
        <f>$X11*'Winter CP Comparison'!N12</f>
        <v>5675.4945996036959</v>
      </c>
      <c r="O11" s="55">
        <v>5507.2186798247913</v>
      </c>
      <c r="P11" s="56">
        <f t="shared" si="4"/>
        <v>3.0555518050403352E-2</v>
      </c>
      <c r="Q11" s="59">
        <f t="shared" si="5"/>
        <v>22822.890168714737</v>
      </c>
      <c r="R11" s="44">
        <f t="shared" si="5"/>
        <v>22729.9731523296</v>
      </c>
      <c r="S11" s="56">
        <f t="shared" si="6"/>
        <v>4.0878630063676535E-3</v>
      </c>
      <c r="T11" s="60">
        <f>'Winter Peak'!C11</f>
        <v>740.91160697503494</v>
      </c>
      <c r="U11" s="60">
        <f>'Winter Peak'!D11</f>
        <v>0</v>
      </c>
      <c r="V11" s="61">
        <f t="shared" ref="V11:V19" si="8">Q11+T11</f>
        <v>23563.801775689772</v>
      </c>
      <c r="W11" s="60"/>
      <c r="X11" s="89">
        <v>1.1675005444455855</v>
      </c>
      <c r="Z11" s="1">
        <v>23563.801775689772</v>
      </c>
      <c r="AA11" s="3">
        <f t="shared" si="7"/>
        <v>0</v>
      </c>
      <c r="AB11" s="3"/>
    </row>
    <row r="12" spans="1:28" x14ac:dyDescent="0.25">
      <c r="A12" s="93">
        <v>2023</v>
      </c>
      <c r="B12" s="54">
        <f>$X12*'Winter CP Comparison'!B13</f>
        <v>4381.5107106042715</v>
      </c>
      <c r="C12" s="55">
        <v>4073.4224444691649</v>
      </c>
      <c r="D12" s="56">
        <f t="shared" si="0"/>
        <v>7.5633762600150645E-2</v>
      </c>
      <c r="E12" s="54">
        <f>$X12*'Winter CP Comparison'!E13</f>
        <v>5700.2619310275804</v>
      </c>
      <c r="F12" s="55">
        <v>5250.7376351908342</v>
      </c>
      <c r="G12" s="56">
        <f t="shared" si="1"/>
        <v>8.5611646794919061E-2</v>
      </c>
      <c r="H12" s="54">
        <f>$X12*'Winter CP Comparison'!H13</f>
        <v>3400.7570791797748</v>
      </c>
      <c r="I12" s="55">
        <v>3661.6908472769919</v>
      </c>
      <c r="J12" s="56">
        <f t="shared" si="2"/>
        <v>-7.1260458345701161E-2</v>
      </c>
      <c r="K12" s="54">
        <f>$X12*'Winter CP Comparison'!K13</f>
        <v>3951.1823569558665</v>
      </c>
      <c r="L12" s="55">
        <v>4402.8088333693022</v>
      </c>
      <c r="M12" s="56">
        <f t="shared" si="3"/>
        <v>-0.10257689886295229</v>
      </c>
      <c r="N12" s="54">
        <f>$X12*'Winter CP Comparison'!N13</f>
        <v>5804.6134893135759</v>
      </c>
      <c r="O12" s="55">
        <v>5586.6512372942288</v>
      </c>
      <c r="P12" s="56">
        <f t="shared" si="4"/>
        <v>3.9014830667130074E-2</v>
      </c>
      <c r="Q12" s="59">
        <f t="shared" si="5"/>
        <v>23238.325567081069</v>
      </c>
      <c r="R12" s="44">
        <f t="shared" si="5"/>
        <v>22975.310997600522</v>
      </c>
      <c r="S12" s="56">
        <f t="shared" si="6"/>
        <v>1.1447704429681682E-2</v>
      </c>
      <c r="T12" s="60">
        <f>'Winter Peak'!C12</f>
        <v>770.77559739872481</v>
      </c>
      <c r="U12" s="60">
        <f>'Winter Peak'!D12</f>
        <v>0</v>
      </c>
      <c r="V12" s="61">
        <f t="shared" si="8"/>
        <v>24009.101164479795</v>
      </c>
      <c r="W12" s="60"/>
      <c r="X12" s="89">
        <v>1.1676665555839736</v>
      </c>
      <c r="Z12" s="1">
        <v>24009.101164479795</v>
      </c>
      <c r="AA12" s="3">
        <f t="shared" si="7"/>
        <v>0</v>
      </c>
      <c r="AB12" s="3"/>
    </row>
    <row r="13" spans="1:28" x14ac:dyDescent="0.25">
      <c r="A13" s="93">
        <v>2024</v>
      </c>
      <c r="B13" s="54">
        <f>$X13*'Winter CP Comparison'!B14</f>
        <v>4459.6785398337797</v>
      </c>
      <c r="C13" s="55">
        <v>4115.261620712834</v>
      </c>
      <c r="D13" s="56">
        <f t="shared" si="0"/>
        <v>8.3692593780049007E-2</v>
      </c>
      <c r="E13" s="54">
        <f>$X13*'Winter CP Comparison'!E14</f>
        <v>5759.6852003457579</v>
      </c>
      <c r="F13" s="55">
        <v>5267.5891830131122</v>
      </c>
      <c r="G13" s="56">
        <f t="shared" si="1"/>
        <v>9.3419589158462379E-2</v>
      </c>
      <c r="H13" s="54">
        <f>$X13*'Winter CP Comparison'!H14</f>
        <v>3437.1815733653939</v>
      </c>
      <c r="I13" s="55">
        <v>3674.7043238232923</v>
      </c>
      <c r="J13" s="56">
        <f t="shared" si="2"/>
        <v>-6.4637241401444556E-2</v>
      </c>
      <c r="K13" s="54">
        <f>$X13*'Winter CP Comparison'!K14</f>
        <v>4016.9602802412328</v>
      </c>
      <c r="L13" s="55">
        <v>4446.8609472400403</v>
      </c>
      <c r="M13" s="56">
        <f t="shared" si="3"/>
        <v>-9.6675086560920387E-2</v>
      </c>
      <c r="N13" s="54">
        <f>$X13*'Winter CP Comparison'!N14</f>
        <v>5915.2479738598158</v>
      </c>
      <c r="O13" s="55">
        <v>5649.0437594097557</v>
      </c>
      <c r="P13" s="56">
        <f t="shared" si="4"/>
        <v>4.7123765682755892E-2</v>
      </c>
      <c r="Q13" s="59">
        <f t="shared" si="5"/>
        <v>23588.753567645981</v>
      </c>
      <c r="R13" s="44">
        <f t="shared" si="5"/>
        <v>23153.459834199035</v>
      </c>
      <c r="S13" s="56">
        <f t="shared" si="6"/>
        <v>1.8800375259856006E-2</v>
      </c>
      <c r="T13" s="60">
        <f>'Winter Peak'!C13</f>
        <v>802.04739359118093</v>
      </c>
      <c r="U13" s="60">
        <f>'Winter Peak'!D13</f>
        <v>0</v>
      </c>
      <c r="V13" s="61">
        <f t="shared" si="8"/>
        <v>24390.800961237161</v>
      </c>
      <c r="W13" s="60"/>
      <c r="X13" s="89">
        <v>1.164279786794236</v>
      </c>
      <c r="Z13" s="1">
        <v>24390.800961237157</v>
      </c>
      <c r="AA13" s="3">
        <f t="shared" si="7"/>
        <v>0</v>
      </c>
      <c r="AB13" s="3"/>
    </row>
    <row r="14" spans="1:28" x14ac:dyDescent="0.25">
      <c r="A14" s="93">
        <v>2025</v>
      </c>
      <c r="B14" s="54">
        <f>$X14*'Winter CP Comparison'!B15</f>
        <v>4521.7300822251045</v>
      </c>
      <c r="C14" s="55">
        <v>4166.4922026550457</v>
      </c>
      <c r="D14" s="56">
        <f t="shared" si="0"/>
        <v>8.5260661076885791E-2</v>
      </c>
      <c r="E14" s="54">
        <f>$X14*'Winter CP Comparison'!E15</f>
        <v>5797.826048822496</v>
      </c>
      <c r="F14" s="55">
        <v>5296.4323185974481</v>
      </c>
      <c r="G14" s="56">
        <f t="shared" si="1"/>
        <v>9.4666314995567102E-2</v>
      </c>
      <c r="H14" s="54">
        <f>$X14*'Winter CP Comparison'!H15</f>
        <v>3461.3774686932229</v>
      </c>
      <c r="I14" s="55">
        <v>3696.6398843137977</v>
      </c>
      <c r="J14" s="56">
        <f t="shared" si="2"/>
        <v>-6.3642232671589083E-2</v>
      </c>
      <c r="K14" s="54">
        <f>$X14*'Winter CP Comparison'!K15</f>
        <v>4068.2942918499875</v>
      </c>
      <c r="L14" s="55">
        <v>4500.5858332402086</v>
      </c>
      <c r="M14" s="56">
        <f t="shared" si="3"/>
        <v>-9.6052282393421562E-2</v>
      </c>
      <c r="N14" s="54">
        <f>$X14*'Winter CP Comparison'!N15</f>
        <v>6003.3552162802489</v>
      </c>
      <c r="O14" s="55">
        <v>5724.4525662729084</v>
      </c>
      <c r="P14" s="56">
        <f t="shared" si="4"/>
        <v>4.8721278895831555E-2</v>
      </c>
      <c r="Q14" s="59">
        <f t="shared" si="5"/>
        <v>23852.583107871062</v>
      </c>
      <c r="R14" s="44">
        <f t="shared" si="5"/>
        <v>23384.602805079408</v>
      </c>
      <c r="S14" s="56">
        <f t="shared" si="6"/>
        <v>2.0012326345350662E-2</v>
      </c>
      <c r="T14" s="60">
        <f>'Winter Peak'!C14</f>
        <v>834.79620210820769</v>
      </c>
      <c r="U14" s="60">
        <f>'Winter Peak'!D14</f>
        <v>0</v>
      </c>
      <c r="V14" s="61">
        <f t="shared" si="8"/>
        <v>24687.379309979271</v>
      </c>
      <c r="W14" s="60"/>
      <c r="X14" s="89">
        <v>1.1613665027279936</v>
      </c>
      <c r="Z14" s="1">
        <v>24687.379309979264</v>
      </c>
      <c r="AA14" s="3">
        <f t="shared" si="7"/>
        <v>0</v>
      </c>
      <c r="AB14" s="3"/>
    </row>
    <row r="15" spans="1:28" x14ac:dyDescent="0.25">
      <c r="A15" s="93">
        <v>2026</v>
      </c>
      <c r="B15" s="54">
        <f>$X15*'Winter CP Comparison'!B16</f>
        <v>4617.3018425849295</v>
      </c>
      <c r="C15" s="55">
        <v>4243.1640233189701</v>
      </c>
      <c r="D15" s="56">
        <f t="shared" si="0"/>
        <v>8.8174253271810166E-2</v>
      </c>
      <c r="E15" s="54">
        <f>$X15*'Winter CP Comparison'!E16</f>
        <v>5878.1869622693821</v>
      </c>
      <c r="F15" s="55">
        <v>5357.0160855867662</v>
      </c>
      <c r="G15" s="56">
        <f t="shared" si="1"/>
        <v>9.7287532528573806E-2</v>
      </c>
      <c r="H15" s="54">
        <f>$X15*'Winter CP Comparison'!H16</f>
        <v>3511.0192127293321</v>
      </c>
      <c r="I15" s="55">
        <v>3740.9972443563365</v>
      </c>
      <c r="J15" s="56">
        <f t="shared" si="2"/>
        <v>-6.1475060419771466E-2</v>
      </c>
      <c r="K15" s="54">
        <f>$X15*'Winter CP Comparison'!K16</f>
        <v>4149.9695525081115</v>
      </c>
      <c r="L15" s="55">
        <v>4581.754044226971</v>
      </c>
      <c r="M15" s="56">
        <f t="shared" si="3"/>
        <v>-9.4239997946399923E-2</v>
      </c>
      <c r="N15" s="54">
        <f>$X15*'Winter CP Comparison'!N16</f>
        <v>6135.6099650110282</v>
      </c>
      <c r="O15" s="55">
        <v>5835.0690622388329</v>
      </c>
      <c r="P15" s="56">
        <f t="shared" si="4"/>
        <v>5.1505971834527431E-2</v>
      </c>
      <c r="Q15" s="59">
        <f t="shared" si="5"/>
        <v>24292.087535102783</v>
      </c>
      <c r="R15" s="44">
        <f t="shared" si="5"/>
        <v>23758.000459727875</v>
      </c>
      <c r="S15" s="56">
        <f t="shared" si="6"/>
        <v>2.2480304109777194E-2</v>
      </c>
      <c r="T15" s="60">
        <f>'Winter Peak'!C15</f>
        <v>869.09467087602968</v>
      </c>
      <c r="U15" s="60">
        <f>'Winter Peak'!D15</f>
        <v>0</v>
      </c>
      <c r="V15" s="61">
        <f t="shared" si="8"/>
        <v>25161.182205978814</v>
      </c>
      <c r="W15" s="60"/>
      <c r="X15" s="89">
        <v>1.1665417323284937</v>
      </c>
      <c r="Z15" s="1">
        <v>25161.182205978817</v>
      </c>
      <c r="AA15" s="3">
        <f t="shared" si="7"/>
        <v>0</v>
      </c>
      <c r="AB15" s="3"/>
    </row>
    <row r="16" spans="1:28" x14ac:dyDescent="0.25">
      <c r="A16" s="93">
        <v>2027</v>
      </c>
      <c r="B16" s="54">
        <f>$X16*'Winter CP Comparison'!B17</f>
        <v>4668.1163922877404</v>
      </c>
      <c r="C16" s="55">
        <v>4278.9441588219288</v>
      </c>
      <c r="D16" s="56">
        <f t="shared" si="0"/>
        <v>9.0950528686721155E-2</v>
      </c>
      <c r="E16" s="54">
        <f>$X16*'Winter CP Comparison'!E17</f>
        <v>5900.9008437447392</v>
      </c>
      <c r="F16" s="55">
        <v>5365.6349650007978</v>
      </c>
      <c r="G16" s="56">
        <f t="shared" si="1"/>
        <v>9.9758161379854826E-2</v>
      </c>
      <c r="H16" s="54">
        <f>$X16*'Winter CP Comparison'!H17</f>
        <v>3526.9004765142327</v>
      </c>
      <c r="I16" s="55">
        <v>3749.7702232734114</v>
      </c>
      <c r="J16" s="56">
        <f t="shared" si="2"/>
        <v>-5.9435574312236561E-2</v>
      </c>
      <c r="K16" s="54">
        <f>$X16*'Winter CP Comparison'!K17</f>
        <v>4191.7200962294401</v>
      </c>
      <c r="L16" s="55">
        <v>4619.1006668696928</v>
      </c>
      <c r="M16" s="56">
        <f t="shared" si="3"/>
        <v>-9.252462794448757E-2</v>
      </c>
      <c r="N16" s="54">
        <f>$X16*'Winter CP Comparison'!N17</f>
        <v>6208.4158729351675</v>
      </c>
      <c r="O16" s="55">
        <v>5889.8818031878682</v>
      </c>
      <c r="P16" s="56">
        <f t="shared" si="4"/>
        <v>5.4081572498601682E-2</v>
      </c>
      <c r="Q16" s="59">
        <f t="shared" si="5"/>
        <v>24496.053681711317</v>
      </c>
      <c r="R16" s="44">
        <f t="shared" si="5"/>
        <v>23903.331817153696</v>
      </c>
      <c r="S16" s="56">
        <f t="shared" si="6"/>
        <v>2.4796621202918256E-2</v>
      </c>
      <c r="T16" s="60">
        <f>'Winter Peak'!C16</f>
        <v>905.01906092311856</v>
      </c>
      <c r="U16" s="60">
        <f>'Winter Peak'!D16</f>
        <v>0</v>
      </c>
      <c r="V16" s="61">
        <f t="shared" si="8"/>
        <v>25401.072742634435</v>
      </c>
      <c r="W16" s="60"/>
      <c r="X16" s="89">
        <v>1.1654987745555048</v>
      </c>
      <c r="Z16" s="1">
        <v>25401.072742634431</v>
      </c>
      <c r="AA16" s="3">
        <f t="shared" si="7"/>
        <v>0</v>
      </c>
      <c r="AB16" s="3"/>
    </row>
    <row r="17" spans="1:28" x14ac:dyDescent="0.25">
      <c r="A17" s="93">
        <v>2028</v>
      </c>
      <c r="B17" s="54">
        <f>$X17*'Winter CP Comparison'!B18</f>
        <v>4745.1993457849203</v>
      </c>
      <c r="C17" s="55">
        <v>4345.41644621878</v>
      </c>
      <c r="D17" s="56">
        <f t="shared" si="0"/>
        <v>9.2001055483190042E-2</v>
      </c>
      <c r="E17" s="54">
        <f>$X17*'Winter CP Comparison'!E18</f>
        <v>5957.2583993659546</v>
      </c>
      <c r="F17" s="55">
        <v>5413.3388805871491</v>
      </c>
      <c r="G17" s="56">
        <f t="shared" si="1"/>
        <v>0.10047764065341691</v>
      </c>
      <c r="H17" s="54">
        <f>$X17*'Winter CP Comparison'!H18</f>
        <v>3563.2196521783321</v>
      </c>
      <c r="I17" s="55">
        <v>3786.2096675929674</v>
      </c>
      <c r="J17" s="56">
        <f t="shared" si="2"/>
        <v>-5.8895316158335764E-2</v>
      </c>
      <c r="K17" s="54">
        <f>$X17*'Winter CP Comparison'!K18</f>
        <v>4257.6558441820753</v>
      </c>
      <c r="L17" s="55">
        <v>4690.24846284864</v>
      </c>
      <c r="M17" s="56">
        <f t="shared" si="3"/>
        <v>-9.2232345917944825E-2</v>
      </c>
      <c r="N17" s="54">
        <f>$X17*'Winter CP Comparison'!N18</f>
        <v>6316.7006263095072</v>
      </c>
      <c r="O17" s="55">
        <v>5987.7524813012906</v>
      </c>
      <c r="P17" s="56">
        <f t="shared" si="4"/>
        <v>5.4936830811805448E-2</v>
      </c>
      <c r="Q17" s="59">
        <f t="shared" si="5"/>
        <v>24840.033867820788</v>
      </c>
      <c r="R17" s="44">
        <f t="shared" si="5"/>
        <v>24222.96593854883</v>
      </c>
      <c r="S17" s="56">
        <f t="shared" si="6"/>
        <v>2.5474499317606147E-2</v>
      </c>
      <c r="T17" s="60">
        <f>'Winter Peak'!C17</f>
        <v>942.64942669226446</v>
      </c>
      <c r="U17" s="60">
        <f>'Winter Peak'!D17</f>
        <v>0</v>
      </c>
      <c r="V17" s="61">
        <f t="shared" si="8"/>
        <v>25782.683294513052</v>
      </c>
      <c r="W17" s="60"/>
      <c r="X17" s="89">
        <v>1.1651777751394656</v>
      </c>
      <c r="Z17" s="1">
        <v>25782.683294513052</v>
      </c>
      <c r="AA17" s="3">
        <f t="shared" si="7"/>
        <v>0</v>
      </c>
      <c r="AB17" s="3"/>
    </row>
    <row r="18" spans="1:28" x14ac:dyDescent="0.25">
      <c r="A18" s="93">
        <v>2029</v>
      </c>
      <c r="B18" s="54">
        <f>$X18*'Winter CP Comparison'!B19</f>
        <v>4814.3973325752968</v>
      </c>
      <c r="C18" s="55">
        <v>4412.6276014553605</v>
      </c>
      <c r="D18" s="56">
        <f t="shared" si="0"/>
        <v>9.1049997282214745E-2</v>
      </c>
      <c r="E18" s="54">
        <f>$X18*'Winter CP Comparison'!E19</f>
        <v>6003.9953473830437</v>
      </c>
      <c r="F18" s="55">
        <v>5462.7087273108009</v>
      </c>
      <c r="G18" s="56">
        <f t="shared" si="1"/>
        <v>9.9087585864880756E-2</v>
      </c>
      <c r="H18" s="54">
        <f>$X18*'Winter CP Comparison'!H19</f>
        <v>3594.0136490342575</v>
      </c>
      <c r="I18" s="55">
        <v>3824.0775748051055</v>
      </c>
      <c r="J18" s="56">
        <f t="shared" si="2"/>
        <v>-6.0161940041860484E-2</v>
      </c>
      <c r="K18" s="54">
        <f>$X18*'Winter CP Comparison'!K19</f>
        <v>4317.1898661957339</v>
      </c>
      <c r="L18" s="55">
        <v>4763.3630682173107</v>
      </c>
      <c r="M18" s="56">
        <f t="shared" si="3"/>
        <v>-9.3667687226822505E-2</v>
      </c>
      <c r="N18" s="54">
        <f>$X18*'Winter CP Comparison'!N19</f>
        <v>6415.7292277726183</v>
      </c>
      <c r="O18" s="55">
        <v>6088.4724178046499</v>
      </c>
      <c r="P18" s="56">
        <f t="shared" si="4"/>
        <v>5.3750232818820631E-2</v>
      </c>
      <c r="Q18" s="59">
        <f t="shared" si="5"/>
        <v>25145.325422960948</v>
      </c>
      <c r="R18" s="44">
        <f t="shared" si="5"/>
        <v>24551.249389593228</v>
      </c>
      <c r="S18" s="56">
        <f t="shared" si="6"/>
        <v>2.4197384986017756E-2</v>
      </c>
      <c r="T18" s="60">
        <f>'Winter Peak'!C18</f>
        <v>982.06980536177014</v>
      </c>
      <c r="U18" s="60">
        <f>'Winter Peak'!D18</f>
        <v>0</v>
      </c>
      <c r="V18" s="61">
        <f t="shared" si="8"/>
        <v>26127.395228322719</v>
      </c>
      <c r="W18" s="60"/>
      <c r="X18" s="89">
        <v>1.1625585716962741</v>
      </c>
      <c r="Z18" s="1">
        <v>26127.395228322719</v>
      </c>
      <c r="AA18" s="3">
        <f t="shared" si="7"/>
        <v>0</v>
      </c>
      <c r="AB18" s="3"/>
    </row>
    <row r="19" spans="1:28" ht="15.75" thickBot="1" x14ac:dyDescent="0.3">
      <c r="A19" s="94">
        <v>2030</v>
      </c>
      <c r="B19" s="83">
        <f>$X19*'Winter CP Comparison'!B20</f>
        <v>4905.8394740819822</v>
      </c>
      <c r="C19" s="66">
        <v>4492.1900405056022</v>
      </c>
      <c r="D19" s="67">
        <f t="shared" si="0"/>
        <v>9.2081908789821254E-2</v>
      </c>
      <c r="E19" s="83">
        <f>$X19*'Winter CP Comparison'!E20</f>
        <v>6078.5504142761192</v>
      </c>
      <c r="F19" s="66">
        <v>5527.5992317311348</v>
      </c>
      <c r="G19" s="67">
        <f t="shared" si="1"/>
        <v>9.9672780071003331E-2</v>
      </c>
      <c r="H19" s="83">
        <f>$X19*'Winter CP Comparison'!H20</f>
        <v>3642.0081152941343</v>
      </c>
      <c r="I19" s="66">
        <v>3873.3935340626454</v>
      </c>
      <c r="J19" s="67">
        <f t="shared" si="2"/>
        <v>-5.9737131467202165E-2</v>
      </c>
      <c r="K19" s="83">
        <f>$X19*'Winter CP Comparison'!K20</f>
        <v>4397.3152659103698</v>
      </c>
      <c r="L19" s="66">
        <v>4850.747397930445</v>
      </c>
      <c r="M19" s="67">
        <f t="shared" si="3"/>
        <v>-9.3476756223902835E-2</v>
      </c>
      <c r="N19" s="83">
        <f>$X19*'Winter CP Comparison'!N20</f>
        <v>6545.6872716186454</v>
      </c>
      <c r="O19" s="66">
        <v>6207.624671436296</v>
      </c>
      <c r="P19" s="67">
        <f t="shared" si="4"/>
        <v>5.445925262490614E-2</v>
      </c>
      <c r="Q19" s="84">
        <f t="shared" si="5"/>
        <v>25569.40054118125</v>
      </c>
      <c r="R19" s="85">
        <f t="shared" si="5"/>
        <v>24951.554875666123</v>
      </c>
      <c r="S19" s="67">
        <f t="shared" si="6"/>
        <v>2.4761810179520172E-2</v>
      </c>
      <c r="T19" s="60">
        <f>'Winter Peak'!C19</f>
        <v>1023.3684156261099</v>
      </c>
      <c r="U19" s="60">
        <f>'Winter Peak'!D19</f>
        <v>0</v>
      </c>
      <c r="V19" s="61">
        <f t="shared" si="8"/>
        <v>26592.768956807362</v>
      </c>
      <c r="W19" s="60"/>
      <c r="X19" s="89">
        <v>1.165019134493043</v>
      </c>
      <c r="Z19" s="1">
        <v>26592.768956807362</v>
      </c>
      <c r="AA19" s="3">
        <f t="shared" si="7"/>
        <v>0</v>
      </c>
      <c r="AB19" s="3"/>
    </row>
    <row r="20" spans="1:28" x14ac:dyDescent="0.25">
      <c r="A20" t="s">
        <v>66</v>
      </c>
      <c r="B20" s="176">
        <f>(B19/B10)^(1/9)-1</f>
        <v>1.6296613949875027E-2</v>
      </c>
      <c r="C20" s="176">
        <f>(C19/C10)^(1/9)-1</f>
        <v>1.2681183206052493E-2</v>
      </c>
      <c r="D20" s="196"/>
      <c r="E20" s="176">
        <f>(E19/E10)^(1/9)-1</f>
        <v>9.1261170622962684E-3</v>
      </c>
      <c r="F20" s="176">
        <f>(F19/F10)^(1/9)-1</f>
        <v>5.855587226801573E-3</v>
      </c>
      <c r="G20" s="196"/>
      <c r="H20" s="176">
        <f>(H19/H10)^(1/9)-1</f>
        <v>9.5597392132344972E-3</v>
      </c>
      <c r="I20" s="176">
        <f>(I19/I10)^(1/9)-1</f>
        <v>6.3443517261692062E-3</v>
      </c>
      <c r="J20" s="196"/>
      <c r="K20" s="176">
        <f>(K19/K10)^(1/9)-1</f>
        <v>1.5273722586538918E-2</v>
      </c>
      <c r="L20" s="176">
        <f>(L19/L10)^(1/9)-1</f>
        <v>1.2572350186947912E-2</v>
      </c>
      <c r="M20" s="196"/>
      <c r="N20" s="176">
        <f>(N19/N10)^(1/9)-1</f>
        <v>1.762159679766695E-2</v>
      </c>
      <c r="O20" s="176">
        <f>(O19/O10)^(1/9)-1</f>
        <v>1.3825709353881166E-2</v>
      </c>
      <c r="P20" s="196"/>
      <c r="Q20" s="176">
        <f>(Q19/Q10)^(1/9)-1</f>
        <v>1.3730974105971461E-2</v>
      </c>
      <c r="R20" s="176">
        <f>(R19/R10)^(1/9)-1</f>
        <v>1.0389750383544838E-2</v>
      </c>
    </row>
    <row r="22" spans="1:28" ht="18" x14ac:dyDescent="0.25">
      <c r="A22" s="39"/>
      <c r="B22" s="224" t="s">
        <v>30</v>
      </c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40"/>
      <c r="U22" s="102"/>
      <c r="V22" s="40"/>
      <c r="W22" s="40"/>
      <c r="X22" s="39"/>
    </row>
    <row r="23" spans="1:28" ht="16.5" thickBot="1" x14ac:dyDescent="0.3">
      <c r="A23" s="41"/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42"/>
      <c r="U23" s="42"/>
      <c r="V23" s="42"/>
      <c r="W23" s="42"/>
      <c r="X23" s="41"/>
    </row>
    <row r="24" spans="1:28" ht="15.75" thickBot="1" x14ac:dyDescent="0.3">
      <c r="A24" s="90" t="s">
        <v>7</v>
      </c>
      <c r="B24" s="221" t="s">
        <v>8</v>
      </c>
      <c r="C24" s="222"/>
      <c r="D24" s="223"/>
      <c r="E24" s="221" t="s">
        <v>9</v>
      </c>
      <c r="F24" s="222"/>
      <c r="G24" s="223"/>
      <c r="H24" s="221" t="s">
        <v>10</v>
      </c>
      <c r="I24" s="222"/>
      <c r="J24" s="223"/>
      <c r="K24" s="221" t="s">
        <v>11</v>
      </c>
      <c r="L24" s="222"/>
      <c r="M24" s="223"/>
      <c r="N24" s="221" t="s">
        <v>12</v>
      </c>
      <c r="O24" s="222"/>
      <c r="P24" s="223"/>
      <c r="Q24" s="221" t="s">
        <v>13</v>
      </c>
      <c r="R24" s="222"/>
      <c r="S24" s="223"/>
      <c r="T24" s="44"/>
      <c r="U24" s="44"/>
      <c r="V24" s="44" t="s">
        <v>36</v>
      </c>
      <c r="W24" s="44"/>
      <c r="X24" s="87"/>
    </row>
    <row r="25" spans="1:28" x14ac:dyDescent="0.25">
      <c r="A25" s="91"/>
      <c r="B25" s="168" t="s">
        <v>71</v>
      </c>
      <c r="C25" s="124" t="s">
        <v>61</v>
      </c>
      <c r="D25" s="47" t="s">
        <v>14</v>
      </c>
      <c r="E25" s="168" t="s">
        <v>71</v>
      </c>
      <c r="F25" s="124" t="s">
        <v>61</v>
      </c>
      <c r="G25" s="47" t="s">
        <v>14</v>
      </c>
      <c r="H25" s="168" t="s">
        <v>71</v>
      </c>
      <c r="I25" s="124" t="s">
        <v>61</v>
      </c>
      <c r="J25" s="47" t="s">
        <v>14</v>
      </c>
      <c r="K25" s="168" t="s">
        <v>71</v>
      </c>
      <c r="L25" s="124" t="s">
        <v>61</v>
      </c>
      <c r="M25" s="47" t="s">
        <v>14</v>
      </c>
      <c r="N25" s="168" t="s">
        <v>71</v>
      </c>
      <c r="O25" s="124" t="s">
        <v>61</v>
      </c>
      <c r="P25" s="47" t="s">
        <v>14</v>
      </c>
      <c r="Q25" s="168" t="s">
        <v>71</v>
      </c>
      <c r="R25" s="124" t="s">
        <v>61</v>
      </c>
      <c r="S25" s="47" t="s">
        <v>14</v>
      </c>
      <c r="T25" s="44" t="s">
        <v>1</v>
      </c>
      <c r="U25" s="44" t="s">
        <v>35</v>
      </c>
      <c r="V25" s="185" t="s">
        <v>71</v>
      </c>
      <c r="W25" s="44"/>
      <c r="X25" s="127" t="s">
        <v>51</v>
      </c>
    </row>
    <row r="26" spans="1:28" x14ac:dyDescent="0.25">
      <c r="A26" s="92"/>
      <c r="B26" s="48"/>
      <c r="C26" s="49"/>
      <c r="D26" s="50"/>
      <c r="E26" s="48"/>
      <c r="F26" s="49"/>
      <c r="G26" s="50"/>
      <c r="H26" s="48"/>
      <c r="I26" s="49"/>
      <c r="J26" s="50"/>
      <c r="K26" s="48"/>
      <c r="L26" s="49"/>
      <c r="M26" s="50"/>
      <c r="N26" s="48"/>
      <c r="O26" s="49"/>
      <c r="P26" s="50"/>
      <c r="Q26" s="51"/>
      <c r="R26" s="52"/>
      <c r="S26" s="53"/>
      <c r="T26" s="52"/>
      <c r="U26" s="52"/>
      <c r="V26" s="52"/>
      <c r="W26" s="52"/>
      <c r="X26" s="41"/>
    </row>
    <row r="27" spans="1:28" x14ac:dyDescent="0.25">
      <c r="A27" s="93">
        <v>2019</v>
      </c>
      <c r="B27" s="54"/>
      <c r="C27" s="55"/>
      <c r="D27" s="56"/>
      <c r="E27" s="54"/>
      <c r="F27" s="55"/>
      <c r="G27" s="56"/>
      <c r="H27" s="54"/>
      <c r="I27" s="55"/>
      <c r="J27" s="56"/>
      <c r="K27" s="54"/>
      <c r="L27" s="55"/>
      <c r="M27" s="56"/>
      <c r="N27" s="54"/>
      <c r="O27" s="55"/>
      <c r="P27" s="56"/>
      <c r="Q27" s="59"/>
      <c r="R27" s="44"/>
      <c r="S27" s="56"/>
      <c r="T27" s="60"/>
      <c r="U27" s="60"/>
      <c r="V27" s="61"/>
      <c r="W27" s="60"/>
      <c r="X27" s="89"/>
    </row>
    <row r="28" spans="1:28" x14ac:dyDescent="0.25">
      <c r="A28" s="93">
        <v>2020</v>
      </c>
      <c r="B28" s="54"/>
      <c r="C28" s="55"/>
      <c r="D28" s="56"/>
      <c r="E28" s="54"/>
      <c r="F28" s="55"/>
      <c r="G28" s="56"/>
      <c r="H28" s="54"/>
      <c r="I28" s="55"/>
      <c r="J28" s="56"/>
      <c r="K28" s="54"/>
      <c r="L28" s="55"/>
      <c r="M28" s="56"/>
      <c r="N28" s="54"/>
      <c r="O28" s="55"/>
      <c r="P28" s="56"/>
      <c r="Q28" s="59"/>
      <c r="R28" s="44"/>
      <c r="S28" s="56"/>
      <c r="T28" s="60"/>
      <c r="U28" s="60"/>
      <c r="V28" s="61"/>
      <c r="W28" s="60"/>
      <c r="X28" s="89"/>
    </row>
    <row r="29" spans="1:28" x14ac:dyDescent="0.25">
      <c r="A29" s="93">
        <v>2021</v>
      </c>
      <c r="B29" s="54">
        <f>$X29*'Winter NCP Comparison'!B11</f>
        <v>4502.4756503797598</v>
      </c>
      <c r="C29" s="55">
        <v>4247.852215053862</v>
      </c>
      <c r="D29" s="56">
        <f t="shared" ref="D29:D38" si="9">B29/C29-1</f>
        <v>5.9941688748856192E-2</v>
      </c>
      <c r="E29" s="54">
        <f>$X29*'Winter NCP Comparison'!E11</f>
        <v>5921.2427900671373</v>
      </c>
      <c r="F29" s="55">
        <v>5377.9424381828412</v>
      </c>
      <c r="G29" s="56">
        <f t="shared" ref="G29:G38" si="10">E29/F29-1</f>
        <v>0.10102383172176022</v>
      </c>
      <c r="H29" s="54">
        <f>$X29*'Winter NCP Comparison'!H11</f>
        <v>4004.9597542535939</v>
      </c>
      <c r="I29" s="55">
        <v>4267.5140261243441</v>
      </c>
      <c r="J29" s="56">
        <f t="shared" ref="J29:J38" si="11">H29/I29-1</f>
        <v>-6.1523938823276891E-2</v>
      </c>
      <c r="K29" s="54">
        <f>$X29*'Winter NCP Comparison'!K11</f>
        <v>4641.2591897993725</v>
      </c>
      <c r="L29" s="55">
        <v>5244.0957604894684</v>
      </c>
      <c r="M29" s="56">
        <f t="shared" ref="M29:M38" si="12">K29/L29-1</f>
        <v>-0.11495529414852423</v>
      </c>
      <c r="N29" s="54">
        <f>$X29*'Winter NCP Comparison'!N11</f>
        <v>5676.1461397320627</v>
      </c>
      <c r="O29" s="55">
        <v>5649.7200864448805</v>
      </c>
      <c r="P29" s="56">
        <f t="shared" ref="P29:P38" si="13">N29/O29-1</f>
        <v>4.6774093022032837E-3</v>
      </c>
      <c r="Q29" s="59">
        <f t="shared" ref="Q29:R38" si="14">+N29+K29+H29+E29+B29</f>
        <v>24746.08352423193</v>
      </c>
      <c r="R29" s="44">
        <f t="shared" si="14"/>
        <v>24787.124526295396</v>
      </c>
      <c r="S29" s="56">
        <f t="shared" ref="S29:S38" si="15">Q29/R29-1</f>
        <v>-1.6557387291910031E-3</v>
      </c>
      <c r="T29" s="60">
        <f t="shared" ref="T29:T38" si="16">T10</f>
        <v>712.38949357466913</v>
      </c>
      <c r="U29" s="60">
        <f>'Winter Peak'!D10</f>
        <v>200</v>
      </c>
      <c r="V29" s="61">
        <f>Q29+T29+(U29*(1-X29))</f>
        <v>25424.703170329067</v>
      </c>
      <c r="W29" s="60"/>
      <c r="X29" s="89">
        <f t="shared" ref="X29:X38" si="17">X10</f>
        <v>1.1688492373876651</v>
      </c>
    </row>
    <row r="30" spans="1:28" x14ac:dyDescent="0.25">
      <c r="A30" s="93">
        <v>2022</v>
      </c>
      <c r="B30" s="54">
        <f>$X30*'Winter NCP Comparison'!B12</f>
        <v>4555.5435881649146</v>
      </c>
      <c r="C30" s="55">
        <v>4257.5967352621719</v>
      </c>
      <c r="D30" s="56">
        <f t="shared" si="9"/>
        <v>6.9980054812400105E-2</v>
      </c>
      <c r="E30" s="54">
        <f>$X30*'Winter NCP Comparison'!E12</f>
        <v>5946.2388109136054</v>
      </c>
      <c r="F30" s="55">
        <v>5351.3029056832302</v>
      </c>
      <c r="G30" s="56">
        <f t="shared" si="10"/>
        <v>0.11117589785443416</v>
      </c>
      <c r="H30" s="54">
        <f>$X30*'Winter NCP Comparison'!H12</f>
        <v>4020.2593917352074</v>
      </c>
      <c r="I30" s="55">
        <v>4244.423293395429</v>
      </c>
      <c r="J30" s="56">
        <f t="shared" si="11"/>
        <v>-5.2813747867474392E-2</v>
      </c>
      <c r="K30" s="54">
        <f>$X30*'Winter NCP Comparison'!K12</f>
        <v>4687.7167182040166</v>
      </c>
      <c r="L30" s="55">
        <v>5256.4506921005977</v>
      </c>
      <c r="M30" s="56">
        <f t="shared" si="12"/>
        <v>-0.10819733832018541</v>
      </c>
      <c r="N30" s="54">
        <f>$X30*'Winter NCP Comparison'!N12</f>
        <v>5759.4215738414105</v>
      </c>
      <c r="O30" s="55">
        <v>5671.5727123433999</v>
      </c>
      <c r="P30" s="56">
        <f t="shared" si="13"/>
        <v>1.5489330024248682E-2</v>
      </c>
      <c r="Q30" s="59">
        <f t="shared" si="14"/>
        <v>24969.180082859155</v>
      </c>
      <c r="R30" s="44">
        <f t="shared" si="14"/>
        <v>24781.346338784831</v>
      </c>
      <c r="S30" s="56">
        <f t="shared" si="15"/>
        <v>7.5796424256557859E-3</v>
      </c>
      <c r="T30" s="60">
        <f t="shared" si="16"/>
        <v>740.91160697503494</v>
      </c>
      <c r="U30" s="60">
        <f>'Winter Peak'!D11</f>
        <v>0</v>
      </c>
      <c r="V30" s="61">
        <f t="shared" ref="V30:V38" si="18">Q30+T30</f>
        <v>25710.091689834189</v>
      </c>
      <c r="W30" s="60"/>
      <c r="X30" s="89">
        <f t="shared" si="17"/>
        <v>1.1675005444455855</v>
      </c>
    </row>
    <row r="31" spans="1:28" x14ac:dyDescent="0.25">
      <c r="A31" s="93">
        <v>2023</v>
      </c>
      <c r="B31" s="54">
        <f>$X31*'Winter NCP Comparison'!B13</f>
        <v>4650.9987700468128</v>
      </c>
      <c r="C31" s="55">
        <v>4314.4495357125861</v>
      </c>
      <c r="D31" s="56">
        <f t="shared" si="9"/>
        <v>7.8005138673766128E-2</v>
      </c>
      <c r="E31" s="54">
        <f>$X31*'Winter NCP Comparison'!E13</f>
        <v>6025.8272123668403</v>
      </c>
      <c r="F31" s="55">
        <v>5384.1929344615637</v>
      </c>
      <c r="G31" s="56">
        <f t="shared" si="10"/>
        <v>0.11917000109682019</v>
      </c>
      <c r="H31" s="54">
        <f>$X31*'Winter NCP Comparison'!H13</f>
        <v>4074.0003580154848</v>
      </c>
      <c r="I31" s="55">
        <v>4270.5570597673395</v>
      </c>
      <c r="J31" s="56">
        <f t="shared" si="11"/>
        <v>-4.6026009956313119E-2</v>
      </c>
      <c r="K31" s="54">
        <f>$X31*'Winter NCP Comparison'!K13</f>
        <v>4779.9527701637926</v>
      </c>
      <c r="L31" s="55">
        <v>5326.3090331723397</v>
      </c>
      <c r="M31" s="56">
        <f t="shared" si="12"/>
        <v>-0.10257689886295207</v>
      </c>
      <c r="N31" s="54">
        <f>$X31*'Winter NCP Comparison'!N13</f>
        <v>5890.4498227340191</v>
      </c>
      <c r="O31" s="55">
        <v>5753.3758059931406</v>
      </c>
      <c r="P31" s="56">
        <f t="shared" si="13"/>
        <v>2.3824971870965328E-2</v>
      </c>
      <c r="Q31" s="59">
        <f t="shared" si="14"/>
        <v>25421.228933326947</v>
      </c>
      <c r="R31" s="44">
        <f t="shared" si="14"/>
        <v>25048.884369106971</v>
      </c>
      <c r="S31" s="56">
        <f t="shared" si="15"/>
        <v>1.4864716477321238E-2</v>
      </c>
      <c r="T31" s="60">
        <f t="shared" si="16"/>
        <v>770.77559739872481</v>
      </c>
      <c r="U31" s="60">
        <f>'Winter Peak'!D12</f>
        <v>0</v>
      </c>
      <c r="V31" s="61">
        <f t="shared" si="18"/>
        <v>26192.004530725673</v>
      </c>
      <c r="W31" s="60"/>
      <c r="X31" s="89">
        <f t="shared" si="17"/>
        <v>1.1676665555839736</v>
      </c>
    </row>
    <row r="32" spans="1:28" x14ac:dyDescent="0.25">
      <c r="A32" s="93">
        <v>2024</v>
      </c>
      <c r="B32" s="54">
        <f>$X32*'Winter NCP Comparison'!B14</f>
        <v>4733.9743694727777</v>
      </c>
      <c r="C32" s="55">
        <v>4358.7643635950189</v>
      </c>
      <c r="D32" s="56">
        <f t="shared" si="9"/>
        <v>8.6081736606723469E-2</v>
      </c>
      <c r="E32" s="54">
        <f>$X32*'Winter NCP Comparison'!E14</f>
        <v>6088.6443877243828</v>
      </c>
      <c r="F32" s="55">
        <v>5401.4727894121061</v>
      </c>
      <c r="G32" s="56">
        <f t="shared" si="10"/>
        <v>0.12721930205022258</v>
      </c>
      <c r="H32" s="54">
        <f>$X32*'Winter NCP Comparison'!H14</f>
        <v>4117.6357600444171</v>
      </c>
      <c r="I32" s="55">
        <v>4285.734418112118</v>
      </c>
      <c r="J32" s="56">
        <f t="shared" si="11"/>
        <v>-3.9222835964191405E-2</v>
      </c>
      <c r="K32" s="54">
        <f>$X32*'Winter NCP Comparison'!K14</f>
        <v>4859.5277779004</v>
      </c>
      <c r="L32" s="55">
        <v>5379.6011884577856</v>
      </c>
      <c r="M32" s="56">
        <f t="shared" si="12"/>
        <v>-9.6675086560920165E-2</v>
      </c>
      <c r="N32" s="54">
        <f>$X32*'Winter NCP Comparison'!N14</f>
        <v>6002.7203263745178</v>
      </c>
      <c r="O32" s="55">
        <v>5817.6303319993531</v>
      </c>
      <c r="P32" s="56">
        <f t="shared" si="13"/>
        <v>3.1815358455674625E-2</v>
      </c>
      <c r="Q32" s="59">
        <f t="shared" si="14"/>
        <v>25802.502621516494</v>
      </c>
      <c r="R32" s="44">
        <f t="shared" si="14"/>
        <v>25243.203091576383</v>
      </c>
      <c r="S32" s="56">
        <f t="shared" si="15"/>
        <v>2.2156440603480654E-2</v>
      </c>
      <c r="T32" s="60">
        <f t="shared" si="16"/>
        <v>802.04739359118093</v>
      </c>
      <c r="U32" s="60">
        <f>'Winter Peak'!D13</f>
        <v>0</v>
      </c>
      <c r="V32" s="61">
        <f t="shared" si="18"/>
        <v>26604.550015107674</v>
      </c>
      <c r="W32" s="60"/>
      <c r="X32" s="89">
        <f t="shared" si="17"/>
        <v>1.164279786794236</v>
      </c>
    </row>
    <row r="33" spans="1:25" x14ac:dyDescent="0.25">
      <c r="A33" s="93">
        <v>2025</v>
      </c>
      <c r="B33" s="54">
        <f>$X33*'Winter NCP Comparison'!B15</f>
        <v>4799.8424379093267</v>
      </c>
      <c r="C33" s="55">
        <v>4413.0262928420034</v>
      </c>
      <c r="D33" s="56">
        <f t="shared" si="9"/>
        <v>8.7653260914113629E-2</v>
      </c>
      <c r="E33" s="54">
        <f>$X33*'Winter NCP Comparison'!E15</f>
        <v>6128.9636161098151</v>
      </c>
      <c r="F33" s="55">
        <v>5431.0490161464386</v>
      </c>
      <c r="G33" s="56">
        <f t="shared" si="10"/>
        <v>0.12850456659265741</v>
      </c>
      <c r="H33" s="54">
        <f>$X33*'Winter NCP Comparison'!H15</f>
        <v>4146.6216840410389</v>
      </c>
      <c r="I33" s="55">
        <v>4311.3174251489754</v>
      </c>
      <c r="J33" s="56">
        <f t="shared" si="11"/>
        <v>-3.8200792209644785E-2</v>
      </c>
      <c r="K33" s="54">
        <f>$X33*'Winter NCP Comparison'!K15</f>
        <v>4921.629227245282</v>
      </c>
      <c r="L33" s="55">
        <v>5444.595004096579</v>
      </c>
      <c r="M33" s="56">
        <f t="shared" si="12"/>
        <v>-9.6052282393421562E-2</v>
      </c>
      <c r="N33" s="54">
        <f>$X33*'Winter NCP Comparison'!N15</f>
        <v>6092.1304639232967</v>
      </c>
      <c r="O33" s="55">
        <v>5895.289592715153</v>
      </c>
      <c r="P33" s="56">
        <f t="shared" si="13"/>
        <v>3.3389516852807555E-2</v>
      </c>
      <c r="Q33" s="59">
        <f t="shared" si="14"/>
        <v>26089.187429228761</v>
      </c>
      <c r="R33" s="44">
        <f t="shared" si="14"/>
        <v>25495.277330949153</v>
      </c>
      <c r="S33" s="56">
        <f t="shared" si="15"/>
        <v>2.3294906369135671E-2</v>
      </c>
      <c r="T33" s="60">
        <f t="shared" si="16"/>
        <v>834.79620210820769</v>
      </c>
      <c r="U33" s="60">
        <f>'Winter Peak'!D14</f>
        <v>0</v>
      </c>
      <c r="V33" s="61">
        <f t="shared" si="18"/>
        <v>26923.983631336971</v>
      </c>
      <c r="W33" s="60"/>
      <c r="X33" s="89">
        <f t="shared" si="17"/>
        <v>1.1613665027279936</v>
      </c>
    </row>
    <row r="34" spans="1:25" x14ac:dyDescent="0.25">
      <c r="A34" s="93">
        <v>2026</v>
      </c>
      <c r="B34" s="54">
        <f>$X34*'Winter NCP Comparison'!B16</f>
        <v>4901.2924101321387</v>
      </c>
      <c r="C34" s="55">
        <v>4494.2348356767534</v>
      </c>
      <c r="D34" s="56">
        <f t="shared" si="9"/>
        <v>9.057327650616398E-2</v>
      </c>
      <c r="E34" s="54">
        <f>$X34*'Winter NCP Comparison'!E16</f>
        <v>6213.9142701180272</v>
      </c>
      <c r="F34" s="55">
        <v>5493.1726095975328</v>
      </c>
      <c r="G34" s="56">
        <f t="shared" si="10"/>
        <v>0.13120681102596943</v>
      </c>
      <c r="H34" s="54">
        <f>$X34*'Winter NCP Comparison'!H16</f>
        <v>4206.0909369946785</v>
      </c>
      <c r="I34" s="55">
        <v>4363.0505301496823</v>
      </c>
      <c r="J34" s="56">
        <f t="shared" si="11"/>
        <v>-3.5974736499239879E-2</v>
      </c>
      <c r="K34" s="54">
        <f>$X34*'Winter NCP Comparison'!K16</f>
        <v>5020.4360787562882</v>
      </c>
      <c r="L34" s="55">
        <v>5542.7884509954274</v>
      </c>
      <c r="M34" s="56">
        <f t="shared" si="12"/>
        <v>-9.4239997946400034E-2</v>
      </c>
      <c r="N34" s="54">
        <f>$X34*'Winter NCP Comparison'!N16</f>
        <v>6226.3409436824022</v>
      </c>
      <c r="O34" s="55">
        <v>6009.2072590598173</v>
      </c>
      <c r="P34" s="56">
        <f t="shared" si="13"/>
        <v>3.6133499022724225E-2</v>
      </c>
      <c r="Q34" s="59">
        <f t="shared" si="14"/>
        <v>26568.074639683538</v>
      </c>
      <c r="R34" s="44">
        <f t="shared" si="14"/>
        <v>25902.453685479213</v>
      </c>
      <c r="S34" s="56">
        <f t="shared" si="15"/>
        <v>2.5697216267100975E-2</v>
      </c>
      <c r="T34" s="60">
        <f t="shared" si="16"/>
        <v>869.09467087602968</v>
      </c>
      <c r="U34" s="60">
        <f>'Winter Peak'!D15</f>
        <v>0</v>
      </c>
      <c r="V34" s="61">
        <f t="shared" si="18"/>
        <v>27437.16931055957</v>
      </c>
      <c r="W34" s="60"/>
      <c r="X34" s="89">
        <f t="shared" si="17"/>
        <v>1.1665417323284937</v>
      </c>
    </row>
    <row r="35" spans="1:25" x14ac:dyDescent="0.25">
      <c r="A35" s="93">
        <v>2027</v>
      </c>
      <c r="B35" s="54">
        <f>$X35*'Winter NCP Comparison'!B17</f>
        <v>4955.2323463272651</v>
      </c>
      <c r="C35" s="55">
        <v>4532.1321053837246</v>
      </c>
      <c r="D35" s="56">
        <f t="shared" si="9"/>
        <v>9.3355672585302418E-2</v>
      </c>
      <c r="E35" s="54">
        <f>$X35*'Winter NCP Comparison'!E17</f>
        <v>6237.9254342976365</v>
      </c>
      <c r="F35" s="55">
        <v>5502.0105506389946</v>
      </c>
      <c r="G35" s="56">
        <f t="shared" si="10"/>
        <v>0.13375381179034163</v>
      </c>
      <c r="H35" s="54">
        <f>$X35*'Winter NCP Comparison'!H17</f>
        <v>4225.1161930888393</v>
      </c>
      <c r="I35" s="55">
        <v>4373.2822806201966</v>
      </c>
      <c r="J35" s="56">
        <f t="shared" si="11"/>
        <v>-3.3879836247466044E-2</v>
      </c>
      <c r="K35" s="54">
        <f>$X35*'Winter NCP Comparison'!K17</f>
        <v>5070.9439037786606</v>
      </c>
      <c r="L35" s="55">
        <v>5587.9686214431595</v>
      </c>
      <c r="M35" s="56">
        <f t="shared" si="12"/>
        <v>-9.2524627944487459E-2</v>
      </c>
      <c r="N35" s="54">
        <f>$X35*'Winter NCP Comparison'!N17</f>
        <v>6300.2234766392085</v>
      </c>
      <c r="O35" s="55">
        <v>6065.6557975923715</v>
      </c>
      <c r="P35" s="56">
        <f t="shared" si="13"/>
        <v>3.867144573880088E-2</v>
      </c>
      <c r="Q35" s="59">
        <f t="shared" si="14"/>
        <v>26789.44135413161</v>
      </c>
      <c r="R35" s="44">
        <f t="shared" si="14"/>
        <v>26061.049355678446</v>
      </c>
      <c r="S35" s="56">
        <f t="shared" si="15"/>
        <v>2.7949450097428885E-2</v>
      </c>
      <c r="T35" s="60">
        <f t="shared" si="16"/>
        <v>905.01906092311856</v>
      </c>
      <c r="U35" s="60">
        <f>'Winter Peak'!D16</f>
        <v>0</v>
      </c>
      <c r="V35" s="61">
        <f t="shared" si="18"/>
        <v>27694.460415054727</v>
      </c>
      <c r="W35" s="60"/>
      <c r="X35" s="89">
        <f t="shared" si="17"/>
        <v>1.1654987745555048</v>
      </c>
    </row>
    <row r="36" spans="1:25" x14ac:dyDescent="0.25">
      <c r="A36" s="93">
        <v>2028</v>
      </c>
      <c r="B36" s="54">
        <f>$X36*'Winter NCP Comparison'!B18</f>
        <v>5037.0563439359612</v>
      </c>
      <c r="C36" s="55">
        <v>4602.5376018444458</v>
      </c>
      <c r="D36" s="56">
        <f t="shared" si="9"/>
        <v>9.4408515406236848E-2</v>
      </c>
      <c r="E36" s="54">
        <f>$X36*'Winter NCP Comparison'!E18</f>
        <v>6297.5018005057018</v>
      </c>
      <c r="F36" s="55">
        <v>5550.9269321250504</v>
      </c>
      <c r="G36" s="56">
        <f t="shared" si="10"/>
        <v>0.13449553155887806</v>
      </c>
      <c r="H36" s="54">
        <f>$X36*'Winter NCP Comparison'!H18</f>
        <v>4268.6254268310076</v>
      </c>
      <c r="I36" s="55">
        <v>4415.7808783127357</v>
      </c>
      <c r="J36" s="56">
        <f t="shared" si="11"/>
        <v>-3.3324898933380975E-2</v>
      </c>
      <c r="K36" s="54">
        <f>$X36*'Winter NCP Comparison'!K18</f>
        <v>5150.7098403024902</v>
      </c>
      <c r="L36" s="55">
        <v>5674.039846144271</v>
      </c>
      <c r="M36" s="56">
        <f t="shared" si="12"/>
        <v>-9.2232345917944825E-2</v>
      </c>
      <c r="N36" s="54">
        <f>$X36*'Winter NCP Comparison'!N18</f>
        <v>6410.1095022105874</v>
      </c>
      <c r="O36" s="55">
        <v>6166.4472677695267</v>
      </c>
      <c r="P36" s="56">
        <f t="shared" si="13"/>
        <v>3.9514200618340212E-2</v>
      </c>
      <c r="Q36" s="59">
        <f t="shared" si="14"/>
        <v>27164.002913785749</v>
      </c>
      <c r="R36" s="44">
        <f t="shared" si="14"/>
        <v>26409.732526196029</v>
      </c>
      <c r="S36" s="56">
        <f t="shared" si="15"/>
        <v>2.856031907333989E-2</v>
      </c>
      <c r="T36" s="60">
        <f t="shared" si="16"/>
        <v>942.64942669226446</v>
      </c>
      <c r="U36" s="60">
        <f>'Winter Peak'!D17</f>
        <v>0</v>
      </c>
      <c r="V36" s="61">
        <f t="shared" si="18"/>
        <v>28106.652340478013</v>
      </c>
      <c r="W36" s="60"/>
      <c r="X36" s="89">
        <f t="shared" si="17"/>
        <v>1.1651777751394656</v>
      </c>
    </row>
    <row r="37" spans="1:25" x14ac:dyDescent="0.25">
      <c r="A37" s="93">
        <v>2029</v>
      </c>
      <c r="B37" s="54">
        <f>$X37*'Winter NCP Comparison'!B19</f>
        <v>5110.510404124112</v>
      </c>
      <c r="C37" s="55">
        <v>4673.7256854420366</v>
      </c>
      <c r="D37" s="56">
        <f t="shared" si="9"/>
        <v>9.3455360472394666E-2</v>
      </c>
      <c r="E37" s="54">
        <f>$X37*'Winter NCP Comparison'!E19</f>
        <v>6346.90808684693</v>
      </c>
      <c r="F37" s="55">
        <v>5601.5515868637322</v>
      </c>
      <c r="G37" s="56">
        <f t="shared" si="10"/>
        <v>0.13306250749009307</v>
      </c>
      <c r="H37" s="54">
        <f>$X37*'Winter NCP Comparison'!H19</f>
        <v>4305.515669590136</v>
      </c>
      <c r="I37" s="55">
        <v>4459.9454638084417</v>
      </c>
      <c r="J37" s="56">
        <f t="shared" si="11"/>
        <v>-3.4625937799345863E-2</v>
      </c>
      <c r="K37" s="54">
        <f>$X37*'Winter NCP Comparison'!K19</f>
        <v>5222.7312728091956</v>
      </c>
      <c r="L37" s="55">
        <v>5762.4904234394853</v>
      </c>
      <c r="M37" s="56">
        <f t="shared" si="12"/>
        <v>-9.3667687226822505E-2</v>
      </c>
      <c r="N37" s="54">
        <f>$X37*'Winter NCP Comparison'!N19</f>
        <v>6510.6024995493226</v>
      </c>
      <c r="O37" s="55">
        <v>6270.1730278440446</v>
      </c>
      <c r="P37" s="56">
        <f t="shared" si="13"/>
        <v>3.8344950073562423E-2</v>
      </c>
      <c r="Q37" s="59">
        <f t="shared" si="14"/>
        <v>27496.267932919698</v>
      </c>
      <c r="R37" s="44">
        <f t="shared" si="14"/>
        <v>26767.88618739774</v>
      </c>
      <c r="S37" s="56">
        <f t="shared" si="15"/>
        <v>2.7211029680217269E-2</v>
      </c>
      <c r="T37" s="60">
        <f t="shared" si="16"/>
        <v>982.06980536177014</v>
      </c>
      <c r="U37" s="60">
        <f>'Winter Peak'!D18</f>
        <v>0</v>
      </c>
      <c r="V37" s="61">
        <f t="shared" si="18"/>
        <v>28478.337738281469</v>
      </c>
      <c r="W37" s="60"/>
      <c r="X37" s="89">
        <f t="shared" si="17"/>
        <v>1.1625585716962741</v>
      </c>
    </row>
    <row r="38" spans="1:25" ht="15.75" thickBot="1" x14ac:dyDescent="0.3">
      <c r="A38" s="94">
        <v>2030</v>
      </c>
      <c r="B38" s="83">
        <f>$X38*'Winter NCP Comparison'!B20</f>
        <v>5207.5767622294852</v>
      </c>
      <c r="C38" s="66">
        <v>4757.9958864585196</v>
      </c>
      <c r="D38" s="67">
        <f t="shared" si="9"/>
        <v>9.4489546964614535E-2</v>
      </c>
      <c r="E38" s="83">
        <f>$X38*'Winter NCP Comparison'!E20</f>
        <v>6425.7212986501881</v>
      </c>
      <c r="F38" s="66">
        <v>5668.0913798771971</v>
      </c>
      <c r="G38" s="67">
        <f t="shared" si="10"/>
        <v>0.13366579118020594</v>
      </c>
      <c r="H38" s="83">
        <f>$X38*'Winter NCP Comparison'!H20</f>
        <v>4363.0115354144191</v>
      </c>
      <c r="I38" s="66">
        <v>4517.461684251547</v>
      </c>
      <c r="J38" s="67">
        <f t="shared" si="11"/>
        <v>-3.418958690353946E-2</v>
      </c>
      <c r="K38" s="83">
        <f>$X38*'Winter NCP Comparison'!K20</f>
        <v>5319.6631761550916</v>
      </c>
      <c r="L38" s="66">
        <v>5868.2038355643072</v>
      </c>
      <c r="M38" s="67">
        <f t="shared" si="12"/>
        <v>-9.3476756223902724E-2</v>
      </c>
      <c r="N38" s="83">
        <f>$X38*'Winter NCP Comparison'!N20</f>
        <v>6642.4823116582629</v>
      </c>
      <c r="O38" s="66">
        <v>6392.8811877337421</v>
      </c>
      <c r="P38" s="67">
        <f t="shared" si="13"/>
        <v>3.9043604377231311E-2</v>
      </c>
      <c r="Q38" s="84">
        <f t="shared" si="14"/>
        <v>27958.455084107445</v>
      </c>
      <c r="R38" s="85">
        <f t="shared" si="14"/>
        <v>27204.633973885313</v>
      </c>
      <c r="S38" s="67">
        <f t="shared" si="15"/>
        <v>2.77092906651768E-2</v>
      </c>
      <c r="T38" s="60">
        <f t="shared" si="16"/>
        <v>1023.3684156261099</v>
      </c>
      <c r="U38" s="60">
        <f>'Winter Peak'!D19</f>
        <v>0</v>
      </c>
      <c r="V38" s="61">
        <f t="shared" si="18"/>
        <v>28981.823499733557</v>
      </c>
      <c r="W38" s="60"/>
      <c r="X38" s="89">
        <f t="shared" si="17"/>
        <v>1.165019134493043</v>
      </c>
      <c r="Y38">
        <f>V38/V19</f>
        <v>1.0898385025946924</v>
      </c>
    </row>
  </sheetData>
  <mergeCells count="16">
    <mergeCell ref="B22:S22"/>
    <mergeCell ref="B23:S23"/>
    <mergeCell ref="B24:D24"/>
    <mergeCell ref="E24:G24"/>
    <mergeCell ref="H24:J24"/>
    <mergeCell ref="K24:M24"/>
    <mergeCell ref="N24:P24"/>
    <mergeCell ref="Q24:S24"/>
    <mergeCell ref="B3:S3"/>
    <mergeCell ref="B4:S4"/>
    <mergeCell ref="B5:D5"/>
    <mergeCell ref="E5:G5"/>
    <mergeCell ref="H5:J5"/>
    <mergeCell ref="K5:M5"/>
    <mergeCell ref="N5:P5"/>
    <mergeCell ref="Q5:S5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I35"/>
  <sheetViews>
    <sheetView workbookViewId="0">
      <pane xSplit="1" ySplit="4" topLeftCell="B8" activePane="bottomRight" state="frozen"/>
      <selection pane="topRight"/>
      <selection pane="bottomLeft"/>
      <selection pane="bottomRight" activeCell="Q9" sqref="Q9:U9"/>
    </sheetView>
  </sheetViews>
  <sheetFormatPr defaultRowHeight="15" x14ac:dyDescent="0.25"/>
  <cols>
    <col min="1" max="1" width="9" bestFit="1" customWidth="1"/>
    <col min="2" max="2" width="8" bestFit="1" customWidth="1"/>
    <col min="3" max="3" width="7.7109375" customWidth="1"/>
    <col min="5" max="5" width="14.140625" customWidth="1"/>
    <col min="6" max="6" width="10.42578125" bestFit="1" customWidth="1"/>
    <col min="7" max="7" width="10.85546875" customWidth="1"/>
    <col min="9" max="9" width="3.85546875" customWidth="1"/>
    <col min="10" max="16" width="5.7109375" customWidth="1"/>
    <col min="17" max="17" width="6.85546875" customWidth="1"/>
    <col min="18" max="19" width="6.85546875" bestFit="1" customWidth="1"/>
    <col min="20" max="20" width="5.7109375" customWidth="1"/>
    <col min="21" max="21" width="6.85546875" bestFit="1" customWidth="1"/>
    <col min="22" max="22" width="6.5703125" bestFit="1" customWidth="1"/>
    <col min="23" max="23" width="6.85546875" bestFit="1" customWidth="1"/>
    <col min="24" max="25" width="5.7109375" customWidth="1"/>
    <col min="26" max="26" width="6.85546875" bestFit="1" customWidth="1"/>
    <col min="27" max="27" width="7.5703125" customWidth="1"/>
    <col min="28" max="29" width="5.7109375" customWidth="1"/>
    <col min="30" max="30" width="6.85546875" bestFit="1" customWidth="1"/>
    <col min="31" max="31" width="7.85546875" bestFit="1" customWidth="1"/>
    <col min="32" max="32" width="6.42578125" customWidth="1"/>
    <col min="33" max="33" width="5.7109375" customWidth="1"/>
  </cols>
  <sheetData>
    <row r="1" spans="1:35" x14ac:dyDescent="0.25">
      <c r="A1" t="s">
        <v>80</v>
      </c>
    </row>
    <row r="2" spans="1:35" x14ac:dyDescent="0.25">
      <c r="A2" t="s">
        <v>81</v>
      </c>
    </row>
    <row r="3" spans="1:35" x14ac:dyDescent="0.25">
      <c r="J3" s="218" t="s">
        <v>5</v>
      </c>
      <c r="K3" s="218"/>
      <c r="L3" s="218"/>
      <c r="M3" s="218"/>
      <c r="N3" s="218"/>
      <c r="O3" s="121"/>
      <c r="Q3" s="218" t="s">
        <v>44</v>
      </c>
      <c r="R3" s="218"/>
      <c r="S3" s="218"/>
      <c r="T3" s="218"/>
      <c r="U3" s="218"/>
      <c r="V3" s="218"/>
      <c r="Z3" s="218" t="s">
        <v>45</v>
      </c>
      <c r="AA3" s="218"/>
      <c r="AB3" s="218"/>
      <c r="AC3" s="218"/>
      <c r="AD3" s="218"/>
      <c r="AE3" s="218"/>
    </row>
    <row r="4" spans="1:35" ht="30" x14ac:dyDescent="0.25">
      <c r="B4" s="109" t="s">
        <v>0</v>
      </c>
      <c r="C4" s="109" t="s">
        <v>1</v>
      </c>
      <c r="D4" s="109" t="s">
        <v>35</v>
      </c>
      <c r="E4" s="109" t="s">
        <v>37</v>
      </c>
      <c r="F4" s="187" t="s">
        <v>2</v>
      </c>
      <c r="G4" s="109" t="s">
        <v>3</v>
      </c>
      <c r="H4" s="109" t="s">
        <v>4</v>
      </c>
      <c r="I4" s="106"/>
      <c r="J4" s="105" t="s">
        <v>39</v>
      </c>
      <c r="K4" s="105" t="s">
        <v>40</v>
      </c>
      <c r="L4" s="105" t="s">
        <v>41</v>
      </c>
      <c r="M4" s="105" t="s">
        <v>42</v>
      </c>
      <c r="N4" s="105" t="s">
        <v>43</v>
      </c>
      <c r="O4" s="121"/>
      <c r="P4" s="106"/>
      <c r="Q4" s="105" t="s">
        <v>39</v>
      </c>
      <c r="R4" s="105" t="s">
        <v>40</v>
      </c>
      <c r="S4" s="105" t="s">
        <v>41</v>
      </c>
      <c r="T4" s="105" t="s">
        <v>42</v>
      </c>
      <c r="U4" s="105" t="s">
        <v>43</v>
      </c>
      <c r="V4" s="105" t="s">
        <v>15</v>
      </c>
      <c r="W4" s="105" t="s">
        <v>16</v>
      </c>
      <c r="X4" s="105"/>
      <c r="Y4" s="105"/>
      <c r="Z4" s="105" t="s">
        <v>39</v>
      </c>
      <c r="AA4" s="105" t="s">
        <v>40</v>
      </c>
      <c r="AB4" s="105" t="s">
        <v>41</v>
      </c>
      <c r="AC4" s="105" t="s">
        <v>42</v>
      </c>
      <c r="AD4" s="105" t="s">
        <v>43</v>
      </c>
      <c r="AE4" s="197" t="s">
        <v>15</v>
      </c>
      <c r="AF4" s="105" t="s">
        <v>17</v>
      </c>
      <c r="AG4" s="105"/>
      <c r="AH4" s="106"/>
      <c r="AI4" s="106"/>
    </row>
    <row r="5" spans="1:35" x14ac:dyDescent="0.25">
      <c r="A5" s="6">
        <v>2016</v>
      </c>
      <c r="B5" s="1">
        <v>23858</v>
      </c>
      <c r="C5" s="154">
        <v>871</v>
      </c>
      <c r="D5" s="154">
        <v>200</v>
      </c>
      <c r="E5" s="3">
        <f>B5-C5-D5</f>
        <v>22787</v>
      </c>
      <c r="F5" s="2">
        <v>4840278.833333333</v>
      </c>
      <c r="G5" s="4">
        <f>E5/F5*1000</f>
        <v>4.7077866347438047</v>
      </c>
      <c r="P5" s="6">
        <v>2016</v>
      </c>
      <c r="Q5" s="2">
        <v>4731.53</v>
      </c>
      <c r="R5" s="2">
        <v>3773.2</v>
      </c>
      <c r="S5" s="2">
        <v>5763.12</v>
      </c>
      <c r="T5" s="2">
        <v>4128.33</v>
      </c>
      <c r="U5" s="2">
        <v>4287.66</v>
      </c>
      <c r="V5" s="2">
        <f>SUM(Q5:U5)</f>
        <v>22683.84</v>
      </c>
      <c r="W5" s="157">
        <f>V5/(E5)-1</f>
        <v>-4.5271426690657313E-3</v>
      </c>
      <c r="X5" s="5"/>
      <c r="Y5" s="6">
        <v>2016</v>
      </c>
      <c r="Z5" s="2">
        <f>Q5/(1+$W5)</f>
        <v>4753.0477251646989</v>
      </c>
      <c r="AA5" s="2">
        <f t="shared" ref="AA5:AD5" si="0">R5/(1+$W5)</f>
        <v>3790.3594982154696</v>
      </c>
      <c r="AB5" s="2">
        <f t="shared" si="0"/>
        <v>5789.3291188793437</v>
      </c>
      <c r="AC5" s="2">
        <f t="shared" si="0"/>
        <v>4147.1045338884423</v>
      </c>
      <c r="AD5" s="2">
        <f t="shared" si="0"/>
        <v>4307.1591238520459</v>
      </c>
      <c r="AE5" s="2">
        <f>SUM(Z5:AD5)</f>
        <v>22787</v>
      </c>
      <c r="AF5" s="108">
        <f>AE5-E5</f>
        <v>0</v>
      </c>
      <c r="AG5" s="108"/>
      <c r="AH5" s="2"/>
    </row>
    <row r="6" spans="1:35" x14ac:dyDescent="0.25">
      <c r="A6" s="153">
        <v>2017</v>
      </c>
      <c r="B6" s="1">
        <v>23373</v>
      </c>
      <c r="C6" s="154">
        <v>882</v>
      </c>
      <c r="D6" s="154">
        <v>200</v>
      </c>
      <c r="E6" s="155">
        <f t="shared" ref="E6:E19" si="1">B6-C6-D6</f>
        <v>22291</v>
      </c>
      <c r="F6" s="154">
        <v>4901886</v>
      </c>
      <c r="G6" s="156">
        <f t="shared" ref="G6:G19" si="2">E6/F6*1000</f>
        <v>4.5474333756435792</v>
      </c>
      <c r="H6" s="157">
        <f>G6/G5-1</f>
        <v>-3.4061284323466778E-2</v>
      </c>
      <c r="I6" s="158"/>
      <c r="J6" s="157">
        <v>1.0084232841461205E-2</v>
      </c>
      <c r="K6" s="157">
        <v>1.3465632437023922E-2</v>
      </c>
      <c r="L6" s="157">
        <v>1.3996941889291126E-2</v>
      </c>
      <c r="M6" s="157">
        <v>8.6920691609035927E-3</v>
      </c>
      <c r="N6" s="157">
        <v>1.7060823185898411E-2</v>
      </c>
      <c r="O6" s="157"/>
      <c r="P6" s="153">
        <v>2017</v>
      </c>
      <c r="Q6" s="161">
        <v>5023.0366999999997</v>
      </c>
      <c r="R6" s="161">
        <v>3497.6514000000002</v>
      </c>
      <c r="S6" s="161">
        <v>5473.4845999999998</v>
      </c>
      <c r="T6" s="161">
        <v>4007.7386000000001</v>
      </c>
      <c r="U6" s="161">
        <v>4163.7232999999997</v>
      </c>
      <c r="V6" s="154">
        <f t="shared" ref="V6:V14" si="3">SUM(Q6:U6)</f>
        <v>22165.634599999998</v>
      </c>
      <c r="W6" s="157">
        <f t="shared" ref="W6:W8" si="4">V6/(E6)-1</f>
        <v>-5.6240366067024095E-3</v>
      </c>
      <c r="X6" s="157"/>
      <c r="Y6" s="153">
        <v>2017</v>
      </c>
      <c r="Z6" s="154">
        <f t="shared" ref="Z6:Z19" si="5">Q6/(1+$W6)</f>
        <v>5051.4462184493468</v>
      </c>
      <c r="AA6" s="154">
        <f t="shared" ref="AA6:AA19" si="6">R6/(1+$W6)</f>
        <v>3517.4335751885046</v>
      </c>
      <c r="AB6" s="154">
        <f t="shared" ref="AB6:AB19" si="7">S6/(1+$W6)</f>
        <v>5504.4417820818908</v>
      </c>
      <c r="AC6" s="154">
        <f t="shared" ref="AC6:AC19" si="8">T6/(1+$W6)</f>
        <v>4030.4057494749109</v>
      </c>
      <c r="AD6" s="154">
        <f>U6/(1+$W6)</f>
        <v>4187.2726748053501</v>
      </c>
      <c r="AE6" s="154">
        <f>SUM(Z6:AD6)</f>
        <v>22291.000000000004</v>
      </c>
      <c r="AF6" s="108">
        <f t="shared" ref="AF6:AF8" si="9">AE6-E6</f>
        <v>0</v>
      </c>
      <c r="AH6" s="2"/>
    </row>
    <row r="7" spans="1:35" x14ac:dyDescent="0.25">
      <c r="A7" s="153">
        <f>A6+1</f>
        <v>2018</v>
      </c>
      <c r="B7" s="173">
        <v>23217</v>
      </c>
      <c r="C7" s="154">
        <v>845</v>
      </c>
      <c r="D7" s="154">
        <v>200</v>
      </c>
      <c r="E7" s="155">
        <f>B7-C7-D7</f>
        <v>22172</v>
      </c>
      <c r="F7" s="154">
        <v>4959167.1539089084</v>
      </c>
      <c r="G7" s="156">
        <f t="shared" si="2"/>
        <v>4.4709120124179753</v>
      </c>
      <c r="H7" s="157">
        <f t="shared" ref="H7:H18" si="10">G7/G6-1</f>
        <v>-1.6827374236081938E-2</v>
      </c>
      <c r="I7" s="158"/>
      <c r="J7" s="157">
        <v>1.093092865380374E-2</v>
      </c>
      <c r="K7" s="157">
        <v>1.4556012534748142E-2</v>
      </c>
      <c r="L7" s="157">
        <v>1.1781677423876369E-2</v>
      </c>
      <c r="M7" s="157">
        <v>7.4818437639347923E-3</v>
      </c>
      <c r="N7" s="157">
        <v>1.6025222383804216E-2</v>
      </c>
      <c r="P7" s="153">
        <f>P6+1</f>
        <v>2018</v>
      </c>
      <c r="Q7" s="161">
        <v>4397.4814999999999</v>
      </c>
      <c r="R7" s="161">
        <v>3847.2356</v>
      </c>
      <c r="S7" s="161">
        <v>5776.1876000000002</v>
      </c>
      <c r="T7" s="161">
        <v>4143.1045999999997</v>
      </c>
      <c r="U7" s="161">
        <v>4123.0059000000001</v>
      </c>
      <c r="V7" s="154">
        <f t="shared" si="3"/>
        <v>22287.015199999998</v>
      </c>
      <c r="W7" s="157">
        <f t="shared" si="4"/>
        <v>5.1874075410427434E-3</v>
      </c>
      <c r="X7" s="157"/>
      <c r="Y7" s="153">
        <f>Y6+1</f>
        <v>2018</v>
      </c>
      <c r="Z7" s="154">
        <f>Q7/(1+$W7)</f>
        <v>4374.7876933291636</v>
      </c>
      <c r="AA7" s="154">
        <f>R7/(1+$W7)</f>
        <v>3827.3814127968108</v>
      </c>
      <c r="AB7" s="154">
        <f>S7/(1+$W7)</f>
        <v>5746.3787913241968</v>
      </c>
      <c r="AC7" s="154">
        <f t="shared" si="8"/>
        <v>4121.7235402253409</v>
      </c>
      <c r="AD7" s="154">
        <f t="shared" ref="AD7:AD19" si="11">U7/(1+$W7)</f>
        <v>4101.7285623244879</v>
      </c>
      <c r="AE7" s="154">
        <f>SUM(Z7:AD7)</f>
        <v>22172</v>
      </c>
      <c r="AF7" s="108">
        <f t="shared" si="9"/>
        <v>0</v>
      </c>
      <c r="AH7" s="2"/>
    </row>
    <row r="8" spans="1:35" x14ac:dyDescent="0.25">
      <c r="A8" s="153">
        <f t="shared" ref="A8:A19" si="12">A7+1</f>
        <v>2019</v>
      </c>
      <c r="B8" s="173">
        <v>24241</v>
      </c>
      <c r="C8" s="154">
        <v>845</v>
      </c>
      <c r="D8" s="154">
        <v>200</v>
      </c>
      <c r="E8" s="155">
        <f t="shared" si="1"/>
        <v>23196</v>
      </c>
      <c r="F8" s="154">
        <v>5052800.486277598</v>
      </c>
      <c r="G8" s="156">
        <f t="shared" si="2"/>
        <v>4.5907215341266152</v>
      </c>
      <c r="H8" s="157">
        <f t="shared" si="10"/>
        <v>2.6797557495175095E-2</v>
      </c>
      <c r="I8" s="158"/>
      <c r="J8" s="157">
        <v>4.3246015256587444E-2</v>
      </c>
      <c r="K8" s="157">
        <v>1.7815071157131657E-2</v>
      </c>
      <c r="L8" s="157">
        <v>1.3195337439730448E-2</v>
      </c>
      <c r="M8" s="157">
        <v>6.8218465341867152E-3</v>
      </c>
      <c r="N8" s="157">
        <v>1.8464558604405212E-2</v>
      </c>
      <c r="O8" t="s">
        <v>58</v>
      </c>
      <c r="P8" s="153">
        <f t="shared" ref="P8:P19" si="13">P7+1</f>
        <v>2019</v>
      </c>
      <c r="Q8" s="161">
        <v>5047.4304000000002</v>
      </c>
      <c r="R8" s="161">
        <v>3485.3960000000002</v>
      </c>
      <c r="S8" s="161">
        <v>5839.375</v>
      </c>
      <c r="T8" s="161">
        <v>4143.6938</v>
      </c>
      <c r="U8" s="161">
        <v>5759.0427</v>
      </c>
      <c r="V8" s="154">
        <f t="shared" si="3"/>
        <v>24274.937899999997</v>
      </c>
      <c r="W8" s="157">
        <f t="shared" si="4"/>
        <v>4.6513963614416065E-2</v>
      </c>
      <c r="X8" s="157"/>
      <c r="Y8" s="153">
        <f t="shared" ref="Y8:Y19" si="14">Y7+1</f>
        <v>2019</v>
      </c>
      <c r="Z8" s="154">
        <f>Q8/(1+$W8)</f>
        <v>4823.089395355365</v>
      </c>
      <c r="AA8" s="154">
        <f t="shared" si="6"/>
        <v>3330.4820778140906</v>
      </c>
      <c r="AB8" s="154">
        <f t="shared" si="7"/>
        <v>5579.8347685989356</v>
      </c>
      <c r="AC8" s="154">
        <f t="shared" si="8"/>
        <v>3959.5207938637</v>
      </c>
      <c r="AD8" s="154">
        <f t="shared" si="11"/>
        <v>5503.0729643679142</v>
      </c>
      <c r="AE8" s="154">
        <f t="shared" ref="AE8:AE19" si="15">SUM(Z8:AD8)</f>
        <v>23196.000000000007</v>
      </c>
      <c r="AF8" s="108">
        <f t="shared" si="9"/>
        <v>0</v>
      </c>
      <c r="AH8" s="2"/>
    </row>
    <row r="9" spans="1:35" x14ac:dyDescent="0.25">
      <c r="A9" s="110">
        <f t="shared" si="12"/>
        <v>2020</v>
      </c>
      <c r="B9" s="232">
        <v>24308.033206666998</v>
      </c>
      <c r="C9" s="200">
        <v>943.88</v>
      </c>
      <c r="D9" s="200">
        <f>'Winter Peak'!D9</f>
        <v>200</v>
      </c>
      <c r="E9" s="203">
        <f t="shared" si="1"/>
        <v>23164.153206666997</v>
      </c>
      <c r="F9" s="111">
        <f>'Winter Peak'!F9</f>
        <v>5136995.333333334</v>
      </c>
      <c r="G9" s="112">
        <f t="shared" si="2"/>
        <v>4.5092805625805497</v>
      </c>
      <c r="H9" s="113">
        <f t="shared" si="10"/>
        <v>-1.7740342327594361E-2</v>
      </c>
      <c r="I9" s="205"/>
      <c r="J9" s="206">
        <v>1.1690988714433637E-2</v>
      </c>
      <c r="K9" s="206">
        <v>2.2085330768423228E-2</v>
      </c>
      <c r="L9" s="206">
        <v>1.35038079001355E-2</v>
      </c>
      <c r="M9" s="206">
        <v>8.1679552374200881E-3</v>
      </c>
      <c r="N9" s="206">
        <v>2.0309297106056334E-2</v>
      </c>
      <c r="O9" s="206"/>
      <c r="P9" s="110">
        <f t="shared" si="13"/>
        <v>2020</v>
      </c>
      <c r="Q9" s="236">
        <v>4856.5174681660337</v>
      </c>
      <c r="R9" s="236">
        <v>3694.6057283914033</v>
      </c>
      <c r="S9" s="237">
        <v>5933.0548590932476</v>
      </c>
      <c r="T9" s="236">
        <v>4261.4138366090438</v>
      </c>
      <c r="U9" s="237">
        <v>4380.9943907163188</v>
      </c>
      <c r="V9" s="111">
        <f t="shared" si="3"/>
        <v>23126.586282976048</v>
      </c>
      <c r="W9" s="113">
        <f t="shared" ref="W9:W19" si="16">V9/(E9+D9)-1</f>
        <v>-1.0168009154432278E-2</v>
      </c>
      <c r="X9" s="113"/>
      <c r="Y9" s="110">
        <f t="shared" si="14"/>
        <v>2020</v>
      </c>
      <c r="Z9" s="111">
        <f t="shared" si="5"/>
        <v>4906.4058477412264</v>
      </c>
      <c r="AA9" s="111">
        <f t="shared" si="6"/>
        <v>3732.5584165402379</v>
      </c>
      <c r="AB9" s="111">
        <f t="shared" si="7"/>
        <v>5994.0019255438619</v>
      </c>
      <c r="AC9" s="111">
        <f t="shared" si="8"/>
        <v>4305.1890381606227</v>
      </c>
      <c r="AD9" s="111">
        <f t="shared" si="11"/>
        <v>4425.9979786810463</v>
      </c>
      <c r="AE9" s="111">
        <f t="shared" si="15"/>
        <v>23364.153206666997</v>
      </c>
      <c r="AF9" s="115">
        <f t="shared" ref="AF9:AF19" si="17">AE9-E9-D9</f>
        <v>0</v>
      </c>
      <c r="AH9" s="2"/>
    </row>
    <row r="10" spans="1:35" x14ac:dyDescent="0.25">
      <c r="A10" s="6">
        <f t="shared" si="12"/>
        <v>2021</v>
      </c>
      <c r="B10" s="1">
        <v>24620.471795162695</v>
      </c>
      <c r="C10" s="233">
        <v>1012.5112791278036</v>
      </c>
      <c r="D10" s="233">
        <f>'Winter Peak'!D10</f>
        <v>200</v>
      </c>
      <c r="E10" s="234">
        <f t="shared" si="1"/>
        <v>23407.960516034891</v>
      </c>
      <c r="F10" s="2">
        <f>'Winter Peak'!F10</f>
        <v>5188942.5</v>
      </c>
      <c r="G10" s="4">
        <f t="shared" si="2"/>
        <v>4.5111235123601565</v>
      </c>
      <c r="H10" s="5">
        <f t="shared" si="10"/>
        <v>4.0870151103478136E-4</v>
      </c>
      <c r="J10" s="235">
        <v>6.7409741180826099E-3</v>
      </c>
      <c r="K10" s="235">
        <v>1.610198788213979E-2</v>
      </c>
      <c r="L10" s="235">
        <v>8.3289084505897559E-3</v>
      </c>
      <c r="M10" s="235">
        <v>3.9393047590441377E-3</v>
      </c>
      <c r="N10" s="235">
        <v>1.6848282472744058E-2</v>
      </c>
      <c r="O10" s="5"/>
      <c r="P10" s="6">
        <f t="shared" si="13"/>
        <v>2021</v>
      </c>
      <c r="Q10" s="2">
        <f>Q9*(1+$H10+J10)</f>
        <v>4891.239992750563</v>
      </c>
      <c r="R10" s="2">
        <f t="shared" ref="R10:U14" si="18">R9*(1+$H10+K10)</f>
        <v>3755.6062160031174</v>
      </c>
      <c r="S10" s="2">
        <f t="shared" si="18"/>
        <v>5984.8955783329257</v>
      </c>
      <c r="T10" s="2">
        <f t="shared" si="18"/>
        <v>4279.9424906900213</v>
      </c>
      <c r="U10" s="2">
        <f t="shared" si="18"/>
        <v>4456.5971407499355</v>
      </c>
      <c r="V10" s="2">
        <f t="shared" si="3"/>
        <v>23368.281418526563</v>
      </c>
      <c r="W10" s="5">
        <f t="shared" si="16"/>
        <v>-1.0152469432737954E-2</v>
      </c>
      <c r="X10" s="5"/>
      <c r="Y10" s="6">
        <f t="shared" si="14"/>
        <v>2021</v>
      </c>
      <c r="Z10" s="2">
        <f t="shared" si="5"/>
        <v>4941.4074811577193</v>
      </c>
      <c r="AA10" s="2">
        <f t="shared" si="6"/>
        <v>3794.125963875319</v>
      </c>
      <c r="AB10" s="2">
        <f t="shared" si="7"/>
        <v>6046.2802537913094</v>
      </c>
      <c r="AC10" s="2">
        <f t="shared" si="8"/>
        <v>4323.840145600273</v>
      </c>
      <c r="AD10" s="2">
        <f t="shared" si="11"/>
        <v>4502.3066716102712</v>
      </c>
      <c r="AE10" s="2">
        <f t="shared" si="15"/>
        <v>23607.960516034887</v>
      </c>
      <c r="AF10" s="159">
        <f t="shared" si="17"/>
        <v>-3.637978807091713E-12</v>
      </c>
    </row>
    <row r="11" spans="1:35" x14ac:dyDescent="0.25">
      <c r="A11" s="6">
        <f t="shared" si="12"/>
        <v>2022</v>
      </c>
      <c r="B11" s="1">
        <v>24908.197727129653</v>
      </c>
      <c r="C11" s="233">
        <v>1032.5467000031197</v>
      </c>
      <c r="D11" s="233">
        <v>0</v>
      </c>
      <c r="E11" s="234">
        <f t="shared" si="1"/>
        <v>23875.651027126532</v>
      </c>
      <c r="F11" s="2">
        <f>'Winter Peak'!F11</f>
        <v>5238590.666666666</v>
      </c>
      <c r="G11" s="4">
        <f t="shared" si="2"/>
        <v>4.5576477618394824</v>
      </c>
      <c r="H11" s="5">
        <f t="shared" si="10"/>
        <v>1.0313228922208095E-2</v>
      </c>
      <c r="J11" s="235">
        <v>4.6932363954428347E-3</v>
      </c>
      <c r="K11" s="235">
        <v>1.2346063348197545E-2</v>
      </c>
      <c r="L11" s="235">
        <v>1.0548721863938848E-2</v>
      </c>
      <c r="M11" s="235">
        <v>4.2873348204726103E-3</v>
      </c>
      <c r="N11" s="235">
        <v>1.5264294658212219E-2</v>
      </c>
      <c r="O11" s="5"/>
      <c r="P11" s="6">
        <f t="shared" si="13"/>
        <v>2022</v>
      </c>
      <c r="Q11" s="2">
        <f>Q10*(1+$H11+J11)</f>
        <v>4964.6402160620819</v>
      </c>
      <c r="R11" s="2">
        <f t="shared" si="18"/>
        <v>3840.7055949040841</v>
      </c>
      <c r="S11" s="2">
        <f t="shared" si="18"/>
        <v>6109.7521753483352</v>
      </c>
      <c r="T11" s="2">
        <f t="shared" si="18"/>
        <v>4342.4320638403487</v>
      </c>
      <c r="U11" s="2">
        <f t="shared" si="18"/>
        <v>4570.5858592059003</v>
      </c>
      <c r="V11" s="2">
        <f t="shared" si="3"/>
        <v>23828.115909360749</v>
      </c>
      <c r="W11" s="5">
        <f t="shared" si="16"/>
        <v>-1.9909454075943689E-3</v>
      </c>
      <c r="X11" s="5"/>
      <c r="Y11" s="6">
        <f t="shared" si="14"/>
        <v>2022</v>
      </c>
      <c r="Z11" s="2">
        <f t="shared" si="5"/>
        <v>4974.5442621156162</v>
      </c>
      <c r="AA11" s="2">
        <f t="shared" si="6"/>
        <v>3848.3674844740331</v>
      </c>
      <c r="AB11" s="2">
        <f t="shared" si="7"/>
        <v>6121.940624921087</v>
      </c>
      <c r="AC11" s="2">
        <f t="shared" si="8"/>
        <v>4351.0948561622326</v>
      </c>
      <c r="AD11" s="2">
        <f t="shared" si="11"/>
        <v>4579.7037994535649</v>
      </c>
      <c r="AE11" s="2">
        <f t="shared" si="15"/>
        <v>23875.651027126532</v>
      </c>
      <c r="AF11" s="159">
        <f t="shared" si="17"/>
        <v>0</v>
      </c>
    </row>
    <row r="12" spans="1:35" x14ac:dyDescent="0.25">
      <c r="A12" s="6">
        <f t="shared" si="12"/>
        <v>2023</v>
      </c>
      <c r="B12" s="1">
        <v>25353.445909002185</v>
      </c>
      <c r="C12" s="233">
        <v>1053.0082842280938</v>
      </c>
      <c r="D12" s="233">
        <v>0</v>
      </c>
      <c r="E12" s="234">
        <f t="shared" si="1"/>
        <v>24300.437624774091</v>
      </c>
      <c r="F12" s="2">
        <f>'Winter Peak'!F12</f>
        <v>5301692.583333333</v>
      </c>
      <c r="G12" s="4">
        <f t="shared" si="2"/>
        <v>4.5835244580506549</v>
      </c>
      <c r="H12" s="5">
        <f t="shared" si="10"/>
        <v>5.677642846345865E-3</v>
      </c>
      <c r="J12" s="235">
        <v>7.382334084086839E-3</v>
      </c>
      <c r="K12" s="235">
        <v>1.495084227274579E-2</v>
      </c>
      <c r="L12" s="235">
        <v>1.3673403180076482E-2</v>
      </c>
      <c r="M12" s="235">
        <v>7.3652093470626401E-3</v>
      </c>
      <c r="N12" s="235">
        <v>1.6747345880242959E-2</v>
      </c>
      <c r="O12" s="5"/>
      <c r="P12" s="6">
        <f t="shared" si="13"/>
        <v>2023</v>
      </c>
      <c r="Q12" s="2">
        <f t="shared" ref="Q12:Q14" si="19">Q11*(1+$H12+J12)</f>
        <v>5029.4783027517515</v>
      </c>
      <c r="R12" s="2">
        <f t="shared" si="18"/>
        <v>3919.9335331153752</v>
      </c>
      <c r="S12" s="2">
        <f t="shared" si="18"/>
        <v>6227.9822709035352</v>
      </c>
      <c r="T12" s="2">
        <f t="shared" si="18"/>
        <v>4399.0697634089365</v>
      </c>
      <c r="U12" s="2">
        <f t="shared" si="18"/>
        <v>4673.0811955724985</v>
      </c>
      <c r="V12" s="2">
        <f t="shared" si="3"/>
        <v>24249.5450657521</v>
      </c>
      <c r="W12" s="5">
        <f t="shared" si="16"/>
        <v>-2.094306275789326E-3</v>
      </c>
      <c r="X12" s="5"/>
      <c r="Y12" s="6">
        <f t="shared" si="14"/>
        <v>2023</v>
      </c>
      <c r="Z12" s="2">
        <f t="shared" si="5"/>
        <v>5040.0336769114965</v>
      </c>
      <c r="AA12" s="2">
        <f t="shared" si="6"/>
        <v>3928.160303892123</v>
      </c>
      <c r="AB12" s="2">
        <f t="shared" si="7"/>
        <v>6241.0529472585122</v>
      </c>
      <c r="AC12" s="2">
        <f t="shared" si="8"/>
        <v>4408.3020981586851</v>
      </c>
      <c r="AD12" s="2">
        <f t="shared" si="11"/>
        <v>4682.8885985532706</v>
      </c>
      <c r="AE12" s="2">
        <f t="shared" si="15"/>
        <v>24300.437624774087</v>
      </c>
      <c r="AF12" s="159">
        <f t="shared" si="17"/>
        <v>-3.637978807091713E-12</v>
      </c>
    </row>
    <row r="13" spans="1:35" x14ac:dyDescent="0.25">
      <c r="A13" s="6">
        <f t="shared" si="12"/>
        <v>2024</v>
      </c>
      <c r="B13" s="1">
        <v>25807.963516144813</v>
      </c>
      <c r="C13" s="233">
        <v>1073.9029239323706</v>
      </c>
      <c r="D13" s="233">
        <v>0</v>
      </c>
      <c r="E13" s="234">
        <f t="shared" si="1"/>
        <v>24734.060592212441</v>
      </c>
      <c r="F13" s="2">
        <f>'Winter Peak'!F13</f>
        <v>5367753.166666667</v>
      </c>
      <c r="G13" s="4">
        <f t="shared" si="2"/>
        <v>4.6078982815024077</v>
      </c>
      <c r="H13" s="5">
        <f t="shared" si="10"/>
        <v>5.3177033688436293E-3</v>
      </c>
      <c r="J13" s="235">
        <v>7.9137991657820539E-3</v>
      </c>
      <c r="K13" s="235">
        <v>1.5351490985827221E-2</v>
      </c>
      <c r="L13" s="235">
        <v>1.4155230872592961E-2</v>
      </c>
      <c r="M13" s="235">
        <v>8.2006920517814219E-3</v>
      </c>
      <c r="N13" s="235">
        <v>1.6574470085122472E-2</v>
      </c>
      <c r="O13" s="5"/>
      <c r="P13" s="6">
        <f t="shared" si="13"/>
        <v>2024</v>
      </c>
      <c r="Q13" s="2">
        <f t="shared" si="19"/>
        <v>5096.0258576624565</v>
      </c>
      <c r="R13" s="2">
        <f t="shared" si="18"/>
        <v>4000.9554011687283</v>
      </c>
      <c r="S13" s="2">
        <f t="shared" si="18"/>
        <v>6349.2593601216731</v>
      </c>
      <c r="T13" s="2">
        <f t="shared" si="18"/>
        <v>4458.5381279536141</v>
      </c>
      <c r="U13" s="2">
        <f t="shared" si="18"/>
        <v>4775.3850996704386</v>
      </c>
      <c r="V13" s="2">
        <f t="shared" si="3"/>
        <v>24680.16384657691</v>
      </c>
      <c r="W13" s="5">
        <f t="shared" si="16"/>
        <v>-2.1790496321699715E-3</v>
      </c>
      <c r="X13" s="5"/>
      <c r="Y13" s="6">
        <f t="shared" si="14"/>
        <v>2024</v>
      </c>
      <c r="Z13" s="2">
        <f t="shared" si="5"/>
        <v>5107.1546010172378</v>
      </c>
      <c r="AA13" s="2">
        <f t="shared" si="6"/>
        <v>4009.6927206167029</v>
      </c>
      <c r="AB13" s="2">
        <f t="shared" si="7"/>
        <v>6363.1249251492709</v>
      </c>
      <c r="AC13" s="2">
        <f t="shared" si="8"/>
        <v>4468.2747203394038</v>
      </c>
      <c r="AD13" s="2">
        <f t="shared" si="11"/>
        <v>4785.8136250898251</v>
      </c>
      <c r="AE13" s="2">
        <f t="shared" si="15"/>
        <v>24734.060592212438</v>
      </c>
      <c r="AF13" s="159">
        <f t="shared" si="17"/>
        <v>-3.637978807091713E-12</v>
      </c>
    </row>
    <row r="14" spans="1:35" x14ac:dyDescent="0.25">
      <c r="A14" s="6">
        <f t="shared" si="12"/>
        <v>2025</v>
      </c>
      <c r="B14" s="1">
        <v>26179.003592017696</v>
      </c>
      <c r="C14" s="233">
        <v>1095.2432546869641</v>
      </c>
      <c r="D14" s="233">
        <v>0</v>
      </c>
      <c r="E14" s="234">
        <f t="shared" si="1"/>
        <v>25083.760337330732</v>
      </c>
      <c r="F14" s="2">
        <f>'Winter Peak'!F14</f>
        <v>5431123.75</v>
      </c>
      <c r="G14" s="4">
        <f t="shared" si="2"/>
        <v>4.6185212291159328</v>
      </c>
      <c r="H14" s="5">
        <f t="shared" si="10"/>
        <v>2.305378062742669E-3</v>
      </c>
      <c r="J14" s="235">
        <v>7.3389019436655989E-3</v>
      </c>
      <c r="K14" s="235">
        <v>1.4649674998104212E-2</v>
      </c>
      <c r="L14" s="235">
        <v>1.3512146360030952E-2</v>
      </c>
      <c r="M14" s="235">
        <v>7.7574051788051879E-3</v>
      </c>
      <c r="N14" s="235">
        <v>1.5633250142123467E-2</v>
      </c>
      <c r="O14" s="5"/>
      <c r="P14" s="6">
        <f t="shared" si="13"/>
        <v>2025</v>
      </c>
      <c r="Q14" s="2">
        <f t="shared" si="19"/>
        <v>5145.1733579536503</v>
      </c>
      <c r="R14" s="2">
        <f t="shared" si="18"/>
        <v>4068.7918122896258</v>
      </c>
      <c r="S14" s="2">
        <f t="shared" si="18"/>
        <v>6449.6889251169214</v>
      </c>
      <c r="T14" s="2">
        <f t="shared" si="18"/>
        <v>4503.403430709388</v>
      </c>
      <c r="U14" s="2">
        <f t="shared" si="18"/>
        <v>4861.0489575084839</v>
      </c>
      <c r="V14" s="2">
        <f t="shared" si="3"/>
        <v>25028.106483578067</v>
      </c>
      <c r="W14" s="5">
        <f t="shared" si="16"/>
        <v>-2.2187205189422299E-3</v>
      </c>
      <c r="X14" s="5"/>
      <c r="Y14" s="6">
        <f t="shared" si="14"/>
        <v>2025</v>
      </c>
      <c r="Z14" s="2">
        <f t="shared" si="5"/>
        <v>5156.6144442293362</v>
      </c>
      <c r="AA14" s="2">
        <f t="shared" si="6"/>
        <v>4077.8393982354419</v>
      </c>
      <c r="AB14" s="2">
        <f t="shared" si="7"/>
        <v>6464.0308028943773</v>
      </c>
      <c r="AC14" s="2">
        <f t="shared" si="8"/>
        <v>4513.4174425998362</v>
      </c>
      <c r="AD14" s="2">
        <f t="shared" si="11"/>
        <v>4871.8582493717431</v>
      </c>
      <c r="AE14" s="2">
        <f t="shared" si="15"/>
        <v>25083.760337330736</v>
      </c>
      <c r="AF14" s="159">
        <f t="shared" si="17"/>
        <v>3.637978807091713E-12</v>
      </c>
    </row>
    <row r="15" spans="1:35" x14ac:dyDescent="0.25">
      <c r="A15" s="6">
        <f t="shared" si="12"/>
        <v>2026</v>
      </c>
      <c r="B15" s="1">
        <v>26540.978260829848</v>
      </c>
      <c r="C15" s="233">
        <v>1117.03961468634</v>
      </c>
      <c r="D15" s="233">
        <v>0</v>
      </c>
      <c r="E15" s="234">
        <f t="shared" si="1"/>
        <v>25423.93864614351</v>
      </c>
      <c r="F15" s="2">
        <f>'Winter Peak'!F15</f>
        <v>5492698.916666667</v>
      </c>
      <c r="G15" s="4">
        <f t="shared" si="2"/>
        <v>4.6286787300499688</v>
      </c>
      <c r="H15" s="5">
        <f t="shared" si="10"/>
        <v>2.1992972274331724E-3</v>
      </c>
      <c r="J15" s="235">
        <v>6.890303526993824E-3</v>
      </c>
      <c r="K15" s="235">
        <v>1.4134101779385455E-2</v>
      </c>
      <c r="L15" s="235">
        <v>1.3078673010100461E-2</v>
      </c>
      <c r="M15" s="235">
        <v>7.3692922158445917E-3</v>
      </c>
      <c r="N15" s="235">
        <v>1.5024230568213559E-2</v>
      </c>
      <c r="O15" s="5"/>
      <c r="P15" s="6">
        <f t="shared" si="13"/>
        <v>2026</v>
      </c>
      <c r="Q15" s="2">
        <f t="shared" ref="Q15:Q19" si="20">Q14*(1+$H15+J15)</f>
        <v>5191.9409295897631</v>
      </c>
      <c r="R15" s="2">
        <f t="shared" ref="R15:R19" si="21">R14*(1+$H15+K15)</f>
        <v>4135.249012435429</v>
      </c>
      <c r="S15" s="2">
        <f t="shared" ref="S15:S19" si="22">S14*(1+$H15+L15)</f>
        <v>6548.2270805562084</v>
      </c>
      <c r="T15" s="2">
        <f t="shared" ref="T15:T19" si="23">T14*(1+$H15+M15)</f>
        <v>4546.4946492352947</v>
      </c>
      <c r="U15" s="2">
        <f t="shared" ref="U15:U19" si="24">U14*(1+$H15+N15)</f>
        <v>4944.7733693441305</v>
      </c>
      <c r="V15" s="2">
        <f t="shared" ref="V15:V19" si="25">SUM(Q15:U15)</f>
        <v>25366.685041160825</v>
      </c>
      <c r="W15" s="5">
        <f t="shared" si="16"/>
        <v>-2.2519565429870436E-3</v>
      </c>
      <c r="X15" s="5"/>
      <c r="Y15" s="6">
        <f t="shared" si="14"/>
        <v>2026</v>
      </c>
      <c r="Z15" s="2">
        <f t="shared" si="5"/>
        <v>5203.65934429763</v>
      </c>
      <c r="AA15" s="2">
        <f t="shared" si="6"/>
        <v>4144.5824319610329</v>
      </c>
      <c r="AB15" s="2">
        <f t="shared" si="7"/>
        <v>6563.0066864053269</v>
      </c>
      <c r="AC15" s="2">
        <f t="shared" si="8"/>
        <v>4556.7562663240406</v>
      </c>
      <c r="AD15" s="2">
        <f t="shared" si="11"/>
        <v>4955.9339171554802</v>
      </c>
      <c r="AE15" s="2">
        <f t="shared" si="15"/>
        <v>25423.938646143513</v>
      </c>
      <c r="AF15" s="159">
        <f t="shared" si="17"/>
        <v>3.637978807091713E-12</v>
      </c>
    </row>
    <row r="16" spans="1:35" x14ac:dyDescent="0.25">
      <c r="A16" s="6">
        <f t="shared" si="12"/>
        <v>2027</v>
      </c>
      <c r="B16" s="1">
        <v>26815.649955737725</v>
      </c>
      <c r="C16" s="233">
        <v>1139.3000447484167</v>
      </c>
      <c r="D16" s="233">
        <v>0</v>
      </c>
      <c r="E16" s="234">
        <f t="shared" si="1"/>
        <v>25676.349910989309</v>
      </c>
      <c r="F16" s="2">
        <f>'Winter Peak'!F16</f>
        <v>5555051.416666666</v>
      </c>
      <c r="G16" s="4">
        <f t="shared" si="2"/>
        <v>4.6221624221070705</v>
      </c>
      <c r="H16" s="5">
        <f t="shared" si="10"/>
        <v>-1.4078116721719658E-3</v>
      </c>
      <c r="J16" s="235">
        <v>6.8998235059674062E-3</v>
      </c>
      <c r="K16" s="235">
        <v>1.4048128499295043E-2</v>
      </c>
      <c r="L16" s="235">
        <v>1.3102380267897784E-2</v>
      </c>
      <c r="M16" s="235">
        <v>7.5596505237205402E-3</v>
      </c>
      <c r="N16" s="235">
        <v>1.4909867265161525E-2</v>
      </c>
      <c r="O16" s="5"/>
      <c r="P16" s="6">
        <f t="shared" si="13"/>
        <v>2027</v>
      </c>
      <c r="Q16" s="2">
        <f t="shared" si="20"/>
        <v>5220.4551306154372</v>
      </c>
      <c r="R16" s="2">
        <f t="shared" si="21"/>
        <v>4187.5198701116606</v>
      </c>
      <c r="S16" s="2">
        <f t="shared" si="22"/>
        <v>6624.8057713301632</v>
      </c>
      <c r="T16" s="2">
        <f t="shared" si="23"/>
        <v>4574.4639516568186</v>
      </c>
      <c r="U16" s="2">
        <f t="shared" si="24"/>
        <v>5011.5379742717496</v>
      </c>
      <c r="V16" s="2">
        <f t="shared" si="25"/>
        <v>25618.782697985829</v>
      </c>
      <c r="W16" s="5">
        <f t="shared" si="16"/>
        <v>-2.2420325787366746E-3</v>
      </c>
      <c r="X16" s="5"/>
      <c r="Y16" s="6">
        <f t="shared" si="14"/>
        <v>2027</v>
      </c>
      <c r="Z16" s="2">
        <f t="shared" si="5"/>
        <v>5232.1858617755433</v>
      </c>
      <c r="AA16" s="2">
        <f t="shared" si="6"/>
        <v>4196.9295228325127</v>
      </c>
      <c r="AB16" s="2">
        <f t="shared" si="7"/>
        <v>6639.6921775049123</v>
      </c>
      <c r="AC16" s="2">
        <f t="shared" si="8"/>
        <v>4584.7430950410389</v>
      </c>
      <c r="AD16" s="2">
        <f t="shared" si="11"/>
        <v>5022.7992538353028</v>
      </c>
      <c r="AE16" s="2">
        <f t="shared" si="15"/>
        <v>25676.349910989309</v>
      </c>
      <c r="AF16" s="159">
        <f t="shared" si="17"/>
        <v>0</v>
      </c>
    </row>
    <row r="17" spans="1:32" x14ac:dyDescent="0.25">
      <c r="A17" s="6">
        <f t="shared" si="12"/>
        <v>2028</v>
      </c>
      <c r="B17" s="1">
        <v>27184.475345984549</v>
      </c>
      <c r="C17" s="233">
        <v>1159.4341723830032</v>
      </c>
      <c r="D17" s="233">
        <v>0</v>
      </c>
      <c r="E17" s="234">
        <f t="shared" si="1"/>
        <v>26025.041173601545</v>
      </c>
      <c r="F17" s="2">
        <f>'Winter Peak'!F17</f>
        <v>5618195.916666667</v>
      </c>
      <c r="G17" s="4">
        <f t="shared" si="2"/>
        <v>4.6322772576151925</v>
      </c>
      <c r="H17" s="5">
        <f t="shared" si="10"/>
        <v>2.1883340705952659E-3</v>
      </c>
      <c r="J17" s="235">
        <v>6.9481976032019777E-3</v>
      </c>
      <c r="K17" s="235">
        <v>1.3912373029436376E-2</v>
      </c>
      <c r="L17" s="235">
        <v>1.3129477605001938E-2</v>
      </c>
      <c r="M17" s="235">
        <v>7.6955240679092984E-3</v>
      </c>
      <c r="N17" s="235">
        <v>1.4841628061383672E-2</v>
      </c>
      <c r="O17" s="5"/>
      <c r="P17" s="6">
        <f t="shared" si="13"/>
        <v>2028</v>
      </c>
      <c r="Q17" s="2">
        <f t="shared" si="20"/>
        <v>5268.1519842679427</v>
      </c>
      <c r="R17" s="2">
        <f t="shared" si="21"/>
        <v>4254.9419010158908</v>
      </c>
      <c r="S17" s="2">
        <f t="shared" si="22"/>
        <v>6726.2832985228079</v>
      </c>
      <c r="T17" s="2">
        <f t="shared" si="23"/>
        <v>4619.6773044146976</v>
      </c>
      <c r="U17" s="2">
        <f t="shared" si="24"/>
        <v>5096.8842761965716</v>
      </c>
      <c r="V17" s="2">
        <f t="shared" si="25"/>
        <v>25965.938764417911</v>
      </c>
      <c r="W17" s="5">
        <f t="shared" si="16"/>
        <v>-2.2709823507823801E-3</v>
      </c>
      <c r="X17" s="5"/>
      <c r="Y17" s="6">
        <f t="shared" si="14"/>
        <v>2028</v>
      </c>
      <c r="Z17" s="2">
        <f t="shared" si="5"/>
        <v>5280.143096048675</v>
      </c>
      <c r="AA17" s="2">
        <f t="shared" si="6"/>
        <v>4264.6267931959128</v>
      </c>
      <c r="AB17" s="2">
        <f t="shared" si="7"/>
        <v>6741.5933380095794</v>
      </c>
      <c r="AC17" s="2">
        <f t="shared" si="8"/>
        <v>4630.1923896122335</v>
      </c>
      <c r="AD17" s="2">
        <f t="shared" si="11"/>
        <v>5108.4855567351442</v>
      </c>
      <c r="AE17" s="2">
        <f t="shared" si="15"/>
        <v>26025.041173601545</v>
      </c>
      <c r="AF17" s="159">
        <f t="shared" si="17"/>
        <v>0</v>
      </c>
    </row>
    <row r="18" spans="1:32" x14ac:dyDescent="0.25">
      <c r="A18" s="6">
        <f t="shared" si="12"/>
        <v>2029</v>
      </c>
      <c r="B18" s="1">
        <v>27673.993196289735</v>
      </c>
      <c r="C18" s="233">
        <v>1179.9241176948331</v>
      </c>
      <c r="D18" s="233">
        <v>0</v>
      </c>
      <c r="E18" s="234">
        <f t="shared" si="1"/>
        <v>26494.069078594901</v>
      </c>
      <c r="F18" s="2">
        <f>'Winter Peak'!F18</f>
        <v>5681335.916666667</v>
      </c>
      <c r="G18" s="4">
        <f t="shared" si="2"/>
        <v>4.6633519769307021</v>
      </c>
      <c r="H18" s="5">
        <f t="shared" si="10"/>
        <v>6.7083029765597768E-3</v>
      </c>
      <c r="J18" s="235">
        <v>6.8499142988909245E-3</v>
      </c>
      <c r="K18" s="235">
        <v>1.3602646213568326E-2</v>
      </c>
      <c r="L18" s="235">
        <v>1.3001358572892752E-2</v>
      </c>
      <c r="M18" s="235">
        <v>7.6485371417287507E-3</v>
      </c>
      <c r="N18" s="235">
        <v>1.4699675417419122E-2</v>
      </c>
      <c r="O18" s="5"/>
      <c r="P18" s="6">
        <f t="shared" si="13"/>
        <v>2029</v>
      </c>
      <c r="Q18" s="2">
        <f t="shared" si="20"/>
        <v>5339.5787335107443</v>
      </c>
      <c r="R18" s="2">
        <f t="shared" si="21"/>
        <v>4341.3638097743715</v>
      </c>
      <c r="S18" s="2">
        <f t="shared" si="22"/>
        <v>6858.8560658224278</v>
      </c>
      <c r="T18" s="2">
        <f t="shared" si="23"/>
        <v>4686.0012728722659</v>
      </c>
      <c r="U18" s="2">
        <f t="shared" si="24"/>
        <v>5205.9982646579983</v>
      </c>
      <c r="V18" s="2">
        <f t="shared" si="25"/>
        <v>26431.798146637808</v>
      </c>
      <c r="W18" s="5">
        <f t="shared" si="16"/>
        <v>-2.3503725219544691E-3</v>
      </c>
      <c r="X18" s="5"/>
      <c r="Y18" s="6">
        <f t="shared" si="14"/>
        <v>2029</v>
      </c>
      <c r="Z18" s="2">
        <f t="shared" si="5"/>
        <v>5352.1582993105949</v>
      </c>
      <c r="AA18" s="2">
        <f t="shared" si="6"/>
        <v>4351.5916712652797</v>
      </c>
      <c r="AB18" s="2">
        <f t="shared" si="7"/>
        <v>6875.0149119595244</v>
      </c>
      <c r="AC18" s="2">
        <f t="shared" si="8"/>
        <v>4697.0410691356537</v>
      </c>
      <c r="AD18" s="2">
        <f t="shared" si="11"/>
        <v>5218.2631269238482</v>
      </c>
      <c r="AE18" s="2">
        <f t="shared" si="15"/>
        <v>26494.069078594897</v>
      </c>
      <c r="AF18" s="159">
        <f t="shared" si="17"/>
        <v>-3.637978807091713E-12</v>
      </c>
    </row>
    <row r="19" spans="1:32" ht="15.75" thickBot="1" x14ac:dyDescent="0.3">
      <c r="A19" s="6">
        <f t="shared" si="12"/>
        <v>2030</v>
      </c>
      <c r="B19" s="1">
        <v>28247.435714540828</v>
      </c>
      <c r="C19" s="233">
        <v>1200.7761688242092</v>
      </c>
      <c r="D19" s="233">
        <v>0</v>
      </c>
      <c r="E19" s="234">
        <f t="shared" si="1"/>
        <v>27046.659545716619</v>
      </c>
      <c r="F19" s="2">
        <f>'Winter Peak'!F19</f>
        <v>5744316.833333334</v>
      </c>
      <c r="G19" s="4">
        <f t="shared" si="2"/>
        <v>4.7084205712277676</v>
      </c>
      <c r="H19" s="5">
        <f>G19/G18-1</f>
        <v>9.6644204683704604E-3</v>
      </c>
      <c r="J19" s="235">
        <v>6.7039531224424298E-3</v>
      </c>
      <c r="K19" s="235">
        <v>1.3266072636651804E-2</v>
      </c>
      <c r="L19" s="235">
        <v>1.2833124742163804E-2</v>
      </c>
      <c r="M19" s="235">
        <v>7.638417161191402E-3</v>
      </c>
      <c r="N19" s="235">
        <v>1.4526111120462426E-2</v>
      </c>
      <c r="O19" s="5"/>
      <c r="P19" s="6">
        <f t="shared" si="13"/>
        <v>2030</v>
      </c>
      <c r="Q19" s="2">
        <f t="shared" si="20"/>
        <v>5426.9789530384078</v>
      </c>
      <c r="R19" s="2">
        <f t="shared" si="21"/>
        <v>4440.9134226807955</v>
      </c>
      <c r="S19" s="2">
        <f t="shared" si="22"/>
        <v>7013.1634902558153</v>
      </c>
      <c r="T19" s="2">
        <f t="shared" si="23"/>
        <v>4767.0823920286948</v>
      </c>
      <c r="U19" s="2">
        <f t="shared" si="24"/>
        <v>5331.9341301306167</v>
      </c>
      <c r="V19" s="2">
        <f t="shared" si="25"/>
        <v>26980.072388134326</v>
      </c>
      <c r="W19" s="5">
        <f t="shared" si="16"/>
        <v>-2.4619364720342984E-3</v>
      </c>
      <c r="X19" s="5"/>
      <c r="Y19" s="6">
        <f t="shared" si="14"/>
        <v>2030</v>
      </c>
      <c r="Z19" s="2">
        <f t="shared" si="5"/>
        <v>5440.3728052691631</v>
      </c>
      <c r="AA19" s="2">
        <f t="shared" si="6"/>
        <v>4451.8736527955016</v>
      </c>
      <c r="AB19" s="2">
        <f t="shared" si="7"/>
        <v>7030.4720658503502</v>
      </c>
      <c r="AC19" s="2">
        <f t="shared" si="8"/>
        <v>4778.8476112571425</v>
      </c>
      <c r="AD19" s="2">
        <f t="shared" si="11"/>
        <v>5345.0934105444667</v>
      </c>
      <c r="AE19" s="2">
        <f t="shared" si="15"/>
        <v>27046.659545716626</v>
      </c>
      <c r="AF19" s="159">
        <f t="shared" si="17"/>
        <v>7.2759576141834259E-12</v>
      </c>
    </row>
    <row r="20" spans="1:32" ht="15.75" thickBot="1" x14ac:dyDescent="0.3">
      <c r="W20" s="188" t="s">
        <v>64</v>
      </c>
      <c r="X20" s="189"/>
      <c r="Y20" s="189"/>
      <c r="Z20" s="190">
        <f>(Z19/Z9)^(1/10)-1</f>
        <v>1.0384136962729107E-2</v>
      </c>
      <c r="AA20" s="190">
        <f t="shared" ref="AA20:AE20" si="26">(AA19/AA9)^(1/10)-1</f>
        <v>1.7779318546655709E-2</v>
      </c>
      <c r="AB20" s="190">
        <f t="shared" si="26"/>
        <v>1.6077327863622815E-2</v>
      </c>
      <c r="AC20" s="190">
        <f t="shared" si="26"/>
        <v>1.049250263238366E-2</v>
      </c>
      <c r="AD20" s="190">
        <f t="shared" si="26"/>
        <v>1.9047455245057021E-2</v>
      </c>
      <c r="AE20" s="191">
        <f t="shared" si="26"/>
        <v>1.4743688773814378E-2</v>
      </c>
    </row>
    <row r="21" spans="1:32" x14ac:dyDescent="0.25">
      <c r="Q21" s="220" t="s">
        <v>49</v>
      </c>
      <c r="R21" s="220"/>
      <c r="S21" s="220"/>
      <c r="T21" s="220"/>
      <c r="U21" s="220"/>
      <c r="V21" s="220"/>
      <c r="Z21" s="220" t="s">
        <v>49</v>
      </c>
      <c r="AA21" s="220"/>
      <c r="AB21" s="220"/>
      <c r="AC21" s="220"/>
      <c r="AD21" s="220"/>
      <c r="AE21" s="220"/>
    </row>
    <row r="22" spans="1:32" x14ac:dyDescent="0.25">
      <c r="P22">
        <v>2017</v>
      </c>
      <c r="Q22" s="160">
        <f>Q6/Q5-1</f>
        <v>6.160939484690986E-2</v>
      </c>
      <c r="R22" s="160">
        <f>R6/R5-1</f>
        <v>-7.3027827838439419E-2</v>
      </c>
      <c r="S22" s="160">
        <f t="shared" ref="R22:V26" si="27">S6/S5-1</f>
        <v>-5.0256701231277567E-2</v>
      </c>
      <c r="T22" s="160">
        <f>T6/T5-1</f>
        <v>-2.9210697788209727E-2</v>
      </c>
      <c r="U22" s="5">
        <f>U6/U5-1</f>
        <v>-2.8905440263453763E-2</v>
      </c>
      <c r="V22" s="5">
        <f t="shared" si="27"/>
        <v>-2.2844694725408177E-2</v>
      </c>
      <c r="Y22">
        <v>2017</v>
      </c>
      <c r="Z22" s="5">
        <f>Z6/Z5-1</f>
        <v>6.2780453834872407E-2</v>
      </c>
      <c r="AA22" s="5">
        <f t="shared" ref="AA22:AD26" si="28">AA6/AA5-1</f>
        <v>-7.2005286874625152E-2</v>
      </c>
      <c r="AB22" s="5">
        <f t="shared" si="28"/>
        <v>-4.9209041487798366E-2</v>
      </c>
      <c r="AC22" s="5">
        <f>AC6/AC5-1</f>
        <v>-2.813982224463274E-2</v>
      </c>
      <c r="AD22" s="5">
        <f>AD6/AD5-1</f>
        <v>-2.7834227990972682E-2</v>
      </c>
      <c r="AE22" s="5">
        <f t="shared" ref="AE22" si="29">AE6/AE5-1</f>
        <v>-2.1766796857857429E-2</v>
      </c>
    </row>
    <row r="23" spans="1:32" x14ac:dyDescent="0.25">
      <c r="P23">
        <v>2018</v>
      </c>
      <c r="Q23" s="160">
        <f>Q7/Q6-1</f>
        <v>-0.12453725452573339</v>
      </c>
      <c r="R23" s="160">
        <f t="shared" si="27"/>
        <v>9.9948268143589036E-2</v>
      </c>
      <c r="S23" s="160">
        <f t="shared" si="27"/>
        <v>5.5303526386097923E-2</v>
      </c>
      <c r="T23" s="160">
        <f>T7/T6-1</f>
        <v>3.3776154961802973E-2</v>
      </c>
      <c r="U23" s="5">
        <f t="shared" si="27"/>
        <v>-9.7790840231865017E-3</v>
      </c>
      <c r="V23" s="5">
        <f t="shared" si="27"/>
        <v>5.4760715039487984E-3</v>
      </c>
      <c r="Y23">
        <v>2018</v>
      </c>
      <c r="Z23" s="5">
        <f>Z7/Z6-1</f>
        <v>-0.13395342558509882</v>
      </c>
      <c r="AA23" s="5">
        <f t="shared" si="28"/>
        <v>8.811760932591195E-2</v>
      </c>
      <c r="AB23" s="5">
        <f t="shared" si="28"/>
        <v>4.3953050794335091E-2</v>
      </c>
      <c r="AC23" s="5">
        <f>AC7/AC6-1</f>
        <v>2.2657220246950827E-2</v>
      </c>
      <c r="AD23" s="5">
        <f t="shared" ref="AD23" si="30">AD7/AD6-1</f>
        <v>-2.0429553822844504E-2</v>
      </c>
      <c r="AE23" s="5">
        <f t="shared" ref="AE23:AE29" si="31">AE7/AE6-1</f>
        <v>-5.3384774124087819E-3</v>
      </c>
    </row>
    <row r="24" spans="1:32" x14ac:dyDescent="0.25">
      <c r="C24" s="62" t="s">
        <v>6</v>
      </c>
      <c r="D24" s="62"/>
      <c r="P24">
        <v>2019</v>
      </c>
      <c r="Q24" s="5">
        <f>Q8/Q7-1</f>
        <v>0.1478002579430977</v>
      </c>
      <c r="R24" s="5">
        <f t="shared" si="27"/>
        <v>-9.4051843354745368E-2</v>
      </c>
      <c r="S24" s="5">
        <f t="shared" si="27"/>
        <v>1.0939291514700855E-2</v>
      </c>
      <c r="T24" s="5">
        <f t="shared" si="27"/>
        <v>1.4221219517374095E-4</v>
      </c>
      <c r="U24" s="5">
        <f t="shared" si="27"/>
        <v>0.39680680544260194</v>
      </c>
      <c r="V24" s="5">
        <f t="shared" si="27"/>
        <v>8.9196452829627848E-2</v>
      </c>
      <c r="Y24">
        <v>2019</v>
      </c>
      <c r="Z24" s="5">
        <f>Z8/Z7-1</f>
        <v>0.10247393324018628</v>
      </c>
      <c r="AA24" s="5">
        <f t="shared" si="28"/>
        <v>-0.1298274933669642</v>
      </c>
      <c r="AB24" s="5">
        <f t="shared" si="28"/>
        <v>-2.898243028752423E-2</v>
      </c>
      <c r="AC24" s="5">
        <f t="shared" si="28"/>
        <v>-3.9353135837143727E-2</v>
      </c>
      <c r="AD24" s="5">
        <f t="shared" si="28"/>
        <v>0.34164727888509305</v>
      </c>
      <c r="AE24" s="5">
        <f t="shared" si="31"/>
        <v>4.6184376691322804E-2</v>
      </c>
    </row>
    <row r="25" spans="1:32" x14ac:dyDescent="0.25">
      <c r="P25">
        <v>2020</v>
      </c>
      <c r="Q25" s="5">
        <f>Q9/Q8-1</f>
        <v>-3.7823786898372402E-2</v>
      </c>
      <c r="R25" s="5">
        <f t="shared" si="27"/>
        <v>6.0024665315333792E-2</v>
      </c>
      <c r="S25" s="5">
        <f t="shared" si="27"/>
        <v>1.6042788670576513E-2</v>
      </c>
      <c r="T25" s="5">
        <f t="shared" si="27"/>
        <v>2.8409443914278576E-2</v>
      </c>
      <c r="U25" s="5">
        <f t="shared" si="27"/>
        <v>-0.23928426668614233</v>
      </c>
      <c r="V25" s="5">
        <f t="shared" si="27"/>
        <v>-4.7306057867359086E-2</v>
      </c>
      <c r="Y25">
        <v>2020</v>
      </c>
      <c r="Z25" s="5">
        <f>Z9/Z8-1</f>
        <v>1.7274498885733847E-2</v>
      </c>
      <c r="AA25" s="5">
        <f t="shared" si="28"/>
        <v>0.12072616796366109</v>
      </c>
      <c r="AB25" s="5">
        <f t="shared" si="28"/>
        <v>7.4225702753008438E-2</v>
      </c>
      <c r="AC25" s="5">
        <f t="shared" si="28"/>
        <v>8.7300525061675405E-2</v>
      </c>
      <c r="AD25" s="5">
        <f t="shared" si="28"/>
        <v>-0.19572246137037752</v>
      </c>
      <c r="AE25" s="5">
        <f t="shared" si="31"/>
        <v>7.2492329137345823E-3</v>
      </c>
    </row>
    <row r="26" spans="1:32" x14ac:dyDescent="0.25">
      <c r="P26">
        <v>2021</v>
      </c>
      <c r="Q26" s="5">
        <f>Q10/Q9-1</f>
        <v>7.1496756291173913E-3</v>
      </c>
      <c r="R26" s="5">
        <f t="shared" si="27"/>
        <v>1.6510689393174571E-2</v>
      </c>
      <c r="S26" s="5">
        <f t="shared" si="27"/>
        <v>8.7376099616245373E-3</v>
      </c>
      <c r="T26" s="5">
        <f t="shared" si="27"/>
        <v>4.348006270078919E-3</v>
      </c>
      <c r="U26" s="5">
        <f t="shared" si="27"/>
        <v>1.725698398377884E-2</v>
      </c>
      <c r="V26" s="5">
        <f t="shared" si="27"/>
        <v>1.0450964642733762E-2</v>
      </c>
      <c r="Y26">
        <v>2021</v>
      </c>
      <c r="Z26" s="5">
        <f>Z10/Z9-1</f>
        <v>7.1338642792069251E-3</v>
      </c>
      <c r="AA26" s="5">
        <f t="shared" si="28"/>
        <v>1.6494731083713132E-2</v>
      </c>
      <c r="AB26" s="5">
        <f t="shared" si="28"/>
        <v>8.7217736825642156E-3</v>
      </c>
      <c r="AC26" s="5">
        <f t="shared" si="28"/>
        <v>4.3322389038737974E-3</v>
      </c>
      <c r="AD26" s="5">
        <f t="shared" si="28"/>
        <v>1.7241013958159357E-2</v>
      </c>
      <c r="AE26" s="5">
        <f t="shared" si="31"/>
        <v>1.0435101465535723E-2</v>
      </c>
    </row>
    <row r="27" spans="1:32" x14ac:dyDescent="0.25">
      <c r="P27">
        <v>2022</v>
      </c>
      <c r="Q27" s="5">
        <f t="shared" ref="Q27:V35" si="32">Q11/Q10-1</f>
        <v>1.500646531765093E-2</v>
      </c>
      <c r="R27" s="5">
        <f t="shared" si="32"/>
        <v>2.265929227040564E-2</v>
      </c>
      <c r="S27" s="5">
        <f t="shared" si="32"/>
        <v>2.0861950786146943E-2</v>
      </c>
      <c r="T27" s="5">
        <f t="shared" si="32"/>
        <v>1.4600563742680706E-2</v>
      </c>
      <c r="U27" s="5">
        <f t="shared" si="32"/>
        <v>2.5577523580420314E-2</v>
      </c>
      <c r="V27" s="5">
        <f t="shared" si="32"/>
        <v>1.9677719666180815E-2</v>
      </c>
      <c r="Y27">
        <v>2022</v>
      </c>
      <c r="Z27" s="5">
        <f t="shared" ref="Z27:AE35" si="33">Z11/Z10-1</f>
        <v>6.705939772069458E-3</v>
      </c>
      <c r="AA27" s="5">
        <f t="shared" si="33"/>
        <v>1.4296183393793127E-2</v>
      </c>
      <c r="AB27" s="5">
        <f t="shared" si="33"/>
        <v>1.2513540218770824E-2</v>
      </c>
      <c r="AC27" s="5">
        <f t="shared" si="33"/>
        <v>6.3033575812678766E-3</v>
      </c>
      <c r="AD27" s="5">
        <f t="shared" si="33"/>
        <v>1.7190549975488967E-2</v>
      </c>
      <c r="AE27" s="5">
        <f t="shared" si="31"/>
        <v>1.1338993510677353E-2</v>
      </c>
    </row>
    <row r="28" spans="1:32" x14ac:dyDescent="0.25">
      <c r="P28">
        <v>2023</v>
      </c>
      <c r="Q28" s="5">
        <f t="shared" si="32"/>
        <v>1.3059976930432704E-2</v>
      </c>
      <c r="R28" s="5">
        <f t="shared" si="32"/>
        <v>2.0628485119091655E-2</v>
      </c>
      <c r="S28" s="5">
        <f t="shared" si="32"/>
        <v>1.9351046026422347E-2</v>
      </c>
      <c r="T28" s="5">
        <f t="shared" si="32"/>
        <v>1.3042852193408505E-2</v>
      </c>
      <c r="U28" s="5">
        <f t="shared" si="32"/>
        <v>2.2424988726588824E-2</v>
      </c>
      <c r="V28" s="5">
        <f t="shared" si="32"/>
        <v>1.7686213966493058E-2</v>
      </c>
      <c r="Y28">
        <v>2023</v>
      </c>
      <c r="Z28" s="5">
        <f t="shared" si="33"/>
        <v>1.3164907445818663E-2</v>
      </c>
      <c r="AA28" s="5">
        <f t="shared" si="33"/>
        <v>2.0734199563843259E-2</v>
      </c>
      <c r="AB28" s="5">
        <f t="shared" si="33"/>
        <v>1.9456628156853562E-2</v>
      </c>
      <c r="AC28" s="5">
        <f t="shared" si="33"/>
        <v>1.3147780935051978E-2</v>
      </c>
      <c r="AD28" s="5">
        <f t="shared" si="33"/>
        <v>2.2530889249216868E-2</v>
      </c>
      <c r="AE28" s="5">
        <f t="shared" si="31"/>
        <v>1.7791623657295474E-2</v>
      </c>
    </row>
    <row r="29" spans="1:32" x14ac:dyDescent="0.25">
      <c r="D29" s="2"/>
      <c r="P29">
        <v>2024</v>
      </c>
      <c r="Q29" s="5">
        <f t="shared" si="32"/>
        <v>1.3231502534625683E-2</v>
      </c>
      <c r="R29" s="5">
        <f t="shared" si="32"/>
        <v>2.066919435467085E-2</v>
      </c>
      <c r="S29" s="5">
        <f t="shared" si="32"/>
        <v>1.947293424143659E-2</v>
      </c>
      <c r="T29" s="5">
        <f t="shared" si="32"/>
        <v>1.3518395420625051E-2</v>
      </c>
      <c r="U29" s="5">
        <f t="shared" si="32"/>
        <v>2.1892173453966102E-2</v>
      </c>
      <c r="V29" s="5">
        <f t="shared" si="32"/>
        <v>1.7757808637530959E-2</v>
      </c>
      <c r="Y29">
        <v>2024</v>
      </c>
      <c r="Z29" s="5">
        <f t="shared" si="33"/>
        <v>1.331755468484741E-2</v>
      </c>
      <c r="AA29" s="5">
        <f t="shared" si="33"/>
        <v>2.0755878176304421E-2</v>
      </c>
      <c r="AB29" s="5">
        <f t="shared" si="33"/>
        <v>1.9559516466589377E-2</v>
      </c>
      <c r="AC29" s="5">
        <f t="shared" si="33"/>
        <v>1.3604471936206286E-2</v>
      </c>
      <c r="AD29" s="5">
        <f t="shared" si="33"/>
        <v>2.197896114128195E-2</v>
      </c>
      <c r="AE29" s="5">
        <f t="shared" si="31"/>
        <v>1.7844245199776898E-2</v>
      </c>
    </row>
    <row r="30" spans="1:32" x14ac:dyDescent="0.25">
      <c r="D30" s="2"/>
      <c r="P30">
        <v>2025</v>
      </c>
      <c r="Q30" s="5">
        <f t="shared" si="32"/>
        <v>9.6442800064082679E-3</v>
      </c>
      <c r="R30" s="5">
        <f t="shared" si="32"/>
        <v>1.6955053060846881E-2</v>
      </c>
      <c r="S30" s="5">
        <f t="shared" si="32"/>
        <v>1.5817524422773621E-2</v>
      </c>
      <c r="T30" s="5">
        <f t="shared" si="32"/>
        <v>1.0062783241547857E-2</v>
      </c>
      <c r="U30" s="5">
        <f t="shared" si="32"/>
        <v>1.7938628204866136E-2</v>
      </c>
      <c r="V30" s="5">
        <f t="shared" si="32"/>
        <v>1.4098068358221916E-2</v>
      </c>
      <c r="Y30">
        <v>2025</v>
      </c>
      <c r="Z30" s="5">
        <f t="shared" si="33"/>
        <v>9.6844225554180152E-3</v>
      </c>
      <c r="AA30" s="5">
        <f t="shared" si="33"/>
        <v>1.699548627962133E-2</v>
      </c>
      <c r="AB30" s="5">
        <f t="shared" si="33"/>
        <v>1.5857912414432018E-2</v>
      </c>
      <c r="AC30" s="5">
        <f t="shared" si="33"/>
        <v>1.0102942429869977E-2</v>
      </c>
      <c r="AD30" s="5">
        <f t="shared" si="33"/>
        <v>1.7979100529704084E-2</v>
      </c>
      <c r="AE30" s="5">
        <f t="shared" si="33"/>
        <v>1.4138387985852985E-2</v>
      </c>
    </row>
    <row r="31" spans="1:32" x14ac:dyDescent="0.25">
      <c r="D31" s="2"/>
      <c r="P31">
        <v>2026</v>
      </c>
      <c r="Q31" s="5">
        <f t="shared" si="32"/>
        <v>9.0896007544269963E-3</v>
      </c>
      <c r="R31" s="5">
        <f t="shared" si="32"/>
        <v>1.6333399006818627E-2</v>
      </c>
      <c r="S31" s="5">
        <f t="shared" si="32"/>
        <v>1.5277970237533633E-2</v>
      </c>
      <c r="T31" s="5">
        <f t="shared" si="32"/>
        <v>9.5685894432777641E-3</v>
      </c>
      <c r="U31" s="5">
        <f t="shared" si="32"/>
        <v>1.7223527795646731E-2</v>
      </c>
      <c r="V31" s="5">
        <f t="shared" si="32"/>
        <v>1.3527933397794678E-2</v>
      </c>
      <c r="Y31">
        <v>2026</v>
      </c>
      <c r="Z31" s="5">
        <f t="shared" si="33"/>
        <v>9.1232145775297369E-3</v>
      </c>
      <c r="AA31" s="5">
        <f t="shared" si="33"/>
        <v>1.6367254128368147E-2</v>
      </c>
      <c r="AB31" s="5">
        <f t="shared" si="33"/>
        <v>1.5311790201654185E-2</v>
      </c>
      <c r="AC31" s="5">
        <f t="shared" si="33"/>
        <v>9.6022192219915592E-3</v>
      </c>
      <c r="AD31" s="5">
        <f t="shared" si="33"/>
        <v>1.7257412568310926E-2</v>
      </c>
      <c r="AE31" s="5">
        <f t="shared" si="33"/>
        <v>1.3561695066369728E-2</v>
      </c>
    </row>
    <row r="32" spans="1:32" x14ac:dyDescent="0.25">
      <c r="P32">
        <v>2027</v>
      </c>
      <c r="Q32" s="5">
        <f t="shared" si="32"/>
        <v>5.4920118337955515E-3</v>
      </c>
      <c r="R32" s="5">
        <f t="shared" si="32"/>
        <v>1.2640316827122966E-2</v>
      </c>
      <c r="S32" s="5">
        <f t="shared" si="32"/>
        <v>1.1694568595725929E-2</v>
      </c>
      <c r="T32" s="5">
        <f t="shared" si="32"/>
        <v>6.1518388515486855E-3</v>
      </c>
      <c r="U32" s="5">
        <f t="shared" si="32"/>
        <v>1.350205559298967E-2</v>
      </c>
      <c r="V32" s="5">
        <f t="shared" si="32"/>
        <v>9.9381395880440149E-3</v>
      </c>
      <c r="Y32">
        <v>2027</v>
      </c>
      <c r="Z32" s="5">
        <f t="shared" si="33"/>
        <v>5.4820109446966914E-3</v>
      </c>
      <c r="AA32" s="5">
        <f t="shared" si="33"/>
        <v>1.2630244839095139E-2</v>
      </c>
      <c r="AB32" s="5">
        <f t="shared" si="33"/>
        <v>1.1684506014359552E-2</v>
      </c>
      <c r="AC32" s="5">
        <f t="shared" si="33"/>
        <v>6.1418313996361995E-3</v>
      </c>
      <c r="AD32" s="5">
        <f t="shared" si="33"/>
        <v>1.3491975033880443E-2</v>
      </c>
      <c r="AE32" s="5">
        <f t="shared" si="33"/>
        <v>9.9280944765842705E-3</v>
      </c>
    </row>
    <row r="33" spans="16:31" x14ac:dyDescent="0.25">
      <c r="P33">
        <v>2028</v>
      </c>
      <c r="Q33" s="5">
        <f t="shared" si="32"/>
        <v>9.1365316737972435E-3</v>
      </c>
      <c r="R33" s="5">
        <f t="shared" si="32"/>
        <v>1.6100707100031642E-2</v>
      </c>
      <c r="S33" s="5">
        <f t="shared" si="32"/>
        <v>1.5317811675597204E-2</v>
      </c>
      <c r="T33" s="5">
        <f t="shared" si="32"/>
        <v>9.8838581385045643E-3</v>
      </c>
      <c r="U33" s="5">
        <f t="shared" si="32"/>
        <v>1.7029962131978937E-2</v>
      </c>
      <c r="V33" s="5">
        <f t="shared" si="32"/>
        <v>1.3550841604170971E-2</v>
      </c>
      <c r="Y33">
        <v>2028</v>
      </c>
      <c r="Z33" s="5">
        <f t="shared" si="33"/>
        <v>9.1658124424611742E-3</v>
      </c>
      <c r="AA33" s="5">
        <f t="shared" si="33"/>
        <v>1.6130189938884376E-2</v>
      </c>
      <c r="AB33" s="5">
        <f t="shared" si="33"/>
        <v>1.5347271798217488E-2</v>
      </c>
      <c r="AC33" s="5">
        <f t="shared" si="33"/>
        <v>9.9131605913433951E-3</v>
      </c>
      <c r="AD33" s="5">
        <f t="shared" si="33"/>
        <v>1.705947193378532E-2</v>
      </c>
      <c r="AE33" s="5">
        <f t="shared" si="33"/>
        <v>1.3580250456977749E-2</v>
      </c>
    </row>
    <row r="34" spans="16:31" x14ac:dyDescent="0.25">
      <c r="P34">
        <v>2029</v>
      </c>
      <c r="Q34" s="5">
        <f t="shared" si="32"/>
        <v>1.3558217275450701E-2</v>
      </c>
      <c r="R34" s="5">
        <f t="shared" si="32"/>
        <v>2.0310949190128103E-2</v>
      </c>
      <c r="S34" s="5">
        <f t="shared" si="32"/>
        <v>1.9709661549452528E-2</v>
      </c>
      <c r="T34" s="5">
        <f t="shared" si="32"/>
        <v>1.4356840118288527E-2</v>
      </c>
      <c r="U34" s="5">
        <f t="shared" si="32"/>
        <v>2.1407978393978899E-2</v>
      </c>
      <c r="V34" s="5">
        <f t="shared" si="32"/>
        <v>1.7941172335285582E-2</v>
      </c>
      <c r="Y34">
        <v>2029</v>
      </c>
      <c r="Z34" s="5">
        <f t="shared" si="33"/>
        <v>1.3638873407770147E-2</v>
      </c>
      <c r="AA34" s="5">
        <f t="shared" si="33"/>
        <v>2.0392142685994763E-2</v>
      </c>
      <c r="AB34" s="5">
        <f t="shared" si="33"/>
        <v>1.9790807196528037E-2</v>
      </c>
      <c r="AC34" s="5">
        <f t="shared" si="33"/>
        <v>1.4437559802783717E-2</v>
      </c>
      <c r="AD34" s="5">
        <f t="shared" si="33"/>
        <v>2.148925918836575E-2</v>
      </c>
      <c r="AE34" s="5">
        <f t="shared" si="33"/>
        <v>1.802217725092814E-2</v>
      </c>
    </row>
    <row r="35" spans="16:31" x14ac:dyDescent="0.25">
      <c r="P35">
        <v>2030</v>
      </c>
      <c r="Q35" s="5">
        <f t="shared" si="32"/>
        <v>1.636837359081289E-2</v>
      </c>
      <c r="R35" s="5">
        <f t="shared" si="32"/>
        <v>2.2930493105022265E-2</v>
      </c>
      <c r="S35" s="5">
        <f t="shared" si="32"/>
        <v>2.2497545210534264E-2</v>
      </c>
      <c r="T35" s="5">
        <f t="shared" si="32"/>
        <v>1.7302837629561862E-2</v>
      </c>
      <c r="U35" s="5">
        <f t="shared" si="32"/>
        <v>2.4190531588832886E-2</v>
      </c>
      <c r="V35" s="5">
        <f t="shared" si="32"/>
        <v>2.0742979287856622E-2</v>
      </c>
      <c r="Y35">
        <v>2030</v>
      </c>
      <c r="Z35" s="5">
        <f t="shared" si="33"/>
        <v>1.6482043509425059E-2</v>
      </c>
      <c r="AA35" s="5">
        <f t="shared" si="33"/>
        <v>2.3044896926430525E-2</v>
      </c>
      <c r="AB35" s="5">
        <f t="shared" si="33"/>
        <v>2.2611900611356983E-2</v>
      </c>
      <c r="AC35" s="5">
        <f t="shared" si="33"/>
        <v>1.7416612057970182E-2</v>
      </c>
      <c r="AD35" s="5">
        <f t="shared" si="33"/>
        <v>2.4305076332052478E-2</v>
      </c>
      <c r="AE35" s="5">
        <f t="shared" si="33"/>
        <v>2.0857138459270397E-2</v>
      </c>
    </row>
  </sheetData>
  <mergeCells count="5">
    <mergeCell ref="J3:N3"/>
    <mergeCell ref="Q3:V3"/>
    <mergeCell ref="Z3:AE3"/>
    <mergeCell ref="Q21:V21"/>
    <mergeCell ref="Z21:AE21"/>
  </mergeCells>
  <printOptions gridLines="1"/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AA47"/>
  <sheetViews>
    <sheetView zoomScale="90" zoomScaleNormal="90" workbookViewId="0">
      <pane xSplit="1" ySplit="4" topLeftCell="B35" activePane="bottomRight" state="frozen"/>
      <selection pane="topRight"/>
      <selection pane="bottomLeft"/>
      <selection pane="bottomRight" activeCell="J43" sqref="J43"/>
    </sheetView>
  </sheetViews>
  <sheetFormatPr defaultRowHeight="15" x14ac:dyDescent="0.25"/>
  <cols>
    <col min="2" max="6" width="9.5703125" bestFit="1" customWidth="1"/>
    <col min="7" max="7" width="19.7109375" bestFit="1" customWidth="1"/>
    <col min="8" max="12" width="9.5703125" bestFit="1" customWidth="1"/>
    <col min="13" max="13" width="17.140625" customWidth="1"/>
    <col min="23" max="27" width="9.5703125" bestFit="1" customWidth="1"/>
  </cols>
  <sheetData>
    <row r="1" spans="1:27" x14ac:dyDescent="0.25">
      <c r="A1" t="s">
        <v>82</v>
      </c>
    </row>
    <row r="2" spans="1:27" x14ac:dyDescent="0.25">
      <c r="A2" t="s">
        <v>81</v>
      </c>
    </row>
    <row r="3" spans="1:27" x14ac:dyDescent="0.25">
      <c r="B3" s="218" t="s">
        <v>23</v>
      </c>
      <c r="C3" s="218"/>
      <c r="D3" s="218"/>
      <c r="E3" s="218"/>
      <c r="F3" s="218"/>
      <c r="H3" s="218" t="s">
        <v>24</v>
      </c>
      <c r="I3" s="218"/>
      <c r="J3" s="218"/>
      <c r="K3" s="218"/>
      <c r="L3" s="218"/>
      <c r="N3" s="218" t="s">
        <v>25</v>
      </c>
      <c r="O3" s="218"/>
      <c r="P3" s="218"/>
      <c r="Q3" s="218"/>
      <c r="R3" s="218"/>
      <c r="W3" s="219" t="s">
        <v>53</v>
      </c>
      <c r="X3" s="218"/>
      <c r="Y3" s="218"/>
      <c r="Z3" s="218"/>
      <c r="AA3" s="218"/>
    </row>
    <row r="4" spans="1:27" x14ac:dyDescent="0.25">
      <c r="A4" s="72" t="s">
        <v>7</v>
      </c>
      <c r="B4" s="74" t="s">
        <v>18</v>
      </c>
      <c r="C4" s="15" t="s">
        <v>19</v>
      </c>
      <c r="D4" s="15" t="s">
        <v>20</v>
      </c>
      <c r="E4" s="15" t="s">
        <v>21</v>
      </c>
      <c r="F4" s="15" t="s">
        <v>22</v>
      </c>
      <c r="H4" s="74" t="s">
        <v>18</v>
      </c>
      <c r="I4" s="15" t="s">
        <v>19</v>
      </c>
      <c r="J4" s="15" t="s">
        <v>20</v>
      </c>
      <c r="K4" s="15" t="s">
        <v>21</v>
      </c>
      <c r="L4" s="15" t="s">
        <v>22</v>
      </c>
      <c r="N4" s="74" t="s">
        <v>18</v>
      </c>
      <c r="O4" s="15" t="s">
        <v>19</v>
      </c>
      <c r="P4" s="15" t="s">
        <v>20</v>
      </c>
      <c r="Q4" s="15" t="s">
        <v>21</v>
      </c>
      <c r="R4" s="15" t="s">
        <v>22</v>
      </c>
      <c r="W4" s="74" t="s">
        <v>18</v>
      </c>
      <c r="X4" s="129" t="s">
        <v>19</v>
      </c>
      <c r="Y4" s="129" t="s">
        <v>20</v>
      </c>
      <c r="Z4" s="129" t="s">
        <v>21</v>
      </c>
      <c r="AA4" s="129" t="s">
        <v>22</v>
      </c>
    </row>
    <row r="5" spans="1:27" x14ac:dyDescent="0.25">
      <c r="A5" s="73">
        <v>1988</v>
      </c>
      <c r="B5" s="1">
        <v>3354</v>
      </c>
      <c r="C5" s="1">
        <v>2612</v>
      </c>
      <c r="D5" s="1">
        <v>2431</v>
      </c>
      <c r="E5" s="1">
        <v>2080</v>
      </c>
      <c r="F5" s="1">
        <v>1905</v>
      </c>
      <c r="G5" s="1"/>
      <c r="H5" s="1">
        <v>3625</v>
      </c>
      <c r="I5" s="1">
        <v>2971</v>
      </c>
      <c r="J5" s="1">
        <v>2470</v>
      </c>
      <c r="K5" s="1">
        <v>2111</v>
      </c>
      <c r="L5" s="1">
        <v>2009</v>
      </c>
      <c r="N5" s="16">
        <f>H5/B5</f>
        <v>1.0807990459153249</v>
      </c>
      <c r="O5" s="16">
        <f t="shared" ref="O5:R20" si="0">I5/C5</f>
        <v>1.1374425727411945</v>
      </c>
      <c r="P5" s="16">
        <f t="shared" si="0"/>
        <v>1.0160427807486632</v>
      </c>
      <c r="Q5" s="16">
        <f t="shared" si="0"/>
        <v>1.0149038461538462</v>
      </c>
      <c r="R5" s="16">
        <f t="shared" si="0"/>
        <v>1.0545931758530185</v>
      </c>
      <c r="W5" s="1">
        <f>'Summer NCP-CP Ratio'!B5</f>
        <v>3354</v>
      </c>
      <c r="X5" s="1">
        <f>'Summer NCP-CP Ratio'!C5</f>
        <v>2612</v>
      </c>
      <c r="Y5" s="1">
        <f>'Summer NCP-CP Ratio'!D5</f>
        <v>2431</v>
      </c>
      <c r="Z5" s="1">
        <f>'Summer NCP-CP Ratio'!E5</f>
        <v>2080</v>
      </c>
      <c r="AA5" s="1">
        <f>'Summer NCP-CP Ratio'!F5</f>
        <v>1905</v>
      </c>
    </row>
    <row r="6" spans="1:27" x14ac:dyDescent="0.25">
      <c r="A6" s="73">
        <v>1989</v>
      </c>
      <c r="B6" s="1">
        <v>4008</v>
      </c>
      <c r="C6" s="1">
        <v>2381</v>
      </c>
      <c r="D6" s="1">
        <v>2622</v>
      </c>
      <c r="E6" s="1">
        <v>2209</v>
      </c>
      <c r="F6" s="1">
        <v>2205</v>
      </c>
      <c r="G6" s="1"/>
      <c r="H6" s="1">
        <v>4092</v>
      </c>
      <c r="I6" s="1">
        <v>2381</v>
      </c>
      <c r="J6" s="1">
        <v>2622</v>
      </c>
      <c r="K6" s="1">
        <v>2209</v>
      </c>
      <c r="L6" s="1">
        <v>2220</v>
      </c>
      <c r="N6" s="16">
        <f t="shared" ref="N6:R33" si="1">H6/B6</f>
        <v>1.0209580838323353</v>
      </c>
      <c r="O6" s="16">
        <f t="shared" si="0"/>
        <v>1</v>
      </c>
      <c r="P6" s="16">
        <f t="shared" si="0"/>
        <v>1</v>
      </c>
      <c r="Q6" s="16">
        <f t="shared" si="0"/>
        <v>1</v>
      </c>
      <c r="R6" s="16">
        <f t="shared" si="0"/>
        <v>1.0068027210884354</v>
      </c>
      <c r="W6" s="1">
        <f>'Summer NCP-CP Ratio'!B6</f>
        <v>4008</v>
      </c>
      <c r="X6" s="1">
        <f>'Summer NCP-CP Ratio'!C6</f>
        <v>2381</v>
      </c>
      <c r="Y6" s="1">
        <f>'Summer NCP-CP Ratio'!D6</f>
        <v>2622</v>
      </c>
      <c r="Z6" s="1">
        <f>'Summer NCP-CP Ratio'!E6</f>
        <v>2209</v>
      </c>
      <c r="AA6" s="1">
        <f>'Summer NCP-CP Ratio'!F6</f>
        <v>2205</v>
      </c>
    </row>
    <row r="7" spans="1:27" x14ac:dyDescent="0.25">
      <c r="A7" s="73">
        <v>1990</v>
      </c>
      <c r="B7" s="1">
        <v>4087</v>
      </c>
      <c r="C7" s="1">
        <v>2193</v>
      </c>
      <c r="D7" s="1">
        <v>2778</v>
      </c>
      <c r="E7" s="1">
        <v>2435</v>
      </c>
      <c r="F7" s="1">
        <v>2261</v>
      </c>
      <c r="G7" s="1"/>
      <c r="H7" s="1">
        <v>4135</v>
      </c>
      <c r="I7" s="1">
        <v>2340</v>
      </c>
      <c r="J7" s="1">
        <v>3270</v>
      </c>
      <c r="K7" s="1">
        <v>2614</v>
      </c>
      <c r="L7" s="1">
        <v>2326</v>
      </c>
      <c r="N7" s="16">
        <f t="shared" si="1"/>
        <v>1.0117445559089797</v>
      </c>
      <c r="O7" s="16">
        <f t="shared" si="0"/>
        <v>1.0670314637482901</v>
      </c>
      <c r="P7" s="16">
        <f t="shared" si="0"/>
        <v>1.1771058315334773</v>
      </c>
      <c r="Q7" s="16">
        <f t="shared" si="0"/>
        <v>1.0735112936344968</v>
      </c>
      <c r="R7" s="16">
        <f t="shared" si="0"/>
        <v>1.0287483414418399</v>
      </c>
      <c r="W7" s="1">
        <f>'Summer NCP-CP Ratio'!B7</f>
        <v>4087</v>
      </c>
      <c r="X7" s="1">
        <f>'Summer NCP-CP Ratio'!C7</f>
        <v>2193</v>
      </c>
      <c r="Y7" s="1">
        <f>'Summer NCP-CP Ratio'!D7</f>
        <v>2778</v>
      </c>
      <c r="Z7" s="1">
        <f>'Summer NCP-CP Ratio'!E7</f>
        <v>2435</v>
      </c>
      <c r="AA7" s="1">
        <f>'Summer NCP-CP Ratio'!F7</f>
        <v>2261</v>
      </c>
    </row>
    <row r="8" spans="1:27" x14ac:dyDescent="0.25">
      <c r="A8" s="73">
        <v>1991</v>
      </c>
      <c r="B8" s="1">
        <v>4065</v>
      </c>
      <c r="C8" s="1">
        <v>2628</v>
      </c>
      <c r="D8" s="1">
        <v>2696</v>
      </c>
      <c r="E8" s="1">
        <v>2421</v>
      </c>
      <c r="F8" s="1">
        <v>2310</v>
      </c>
      <c r="G8" s="1"/>
      <c r="H8" s="1">
        <v>4092</v>
      </c>
      <c r="I8" s="1">
        <v>2667</v>
      </c>
      <c r="J8" s="1">
        <v>2754</v>
      </c>
      <c r="K8" s="1">
        <v>2421</v>
      </c>
      <c r="L8" s="1">
        <v>2310</v>
      </c>
      <c r="N8" s="16">
        <f t="shared" si="1"/>
        <v>1.0066420664206641</v>
      </c>
      <c r="O8" s="16">
        <f t="shared" si="0"/>
        <v>1.0148401826484019</v>
      </c>
      <c r="P8" s="16">
        <f t="shared" si="0"/>
        <v>1.021513353115727</v>
      </c>
      <c r="Q8" s="16">
        <f t="shared" si="0"/>
        <v>1</v>
      </c>
      <c r="R8" s="16">
        <f t="shared" si="0"/>
        <v>1</v>
      </c>
      <c r="W8" s="1">
        <f>'Summer NCP-CP Ratio'!B8</f>
        <v>4065</v>
      </c>
      <c r="X8" s="1">
        <f>'Summer NCP-CP Ratio'!C8</f>
        <v>2628</v>
      </c>
      <c r="Y8" s="1">
        <f>'Summer NCP-CP Ratio'!D8</f>
        <v>2696</v>
      </c>
      <c r="Z8" s="1">
        <f>'Summer NCP-CP Ratio'!E8</f>
        <v>2421</v>
      </c>
      <c r="AA8" s="1">
        <f>'Summer NCP-CP Ratio'!F8</f>
        <v>2310</v>
      </c>
    </row>
    <row r="9" spans="1:27" x14ac:dyDescent="0.25">
      <c r="A9" s="73">
        <v>1992</v>
      </c>
      <c r="B9" s="1">
        <v>4043</v>
      </c>
      <c r="C9" s="1">
        <v>2809</v>
      </c>
      <c r="D9" s="1">
        <v>2812</v>
      </c>
      <c r="E9" s="1">
        <v>2553</v>
      </c>
      <c r="F9" s="1">
        <v>2445</v>
      </c>
      <c r="G9" s="1"/>
      <c r="H9" s="1">
        <v>4043</v>
      </c>
      <c r="I9" s="1">
        <v>2809</v>
      </c>
      <c r="J9" s="1">
        <v>2812</v>
      </c>
      <c r="K9" s="1">
        <v>2591</v>
      </c>
      <c r="L9" s="1">
        <v>2445</v>
      </c>
      <c r="N9" s="16">
        <f t="shared" si="1"/>
        <v>1</v>
      </c>
      <c r="O9" s="16">
        <f t="shared" si="0"/>
        <v>1</v>
      </c>
      <c r="P9" s="16">
        <f t="shared" si="0"/>
        <v>1</v>
      </c>
      <c r="Q9" s="16">
        <f t="shared" si="0"/>
        <v>1.0148844496670584</v>
      </c>
      <c r="R9" s="16">
        <f t="shared" si="0"/>
        <v>1</v>
      </c>
      <c r="W9" s="1">
        <f>'Summer NCP-CP Ratio'!B9</f>
        <v>4043</v>
      </c>
      <c r="X9" s="1">
        <f>'Summer NCP-CP Ratio'!C9</f>
        <v>2809</v>
      </c>
      <c r="Y9" s="1">
        <f>'Summer NCP-CP Ratio'!D9</f>
        <v>2812</v>
      </c>
      <c r="Z9" s="1">
        <f>'Summer NCP-CP Ratio'!E9</f>
        <v>2553</v>
      </c>
      <c r="AA9" s="1">
        <f>'Summer NCP-CP Ratio'!F9</f>
        <v>2445</v>
      </c>
    </row>
    <row r="10" spans="1:27" x14ac:dyDescent="0.25">
      <c r="A10" s="73">
        <v>1993</v>
      </c>
      <c r="B10" s="1">
        <v>4108</v>
      </c>
      <c r="C10" s="1">
        <v>2983</v>
      </c>
      <c r="D10" s="1">
        <v>2967</v>
      </c>
      <c r="E10" s="1">
        <v>2674</v>
      </c>
      <c r="F10" s="1">
        <v>2534</v>
      </c>
      <c r="G10" s="1"/>
      <c r="H10" s="1">
        <v>4195</v>
      </c>
      <c r="I10" s="1">
        <v>3009</v>
      </c>
      <c r="J10" s="1">
        <v>2967</v>
      </c>
      <c r="K10" s="1">
        <v>2685</v>
      </c>
      <c r="L10" s="1">
        <v>2566</v>
      </c>
      <c r="N10" s="16">
        <f t="shared" si="1"/>
        <v>1.0211781888997078</v>
      </c>
      <c r="O10" s="16">
        <f t="shared" si="0"/>
        <v>1.0087160576600738</v>
      </c>
      <c r="P10" s="16">
        <f t="shared" si="0"/>
        <v>1</v>
      </c>
      <c r="Q10" s="16">
        <f t="shared" si="0"/>
        <v>1.0041136873597607</v>
      </c>
      <c r="R10" s="16">
        <f t="shared" si="0"/>
        <v>1.0126282557221784</v>
      </c>
      <c r="W10" s="1">
        <f>'Summer NCP-CP Ratio'!B10</f>
        <v>4108</v>
      </c>
      <c r="X10" s="1">
        <f>'Summer NCP-CP Ratio'!C10</f>
        <v>2983</v>
      </c>
      <c r="Y10" s="1">
        <f>'Summer NCP-CP Ratio'!D10</f>
        <v>2967</v>
      </c>
      <c r="Z10" s="1">
        <f>'Summer NCP-CP Ratio'!E10</f>
        <v>2674</v>
      </c>
      <c r="AA10" s="1">
        <f>'Summer NCP-CP Ratio'!F10</f>
        <v>2534</v>
      </c>
    </row>
    <row r="11" spans="1:27" x14ac:dyDescent="0.25">
      <c r="A11" s="73">
        <v>1994</v>
      </c>
      <c r="B11" s="1">
        <v>4052</v>
      </c>
      <c r="C11" s="1">
        <v>2980</v>
      </c>
      <c r="D11" s="1">
        <v>2939</v>
      </c>
      <c r="E11" s="1">
        <v>2553</v>
      </c>
      <c r="F11" s="1">
        <v>2655</v>
      </c>
      <c r="G11" s="1"/>
      <c r="H11" s="1">
        <v>4162</v>
      </c>
      <c r="I11" s="1">
        <v>2993</v>
      </c>
      <c r="J11" s="1">
        <v>2961</v>
      </c>
      <c r="K11" s="1">
        <v>2553</v>
      </c>
      <c r="L11" s="1">
        <v>2658</v>
      </c>
      <c r="N11" s="16">
        <f t="shared" si="1"/>
        <v>1.0271470878578479</v>
      </c>
      <c r="O11" s="16">
        <f t="shared" si="0"/>
        <v>1.0043624161073825</v>
      </c>
      <c r="P11" s="16">
        <f t="shared" si="0"/>
        <v>1.0074855392990814</v>
      </c>
      <c r="Q11" s="16">
        <f t="shared" si="0"/>
        <v>1</v>
      </c>
      <c r="R11" s="16">
        <f t="shared" si="0"/>
        <v>1.0011299435028249</v>
      </c>
      <c r="W11" s="1">
        <f>'Summer NCP-CP Ratio'!B11</f>
        <v>4052</v>
      </c>
      <c r="X11" s="1">
        <f>'Summer NCP-CP Ratio'!C11</f>
        <v>2980</v>
      </c>
      <c r="Y11" s="1">
        <f>'Summer NCP-CP Ratio'!D11</f>
        <v>2939</v>
      </c>
      <c r="Z11" s="1">
        <f>'Summer NCP-CP Ratio'!E11</f>
        <v>2553</v>
      </c>
      <c r="AA11" s="1">
        <f>'Summer NCP-CP Ratio'!F11</f>
        <v>2655</v>
      </c>
    </row>
    <row r="12" spans="1:27" x14ac:dyDescent="0.25">
      <c r="A12" s="73">
        <v>1995</v>
      </c>
      <c r="B12" s="1">
        <v>4115</v>
      </c>
      <c r="C12" s="1">
        <v>3057</v>
      </c>
      <c r="D12" s="1">
        <v>3154</v>
      </c>
      <c r="E12" s="1">
        <v>2624</v>
      </c>
      <c r="F12" s="1">
        <v>2852</v>
      </c>
      <c r="G12" s="1"/>
      <c r="H12" s="1">
        <v>4352</v>
      </c>
      <c r="I12" s="1">
        <v>3144</v>
      </c>
      <c r="J12" s="1">
        <v>3248</v>
      </c>
      <c r="K12" s="1">
        <v>2791</v>
      </c>
      <c r="L12" s="1">
        <v>3439</v>
      </c>
      <c r="N12" s="16">
        <f t="shared" si="1"/>
        <v>1.0575941676792224</v>
      </c>
      <c r="O12" s="16">
        <f t="shared" si="0"/>
        <v>1.0284592737978411</v>
      </c>
      <c r="P12" s="16">
        <f t="shared" si="0"/>
        <v>1.0298034242232086</v>
      </c>
      <c r="Q12" s="16">
        <f t="shared" si="0"/>
        <v>1.0636432926829269</v>
      </c>
      <c r="R12" s="16">
        <f t="shared" si="0"/>
        <v>1.2058204768583449</v>
      </c>
      <c r="W12" s="1">
        <f>'Summer NCP-CP Ratio'!B12</f>
        <v>4115</v>
      </c>
      <c r="X12" s="1">
        <f>'Summer NCP-CP Ratio'!C12</f>
        <v>3057</v>
      </c>
      <c r="Y12" s="1">
        <f>'Summer NCP-CP Ratio'!D12</f>
        <v>3154</v>
      </c>
      <c r="Z12" s="1">
        <f>'Summer NCP-CP Ratio'!E12</f>
        <v>2624</v>
      </c>
      <c r="AA12" s="1">
        <f>'Summer NCP-CP Ratio'!F12</f>
        <v>2852</v>
      </c>
    </row>
    <row r="13" spans="1:27" x14ac:dyDescent="0.25">
      <c r="A13" s="73">
        <v>1996</v>
      </c>
      <c r="B13" s="1">
        <v>4373</v>
      </c>
      <c r="C13" s="1">
        <v>3222</v>
      </c>
      <c r="D13" s="1">
        <v>3364</v>
      </c>
      <c r="E13" s="1">
        <v>2349</v>
      </c>
      <c r="F13" s="1">
        <v>2756</v>
      </c>
      <c r="G13" s="1"/>
      <c r="H13" s="1">
        <v>4373</v>
      </c>
      <c r="I13" s="1">
        <v>3222</v>
      </c>
      <c r="J13" s="1">
        <v>3364</v>
      </c>
      <c r="K13" s="1">
        <v>2738</v>
      </c>
      <c r="L13" s="1">
        <v>2807</v>
      </c>
      <c r="N13" s="16">
        <f t="shared" si="1"/>
        <v>1</v>
      </c>
      <c r="O13" s="16">
        <f t="shared" si="0"/>
        <v>1</v>
      </c>
      <c r="P13" s="16">
        <f t="shared" si="0"/>
        <v>1</v>
      </c>
      <c r="Q13" s="16">
        <f t="shared" si="0"/>
        <v>1.1656023839931886</v>
      </c>
      <c r="R13" s="16">
        <f t="shared" si="0"/>
        <v>1.0185050798258346</v>
      </c>
      <c r="W13" s="1">
        <f>'Summer NCP-CP Ratio'!B13</f>
        <v>4373</v>
      </c>
      <c r="X13" s="1">
        <f>'Summer NCP-CP Ratio'!C13</f>
        <v>3222</v>
      </c>
      <c r="Y13" s="1">
        <f>'Summer NCP-CP Ratio'!D13</f>
        <v>3364</v>
      </c>
      <c r="Z13" s="1">
        <f>'Summer NCP-CP Ratio'!E13</f>
        <v>2349</v>
      </c>
      <c r="AA13" s="1">
        <f>'Summer NCP-CP Ratio'!F13</f>
        <v>2756</v>
      </c>
    </row>
    <row r="14" spans="1:27" x14ac:dyDescent="0.25">
      <c r="A14" s="73">
        <v>1997</v>
      </c>
      <c r="B14" s="1">
        <v>4596.1461506049482</v>
      </c>
      <c r="C14" s="1">
        <v>3308.9850117377955</v>
      </c>
      <c r="D14" s="1">
        <v>3005.7114308071991</v>
      </c>
      <c r="E14" s="1">
        <v>2711.4459760428581</v>
      </c>
      <c r="F14" s="1">
        <v>2990.6978871967735</v>
      </c>
      <c r="G14" s="1"/>
      <c r="H14" s="1">
        <v>4596.1461506049482</v>
      </c>
      <c r="I14" s="1">
        <v>3372.1735929866827</v>
      </c>
      <c r="J14" s="1">
        <v>3398.4076825269358</v>
      </c>
      <c r="K14" s="1">
        <v>2711.4459760428581</v>
      </c>
      <c r="L14" s="1">
        <v>3167.7663119855451</v>
      </c>
      <c r="N14" s="16">
        <f t="shared" si="1"/>
        <v>1</v>
      </c>
      <c r="O14" s="16">
        <f t="shared" si="0"/>
        <v>1.0190960614885658</v>
      </c>
      <c r="P14" s="16">
        <f t="shared" si="0"/>
        <v>1.1306500177278416</v>
      </c>
      <c r="Q14" s="16">
        <f t="shared" si="0"/>
        <v>1</v>
      </c>
      <c r="R14" s="16">
        <f t="shared" si="0"/>
        <v>1.0592063897683561</v>
      </c>
      <c r="W14" s="1">
        <f>'Summer NCP-CP Ratio'!B14</f>
        <v>4596.1461506049482</v>
      </c>
      <c r="X14" s="1">
        <f>'Summer NCP-CP Ratio'!C14</f>
        <v>3308.9850117377955</v>
      </c>
      <c r="Y14" s="1">
        <f>'Summer NCP-CP Ratio'!D14</f>
        <v>3005.7114308071991</v>
      </c>
      <c r="Z14" s="1">
        <f>'Summer NCP-CP Ratio'!E14</f>
        <v>2711.4459760428581</v>
      </c>
      <c r="AA14" s="1">
        <f>'Summer NCP-CP Ratio'!F14</f>
        <v>2990.6978871967735</v>
      </c>
    </row>
    <row r="15" spans="1:27" x14ac:dyDescent="0.25">
      <c r="A15" s="73">
        <v>1998</v>
      </c>
      <c r="B15" s="1">
        <v>4680.9628588636824</v>
      </c>
      <c r="C15" s="1">
        <v>3211.0903433045573</v>
      </c>
      <c r="D15" s="1">
        <v>3857.013250351335</v>
      </c>
      <c r="E15" s="1">
        <v>2936.2425215820117</v>
      </c>
      <c r="F15" s="1">
        <v>3211.691025898414</v>
      </c>
      <c r="G15" s="1"/>
      <c r="H15" s="1">
        <v>4780.6419059091213</v>
      </c>
      <c r="I15" s="1">
        <v>3590.3924914675767</v>
      </c>
      <c r="J15" s="1">
        <v>3857.013250351335</v>
      </c>
      <c r="K15" s="1">
        <v>3161.8183095763902</v>
      </c>
      <c r="L15" s="1">
        <v>3372.7576791808874</v>
      </c>
      <c r="N15" s="16">
        <f t="shared" si="1"/>
        <v>1.0212945605532184</v>
      </c>
      <c r="O15" s="16">
        <f t="shared" si="0"/>
        <v>1.1181225402000607</v>
      </c>
      <c r="P15" s="16">
        <f t="shared" si="0"/>
        <v>1</v>
      </c>
      <c r="Q15" s="16">
        <f t="shared" si="0"/>
        <v>1.076824644536801</v>
      </c>
      <c r="R15" s="16">
        <f t="shared" si="0"/>
        <v>1.0501501084580258</v>
      </c>
      <c r="W15" s="1">
        <f>'Summer NCP-CP Ratio'!B15</f>
        <v>4680.9628588636824</v>
      </c>
      <c r="X15" s="1">
        <f>'Summer NCP-CP Ratio'!C15</f>
        <v>3211.0903433045573</v>
      </c>
      <c r="Y15" s="1">
        <f>'Summer NCP-CP Ratio'!D15</f>
        <v>3857.013250351335</v>
      </c>
      <c r="Z15" s="1">
        <f>'Summer NCP-CP Ratio'!E15</f>
        <v>2936.2425215820117</v>
      </c>
      <c r="AA15" s="1">
        <f>'Summer NCP-CP Ratio'!F15</f>
        <v>3211.691025898414</v>
      </c>
    </row>
    <row r="16" spans="1:27" x14ac:dyDescent="0.25">
      <c r="A16" s="73">
        <v>1999</v>
      </c>
      <c r="B16" s="1">
        <v>4650.7161881817574</v>
      </c>
      <c r="C16" s="1">
        <v>3510.2128755939234</v>
      </c>
      <c r="D16" s="1">
        <v>3472.3156661982198</v>
      </c>
      <c r="E16" s="1">
        <v>2593.3433045573179</v>
      </c>
      <c r="F16" s="1">
        <v>3388.4119654687815</v>
      </c>
      <c r="G16" s="1"/>
      <c r="H16" s="1">
        <v>4781.4048718463491</v>
      </c>
      <c r="I16" s="1">
        <v>3593.4321756006157</v>
      </c>
      <c r="J16" s="1">
        <v>3604.3024158468847</v>
      </c>
      <c r="K16" s="1">
        <v>2765.5410560128489</v>
      </c>
      <c r="L16" s="1">
        <v>3388.4119654687815</v>
      </c>
      <c r="N16" s="16">
        <f t="shared" si="1"/>
        <v>1.0281007652104623</v>
      </c>
      <c r="O16" s="16">
        <f t="shared" si="0"/>
        <v>1.0237077644450869</v>
      </c>
      <c r="P16" s="16">
        <f t="shared" si="0"/>
        <v>1.0380111609475802</v>
      </c>
      <c r="Q16" s="16">
        <f t="shared" si="0"/>
        <v>1.0663999059256541</v>
      </c>
      <c r="R16" s="16">
        <f t="shared" si="0"/>
        <v>1</v>
      </c>
      <c r="W16" s="1">
        <f>'Summer NCP-CP Ratio'!B16</f>
        <v>4650.7161881817574</v>
      </c>
      <c r="X16" s="1">
        <f>'Summer NCP-CP Ratio'!C16</f>
        <v>3510.2128755939234</v>
      </c>
      <c r="Y16" s="1">
        <f>'Summer NCP-CP Ratio'!D16</f>
        <v>3472.3156661982198</v>
      </c>
      <c r="Z16" s="1">
        <f>'Summer NCP-CP Ratio'!E16</f>
        <v>2593.3433045573179</v>
      </c>
      <c r="AA16" s="1">
        <f>'Summer NCP-CP Ratio'!F16</f>
        <v>3388.4119654687815</v>
      </c>
    </row>
    <row r="17" spans="1:27" x14ac:dyDescent="0.25">
      <c r="A17" s="73">
        <v>2000</v>
      </c>
      <c r="B17" s="1">
        <v>4675.9353543465168</v>
      </c>
      <c r="C17" s="1">
        <v>3719.1031921300942</v>
      </c>
      <c r="D17" s="1">
        <v>3744.2284681790807</v>
      </c>
      <c r="E17" s="1">
        <v>2603.6059024292313</v>
      </c>
      <c r="F17" s="1">
        <v>3065.1270829150772</v>
      </c>
      <c r="G17" s="1"/>
      <c r="H17" s="1">
        <v>4706.0467777554704</v>
      </c>
      <c r="I17" s="1">
        <v>3762.4773472528941</v>
      </c>
      <c r="J17" s="1">
        <v>3744.2284681790807</v>
      </c>
      <c r="K17" s="1">
        <v>2869.4589439871511</v>
      </c>
      <c r="L17" s="1">
        <v>3443.3507327845814</v>
      </c>
      <c r="N17" s="16">
        <f t="shared" si="1"/>
        <v>1.00643965776408</v>
      </c>
      <c r="O17" s="16">
        <f t="shared" si="0"/>
        <v>1.0116625306914266</v>
      </c>
      <c r="P17" s="16">
        <f t="shared" si="0"/>
        <v>1</v>
      </c>
      <c r="Q17" s="16">
        <f t="shared" si="0"/>
        <v>1.1021095555628724</v>
      </c>
      <c r="R17" s="16">
        <f t="shared" si="0"/>
        <v>1.1233957482473438</v>
      </c>
      <c r="W17" s="1">
        <f>'Summer NCP-CP Ratio'!B17</f>
        <v>4675.9353543465168</v>
      </c>
      <c r="X17" s="1">
        <f>'Summer NCP-CP Ratio'!C17</f>
        <v>3719.1031921300942</v>
      </c>
      <c r="Y17" s="1">
        <f>'Summer NCP-CP Ratio'!D17</f>
        <v>3744.2284681790807</v>
      </c>
      <c r="Z17" s="1">
        <f>'Summer NCP-CP Ratio'!E17</f>
        <v>2603.6059024292313</v>
      </c>
      <c r="AA17" s="1">
        <f>'Summer NCP-CP Ratio'!F17</f>
        <v>3065.1270829150772</v>
      </c>
    </row>
    <row r="18" spans="1:27" x14ac:dyDescent="0.25">
      <c r="A18" s="73">
        <v>2001</v>
      </c>
      <c r="B18" s="1">
        <v>4825.1426085792682</v>
      </c>
      <c r="C18" s="1">
        <v>4144.2837448972759</v>
      </c>
      <c r="D18" s="1">
        <v>4031.7527270293781</v>
      </c>
      <c r="E18" s="1">
        <v>2387.1913270427626</v>
      </c>
      <c r="F18" s="1">
        <v>3365.6295924513151</v>
      </c>
      <c r="G18" s="1"/>
      <c r="H18" s="1">
        <v>4946.0742822726361</v>
      </c>
      <c r="I18" s="1">
        <v>4164.7095630060894</v>
      </c>
      <c r="J18" s="1">
        <v>4052.1351803520042</v>
      </c>
      <c r="K18" s="1">
        <v>2915.518972093957</v>
      </c>
      <c r="L18" s="1">
        <v>3498.6227665127485</v>
      </c>
      <c r="N18" s="16">
        <f t="shared" si="1"/>
        <v>1.0250628185534552</v>
      </c>
      <c r="O18" s="16">
        <f t="shared" si="0"/>
        <v>1.004928672688969</v>
      </c>
      <c r="P18" s="16">
        <f t="shared" si="0"/>
        <v>1.0050554819957036</v>
      </c>
      <c r="Q18" s="16">
        <f t="shared" si="0"/>
        <v>1.2213176795115468</v>
      </c>
      <c r="R18" s="16">
        <f t="shared" si="0"/>
        <v>1.0395150952914487</v>
      </c>
      <c r="W18" s="1">
        <f>'Summer NCP-CP Ratio'!B18</f>
        <v>4825.1426085792682</v>
      </c>
      <c r="X18" s="1">
        <f>'Summer NCP-CP Ratio'!C18</f>
        <v>4144.2837448972759</v>
      </c>
      <c r="Y18" s="1">
        <f>'Summer NCP-CP Ratio'!D18</f>
        <v>4031.7527270293781</v>
      </c>
      <c r="Z18" s="1">
        <f>'Summer NCP-CP Ratio'!E18</f>
        <v>2387.1913270427626</v>
      </c>
      <c r="AA18" s="1">
        <f>'Summer NCP-CP Ratio'!F18</f>
        <v>3365.6295924513151</v>
      </c>
    </row>
    <row r="19" spans="1:27" x14ac:dyDescent="0.25">
      <c r="A19" s="73">
        <v>2002</v>
      </c>
      <c r="B19" s="1">
        <v>4962.5724419460621</v>
      </c>
      <c r="C19" s="1">
        <v>3985.5355015726427</v>
      </c>
      <c r="D19" s="1">
        <v>4207.4696513417657</v>
      </c>
      <c r="E19" s="1">
        <v>2586.3738205179684</v>
      </c>
      <c r="F19" s="1">
        <v>3477.048584621562</v>
      </c>
      <c r="G19" s="1"/>
      <c r="H19" s="1">
        <v>5324.1071404671084</v>
      </c>
      <c r="I19" s="1">
        <v>4350.5411898547818</v>
      </c>
      <c r="J19" s="1">
        <v>4500.3149300675905</v>
      </c>
      <c r="K19" s="1">
        <v>3787.0977795623371</v>
      </c>
      <c r="L19" s="1">
        <v>3697.2142140132505</v>
      </c>
      <c r="N19" s="16">
        <f t="shared" si="1"/>
        <v>1.0728522762640562</v>
      </c>
      <c r="O19" s="16">
        <f t="shared" si="0"/>
        <v>1.0915825961500312</v>
      </c>
      <c r="P19" s="16">
        <f t="shared" si="0"/>
        <v>1.0696012812908671</v>
      </c>
      <c r="Q19" s="117">
        <f t="shared" si="0"/>
        <v>1.4642499663114832</v>
      </c>
      <c r="R19" s="16">
        <f t="shared" si="0"/>
        <v>1.06331968738241</v>
      </c>
      <c r="W19" s="1">
        <f>'Summer NCP-CP Ratio'!B19</f>
        <v>4962.5724419460621</v>
      </c>
      <c r="X19" s="1">
        <f>'Summer NCP-CP Ratio'!C19</f>
        <v>3985.5355015726427</v>
      </c>
      <c r="Y19" s="1">
        <f>'Summer NCP-CP Ratio'!D19</f>
        <v>4207.4696513417657</v>
      </c>
      <c r="Z19" s="1">
        <f>'Summer NCP-CP Ratio'!E19</f>
        <v>2586.3738205179684</v>
      </c>
      <c r="AA19" s="1">
        <f>'Summer NCP-CP Ratio'!F19</f>
        <v>3477.048584621562</v>
      </c>
    </row>
    <row r="20" spans="1:27" x14ac:dyDescent="0.25">
      <c r="A20" s="73">
        <v>2003</v>
      </c>
      <c r="B20" s="1">
        <v>5080.0410347590887</v>
      </c>
      <c r="C20" s="1">
        <v>3794.7055294288307</v>
      </c>
      <c r="D20" s="1">
        <v>4226.4695259967966</v>
      </c>
      <c r="E20" s="1">
        <v>3080.2483849733167</v>
      </c>
      <c r="F20" s="1">
        <v>3486.5355248419646</v>
      </c>
      <c r="G20" s="1"/>
      <c r="H20" s="1">
        <v>5390.3889507859849</v>
      </c>
      <c r="I20" s="1">
        <v>3803.5684525165857</v>
      </c>
      <c r="J20" s="1">
        <v>4542.4709957621117</v>
      </c>
      <c r="K20" s="1">
        <v>3278.9814097512922</v>
      </c>
      <c r="L20" s="1">
        <v>3605.6805766177358</v>
      </c>
      <c r="N20" s="16">
        <f t="shared" si="1"/>
        <v>1.0610916159738488</v>
      </c>
      <c r="O20" s="16">
        <f t="shared" si="0"/>
        <v>1.0023356023330456</v>
      </c>
      <c r="P20" s="16">
        <f t="shared" si="0"/>
        <v>1.0747672419785843</v>
      </c>
      <c r="Q20" s="16">
        <f t="shared" si="0"/>
        <v>1.0645185062826343</v>
      </c>
      <c r="R20" s="16">
        <f t="shared" si="0"/>
        <v>1.0341729062924641</v>
      </c>
      <c r="W20" s="1">
        <f>'Summer NCP-CP Ratio'!B20</f>
        <v>5080.0410347590887</v>
      </c>
      <c r="X20" s="1">
        <f>'Summer NCP-CP Ratio'!C20</f>
        <v>3794.7055294288307</v>
      </c>
      <c r="Y20" s="1">
        <f>'Summer NCP-CP Ratio'!D20</f>
        <v>4226.4695259967966</v>
      </c>
      <c r="Z20" s="1">
        <f>'Summer NCP-CP Ratio'!E20</f>
        <v>3080.2483849733167</v>
      </c>
      <c r="AA20" s="1">
        <f>'Summer NCP-CP Ratio'!F20</f>
        <v>3486.5355248419646</v>
      </c>
    </row>
    <row r="21" spans="1:27" x14ac:dyDescent="0.25">
      <c r="A21" s="73">
        <v>2004</v>
      </c>
      <c r="B21" s="1">
        <v>4755.47</v>
      </c>
      <c r="C21" s="1">
        <v>4332.3</v>
      </c>
      <c r="D21" s="1">
        <v>4449.37</v>
      </c>
      <c r="E21" s="1">
        <v>3315.65</v>
      </c>
      <c r="F21" s="1">
        <v>3689.9</v>
      </c>
      <c r="G21" s="1"/>
      <c r="H21" s="1">
        <v>5066.25</v>
      </c>
      <c r="I21" s="1">
        <v>4468.8500000000004</v>
      </c>
      <c r="J21" s="1">
        <v>4527.55</v>
      </c>
      <c r="K21" s="1">
        <v>3315.65</v>
      </c>
      <c r="L21" s="1">
        <v>3832.81</v>
      </c>
      <c r="N21" s="16">
        <f t="shared" si="1"/>
        <v>1.0653521103066572</v>
      </c>
      <c r="O21" s="16">
        <f t="shared" si="1"/>
        <v>1.0315190545437758</v>
      </c>
      <c r="P21" s="16">
        <f t="shared" si="1"/>
        <v>1.0175710269094278</v>
      </c>
      <c r="Q21" s="16">
        <f t="shared" si="1"/>
        <v>1</v>
      </c>
      <c r="R21" s="16">
        <f t="shared" si="1"/>
        <v>1.0387300468847394</v>
      </c>
      <c r="W21" s="1">
        <f>'Summer NCP-CP Ratio'!B21</f>
        <v>4755.47</v>
      </c>
      <c r="X21" s="1">
        <f>'Summer NCP-CP Ratio'!C21</f>
        <v>4332.3</v>
      </c>
      <c r="Y21" s="1">
        <f>'Summer NCP-CP Ratio'!D21</f>
        <v>4449.37</v>
      </c>
      <c r="Z21" s="1">
        <f>'Summer NCP-CP Ratio'!E21</f>
        <v>3315.65</v>
      </c>
      <c r="AA21" s="1">
        <f>'Summer NCP-CP Ratio'!F21</f>
        <v>3689.9</v>
      </c>
    </row>
    <row r="22" spans="1:27" x14ac:dyDescent="0.25">
      <c r="A22" s="73">
        <v>2005</v>
      </c>
      <c r="B22" s="1">
        <v>5579.6</v>
      </c>
      <c r="C22" s="1">
        <v>4388.76</v>
      </c>
      <c r="D22" s="1">
        <v>4759.92</v>
      </c>
      <c r="E22" s="1">
        <v>3622.34</v>
      </c>
      <c r="F22" s="1">
        <v>4053.01</v>
      </c>
      <c r="G22" s="1"/>
      <c r="H22" s="1">
        <v>5579.6</v>
      </c>
      <c r="I22" s="1">
        <v>4401.8900000000003</v>
      </c>
      <c r="J22" s="1">
        <v>4811.2299999999996</v>
      </c>
      <c r="K22" s="1">
        <v>3622.34</v>
      </c>
      <c r="L22" s="1">
        <v>4146.95</v>
      </c>
      <c r="N22" s="16">
        <f t="shared" si="1"/>
        <v>1</v>
      </c>
      <c r="O22" s="16">
        <f t="shared" si="1"/>
        <v>1.0029917334281209</v>
      </c>
      <c r="P22" s="16">
        <f t="shared" si="1"/>
        <v>1.0107795929343348</v>
      </c>
      <c r="Q22" s="16">
        <f t="shared" si="1"/>
        <v>1</v>
      </c>
      <c r="R22" s="16">
        <f t="shared" si="1"/>
        <v>1.0231778357319621</v>
      </c>
      <c r="W22" s="1">
        <f>'Summer NCP-CP Ratio'!B22</f>
        <v>5579.6</v>
      </c>
      <c r="X22" s="1">
        <f>'Summer NCP-CP Ratio'!C22</f>
        <v>4388.76</v>
      </c>
      <c r="Y22" s="1">
        <f>'Summer NCP-CP Ratio'!D22</f>
        <v>4759.92</v>
      </c>
      <c r="Z22" s="1">
        <f>'Summer NCP-CP Ratio'!E22</f>
        <v>3622.34</v>
      </c>
      <c r="AA22" s="1">
        <f>'Summer NCP-CP Ratio'!F22</f>
        <v>4053.01</v>
      </c>
    </row>
    <row r="23" spans="1:27" x14ac:dyDescent="0.25">
      <c r="A23" s="73">
        <v>2006</v>
      </c>
      <c r="B23" s="1">
        <v>5331.47</v>
      </c>
      <c r="C23" s="1">
        <v>4160.93</v>
      </c>
      <c r="D23" s="1">
        <v>4703.2299999999996</v>
      </c>
      <c r="E23" s="1">
        <v>3515.91</v>
      </c>
      <c r="F23" s="1">
        <v>4091.41</v>
      </c>
      <c r="G23" s="1"/>
      <c r="H23" s="1">
        <v>5331.47</v>
      </c>
      <c r="I23" s="1">
        <v>4468.7</v>
      </c>
      <c r="J23" s="1">
        <v>4753.3599999999997</v>
      </c>
      <c r="K23" s="1">
        <v>3682.33</v>
      </c>
      <c r="L23" s="1">
        <v>4091.41</v>
      </c>
      <c r="N23" s="16">
        <f t="shared" si="1"/>
        <v>1</v>
      </c>
      <c r="O23" s="16">
        <f t="shared" si="1"/>
        <v>1.073966637266188</v>
      </c>
      <c r="P23" s="16">
        <f t="shared" si="1"/>
        <v>1.0106586324717268</v>
      </c>
      <c r="Q23" s="16">
        <f t="shared" si="1"/>
        <v>1.0473334072828941</v>
      </c>
      <c r="R23" s="16">
        <f t="shared" si="1"/>
        <v>1</v>
      </c>
      <c r="W23" s="1">
        <f>'Summer NCP-CP Ratio'!B23</f>
        <v>5331.47</v>
      </c>
      <c r="X23" s="1">
        <f>'Summer NCP-CP Ratio'!C23</f>
        <v>4160.93</v>
      </c>
      <c r="Y23" s="1">
        <f>'Summer NCP-CP Ratio'!D23</f>
        <v>4703.2299999999996</v>
      </c>
      <c r="Z23" s="1">
        <f>'Summer NCP-CP Ratio'!E23</f>
        <v>3515.91</v>
      </c>
      <c r="AA23" s="1">
        <f>'Summer NCP-CP Ratio'!F23</f>
        <v>4091.41</v>
      </c>
    </row>
    <row r="24" spans="1:27" x14ac:dyDescent="0.25">
      <c r="A24" s="73">
        <v>2007</v>
      </c>
      <c r="B24" s="1">
        <v>5463.19</v>
      </c>
      <c r="C24" s="1">
        <v>4155.07</v>
      </c>
      <c r="D24" s="1">
        <v>4548.46</v>
      </c>
      <c r="E24" s="1">
        <v>3747.87</v>
      </c>
      <c r="F24" s="1">
        <v>4240.33</v>
      </c>
      <c r="G24" s="1"/>
      <c r="H24" s="1">
        <v>5492.87</v>
      </c>
      <c r="I24" s="1">
        <v>4197.57</v>
      </c>
      <c r="J24" s="1">
        <v>4710.93</v>
      </c>
      <c r="K24" s="1">
        <v>3747.87</v>
      </c>
      <c r="L24" s="1">
        <v>4255.8599999999997</v>
      </c>
      <c r="N24" s="16">
        <f t="shared" si="1"/>
        <v>1.0054327233722422</v>
      </c>
      <c r="O24" s="16">
        <f t="shared" si="1"/>
        <v>1.0102284678717808</v>
      </c>
      <c r="P24" s="16">
        <f t="shared" si="1"/>
        <v>1.0357197820800887</v>
      </c>
      <c r="Q24" s="16">
        <f t="shared" si="1"/>
        <v>1</v>
      </c>
      <c r="R24" s="16">
        <f t="shared" si="1"/>
        <v>1.0036624507998197</v>
      </c>
      <c r="W24" s="1">
        <f>'Summer NCP-CP Ratio'!B24</f>
        <v>5463.19</v>
      </c>
      <c r="X24" s="1">
        <f>'Summer NCP-CP Ratio'!C24</f>
        <v>4155.07</v>
      </c>
      <c r="Y24" s="1">
        <f>'Summer NCP-CP Ratio'!D24</f>
        <v>4548.46</v>
      </c>
      <c r="Z24" s="1">
        <f>'Summer NCP-CP Ratio'!E24</f>
        <v>3747.87</v>
      </c>
      <c r="AA24" s="1">
        <f>'Summer NCP-CP Ratio'!F24</f>
        <v>4240.33</v>
      </c>
    </row>
    <row r="25" spans="1:27" x14ac:dyDescent="0.25">
      <c r="A25" s="73">
        <v>2008</v>
      </c>
      <c r="B25" s="1">
        <v>5321.46</v>
      </c>
      <c r="C25" s="1">
        <v>3808.43</v>
      </c>
      <c r="D25" s="1">
        <v>4558.2</v>
      </c>
      <c r="E25" s="1">
        <v>3551.63</v>
      </c>
      <c r="F25" s="1">
        <v>3995.91</v>
      </c>
      <c r="G25" s="1"/>
      <c r="H25" s="1">
        <v>5329.54</v>
      </c>
      <c r="I25" s="1">
        <v>4084.79</v>
      </c>
      <c r="J25" s="1">
        <v>4558.2</v>
      </c>
      <c r="K25" s="1">
        <v>3551.63</v>
      </c>
      <c r="L25" s="1">
        <v>4038.31</v>
      </c>
      <c r="N25" s="16">
        <f t="shared" si="1"/>
        <v>1.0015183802941299</v>
      </c>
      <c r="O25" s="16">
        <f t="shared" si="1"/>
        <v>1.0725653353219042</v>
      </c>
      <c r="P25" s="16">
        <f t="shared" si="1"/>
        <v>1</v>
      </c>
      <c r="Q25" s="16">
        <f t="shared" si="1"/>
        <v>1</v>
      </c>
      <c r="R25" s="16">
        <f t="shared" si="1"/>
        <v>1.0106108495937096</v>
      </c>
      <c r="W25" s="1">
        <f>'Summer NCP-CP Ratio'!B25</f>
        <v>5321.46</v>
      </c>
      <c r="X25" s="1">
        <f>'Summer NCP-CP Ratio'!C25</f>
        <v>3808.43</v>
      </c>
      <c r="Y25" s="1">
        <f>'Summer NCP-CP Ratio'!D25</f>
        <v>4558.2</v>
      </c>
      <c r="Z25" s="1">
        <f>'Summer NCP-CP Ratio'!E25</f>
        <v>3551.63</v>
      </c>
      <c r="AA25" s="1">
        <f>'Summer NCP-CP Ratio'!F25</f>
        <v>3995.91</v>
      </c>
    </row>
    <row r="26" spans="1:27" x14ac:dyDescent="0.25">
      <c r="A26" s="73">
        <v>2009</v>
      </c>
      <c r="B26" s="1">
        <v>5535.61</v>
      </c>
      <c r="C26" s="1">
        <v>4449.66</v>
      </c>
      <c r="D26" s="1">
        <v>4789.79</v>
      </c>
      <c r="E26" s="1">
        <v>3701.93</v>
      </c>
      <c r="F26" s="1">
        <v>4139.47</v>
      </c>
      <c r="G26" s="1"/>
      <c r="H26" s="1">
        <v>5535.61</v>
      </c>
      <c r="I26" s="1">
        <v>4449.66</v>
      </c>
      <c r="J26" s="1">
        <v>4789.79</v>
      </c>
      <c r="K26" s="1">
        <v>3701.93</v>
      </c>
      <c r="L26" s="1">
        <v>4139.47</v>
      </c>
      <c r="N26" s="16">
        <f t="shared" si="1"/>
        <v>1</v>
      </c>
      <c r="O26" s="16">
        <f t="shared" si="1"/>
        <v>1</v>
      </c>
      <c r="P26" s="16">
        <f t="shared" si="1"/>
        <v>1</v>
      </c>
      <c r="Q26" s="16">
        <f t="shared" si="1"/>
        <v>1</v>
      </c>
      <c r="R26" s="16">
        <f t="shared" si="1"/>
        <v>1</v>
      </c>
      <c r="W26" s="1">
        <f>'Summer NCP-CP Ratio'!B26</f>
        <v>5535.61</v>
      </c>
      <c r="X26" s="1">
        <f>'Summer NCP-CP Ratio'!C26</f>
        <v>4449.66</v>
      </c>
      <c r="Y26" s="1">
        <f>'Summer NCP-CP Ratio'!D26</f>
        <v>4789.79</v>
      </c>
      <c r="Z26" s="1">
        <f>'Summer NCP-CP Ratio'!E26</f>
        <v>3701.93</v>
      </c>
      <c r="AA26" s="1">
        <f>'Summer NCP-CP Ratio'!F26</f>
        <v>4139.47</v>
      </c>
    </row>
    <row r="27" spans="1:27" x14ac:dyDescent="0.25">
      <c r="A27" s="73">
        <v>2010</v>
      </c>
      <c r="B27" s="1">
        <v>5664.1</v>
      </c>
      <c r="C27" s="1">
        <v>4172.79</v>
      </c>
      <c r="D27" s="1">
        <v>4718.97</v>
      </c>
      <c r="E27" s="1">
        <v>3613.83</v>
      </c>
      <c r="F27" s="1">
        <v>3951.25</v>
      </c>
      <c r="G27" s="1"/>
      <c r="H27" s="1">
        <v>5664.1</v>
      </c>
      <c r="I27" s="1">
        <v>4172.79</v>
      </c>
      <c r="J27" s="1">
        <v>4718.97</v>
      </c>
      <c r="K27" s="1">
        <v>3700.93</v>
      </c>
      <c r="L27" s="1">
        <v>3975.4380000000001</v>
      </c>
      <c r="N27" s="16">
        <f t="shared" si="1"/>
        <v>1</v>
      </c>
      <c r="O27" s="16">
        <f t="shared" si="1"/>
        <v>1</v>
      </c>
      <c r="P27" s="16">
        <f t="shared" si="1"/>
        <v>1</v>
      </c>
      <c r="Q27" s="16">
        <f t="shared" si="1"/>
        <v>1.0241018531585604</v>
      </c>
      <c r="R27" s="16">
        <f t="shared" si="1"/>
        <v>1.006121607086365</v>
      </c>
      <c r="W27" s="1">
        <f>'Summer NCP-CP Ratio'!B27</f>
        <v>5664.1</v>
      </c>
      <c r="X27" s="1">
        <f>'Summer NCP-CP Ratio'!C27</f>
        <v>4172.79</v>
      </c>
      <c r="Y27" s="1">
        <f>'Summer NCP-CP Ratio'!D27</f>
        <v>4718.97</v>
      </c>
      <c r="Z27" s="1">
        <f>'Summer NCP-CP Ratio'!E27</f>
        <v>3613.83</v>
      </c>
      <c r="AA27" s="1">
        <f>'Summer NCP-CP Ratio'!F27</f>
        <v>3951.25</v>
      </c>
    </row>
    <row r="28" spans="1:27" x14ac:dyDescent="0.25">
      <c r="A28" s="73">
        <v>2011</v>
      </c>
      <c r="B28" s="1">
        <v>5547.18</v>
      </c>
      <c r="C28" s="1">
        <v>3969.65</v>
      </c>
      <c r="D28" s="1">
        <v>4568.33</v>
      </c>
      <c r="E28" s="1">
        <v>3510.22</v>
      </c>
      <c r="F28" s="1">
        <v>3856.2710000000002</v>
      </c>
      <c r="G28" s="1"/>
      <c r="H28" s="1">
        <v>5571.65</v>
      </c>
      <c r="I28" s="1">
        <v>3970.61</v>
      </c>
      <c r="J28" s="1">
        <v>4609.18</v>
      </c>
      <c r="K28" s="1">
        <v>3510.22</v>
      </c>
      <c r="L28" s="1">
        <v>3887.069</v>
      </c>
      <c r="N28" s="16">
        <f t="shared" si="1"/>
        <v>1.0044112504011047</v>
      </c>
      <c r="O28" s="16">
        <f t="shared" si="1"/>
        <v>1.0002418349224742</v>
      </c>
      <c r="P28" s="16">
        <f t="shared" si="1"/>
        <v>1.0089419984983572</v>
      </c>
      <c r="Q28" s="16">
        <f t="shared" si="1"/>
        <v>1</v>
      </c>
      <c r="R28" s="16">
        <f t="shared" si="1"/>
        <v>1.0079864719051124</v>
      </c>
      <c r="W28" s="1">
        <f>'Summer NCP-CP Ratio'!B28</f>
        <v>5547.18</v>
      </c>
      <c r="X28" s="1">
        <f>'Summer NCP-CP Ratio'!C28</f>
        <v>3969.65</v>
      </c>
      <c r="Y28" s="1">
        <f>'Summer NCP-CP Ratio'!D28</f>
        <v>4568.33</v>
      </c>
      <c r="Z28" s="1">
        <f>'Summer NCP-CP Ratio'!E28</f>
        <v>3510.22</v>
      </c>
      <c r="AA28" s="1">
        <f>'Summer NCP-CP Ratio'!F28</f>
        <v>3856.2710000000002</v>
      </c>
    </row>
    <row r="29" spans="1:27" x14ac:dyDescent="0.25">
      <c r="A29" s="73">
        <v>2012</v>
      </c>
      <c r="B29" s="1">
        <v>5411.66</v>
      </c>
      <c r="C29" s="1">
        <v>4038.56</v>
      </c>
      <c r="D29" s="1">
        <v>4586.75</v>
      </c>
      <c r="E29" s="1">
        <v>3231.78</v>
      </c>
      <c r="F29" s="1">
        <v>3931.7770000000005</v>
      </c>
      <c r="G29" s="1"/>
      <c r="H29" s="1">
        <v>5626.67</v>
      </c>
      <c r="I29" s="1">
        <v>4052.51</v>
      </c>
      <c r="J29" s="1">
        <v>4586.75</v>
      </c>
      <c r="K29" s="1">
        <v>3459.77</v>
      </c>
      <c r="L29" s="1">
        <v>3993.1970000000006</v>
      </c>
      <c r="N29" s="16">
        <f t="shared" si="1"/>
        <v>1.0397308774017584</v>
      </c>
      <c r="O29" s="16">
        <f t="shared" si="1"/>
        <v>1.0034542014975636</v>
      </c>
      <c r="P29" s="16">
        <f t="shared" si="1"/>
        <v>1</v>
      </c>
      <c r="Q29" s="16">
        <f t="shared" si="1"/>
        <v>1.0705462624312299</v>
      </c>
      <c r="R29" s="16">
        <f t="shared" si="1"/>
        <v>1.0156214352950332</v>
      </c>
      <c r="W29" s="1">
        <f>'Summer NCP-CP Ratio'!B29</f>
        <v>5411.66</v>
      </c>
      <c r="X29" s="1">
        <f>'Summer NCP-CP Ratio'!C29</f>
        <v>4038.56</v>
      </c>
      <c r="Y29" s="1">
        <f>'Summer NCP-CP Ratio'!D29</f>
        <v>4586.75</v>
      </c>
      <c r="Z29" s="1">
        <f>'Summer NCP-CP Ratio'!E29</f>
        <v>3231.78</v>
      </c>
      <c r="AA29" s="1">
        <f>'Summer NCP-CP Ratio'!F29</f>
        <v>3931.7770000000005</v>
      </c>
    </row>
    <row r="30" spans="1:27" x14ac:dyDescent="0.25">
      <c r="A30" s="73">
        <v>2013</v>
      </c>
      <c r="B30" s="1">
        <v>5455.35</v>
      </c>
      <c r="C30" s="1">
        <v>3927.38</v>
      </c>
      <c r="D30" s="1">
        <v>4673.8599999999997</v>
      </c>
      <c r="E30" s="1">
        <v>3609.97</v>
      </c>
      <c r="F30" s="1">
        <v>3854.57</v>
      </c>
      <c r="G30" s="1"/>
      <c r="H30" s="1">
        <v>5464.76</v>
      </c>
      <c r="I30" s="1">
        <v>3962.96</v>
      </c>
      <c r="J30" s="1">
        <v>4673.8599999999997</v>
      </c>
      <c r="K30" s="1">
        <v>3609.97</v>
      </c>
      <c r="L30" s="1">
        <v>3906.9300000000003</v>
      </c>
      <c r="N30" s="16">
        <f t="shared" si="1"/>
        <v>1.001724912242111</v>
      </c>
      <c r="O30" s="16">
        <f t="shared" si="1"/>
        <v>1.0090594747643467</v>
      </c>
      <c r="P30" s="16">
        <f t="shared" si="1"/>
        <v>1</v>
      </c>
      <c r="Q30" s="16">
        <f t="shared" si="1"/>
        <v>1</v>
      </c>
      <c r="R30" s="16">
        <f t="shared" si="1"/>
        <v>1.0135838757630553</v>
      </c>
      <c r="W30" s="1">
        <f>'Summer NCP-CP Ratio'!B30</f>
        <v>5455.35</v>
      </c>
      <c r="X30" s="1">
        <f>'Summer NCP-CP Ratio'!C30</f>
        <v>3927.38</v>
      </c>
      <c r="Y30" s="1">
        <f>'Summer NCP-CP Ratio'!D30</f>
        <v>4673.8599999999997</v>
      </c>
      <c r="Z30" s="1">
        <f>'Summer NCP-CP Ratio'!E30</f>
        <v>3609.97</v>
      </c>
      <c r="AA30" s="1">
        <f>'Summer NCP-CP Ratio'!F30</f>
        <v>3854.57</v>
      </c>
    </row>
    <row r="31" spans="1:27" x14ac:dyDescent="0.25">
      <c r="A31" s="73">
        <v>2014</v>
      </c>
      <c r="B31" s="1">
        <v>5727.53</v>
      </c>
      <c r="C31" s="1">
        <v>4084.66</v>
      </c>
      <c r="D31" s="1">
        <v>4811.3100000000004</v>
      </c>
      <c r="E31" s="1">
        <v>3289.82</v>
      </c>
      <c r="F31" s="1">
        <v>3855.8500000000004</v>
      </c>
      <c r="G31" s="1"/>
      <c r="H31" s="1">
        <v>5732.84</v>
      </c>
      <c r="I31" s="1">
        <v>5788.93</v>
      </c>
      <c r="J31" s="1">
        <v>4811.3100000000004</v>
      </c>
      <c r="K31" s="1">
        <v>3485.99</v>
      </c>
      <c r="L31" s="1">
        <v>4108.3500000000004</v>
      </c>
      <c r="N31" s="16">
        <f t="shared" si="1"/>
        <v>1.0009271012111678</v>
      </c>
      <c r="O31" s="104">
        <f>I31/C31</f>
        <v>1.4172366855503273</v>
      </c>
      <c r="P31" s="16">
        <f t="shared" si="1"/>
        <v>1</v>
      </c>
      <c r="Q31" s="16">
        <f t="shared" si="1"/>
        <v>1.0596294022165345</v>
      </c>
      <c r="R31" s="16">
        <f t="shared" si="1"/>
        <v>1.0654849125354979</v>
      </c>
      <c r="W31" s="1">
        <f>'Summer NCP-CP Ratio'!B31</f>
        <v>5727.53</v>
      </c>
      <c r="X31" s="1">
        <f>'Summer NCP-CP Ratio'!C31</f>
        <v>4084.66</v>
      </c>
      <c r="Y31" s="1">
        <f>'Summer NCP-CP Ratio'!D31</f>
        <v>4811.3100000000004</v>
      </c>
      <c r="Z31" s="1">
        <f>'Summer NCP-CP Ratio'!E31</f>
        <v>3289.82</v>
      </c>
      <c r="AA31" s="1">
        <f>'Summer NCP-CP Ratio'!F31</f>
        <v>3855.8500000000004</v>
      </c>
    </row>
    <row r="32" spans="1:27" x14ac:dyDescent="0.25">
      <c r="A32" s="73">
        <v>2015</v>
      </c>
      <c r="B32" s="1">
        <v>5566.94</v>
      </c>
      <c r="C32" s="1">
        <v>3979</v>
      </c>
      <c r="D32" s="1">
        <v>4578.87</v>
      </c>
      <c r="E32" s="1">
        <v>3587.85</v>
      </c>
      <c r="F32" s="1">
        <v>4317.8599999999997</v>
      </c>
      <c r="G32" s="1"/>
      <c r="H32" s="1">
        <v>5644.67</v>
      </c>
      <c r="I32" s="1">
        <v>4018.96</v>
      </c>
      <c r="J32" s="1">
        <v>4620.1499999999996</v>
      </c>
      <c r="K32" s="1">
        <v>3587.85</v>
      </c>
      <c r="L32" s="1">
        <v>4330.28</v>
      </c>
      <c r="N32" s="16">
        <f t="shared" si="1"/>
        <v>1.0139627874559454</v>
      </c>
      <c r="O32" s="16">
        <f t="shared" si="1"/>
        <v>1.0100427243025887</v>
      </c>
      <c r="P32" s="16">
        <f t="shared" si="1"/>
        <v>1.0090153247416938</v>
      </c>
      <c r="Q32" s="16">
        <f t="shared" si="1"/>
        <v>1</v>
      </c>
      <c r="R32" s="16">
        <f t="shared" si="1"/>
        <v>1.0028764248956659</v>
      </c>
      <c r="W32" s="1">
        <f>'Summer NCP-CP Ratio'!B32</f>
        <v>5566.94</v>
      </c>
      <c r="X32" s="1">
        <f>'Summer NCP-CP Ratio'!C32</f>
        <v>3979</v>
      </c>
      <c r="Y32" s="1">
        <f>'Summer NCP-CP Ratio'!D32</f>
        <v>4578.87</v>
      </c>
      <c r="Z32" s="1">
        <f>'Summer NCP-CP Ratio'!E32</f>
        <v>3587.85</v>
      </c>
      <c r="AA32" s="1">
        <f>'Summer NCP-CP Ratio'!F32</f>
        <v>4317.8599999999997</v>
      </c>
    </row>
    <row r="33" spans="1:27" x14ac:dyDescent="0.25">
      <c r="A33" s="73">
        <v>2016</v>
      </c>
      <c r="B33" s="2">
        <f>'Summer Peak'!AB5</f>
        <v>5789.3291188793437</v>
      </c>
      <c r="C33" s="2">
        <f>'Summer Peak'!AC5</f>
        <v>4147.1045338884423</v>
      </c>
      <c r="D33" s="2">
        <f>'Summer Peak'!Z5</f>
        <v>4753.0477251646989</v>
      </c>
      <c r="E33" s="2">
        <f>'Summer Peak'!AA5</f>
        <v>3790.3594982154696</v>
      </c>
      <c r="F33" s="2">
        <f>'Summer Peak'!AD5</f>
        <v>4307.1591238520459</v>
      </c>
      <c r="G33" s="1"/>
      <c r="H33" s="1">
        <v>5851.83</v>
      </c>
      <c r="I33" s="1">
        <v>4232.38</v>
      </c>
      <c r="J33" s="1">
        <v>4815.33</v>
      </c>
      <c r="K33" s="1">
        <v>3773.81</v>
      </c>
      <c r="L33" s="1">
        <v>4287.66</v>
      </c>
      <c r="N33" s="16">
        <f t="shared" si="1"/>
        <v>1.0107958763161067</v>
      </c>
      <c r="O33" s="16">
        <f t="shared" si="1"/>
        <v>1.0205626517042725</v>
      </c>
      <c r="P33" s="16">
        <f t="shared" si="1"/>
        <v>1.0131036502127997</v>
      </c>
      <c r="Q33" s="117">
        <f t="shared" si="1"/>
        <v>0.99563379193365131</v>
      </c>
      <c r="R33" s="152">
        <f t="shared" si="1"/>
        <v>0.99547285733093438</v>
      </c>
      <c r="W33" s="1">
        <f>'Summer NCP-CP Ratio'!B33</f>
        <v>5789.3291188793437</v>
      </c>
      <c r="X33" s="1">
        <f>'Summer NCP-CP Ratio'!C33</f>
        <v>4147.1045338884423</v>
      </c>
      <c r="Y33" s="1">
        <f>'Summer NCP-CP Ratio'!D33</f>
        <v>4753.0477251646989</v>
      </c>
      <c r="Z33" s="1">
        <f>'Summer NCP-CP Ratio'!E33</f>
        <v>3790.3594982154696</v>
      </c>
      <c r="AA33" s="1">
        <f>'Summer NCP-CP Ratio'!F33</f>
        <v>4307.1591238520459</v>
      </c>
    </row>
    <row r="34" spans="1:27" s="158" customFormat="1" x14ac:dyDescent="0.25">
      <c r="A34" s="73">
        <v>2017</v>
      </c>
      <c r="B34" s="154">
        <f>'Summer Peak'!AB6</f>
        <v>5504.4417820818908</v>
      </c>
      <c r="C34" s="154">
        <f>'Summer Peak'!AC6</f>
        <v>4030.4057494749109</v>
      </c>
      <c r="D34" s="154">
        <f>'Summer Peak'!Z6</f>
        <v>5051.4462184493468</v>
      </c>
      <c r="E34" s="154">
        <f>'Summer Peak'!AA6</f>
        <v>3517.4335751885046</v>
      </c>
      <c r="F34" s="154">
        <f>'Summer Peak'!AD6</f>
        <v>4187.2726748053501</v>
      </c>
      <c r="G34" s="173"/>
      <c r="H34" s="173">
        <v>5905.5790999999999</v>
      </c>
      <c r="I34" s="173">
        <v>4128.5803999999998</v>
      </c>
      <c r="J34" s="173">
        <v>5076.1196</v>
      </c>
      <c r="K34" s="173">
        <v>5139.8953000000001</v>
      </c>
      <c r="L34" s="173">
        <v>2676.4866999999999</v>
      </c>
      <c r="N34" s="174">
        <f>H34/B34</f>
        <v>1.0728752040259368</v>
      </c>
      <c r="O34" s="179">
        <f t="shared" ref="O34:O35" si="2">I34/C34</f>
        <v>1.0243585029963496</v>
      </c>
      <c r="P34" s="174">
        <f t="shared" ref="P34:P35" si="3">J34/D34</f>
        <v>1.0048844193293673</v>
      </c>
      <c r="Q34" s="175">
        <f>K34/E34</f>
        <v>1.4612629322288042</v>
      </c>
      <c r="R34" s="183">
        <f t="shared" ref="R34:R35" si="4">L34/F34</f>
        <v>0.63919570275523541</v>
      </c>
      <c r="W34" s="1">
        <f>'Summer NCP-CP Ratio'!B34</f>
        <v>5504.4417820818908</v>
      </c>
      <c r="X34" s="1">
        <f>'Summer NCP-CP Ratio'!C34</f>
        <v>4030.4057494749109</v>
      </c>
      <c r="Y34" s="1">
        <f>'Summer NCP-CP Ratio'!D34</f>
        <v>5051.4462184493468</v>
      </c>
      <c r="Z34" s="1">
        <f>'Summer NCP-CP Ratio'!E34</f>
        <v>3517.4335751885046</v>
      </c>
      <c r="AA34" s="1">
        <f>'Summer NCP-CP Ratio'!F34</f>
        <v>4187.2726748053501</v>
      </c>
    </row>
    <row r="35" spans="1:27" s="158" customFormat="1" x14ac:dyDescent="0.25">
      <c r="A35" s="73">
        <v>2018</v>
      </c>
      <c r="B35" s="154">
        <f>'Summer Peak'!AB7</f>
        <v>5746.3787913241968</v>
      </c>
      <c r="C35" s="154">
        <f>'Summer Peak'!AC7</f>
        <v>4121.7235402253409</v>
      </c>
      <c r="D35" s="154">
        <f>'Summer Peak'!Z7</f>
        <v>4374.7876933291636</v>
      </c>
      <c r="E35" s="154">
        <f>'Summer Peak'!AA7</f>
        <v>3827.3814127968108</v>
      </c>
      <c r="F35" s="154">
        <f>'Summer Peak'!AD7</f>
        <v>4101.7285623244879</v>
      </c>
      <c r="G35" s="173"/>
      <c r="H35" s="154">
        <v>5986.9268000000002</v>
      </c>
      <c r="I35" s="154">
        <v>4281.6342999999997</v>
      </c>
      <c r="J35" s="154">
        <v>4627.6274000000003</v>
      </c>
      <c r="K35" s="154">
        <v>4286.9850999999999</v>
      </c>
      <c r="L35" s="154">
        <v>4365.9594999999999</v>
      </c>
      <c r="N35" s="174">
        <f>H35/B35</f>
        <v>1.0418607991939166</v>
      </c>
      <c r="O35" s="174">
        <f t="shared" si="2"/>
        <v>1.0387970610386732</v>
      </c>
      <c r="P35" s="179">
        <f t="shared" si="3"/>
        <v>1.05779473757238</v>
      </c>
      <c r="Q35" s="174">
        <f>K35/E35</f>
        <v>1.1200830640151276</v>
      </c>
      <c r="R35" s="174">
        <f t="shared" si="4"/>
        <v>1.0644194109045992</v>
      </c>
      <c r="W35" s="173">
        <f>'Summer NCP-CP Ratio'!B35</f>
        <v>5746.3787913241968</v>
      </c>
      <c r="X35" s="173">
        <f>'Summer NCP-CP Ratio'!C35</f>
        <v>4121.7235402253409</v>
      </c>
      <c r="Y35" s="173">
        <f>'Summer NCP-CP Ratio'!D35</f>
        <v>4374.7876933291636</v>
      </c>
      <c r="Z35" s="173">
        <f>'Summer NCP-CP Ratio'!E35</f>
        <v>3827.3814127968108</v>
      </c>
      <c r="AA35" s="173">
        <f>'Summer NCP-CP Ratio'!F35</f>
        <v>4101.7285623244879</v>
      </c>
    </row>
    <row r="36" spans="1:27" s="158" customFormat="1" x14ac:dyDescent="0.25">
      <c r="A36" s="73">
        <v>2019</v>
      </c>
      <c r="B36" s="154">
        <f>'Summer Peak'!AB8</f>
        <v>5579.8347685989356</v>
      </c>
      <c r="C36" s="154">
        <f>'Summer Peak'!AC8</f>
        <v>3959.5207938637</v>
      </c>
      <c r="D36" s="154">
        <f>'Summer Peak'!Z8</f>
        <v>4823.089395355365</v>
      </c>
      <c r="E36" s="154">
        <f>'Summer Peak'!AA8</f>
        <v>3330.4820778140906</v>
      </c>
      <c r="F36" s="154">
        <f>'Summer Peak'!AD8</f>
        <v>5503.0729643679142</v>
      </c>
      <c r="H36" s="154">
        <v>5942.7295000000004</v>
      </c>
      <c r="I36" s="154">
        <v>4288.1704</v>
      </c>
      <c r="J36" s="154">
        <v>5067.9647999999997</v>
      </c>
      <c r="K36" s="154">
        <v>3581.6752000000001</v>
      </c>
      <c r="L36" s="154">
        <v>4914.0427</v>
      </c>
      <c r="N36" s="174">
        <f>H36/B36</f>
        <v>1.0650368239294987</v>
      </c>
      <c r="O36" s="174">
        <f t="shared" ref="O36" si="5">I36/C36</f>
        <v>1.083002369035573</v>
      </c>
      <c r="P36" s="179">
        <f t="shared" ref="P36" si="6">J36/D36</f>
        <v>1.0507714837051227</v>
      </c>
      <c r="Q36" s="174">
        <f>K36/E36</f>
        <v>1.0754224512599018</v>
      </c>
      <c r="R36" s="174">
        <f>L36/F36</f>
        <v>0.89296339187543905</v>
      </c>
      <c r="W36" s="173">
        <f>'Summer NCP-CP Ratio'!B36</f>
        <v>5579.8347685989356</v>
      </c>
      <c r="X36" s="173">
        <f>'Summer NCP-CP Ratio'!C36</f>
        <v>3959.5207938637</v>
      </c>
      <c r="Y36" s="173">
        <f>'Summer NCP-CP Ratio'!D36</f>
        <v>4823.089395355365</v>
      </c>
      <c r="Z36" s="173">
        <f>'Summer NCP-CP Ratio'!E36</f>
        <v>3330.4820778140906</v>
      </c>
      <c r="AA36" s="173">
        <f>'Summer NCP-CP Ratio'!F36</f>
        <v>5503.0729643679142</v>
      </c>
    </row>
    <row r="37" spans="1:27" x14ac:dyDescent="0.25">
      <c r="A37" s="122">
        <v>2020</v>
      </c>
      <c r="B37" s="111">
        <f>'Summer Peak'!AB9</f>
        <v>5994.0019255438619</v>
      </c>
      <c r="C37" s="111">
        <f>'Summer Peak'!AC9</f>
        <v>4305.1890381606227</v>
      </c>
      <c r="D37" s="111">
        <f>'Summer Peak'!Z9</f>
        <v>4906.4058477412264</v>
      </c>
      <c r="E37" s="111">
        <f>'Summer Peak'!AA9</f>
        <v>3732.5584165402379</v>
      </c>
      <c r="F37" s="111">
        <f>'Summer Peak'!AD9</f>
        <v>4425.9979786810463</v>
      </c>
      <c r="G37" s="114"/>
      <c r="H37" s="111">
        <v>5994.69</v>
      </c>
      <c r="I37" s="111">
        <v>4330.24</v>
      </c>
      <c r="J37" s="111">
        <v>5268.38</v>
      </c>
      <c r="K37" s="111">
        <v>4156.2299999999996</v>
      </c>
      <c r="L37" s="111">
        <v>5704.51</v>
      </c>
      <c r="M37" s="114"/>
      <c r="N37" s="123">
        <f>H37/B37</f>
        <v>1.0001147938330159</v>
      </c>
      <c r="O37" s="123">
        <f t="shared" ref="O37" si="7">I37/C37</f>
        <v>1.0058187832444356</v>
      </c>
      <c r="P37" s="199">
        <f t="shared" ref="P37" si="8">J37/D37</f>
        <v>1.0737758276611824</v>
      </c>
      <c r="Q37" s="123">
        <f>K37/E37</f>
        <v>1.1135070201667383</v>
      </c>
      <c r="R37" s="123">
        <f>L37/F37</f>
        <v>1.2888641222786894</v>
      </c>
      <c r="S37" s="114"/>
      <c r="T37" s="114"/>
      <c r="U37" s="114"/>
      <c r="V37" s="114"/>
      <c r="W37" s="111">
        <f>'Summer CP Comparison'!L10</f>
        <v>5918.2997460722972</v>
      </c>
      <c r="X37" s="111">
        <f>'Summer CP Comparison'!I10</f>
        <v>4364.5858747378879</v>
      </c>
      <c r="Y37" s="111">
        <f>'Summer CP Comparison'!F10</f>
        <v>5181.2687141680435</v>
      </c>
      <c r="Z37" s="111">
        <f>'Summer CP Comparison'!C10</f>
        <v>3722.2158306347728</v>
      </c>
      <c r="AA37" s="111">
        <f>'Summer CP Comparison'!O10</f>
        <v>4444.6500771779738</v>
      </c>
    </row>
    <row r="38" spans="1:27" x14ac:dyDescent="0.25">
      <c r="A38" s="73">
        <v>2021</v>
      </c>
      <c r="B38" s="2">
        <f>'Summer Peak'!AB10</f>
        <v>6046.2802537913094</v>
      </c>
      <c r="C38" s="2">
        <f>'Summer Peak'!AC10</f>
        <v>4323.840145600273</v>
      </c>
      <c r="D38" s="2">
        <f>'Summer Peak'!Z10</f>
        <v>4941.4074811577193</v>
      </c>
      <c r="E38" s="2">
        <f>'Summer Peak'!AA10</f>
        <v>3794.125963875319</v>
      </c>
      <c r="F38" s="2">
        <f>'Summer Peak'!AD10</f>
        <v>4502.3066716102712</v>
      </c>
      <c r="H38" s="177" t="s">
        <v>18</v>
      </c>
      <c r="I38" s="178" t="s">
        <v>19</v>
      </c>
      <c r="J38" s="178" t="s">
        <v>20</v>
      </c>
      <c r="K38" s="178" t="s">
        <v>21</v>
      </c>
      <c r="L38" s="178" t="s">
        <v>22</v>
      </c>
      <c r="M38" s="116" t="s">
        <v>46</v>
      </c>
      <c r="N38" s="177" t="s">
        <v>18</v>
      </c>
      <c r="O38" s="178" t="s">
        <v>19</v>
      </c>
      <c r="P38" s="178" t="s">
        <v>20</v>
      </c>
      <c r="Q38" s="178" t="s">
        <v>21</v>
      </c>
      <c r="R38" s="178" t="s">
        <v>22</v>
      </c>
      <c r="W38" s="2">
        <f>'Summer CP Comparison'!L11</f>
        <v>5953.7532506999014</v>
      </c>
      <c r="X38" s="2">
        <f>'Summer CP Comparison'!I11</f>
        <v>4354.5731707375298</v>
      </c>
      <c r="Y38" s="2">
        <f>'Summer CP Comparison'!F11</f>
        <v>5172.8283773486819</v>
      </c>
      <c r="Z38" s="2">
        <f>'Summer CP Comparison'!C11</f>
        <v>3744.4547246180969</v>
      </c>
      <c r="AA38" s="2">
        <f>'Summer CP Comparison'!O11</f>
        <v>4481.6014517588301</v>
      </c>
    </row>
    <row r="39" spans="1:27" x14ac:dyDescent="0.25">
      <c r="A39" s="73">
        <v>2022</v>
      </c>
      <c r="B39" s="2">
        <f>'Summer Peak'!AB11</f>
        <v>6121.940624921087</v>
      </c>
      <c r="C39" s="2">
        <f>'Summer Peak'!AC11</f>
        <v>4351.0948561622326</v>
      </c>
      <c r="D39" s="2">
        <f>'Summer Peak'!Z11</f>
        <v>4974.5442621156162</v>
      </c>
      <c r="E39" s="2">
        <f>'Summer Peak'!AA11</f>
        <v>3848.3674844740331</v>
      </c>
      <c r="F39" s="2">
        <f>'Summer Peak'!AD11</f>
        <v>4579.7037994535649</v>
      </c>
      <c r="H39" s="158"/>
      <c r="I39" s="158"/>
      <c r="J39" s="158"/>
      <c r="K39" s="158"/>
      <c r="L39" s="158"/>
      <c r="M39" s="6"/>
      <c r="N39" s="231">
        <f>AVERAGE(N28:N37)</f>
        <v>1.0251440426010561</v>
      </c>
      <c r="O39" s="231">
        <f>AVERAGE(O32:O37,O27:O30)</f>
        <v>1.0195337603506278</v>
      </c>
      <c r="P39" s="231">
        <f>AVERAGE(P28:P37)</f>
        <v>1.0218287441720904</v>
      </c>
      <c r="Q39" s="231">
        <f>AVERAGE(Q26:Q32,Q35:Q37)</f>
        <v>1.0463290053248091</v>
      </c>
      <c r="R39" s="231">
        <f>AVERAGE(R26:R32,R35:R37)</f>
        <v>1.0357921652539459</v>
      </c>
      <c r="W39" s="2">
        <f>'Summer CP Comparison'!L12</f>
        <v>5999.8543922952886</v>
      </c>
      <c r="X39" s="2">
        <f>'Summer CP Comparison'!I12</f>
        <v>4354.1171915899795</v>
      </c>
      <c r="Y39" s="2">
        <f>'Summer CP Comparison'!F12</f>
        <v>5174.6771472899036</v>
      </c>
      <c r="Z39" s="2">
        <f>'Summer CP Comparison'!C12</f>
        <v>3773.2142968799367</v>
      </c>
      <c r="AA39" s="2">
        <f>'Summer CP Comparison'!O12</f>
        <v>4523.150127251165</v>
      </c>
    </row>
    <row r="40" spans="1:27" x14ac:dyDescent="0.25">
      <c r="A40" s="73">
        <v>2023</v>
      </c>
      <c r="B40" s="2">
        <f>'Summer Peak'!AB12</f>
        <v>6241.0529472585122</v>
      </c>
      <c r="C40" s="2">
        <f>'Summer Peak'!AC12</f>
        <v>4408.3020981586851</v>
      </c>
      <c r="D40" s="2">
        <f>'Summer Peak'!Z12</f>
        <v>5040.0336769114965</v>
      </c>
      <c r="E40" s="2">
        <f>'Summer Peak'!AA12</f>
        <v>3928.160303892123</v>
      </c>
      <c r="F40" s="2">
        <f>'Summer Peak'!AD12</f>
        <v>4682.8885985532706</v>
      </c>
      <c r="N40" s="16"/>
      <c r="O40" s="16"/>
      <c r="P40" s="16"/>
      <c r="Q40" s="16"/>
      <c r="R40" s="16"/>
      <c r="W40" s="2">
        <f>'Summer CP Comparison'!L13</f>
        <v>6091.9525990772827</v>
      </c>
      <c r="X40" s="2">
        <f>'Summer CP Comparison'!I13</f>
        <v>4389.8411576285025</v>
      </c>
      <c r="Y40" s="2">
        <f>'Summer CP Comparison'!F13</f>
        <v>5217.0763421655765</v>
      </c>
      <c r="Z40" s="2">
        <f>'Summer CP Comparison'!C13</f>
        <v>3831.3724535298948</v>
      </c>
      <c r="AA40" s="2">
        <f>'Summer CP Comparison'!O13</f>
        <v>4597.7161080035257</v>
      </c>
    </row>
    <row r="41" spans="1:27" x14ac:dyDescent="0.25">
      <c r="A41" s="73">
        <v>2024</v>
      </c>
      <c r="B41" s="2">
        <f>'Summer Peak'!AB13</f>
        <v>6363.1249251492709</v>
      </c>
      <c r="C41" s="2">
        <f>'Summer Peak'!AC13</f>
        <v>4468.2747203394038</v>
      </c>
      <c r="D41" s="2">
        <f>'Summer Peak'!Z13</f>
        <v>5107.1546010172378</v>
      </c>
      <c r="E41" s="2">
        <f>'Summer Peak'!AA13</f>
        <v>4009.6927206167029</v>
      </c>
      <c r="F41" s="2">
        <f>'Summer Peak'!AD13</f>
        <v>4785.8136250898251</v>
      </c>
      <c r="N41" s="5"/>
      <c r="O41" s="5"/>
      <c r="P41" s="5"/>
      <c r="Q41" s="5"/>
      <c r="R41" s="5"/>
      <c r="W41" s="2">
        <f>'Summer CP Comparison'!L14</f>
        <v>6194.3844467384106</v>
      </c>
      <c r="X41" s="2">
        <f>'Summer CP Comparison'!I14</f>
        <v>4435.1862741563855</v>
      </c>
      <c r="Y41" s="2">
        <f>'Summer CP Comparison'!F14</f>
        <v>5269.1594464632144</v>
      </c>
      <c r="Z41" s="2">
        <f>'Summer CP Comparison'!C14</f>
        <v>3896.8178860279022</v>
      </c>
      <c r="AA41" s="2">
        <f>'Summer CP Comparison'!O14</f>
        <v>4680.396666709983</v>
      </c>
    </row>
    <row r="42" spans="1:27" x14ac:dyDescent="0.25">
      <c r="A42" s="73">
        <v>2025</v>
      </c>
      <c r="B42" s="2">
        <f>'Summer Peak'!AB14</f>
        <v>6464.0308028943773</v>
      </c>
      <c r="C42" s="2">
        <f>'Summer Peak'!AC14</f>
        <v>4513.4174425998362</v>
      </c>
      <c r="D42" s="2">
        <f>'Summer Peak'!Z14</f>
        <v>5156.6144442293362</v>
      </c>
      <c r="E42" s="2">
        <f>'Summer Peak'!AA14</f>
        <v>4077.8393982354419</v>
      </c>
      <c r="F42" s="2">
        <f>'Summer Peak'!AD14</f>
        <v>4871.8582493717431</v>
      </c>
      <c r="W42" s="2">
        <f>'Summer CP Comparison'!L15</f>
        <v>6301.1586026559007</v>
      </c>
      <c r="X42" s="2">
        <f>'Summer CP Comparison'!I15</f>
        <v>4484.44594083027</v>
      </c>
      <c r="Y42" s="2">
        <f>'Summer CP Comparison'!F15</f>
        <v>5325.072140770706</v>
      </c>
      <c r="Z42" s="2">
        <f>'Summer CP Comparison'!C15</f>
        <v>3965.4243132365559</v>
      </c>
      <c r="AA42" s="2">
        <f>'Summer CP Comparison'!O15</f>
        <v>4767.0238197574508</v>
      </c>
    </row>
    <row r="43" spans="1:27" x14ac:dyDescent="0.25">
      <c r="A43" s="73">
        <v>2026</v>
      </c>
      <c r="B43" s="2">
        <f>'Summer Peak'!AB15</f>
        <v>6563.0066864053269</v>
      </c>
      <c r="C43" s="2">
        <f>'Summer Peak'!AC15</f>
        <v>4556.7562663240406</v>
      </c>
      <c r="D43" s="2">
        <f>'Summer Peak'!Z15</f>
        <v>5203.65934429763</v>
      </c>
      <c r="E43" s="2">
        <f>'Summer Peak'!AA15</f>
        <v>4144.5824319610329</v>
      </c>
      <c r="F43" s="2">
        <f>'Summer Peak'!AD15</f>
        <v>4955.9339171554802</v>
      </c>
      <c r="W43" s="2">
        <f>'Summer CP Comparison'!L16</f>
        <v>6415.5996795670353</v>
      </c>
      <c r="X43" s="2">
        <f>'Summer CP Comparison'!I16</f>
        <v>4538.850594290916</v>
      </c>
      <c r="Y43" s="2">
        <f>'Summer CP Comparison'!F16</f>
        <v>5386.6917644829591</v>
      </c>
      <c r="Z43" s="2">
        <f>'Summer CP Comparison'!C16</f>
        <v>4038.8978543292683</v>
      </c>
      <c r="AA43" s="2">
        <f>'Summer CP Comparison'!O16</f>
        <v>4859.7385607207079</v>
      </c>
    </row>
    <row r="44" spans="1:27" x14ac:dyDescent="0.25">
      <c r="A44" s="73">
        <v>2027</v>
      </c>
      <c r="B44" s="2">
        <f>'Summer Peak'!AB16</f>
        <v>6639.6921775049123</v>
      </c>
      <c r="C44" s="2">
        <f>'Summer Peak'!AC16</f>
        <v>4584.7430950410389</v>
      </c>
      <c r="D44" s="2">
        <f>'Summer Peak'!Z16</f>
        <v>5232.1858617755433</v>
      </c>
      <c r="E44" s="2">
        <f>'Summer Peak'!AA16</f>
        <v>4196.9295228325127</v>
      </c>
      <c r="F44" s="2">
        <f>'Summer Peak'!AD16</f>
        <v>5022.7992538353028</v>
      </c>
      <c r="W44" s="2">
        <f>'Summer CP Comparison'!L17</f>
        <v>6515.3733239103867</v>
      </c>
      <c r="X44" s="2">
        <f>'Summer CP Comparison'!I17</f>
        <v>4582.9382824113736</v>
      </c>
      <c r="Y44" s="2">
        <f>'Summer CP Comparison'!F17</f>
        <v>5435.0271909870225</v>
      </c>
      <c r="Z44" s="2">
        <f>'Summer CP Comparison'!C17</f>
        <v>4102.8519584547848</v>
      </c>
      <c r="AA44" s="2">
        <f>'Summer CP Comparison'!O17</f>
        <v>4941.3877037981711</v>
      </c>
    </row>
    <row r="45" spans="1:27" x14ac:dyDescent="0.25">
      <c r="A45" s="73">
        <v>2028</v>
      </c>
      <c r="B45" s="2">
        <f>'Summer Peak'!AB17</f>
        <v>6741.5933380095794</v>
      </c>
      <c r="C45" s="2">
        <f>'Summer Peak'!AC17</f>
        <v>4630.1923896122335</v>
      </c>
      <c r="D45" s="2">
        <f>'Summer Peak'!Z17</f>
        <v>5280.143096048675</v>
      </c>
      <c r="E45" s="2">
        <f>'Summer Peak'!AA17</f>
        <v>4264.6267931959128</v>
      </c>
      <c r="F45" s="2">
        <f>'Summer Peak'!AD17</f>
        <v>5108.4855567351442</v>
      </c>
      <c r="W45" s="2">
        <f>'Summer CP Comparison'!L18</f>
        <v>6637.1685307737025</v>
      </c>
      <c r="X45" s="2">
        <f>'Summer CP Comparison'!I18</f>
        <v>4642.4618063323742</v>
      </c>
      <c r="Y45" s="2">
        <f>'Summer CP Comparison'!F18</f>
        <v>5501.1061335735822</v>
      </c>
      <c r="Z45" s="2">
        <f>'Summer CP Comparison'!C18</f>
        <v>4180.0912967606</v>
      </c>
      <c r="AA45" s="2">
        <f>'Summer CP Comparison'!O18</f>
        <v>5039.7787974794828</v>
      </c>
    </row>
    <row r="46" spans="1:27" x14ac:dyDescent="0.25">
      <c r="A46" s="73">
        <v>2029</v>
      </c>
      <c r="B46" s="2">
        <f>'Summer Peak'!AB18</f>
        <v>6875.0149119595244</v>
      </c>
      <c r="C46" s="2">
        <f>'Summer Peak'!AC18</f>
        <v>4697.0410691356537</v>
      </c>
      <c r="D46" s="2">
        <f>'Summer Peak'!Z18</f>
        <v>5352.1582993105949</v>
      </c>
      <c r="E46" s="2">
        <f>'Summer Peak'!AA18</f>
        <v>4351.5916712652797</v>
      </c>
      <c r="F46" s="2">
        <f>'Summer Peak'!AD18</f>
        <v>5218.2631269238482</v>
      </c>
      <c r="W46" s="2">
        <f>'Summer CP Comparison'!L19</f>
        <v>6796.5804968883476</v>
      </c>
      <c r="X46" s="2">
        <f>'Summer CP Comparison'!I19</f>
        <v>4727.9239828945711</v>
      </c>
      <c r="Y46" s="2">
        <f>'Summer CP Comparison'!F19</f>
        <v>5597.5064811658931</v>
      </c>
      <c r="Z46" s="2">
        <f>'Summer CP Comparison'!C19</f>
        <v>4279.9791009398277</v>
      </c>
      <c r="AA46" s="2">
        <f>'Summer CP Comparison'!O19</f>
        <v>5167.0599462563696</v>
      </c>
    </row>
    <row r="47" spans="1:27" x14ac:dyDescent="0.25">
      <c r="A47" s="73">
        <v>2030</v>
      </c>
      <c r="B47" s="2">
        <f>'Summer Peak'!AB19</f>
        <v>7030.4720658503502</v>
      </c>
      <c r="C47" s="2">
        <f>'Summer Peak'!AC19</f>
        <v>4778.8476112571425</v>
      </c>
      <c r="D47" s="2">
        <f>'Summer Peak'!Z19</f>
        <v>5440.3728052691631</v>
      </c>
      <c r="E47" s="2">
        <f>'Summer Peak'!AA19</f>
        <v>4451.8736527955016</v>
      </c>
      <c r="F47" s="2">
        <f>'Summer Peak'!AD19</f>
        <v>5345.0934105444667</v>
      </c>
      <c r="W47" s="2">
        <f>'Summer CP Comparison'!L20</f>
        <v>6968.9847926668244</v>
      </c>
      <c r="X47" s="2">
        <f>'Summer CP Comparison'!I20</f>
        <v>4822.038856170192</v>
      </c>
      <c r="Y47" s="2">
        <f>'Summer CP Comparison'!F20</f>
        <v>5703.225011499122</v>
      </c>
      <c r="Z47" s="2">
        <f>'Summer CP Comparison'!C20</f>
        <v>4387.1977796477231</v>
      </c>
      <c r="AA47" s="2">
        <f>'Summer CP Comparison'!O20</f>
        <v>5304.4722377357566</v>
      </c>
    </row>
  </sheetData>
  <mergeCells count="4">
    <mergeCell ref="B3:F3"/>
    <mergeCell ref="H3:L3"/>
    <mergeCell ref="N3:R3"/>
    <mergeCell ref="W3:AA3"/>
  </mergeCells>
  <pageMargins left="0.7" right="0.7" top="0.75" bottom="0.75" header="0.3" footer="0.3"/>
  <pageSetup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AC37"/>
  <sheetViews>
    <sheetView topLeftCell="A19" workbookViewId="0">
      <selection activeCell="I1" sqref="I1"/>
    </sheetView>
  </sheetViews>
  <sheetFormatPr defaultRowHeight="15" x14ac:dyDescent="0.25"/>
  <cols>
    <col min="2" max="3" width="10.42578125" bestFit="1" customWidth="1"/>
    <col min="5" max="6" width="10.42578125" bestFit="1" customWidth="1"/>
    <col min="8" max="9" width="10.42578125" bestFit="1" customWidth="1"/>
    <col min="11" max="12" width="10.42578125" bestFit="1" customWidth="1"/>
    <col min="14" max="15" width="10.42578125" bestFit="1" customWidth="1"/>
    <col min="17" max="18" width="10.42578125" bestFit="1" customWidth="1"/>
    <col min="20" max="20" width="5.85546875" bestFit="1" customWidth="1"/>
    <col min="22" max="22" width="11.42578125" customWidth="1"/>
    <col min="23" max="23" width="7.85546875" customWidth="1"/>
    <col min="24" max="24" width="6.5703125" bestFit="1" customWidth="1"/>
    <col min="25" max="26" width="10.42578125" bestFit="1" customWidth="1"/>
  </cols>
  <sheetData>
    <row r="1" spans="1:29" x14ac:dyDescent="0.25">
      <c r="A1" s="214" t="s">
        <v>83</v>
      </c>
      <c r="I1">
        <f ca="1">_xlfn.SHEETS()</f>
        <v>12</v>
      </c>
    </row>
    <row r="2" spans="1:29" x14ac:dyDescent="0.25">
      <c r="A2" s="214" t="s">
        <v>73</v>
      </c>
    </row>
    <row r="3" spans="1:29" s="7" customFormat="1" ht="18" x14ac:dyDescent="0.25">
      <c r="A3" s="24"/>
      <c r="B3" s="229" t="s">
        <v>69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5"/>
      <c r="U3" s="103"/>
      <c r="V3" s="25"/>
      <c r="W3" s="25"/>
      <c r="X3"/>
      <c r="Y3"/>
      <c r="Z3"/>
    </row>
    <row r="4" spans="1:29" s="8" customFormat="1" ht="16.5" thickBot="1" x14ac:dyDescent="0.3">
      <c r="A4" s="20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6"/>
      <c r="U4" s="26"/>
      <c r="V4" s="26"/>
      <c r="W4" s="26"/>
      <c r="X4"/>
      <c r="Y4"/>
      <c r="Z4"/>
    </row>
    <row r="5" spans="1:29" s="8" customFormat="1" ht="15.75" thickBot="1" x14ac:dyDescent="0.3">
      <c r="A5" s="17" t="s">
        <v>7</v>
      </c>
      <c r="B5" s="226" t="s">
        <v>8</v>
      </c>
      <c r="C5" s="227"/>
      <c r="D5" s="228"/>
      <c r="E5" s="226" t="s">
        <v>9</v>
      </c>
      <c r="F5" s="227"/>
      <c r="G5" s="228"/>
      <c r="H5" s="226" t="s">
        <v>10</v>
      </c>
      <c r="I5" s="227"/>
      <c r="J5" s="228"/>
      <c r="K5" s="226" t="s">
        <v>11</v>
      </c>
      <c r="L5" s="227"/>
      <c r="M5" s="228"/>
      <c r="N5" s="226" t="s">
        <v>12</v>
      </c>
      <c r="O5" s="227"/>
      <c r="P5" s="228"/>
      <c r="Q5" s="226" t="s">
        <v>13</v>
      </c>
      <c r="R5" s="227"/>
      <c r="S5" s="228"/>
      <c r="T5" s="27"/>
      <c r="U5" s="27"/>
      <c r="V5" s="27" t="s">
        <v>36</v>
      </c>
      <c r="W5" s="27"/>
      <c r="X5"/>
      <c r="Y5" s="218" t="s">
        <v>54</v>
      </c>
      <c r="Z5" s="218"/>
      <c r="AA5" s="218"/>
    </row>
    <row r="6" spans="1:29" s="9" customFormat="1" ht="12.75" x14ac:dyDescent="0.2">
      <c r="A6" s="18"/>
      <c r="B6" s="169" t="s">
        <v>71</v>
      </c>
      <c r="C6" s="170" t="s">
        <v>61</v>
      </c>
      <c r="D6" s="79" t="s">
        <v>14</v>
      </c>
      <c r="E6" s="169" t="s">
        <v>71</v>
      </c>
      <c r="F6" s="170" t="s">
        <v>61</v>
      </c>
      <c r="G6" s="79" t="s">
        <v>14</v>
      </c>
      <c r="H6" s="169" t="s">
        <v>71</v>
      </c>
      <c r="I6" s="170" t="s">
        <v>61</v>
      </c>
      <c r="J6" s="79" t="s">
        <v>14</v>
      </c>
      <c r="K6" s="169" t="s">
        <v>71</v>
      </c>
      <c r="L6" s="170" t="s">
        <v>61</v>
      </c>
      <c r="M6" s="79" t="s">
        <v>14</v>
      </c>
      <c r="N6" s="169" t="s">
        <v>71</v>
      </c>
      <c r="O6" s="170" t="s">
        <v>61</v>
      </c>
      <c r="P6" s="79" t="s">
        <v>14</v>
      </c>
      <c r="Q6" s="169" t="s">
        <v>71</v>
      </c>
      <c r="R6" s="170" t="s">
        <v>61</v>
      </c>
      <c r="S6" s="79" t="s">
        <v>14</v>
      </c>
      <c r="T6" s="19" t="s">
        <v>1</v>
      </c>
      <c r="U6" s="27" t="s">
        <v>35</v>
      </c>
      <c r="V6" s="27" t="s">
        <v>71</v>
      </c>
      <c r="W6" s="19"/>
      <c r="X6" s="46" t="s">
        <v>17</v>
      </c>
      <c r="Y6" s="124" t="s">
        <v>71</v>
      </c>
      <c r="Z6" s="124" t="s">
        <v>61</v>
      </c>
      <c r="AA6" s="46" t="s">
        <v>14</v>
      </c>
      <c r="AB6" s="131"/>
      <c r="AC6" s="131"/>
    </row>
    <row r="7" spans="1:29" s="8" customFormat="1" x14ac:dyDescent="0.25">
      <c r="A7" s="20"/>
      <c r="B7" s="28"/>
      <c r="C7" s="29"/>
      <c r="D7" s="30"/>
      <c r="E7" s="28"/>
      <c r="F7" s="29"/>
      <c r="G7" s="30"/>
      <c r="H7" s="28"/>
      <c r="I7" s="29"/>
      <c r="J7" s="30"/>
      <c r="K7" s="28"/>
      <c r="L7" s="29"/>
      <c r="M7" s="30"/>
      <c r="N7" s="28"/>
      <c r="O7" s="29"/>
      <c r="P7" s="30"/>
      <c r="Q7" s="31"/>
      <c r="R7" s="32"/>
      <c r="S7" s="33"/>
      <c r="T7" s="32"/>
      <c r="U7" s="32"/>
      <c r="V7" s="32"/>
      <c r="W7" s="32"/>
      <c r="X7"/>
      <c r="Y7"/>
      <c r="Z7"/>
    </row>
    <row r="8" spans="1:29" s="8" customFormat="1" x14ac:dyDescent="0.25">
      <c r="A8" s="184">
        <v>2018</v>
      </c>
      <c r="B8" s="21">
        <f>'Summer Peak'!AA7</f>
        <v>3827.3814127968108</v>
      </c>
      <c r="C8" s="22">
        <v>3827.3814127968108</v>
      </c>
      <c r="D8" s="23">
        <f t="shared" ref="D8:D20" si="0">B8/C8-1</f>
        <v>0</v>
      </c>
      <c r="E8" s="34">
        <f>'Summer Peak'!Z7</f>
        <v>4374.7876933291636</v>
      </c>
      <c r="F8" s="22">
        <v>4374.7876933291636</v>
      </c>
      <c r="G8" s="23">
        <f t="shared" ref="G8:G20" si="1">E8/F8-1</f>
        <v>0</v>
      </c>
      <c r="H8" s="34">
        <f>'Summer Peak'!AC7</f>
        <v>4121.7235402253409</v>
      </c>
      <c r="I8" s="22">
        <v>4121.7235402253409</v>
      </c>
      <c r="J8" s="23">
        <f t="shared" ref="J8:J20" si="2">H8/I8-1</f>
        <v>0</v>
      </c>
      <c r="K8" s="34">
        <f>'Summer Peak'!AB7</f>
        <v>5746.3787913241968</v>
      </c>
      <c r="L8" s="22">
        <v>5746.3787913241968</v>
      </c>
      <c r="M8" s="23">
        <f t="shared" ref="M8:M20" si="3">K8/L8-1</f>
        <v>0</v>
      </c>
      <c r="N8" s="34">
        <f>'Summer Peak'!AD7</f>
        <v>4101.7285623244879</v>
      </c>
      <c r="O8" s="22">
        <v>4101.7285623244879</v>
      </c>
      <c r="P8" s="23">
        <f t="shared" ref="P8:P20" si="4">N8/O8-1</f>
        <v>0</v>
      </c>
      <c r="Q8" s="36">
        <f t="shared" ref="Q8:R20" si="5">+N8+K8+H8+E8+B8</f>
        <v>22172</v>
      </c>
      <c r="R8" s="27">
        <f t="shared" si="5"/>
        <v>22172</v>
      </c>
      <c r="S8" s="23" t="s">
        <v>72</v>
      </c>
      <c r="T8" s="37">
        <f>'Summer Peak'!C7</f>
        <v>845</v>
      </c>
      <c r="U8" s="37">
        <f>'Summer Peak'!D7</f>
        <v>200</v>
      </c>
      <c r="V8" s="38">
        <f>Q8+T8+U8</f>
        <v>23217</v>
      </c>
      <c r="W8" s="38"/>
      <c r="X8" s="181">
        <f>V8-'Summer Peak'!B7</f>
        <v>0</v>
      </c>
      <c r="Y8" s="154">
        <f t="shared" ref="Y8:Z20" si="6">H8+K8</f>
        <v>9868.1023315495368</v>
      </c>
      <c r="Z8" s="154">
        <f t="shared" si="6"/>
        <v>9868.1023315495368</v>
      </c>
      <c r="AA8" s="130">
        <f t="shared" ref="AA8:AA20" si="7">Y8/Z8-1</f>
        <v>0</v>
      </c>
    </row>
    <row r="9" spans="1:29" s="8" customFormat="1" x14ac:dyDescent="0.25">
      <c r="A9" s="184">
        <v>2019</v>
      </c>
      <c r="B9" s="21">
        <f>'Summer Peak'!AA8</f>
        <v>3330.4820778140906</v>
      </c>
      <c r="C9" s="22">
        <v>3642.2529128251672</v>
      </c>
      <c r="D9" s="23">
        <f t="shared" si="0"/>
        <v>-8.559834873445038E-2</v>
      </c>
      <c r="E9" s="34">
        <f>'Summer Peak'!Z8</f>
        <v>4823.089395355365</v>
      </c>
      <c r="F9" s="22">
        <v>5105.0134447713599</v>
      </c>
      <c r="G9" s="23">
        <f t="shared" si="1"/>
        <v>-5.5224937694286824E-2</v>
      </c>
      <c r="H9" s="34">
        <f>'Summer Peak'!AC8</f>
        <v>3959.5207938637</v>
      </c>
      <c r="I9" s="22">
        <v>4310.9344371934212</v>
      </c>
      <c r="J9" s="23">
        <f t="shared" si="2"/>
        <v>-8.1516814613980637E-2</v>
      </c>
      <c r="K9" s="34">
        <f>'Summer Peak'!AB8</f>
        <v>5579.8347685989356</v>
      </c>
      <c r="L9" s="22">
        <v>5799.8121943009846</v>
      </c>
      <c r="M9" s="23">
        <f t="shared" si="3"/>
        <v>-3.7928370494169306E-2</v>
      </c>
      <c r="N9" s="34">
        <f>'Summer Peak'!AD8</f>
        <v>5503.0729643679142</v>
      </c>
      <c r="O9" s="22">
        <v>4337.9870109090698</v>
      </c>
      <c r="P9" s="23">
        <f t="shared" si="4"/>
        <v>0.26857755694724617</v>
      </c>
      <c r="Q9" s="36">
        <f t="shared" si="5"/>
        <v>23196.000000000004</v>
      </c>
      <c r="R9" s="27">
        <f t="shared" si="5"/>
        <v>23196.000000000004</v>
      </c>
      <c r="S9" s="23">
        <f t="shared" ref="S9:S20" si="8">Q9/R9-1</f>
        <v>0</v>
      </c>
      <c r="T9" s="37">
        <f>'Summer Peak'!C8</f>
        <v>845</v>
      </c>
      <c r="U9" s="37">
        <f>'Summer Peak'!D8</f>
        <v>200</v>
      </c>
      <c r="V9" s="38">
        <f>Q9+T9+U9</f>
        <v>24241.000000000004</v>
      </c>
      <c r="W9" s="38"/>
      <c r="X9" s="181">
        <f>V9-'Summer Peak'!B8</f>
        <v>0</v>
      </c>
      <c r="Y9" s="154">
        <f t="shared" si="6"/>
        <v>9539.3555624626351</v>
      </c>
      <c r="Z9" s="154">
        <f t="shared" si="6"/>
        <v>10110.746631494407</v>
      </c>
      <c r="AA9" s="130">
        <f t="shared" si="7"/>
        <v>-5.6513241786904311E-2</v>
      </c>
    </row>
    <row r="10" spans="1:29" s="8" customFormat="1" x14ac:dyDescent="0.25">
      <c r="A10" s="143">
        <v>2020</v>
      </c>
      <c r="B10" s="144">
        <f>'Summer Peak'!AA9</f>
        <v>3732.5584165402379</v>
      </c>
      <c r="C10" s="145">
        <v>3722.2158306347728</v>
      </c>
      <c r="D10" s="146">
        <f t="shared" si="0"/>
        <v>2.7786099399027542E-3</v>
      </c>
      <c r="E10" s="147">
        <f>'Summer Peak'!Z9</f>
        <v>4906.4058477412264</v>
      </c>
      <c r="F10" s="145">
        <v>5181.2687141680435</v>
      </c>
      <c r="G10" s="146">
        <f t="shared" si="1"/>
        <v>-5.3049336290011739E-2</v>
      </c>
      <c r="H10" s="147">
        <f>'Summer Peak'!AC9</f>
        <v>4305.1890381606227</v>
      </c>
      <c r="I10" s="145">
        <v>4364.5858747378879</v>
      </c>
      <c r="J10" s="146">
        <f t="shared" si="2"/>
        <v>-1.360881382150203E-2</v>
      </c>
      <c r="K10" s="147">
        <f>'Summer Peak'!AB9</f>
        <v>5994.0019255438619</v>
      </c>
      <c r="L10" s="145">
        <v>5918.2997460722972</v>
      </c>
      <c r="M10" s="146">
        <f t="shared" si="3"/>
        <v>1.2791204014599655E-2</v>
      </c>
      <c r="N10" s="147">
        <f>'Summer Peak'!AD9</f>
        <v>4425.9979786810463</v>
      </c>
      <c r="O10" s="145">
        <v>4444.6500771779738</v>
      </c>
      <c r="P10" s="146">
        <f t="shared" si="4"/>
        <v>-4.1965279995157534E-3</v>
      </c>
      <c r="Q10" s="148">
        <f t="shared" si="5"/>
        <v>23364.153206666997</v>
      </c>
      <c r="R10" s="149">
        <f t="shared" si="5"/>
        <v>23631.020242790975</v>
      </c>
      <c r="S10" s="146">
        <f t="shared" si="8"/>
        <v>-1.1293081440501562E-2</v>
      </c>
      <c r="T10" s="150">
        <f>'Summer Peak'!C9</f>
        <v>943.88</v>
      </c>
      <c r="U10" s="150">
        <f>'Summer Peak'!D9</f>
        <v>200</v>
      </c>
      <c r="V10" s="151">
        <f t="shared" ref="V10:V20" si="9">Q10+T10</f>
        <v>24308.033206666998</v>
      </c>
      <c r="W10" s="151"/>
      <c r="X10" s="141">
        <f>V10-'Summer Peak'!B9</f>
        <v>0</v>
      </c>
      <c r="Y10" s="111">
        <f t="shared" si="6"/>
        <v>10299.190963704485</v>
      </c>
      <c r="Z10" s="111">
        <f t="shared" si="6"/>
        <v>10282.885620810186</v>
      </c>
      <c r="AA10" s="142">
        <f t="shared" si="7"/>
        <v>1.5856777460696581E-3</v>
      </c>
      <c r="AB10" s="182" t="s">
        <v>55</v>
      </c>
    </row>
    <row r="11" spans="1:29" s="8" customFormat="1" x14ac:dyDescent="0.25">
      <c r="A11" s="17">
        <v>2021</v>
      </c>
      <c r="B11" s="21">
        <f>'Summer Peak'!AA10</f>
        <v>3794.125963875319</v>
      </c>
      <c r="C11" s="22">
        <v>3744.4547246180969</v>
      </c>
      <c r="D11" s="23">
        <f t="shared" si="0"/>
        <v>1.3265279702984856E-2</v>
      </c>
      <c r="E11" s="34">
        <f>'Summer Peak'!Z10</f>
        <v>4941.4074811577193</v>
      </c>
      <c r="F11" s="22">
        <v>5172.8283773486819</v>
      </c>
      <c r="G11" s="23">
        <f t="shared" si="1"/>
        <v>-4.4737787397767237E-2</v>
      </c>
      <c r="H11" s="34">
        <f>'Summer Peak'!AC10</f>
        <v>4323.840145600273</v>
      </c>
      <c r="I11" s="22">
        <v>4354.5731707375298</v>
      </c>
      <c r="J11" s="23">
        <f t="shared" si="2"/>
        <v>-7.0576435237742485E-3</v>
      </c>
      <c r="K11" s="34">
        <f>'Summer Peak'!AB10</f>
        <v>6046.2802537913094</v>
      </c>
      <c r="L11" s="22">
        <v>5953.7532506999014</v>
      </c>
      <c r="M11" s="23">
        <f t="shared" si="3"/>
        <v>1.5540953612837471E-2</v>
      </c>
      <c r="N11" s="34">
        <f>'Summer Peak'!AD10</f>
        <v>4502.3066716102712</v>
      </c>
      <c r="O11" s="22">
        <v>4481.6014517588301</v>
      </c>
      <c r="P11" s="23">
        <f t="shared" si="4"/>
        <v>4.6200493449313207E-3</v>
      </c>
      <c r="Q11" s="36">
        <f t="shared" si="5"/>
        <v>23607.960516034891</v>
      </c>
      <c r="R11" s="27">
        <f t="shared" si="5"/>
        <v>23707.210975163041</v>
      </c>
      <c r="S11" s="23">
        <f t="shared" si="8"/>
        <v>-4.1865092959323391E-3</v>
      </c>
      <c r="T11" s="37">
        <f>'Summer Peak'!C10</f>
        <v>1012.5112791278036</v>
      </c>
      <c r="U11" s="37">
        <f>'Summer Peak'!D10</f>
        <v>200</v>
      </c>
      <c r="V11" s="38">
        <f t="shared" si="9"/>
        <v>24620.471795162695</v>
      </c>
      <c r="W11" s="38"/>
      <c r="X11" s="10">
        <f>V11-'Summer Peak'!B10</f>
        <v>0</v>
      </c>
      <c r="Y11" s="2">
        <f t="shared" si="6"/>
        <v>10370.120399391582</v>
      </c>
      <c r="Z11" s="2">
        <f t="shared" si="6"/>
        <v>10308.326421437432</v>
      </c>
      <c r="AA11" s="130">
        <f t="shared" si="7"/>
        <v>5.9945693828284963E-3</v>
      </c>
    </row>
    <row r="12" spans="1:29" s="8" customFormat="1" x14ac:dyDescent="0.25">
      <c r="A12" s="17">
        <v>2022</v>
      </c>
      <c r="B12" s="21">
        <f>'Summer Peak'!AA11</f>
        <v>3848.3674844740331</v>
      </c>
      <c r="C12" s="22">
        <v>3773.2142968799367</v>
      </c>
      <c r="D12" s="23">
        <f t="shared" si="0"/>
        <v>1.9917550841530574E-2</v>
      </c>
      <c r="E12" s="34">
        <f>'Summer Peak'!Z11</f>
        <v>4974.5442621156162</v>
      </c>
      <c r="F12" s="22">
        <v>5174.6771472899036</v>
      </c>
      <c r="G12" s="23">
        <f t="shared" si="1"/>
        <v>-3.8675434133915276E-2</v>
      </c>
      <c r="H12" s="34">
        <f>'Summer Peak'!AC11</f>
        <v>4351.0948561622326</v>
      </c>
      <c r="I12" s="22">
        <v>4354.1171915899795</v>
      </c>
      <c r="J12" s="23">
        <f t="shared" si="2"/>
        <v>-6.9413277014784835E-4</v>
      </c>
      <c r="K12" s="34">
        <f>'Summer Peak'!AB11</f>
        <v>6121.940624921087</v>
      </c>
      <c r="L12" s="22">
        <v>5999.8543922952886</v>
      </c>
      <c r="M12" s="23">
        <f t="shared" si="3"/>
        <v>2.0348199246730925E-2</v>
      </c>
      <c r="N12" s="34">
        <f>'Summer Peak'!AD11</f>
        <v>4579.7037994535649</v>
      </c>
      <c r="O12" s="22">
        <v>4523.150127251165</v>
      </c>
      <c r="P12" s="23">
        <f t="shared" si="4"/>
        <v>1.2503160543284597E-2</v>
      </c>
      <c r="Q12" s="36">
        <f t="shared" si="5"/>
        <v>23875.651027126532</v>
      </c>
      <c r="R12" s="27">
        <f t="shared" si="5"/>
        <v>23825.013155306275</v>
      </c>
      <c r="S12" s="23">
        <f t="shared" si="8"/>
        <v>2.1254079269619197E-3</v>
      </c>
      <c r="T12" s="37">
        <f>'Summer Peak'!C11</f>
        <v>1032.5467000031197</v>
      </c>
      <c r="U12" s="37">
        <f>'Summer Peak'!D11</f>
        <v>0</v>
      </c>
      <c r="V12" s="38">
        <f t="shared" si="9"/>
        <v>24908.197727129653</v>
      </c>
      <c r="W12" s="38"/>
      <c r="X12" s="10">
        <f>V12-'Summer Peak'!B11</f>
        <v>0</v>
      </c>
      <c r="Y12" s="2">
        <f t="shared" si="6"/>
        <v>10473.03548108332</v>
      </c>
      <c r="Z12" s="2">
        <f t="shared" si="6"/>
        <v>10353.971583885268</v>
      </c>
      <c r="AA12" s="130">
        <f t="shared" si="7"/>
        <v>1.1499345563528607E-2</v>
      </c>
    </row>
    <row r="13" spans="1:29" s="8" customFormat="1" x14ac:dyDescent="0.25">
      <c r="A13" s="17">
        <v>2023</v>
      </c>
      <c r="B13" s="21">
        <f>'Summer Peak'!AA12</f>
        <v>3928.160303892123</v>
      </c>
      <c r="C13" s="22">
        <v>3831.3724535298948</v>
      </c>
      <c r="D13" s="23">
        <f t="shared" si="0"/>
        <v>2.526192677327832E-2</v>
      </c>
      <c r="E13" s="34">
        <f>'Summer Peak'!Z12</f>
        <v>5040.0336769114965</v>
      </c>
      <c r="F13" s="22">
        <v>5217.0763421655765</v>
      </c>
      <c r="G13" s="23">
        <f t="shared" si="1"/>
        <v>-3.3935226100331617E-2</v>
      </c>
      <c r="H13" s="34">
        <f>'Summer Peak'!AC12</f>
        <v>4408.3020981586851</v>
      </c>
      <c r="I13" s="22">
        <v>4389.8411576285025</v>
      </c>
      <c r="J13" s="23">
        <f t="shared" si="2"/>
        <v>4.2053777955273208E-3</v>
      </c>
      <c r="K13" s="34">
        <f>'Summer Peak'!AB12</f>
        <v>6241.0529472585122</v>
      </c>
      <c r="L13" s="22">
        <v>6091.9525990772827</v>
      </c>
      <c r="M13" s="23">
        <f t="shared" si="3"/>
        <v>2.4474968535344921E-2</v>
      </c>
      <c r="N13" s="34">
        <f>'Summer Peak'!AD12</f>
        <v>4682.8885985532706</v>
      </c>
      <c r="O13" s="22">
        <v>4597.7161080035257</v>
      </c>
      <c r="P13" s="23">
        <f t="shared" si="4"/>
        <v>1.8524956423794814E-2</v>
      </c>
      <c r="Q13" s="36">
        <f t="shared" si="5"/>
        <v>24300.437624774087</v>
      </c>
      <c r="R13" s="27">
        <f t="shared" si="5"/>
        <v>24127.95866040478</v>
      </c>
      <c r="S13" s="23">
        <f t="shared" si="8"/>
        <v>7.1485104395654364E-3</v>
      </c>
      <c r="T13" s="37">
        <f>'Summer Peak'!C12</f>
        <v>1053.0082842280938</v>
      </c>
      <c r="U13" s="37">
        <f>'Summer Peak'!D12</f>
        <v>0</v>
      </c>
      <c r="V13" s="38">
        <f t="shared" si="9"/>
        <v>25353.445909002181</v>
      </c>
      <c r="W13" s="38"/>
      <c r="X13" s="10">
        <f>V13-'Summer Peak'!B12</f>
        <v>0</v>
      </c>
      <c r="Y13" s="2">
        <f t="shared" si="6"/>
        <v>10649.355045417196</v>
      </c>
      <c r="Z13" s="2">
        <f t="shared" si="6"/>
        <v>10481.793756705785</v>
      </c>
      <c r="AA13" s="130">
        <f t="shared" si="7"/>
        <v>1.5985936434230297E-2</v>
      </c>
    </row>
    <row r="14" spans="1:29" s="8" customFormat="1" x14ac:dyDescent="0.25">
      <c r="A14" s="17">
        <v>2024</v>
      </c>
      <c r="B14" s="21">
        <f>'Summer Peak'!AA13</f>
        <v>4009.6927206167029</v>
      </c>
      <c r="C14" s="22">
        <v>3896.8178860279022</v>
      </c>
      <c r="D14" s="23">
        <f t="shared" si="0"/>
        <v>2.8965899328658562E-2</v>
      </c>
      <c r="E14" s="34">
        <f>'Summer Peak'!Z13</f>
        <v>5107.1546010172378</v>
      </c>
      <c r="F14" s="22">
        <v>5269.1594464632144</v>
      </c>
      <c r="G14" s="23">
        <f t="shared" si="1"/>
        <v>-3.0745861288125953E-2</v>
      </c>
      <c r="H14" s="34">
        <f>'Summer Peak'!AC13</f>
        <v>4468.2747203394038</v>
      </c>
      <c r="I14" s="22">
        <v>4435.1862741563855</v>
      </c>
      <c r="J14" s="23">
        <f t="shared" si="2"/>
        <v>7.4604411489598288E-3</v>
      </c>
      <c r="K14" s="34">
        <f>'Summer Peak'!AB13</f>
        <v>6363.1249251492709</v>
      </c>
      <c r="L14" s="22">
        <v>6194.3844467384106</v>
      </c>
      <c r="M14" s="23">
        <f t="shared" si="3"/>
        <v>2.7240879196593681E-2</v>
      </c>
      <c r="N14" s="34">
        <f>'Summer Peak'!AD13</f>
        <v>4785.8136250898251</v>
      </c>
      <c r="O14" s="22">
        <v>4680.396666709983</v>
      </c>
      <c r="P14" s="23">
        <f t="shared" si="4"/>
        <v>2.2523082098924618E-2</v>
      </c>
      <c r="Q14" s="36">
        <f t="shared" si="5"/>
        <v>24734.060592212441</v>
      </c>
      <c r="R14" s="27">
        <f t="shared" si="5"/>
        <v>24475.944720095897</v>
      </c>
      <c r="S14" s="23">
        <f t="shared" si="8"/>
        <v>1.0545695991240667E-2</v>
      </c>
      <c r="T14" s="37">
        <f>'Summer Peak'!C13</f>
        <v>1073.9029239323706</v>
      </c>
      <c r="U14" s="37">
        <f>'Summer Peak'!D13</f>
        <v>0</v>
      </c>
      <c r="V14" s="38">
        <f t="shared" si="9"/>
        <v>25807.963516144813</v>
      </c>
      <c r="W14" s="38"/>
      <c r="X14" s="10">
        <f>V14-'Summer Peak'!B13</f>
        <v>0</v>
      </c>
      <c r="Y14" s="2">
        <f t="shared" si="6"/>
        <v>10831.399645488675</v>
      </c>
      <c r="Z14" s="2">
        <f t="shared" si="6"/>
        <v>10629.570720894797</v>
      </c>
      <c r="AA14" s="130">
        <f t="shared" si="7"/>
        <v>1.898749534608557E-2</v>
      </c>
    </row>
    <row r="15" spans="1:29" s="8" customFormat="1" x14ac:dyDescent="0.25">
      <c r="A15" s="17">
        <v>2025</v>
      </c>
      <c r="B15" s="21">
        <f>'Summer Peak'!AA14</f>
        <v>4077.8393982354419</v>
      </c>
      <c r="C15" s="22">
        <v>3965.4243132365559</v>
      </c>
      <c r="D15" s="23">
        <f t="shared" si="0"/>
        <v>2.8348816196956506E-2</v>
      </c>
      <c r="E15" s="34">
        <f>'Summer Peak'!Z14</f>
        <v>5156.6144442293362</v>
      </c>
      <c r="F15" s="22">
        <v>5325.072140770706</v>
      </c>
      <c r="G15" s="23">
        <f t="shared" si="1"/>
        <v>-3.1634819602085029E-2</v>
      </c>
      <c r="H15" s="34">
        <f>'Summer Peak'!AC14</f>
        <v>4513.4174425998362</v>
      </c>
      <c r="I15" s="22">
        <v>4484.44594083027</v>
      </c>
      <c r="J15" s="23">
        <f t="shared" si="2"/>
        <v>6.4604417472813314E-3</v>
      </c>
      <c r="K15" s="34">
        <f>'Summer Peak'!AB14</f>
        <v>6464.0308028943773</v>
      </c>
      <c r="L15" s="22">
        <v>6301.1586026559007</v>
      </c>
      <c r="M15" s="23">
        <f t="shared" si="3"/>
        <v>2.5847976619700841E-2</v>
      </c>
      <c r="N15" s="34">
        <f>'Summer Peak'!AD14</f>
        <v>4871.8582493717431</v>
      </c>
      <c r="O15" s="22">
        <v>4767.0238197574508</v>
      </c>
      <c r="P15" s="23">
        <f t="shared" si="4"/>
        <v>2.1991589213335772E-2</v>
      </c>
      <c r="Q15" s="36">
        <f t="shared" si="5"/>
        <v>25083.760337330736</v>
      </c>
      <c r="R15" s="27">
        <f t="shared" si="5"/>
        <v>24843.124817250882</v>
      </c>
      <c r="S15" s="23">
        <f t="shared" si="8"/>
        <v>9.6862017902337172E-3</v>
      </c>
      <c r="T15" s="37">
        <f>'Summer Peak'!C14</f>
        <v>1095.2432546869641</v>
      </c>
      <c r="U15" s="37">
        <f>'Summer Peak'!D14</f>
        <v>0</v>
      </c>
      <c r="V15" s="38">
        <f t="shared" si="9"/>
        <v>26179.0035920177</v>
      </c>
      <c r="W15" s="38"/>
      <c r="X15" s="10">
        <f>V15-'Summer Peak'!B14</f>
        <v>0</v>
      </c>
      <c r="Y15" s="2">
        <f t="shared" si="6"/>
        <v>10977.448245494214</v>
      </c>
      <c r="Z15" s="2">
        <f t="shared" si="6"/>
        <v>10785.60454348617</v>
      </c>
      <c r="AA15" s="130">
        <f t="shared" si="7"/>
        <v>1.7787014277647062E-2</v>
      </c>
    </row>
    <row r="16" spans="1:29" s="8" customFormat="1" x14ac:dyDescent="0.25">
      <c r="A16" s="17">
        <v>2026</v>
      </c>
      <c r="B16" s="21">
        <f>'Summer Peak'!AA15</f>
        <v>4144.5824319610329</v>
      </c>
      <c r="C16" s="22">
        <v>4038.8978543292683</v>
      </c>
      <c r="D16" s="23">
        <f t="shared" si="0"/>
        <v>2.6166687409160838E-2</v>
      </c>
      <c r="E16" s="34">
        <f>'Summer Peak'!Z15</f>
        <v>5203.65934429763</v>
      </c>
      <c r="F16" s="22">
        <v>5386.6917644829591</v>
      </c>
      <c r="G16" s="23">
        <f t="shared" si="1"/>
        <v>-3.3978632561111E-2</v>
      </c>
      <c r="H16" s="34">
        <f>'Summer Peak'!AC15</f>
        <v>4556.7562663240406</v>
      </c>
      <c r="I16" s="22">
        <v>4538.850594290916</v>
      </c>
      <c r="J16" s="23">
        <f t="shared" si="2"/>
        <v>3.944979386553582E-3</v>
      </c>
      <c r="K16" s="34">
        <f>'Summer Peak'!AB15</f>
        <v>6563.0066864053269</v>
      </c>
      <c r="L16" s="22">
        <v>6415.5996795670353</v>
      </c>
      <c r="M16" s="23">
        <f t="shared" si="3"/>
        <v>2.2976341137332268E-2</v>
      </c>
      <c r="N16" s="34">
        <f>'Summer Peak'!AD15</f>
        <v>4955.9339171554802</v>
      </c>
      <c r="O16" s="22">
        <v>4859.7385607207079</v>
      </c>
      <c r="P16" s="23">
        <f t="shared" si="4"/>
        <v>1.9794348035978793E-2</v>
      </c>
      <c r="Q16" s="36">
        <f t="shared" si="5"/>
        <v>25423.938646143513</v>
      </c>
      <c r="R16" s="27">
        <f t="shared" si="5"/>
        <v>25239.778453390885</v>
      </c>
      <c r="S16" s="23">
        <f t="shared" si="8"/>
        <v>7.2964266739785621E-3</v>
      </c>
      <c r="T16" s="37">
        <f>'Summer Peak'!C15</f>
        <v>1117.03961468634</v>
      </c>
      <c r="U16" s="37">
        <f>'Summer Peak'!D15</f>
        <v>0</v>
      </c>
      <c r="V16" s="38">
        <f t="shared" si="9"/>
        <v>26540.978260829852</v>
      </c>
      <c r="W16" s="38"/>
      <c r="X16" s="10">
        <f>V16-'Summer Peak'!B15</f>
        <v>0</v>
      </c>
      <c r="Y16" s="2">
        <f t="shared" si="6"/>
        <v>11119.762952729368</v>
      </c>
      <c r="Z16" s="2">
        <f t="shared" si="6"/>
        <v>10954.45027385795</v>
      </c>
      <c r="AA16" s="130">
        <f t="shared" si="7"/>
        <v>1.5090915083701306E-2</v>
      </c>
    </row>
    <row r="17" spans="1:27" s="8" customFormat="1" x14ac:dyDescent="0.25">
      <c r="A17" s="17">
        <v>2027</v>
      </c>
      <c r="B17" s="21">
        <f>'Summer Peak'!AA16</f>
        <v>4196.9295228325127</v>
      </c>
      <c r="C17" s="22">
        <v>4102.8519584547848</v>
      </c>
      <c r="D17" s="23">
        <f t="shared" si="0"/>
        <v>2.2929797450736977E-2</v>
      </c>
      <c r="E17" s="34">
        <f>'Summer Peak'!Z16</f>
        <v>5232.1858617755433</v>
      </c>
      <c r="F17" s="22">
        <v>5435.0271909870225</v>
      </c>
      <c r="G17" s="23">
        <f t="shared" si="1"/>
        <v>-3.7321125007038325E-2</v>
      </c>
      <c r="H17" s="34">
        <f>'Summer Peak'!AC16</f>
        <v>4584.7430950410389</v>
      </c>
      <c r="I17" s="22">
        <v>4582.9382824113736</v>
      </c>
      <c r="J17" s="23">
        <f t="shared" si="2"/>
        <v>3.9381124476234319E-4</v>
      </c>
      <c r="K17" s="34">
        <f>'Summer Peak'!AB16</f>
        <v>6639.6921775049123</v>
      </c>
      <c r="L17" s="22">
        <v>6515.3733239103867</v>
      </c>
      <c r="M17" s="23">
        <f t="shared" si="3"/>
        <v>1.9080848849949206E-2</v>
      </c>
      <c r="N17" s="34">
        <f>'Summer Peak'!AD16</f>
        <v>5022.7992538353028</v>
      </c>
      <c r="O17" s="22">
        <v>4941.3877037981711</v>
      </c>
      <c r="P17" s="23">
        <f t="shared" si="4"/>
        <v>1.6475442713097532E-2</v>
      </c>
      <c r="Q17" s="36">
        <f t="shared" si="5"/>
        <v>25676.349910989309</v>
      </c>
      <c r="R17" s="27">
        <f t="shared" si="5"/>
        <v>25577.578459561737</v>
      </c>
      <c r="S17" s="23">
        <f t="shared" si="8"/>
        <v>3.8616420074217839E-3</v>
      </c>
      <c r="T17" s="37">
        <f>'Summer Peak'!C16</f>
        <v>1139.3000447484167</v>
      </c>
      <c r="U17" s="37">
        <f>'Summer Peak'!D16</f>
        <v>0</v>
      </c>
      <c r="V17" s="38">
        <f t="shared" si="9"/>
        <v>26815.649955737725</v>
      </c>
      <c r="W17" s="38"/>
      <c r="X17" s="10">
        <f>V17-'Summer Peak'!B16</f>
        <v>0</v>
      </c>
      <c r="Y17" s="2">
        <f t="shared" si="6"/>
        <v>11224.43527254595</v>
      </c>
      <c r="Z17" s="2">
        <f t="shared" si="6"/>
        <v>11098.31160632176</v>
      </c>
      <c r="AA17" s="130">
        <f t="shared" si="7"/>
        <v>1.13642210363194E-2</v>
      </c>
    </row>
    <row r="18" spans="1:27" s="8" customFormat="1" x14ac:dyDescent="0.25">
      <c r="A18" s="17">
        <v>2028</v>
      </c>
      <c r="B18" s="21">
        <f>'Summer Peak'!AA17</f>
        <v>4264.6267931959128</v>
      </c>
      <c r="C18" s="22">
        <v>4180.0912967606</v>
      </c>
      <c r="D18" s="23">
        <f t="shared" si="0"/>
        <v>2.0223361269842144E-2</v>
      </c>
      <c r="E18" s="34">
        <f>'Summer Peak'!Z17</f>
        <v>5280.143096048675</v>
      </c>
      <c r="F18" s="22">
        <v>5501.1061335735822</v>
      </c>
      <c r="G18" s="23">
        <f t="shared" si="1"/>
        <v>-4.0167019533827286E-2</v>
      </c>
      <c r="H18" s="34">
        <f>'Summer Peak'!AC17</f>
        <v>4630.1923896122335</v>
      </c>
      <c r="I18" s="22">
        <v>4642.4618063323742</v>
      </c>
      <c r="J18" s="23">
        <f t="shared" si="2"/>
        <v>-2.6428686399541101E-3</v>
      </c>
      <c r="K18" s="34">
        <f>'Summer Peak'!AB17</f>
        <v>6741.5933380095794</v>
      </c>
      <c r="L18" s="22">
        <v>6637.1685307737025</v>
      </c>
      <c r="M18" s="23">
        <f t="shared" si="3"/>
        <v>1.5733336700989975E-2</v>
      </c>
      <c r="N18" s="34">
        <f>'Summer Peak'!AD17</f>
        <v>5108.4855567351442</v>
      </c>
      <c r="O18" s="22">
        <v>5039.7787974794828</v>
      </c>
      <c r="P18" s="23">
        <f t="shared" si="4"/>
        <v>1.3632891842400463E-2</v>
      </c>
      <c r="Q18" s="36">
        <f t="shared" si="5"/>
        <v>26025.041173601545</v>
      </c>
      <c r="R18" s="27">
        <f t="shared" si="5"/>
        <v>26000.606564919741</v>
      </c>
      <c r="S18" s="23">
        <f t="shared" si="8"/>
        <v>9.3977071730200201E-4</v>
      </c>
      <c r="T18" s="37">
        <f>'Summer Peak'!C17</f>
        <v>1159.4341723830032</v>
      </c>
      <c r="U18" s="37">
        <f>'Summer Peak'!D17</f>
        <v>0</v>
      </c>
      <c r="V18" s="38">
        <f t="shared" si="9"/>
        <v>27184.475345984549</v>
      </c>
      <c r="W18" s="38"/>
      <c r="X18" s="10">
        <f>V18-'Summer Peak'!B17</f>
        <v>0</v>
      </c>
      <c r="Y18" s="2">
        <f t="shared" si="6"/>
        <v>11371.785727621813</v>
      </c>
      <c r="Z18" s="2">
        <f t="shared" si="6"/>
        <v>11279.630337106077</v>
      </c>
      <c r="AA18" s="130">
        <f t="shared" si="7"/>
        <v>8.1700718695165708E-3</v>
      </c>
    </row>
    <row r="19" spans="1:27" s="8" customFormat="1" x14ac:dyDescent="0.25">
      <c r="A19" s="17">
        <v>2029</v>
      </c>
      <c r="B19" s="21">
        <f>'Summer Peak'!AA18</f>
        <v>4351.5916712652797</v>
      </c>
      <c r="C19" s="22">
        <v>4279.9791009398277</v>
      </c>
      <c r="D19" s="23">
        <f t="shared" si="0"/>
        <v>1.6731990656152274E-2</v>
      </c>
      <c r="E19" s="34">
        <f>'Summer Peak'!Z18</f>
        <v>5352.1582993105949</v>
      </c>
      <c r="F19" s="22">
        <v>5597.5064811658931</v>
      </c>
      <c r="G19" s="23">
        <f t="shared" si="1"/>
        <v>-4.3831692322434779E-2</v>
      </c>
      <c r="H19" s="34">
        <f>'Summer Peak'!AC18</f>
        <v>4697.0410691356537</v>
      </c>
      <c r="I19" s="22">
        <v>4727.9239828945711</v>
      </c>
      <c r="J19" s="23">
        <f t="shared" si="2"/>
        <v>-6.5320241760761233E-3</v>
      </c>
      <c r="K19" s="34">
        <f>'Summer Peak'!AB18</f>
        <v>6875.0149119595244</v>
      </c>
      <c r="L19" s="22">
        <v>6796.5804968883476</v>
      </c>
      <c r="M19" s="23">
        <f t="shared" si="3"/>
        <v>1.1540276041325015E-2</v>
      </c>
      <c r="N19" s="34">
        <f>'Summer Peak'!AD18</f>
        <v>5218.2631269238482</v>
      </c>
      <c r="O19" s="22">
        <v>5167.0599462563696</v>
      </c>
      <c r="P19" s="23">
        <f t="shared" si="4"/>
        <v>9.9095387319003692E-3</v>
      </c>
      <c r="Q19" s="36">
        <f t="shared" si="5"/>
        <v>26494.069078594901</v>
      </c>
      <c r="R19" s="27">
        <f t="shared" si="5"/>
        <v>26569.050008145008</v>
      </c>
      <c r="S19" s="23">
        <f t="shared" si="8"/>
        <v>-2.822115564053651E-3</v>
      </c>
      <c r="T19" s="37">
        <f>'Summer Peak'!C18</f>
        <v>1179.9241176948331</v>
      </c>
      <c r="U19" s="37">
        <f>'Summer Peak'!D18</f>
        <v>0</v>
      </c>
      <c r="V19" s="38">
        <f t="shared" si="9"/>
        <v>27673.993196289735</v>
      </c>
      <c r="W19" s="38"/>
      <c r="X19" s="10">
        <f>V19-'Summer Peak'!B18</f>
        <v>0</v>
      </c>
      <c r="Y19" s="2">
        <f t="shared" si="6"/>
        <v>11572.055981095178</v>
      </c>
      <c r="Z19" s="2">
        <f t="shared" si="6"/>
        <v>11524.504479782918</v>
      </c>
      <c r="AA19" s="130">
        <f t="shared" si="7"/>
        <v>4.126121118324777E-3</v>
      </c>
    </row>
    <row r="20" spans="1:27" s="8" customFormat="1" ht="15.75" thickBot="1" x14ac:dyDescent="0.3">
      <c r="A20" s="17">
        <v>2030</v>
      </c>
      <c r="B20" s="65">
        <f>'Summer Peak'!AA19</f>
        <v>4451.8736527955016</v>
      </c>
      <c r="C20" s="63">
        <v>4387.1977796477231</v>
      </c>
      <c r="D20" s="64">
        <f t="shared" si="0"/>
        <v>1.474195520607946E-2</v>
      </c>
      <c r="E20" s="80">
        <f>'Summer Peak'!Z19</f>
        <v>5440.3728052691631</v>
      </c>
      <c r="F20" s="63">
        <v>5703.225011499122</v>
      </c>
      <c r="G20" s="64">
        <f t="shared" si="1"/>
        <v>-4.608834575174281E-2</v>
      </c>
      <c r="H20" s="80">
        <f>'Summer Peak'!AC19</f>
        <v>4778.8476112571425</v>
      </c>
      <c r="I20" s="63">
        <v>4822.038856170192</v>
      </c>
      <c r="J20" s="64">
        <f t="shared" si="2"/>
        <v>-8.9570503683898961E-3</v>
      </c>
      <c r="K20" s="80">
        <f>'Summer Peak'!AB19</f>
        <v>7030.4720658503502</v>
      </c>
      <c r="L20" s="63">
        <v>6968.9847926668244</v>
      </c>
      <c r="M20" s="64">
        <f t="shared" si="3"/>
        <v>8.8229885719117718E-3</v>
      </c>
      <c r="N20" s="80">
        <f>'Summer Peak'!AD19</f>
        <v>5345.0934105444667</v>
      </c>
      <c r="O20" s="63">
        <v>5304.4722377357566</v>
      </c>
      <c r="P20" s="64">
        <f t="shared" si="4"/>
        <v>7.6579103420946204E-3</v>
      </c>
      <c r="Q20" s="81">
        <f t="shared" si="5"/>
        <v>27046.659545716622</v>
      </c>
      <c r="R20" s="82">
        <f t="shared" si="5"/>
        <v>27185.918677719616</v>
      </c>
      <c r="S20" s="64">
        <f t="shared" si="8"/>
        <v>-5.1224729115784129E-3</v>
      </c>
      <c r="T20" s="37">
        <f>'Summer Peak'!C19</f>
        <v>1200.7761688242092</v>
      </c>
      <c r="U20" s="37">
        <f>'Summer Peak'!D19</f>
        <v>0</v>
      </c>
      <c r="V20" s="38">
        <f t="shared" si="9"/>
        <v>28247.435714540832</v>
      </c>
      <c r="W20" s="38"/>
      <c r="X20" s="10">
        <f>V20-'Summer Peak'!B19</f>
        <v>0</v>
      </c>
      <c r="Y20" s="2">
        <f t="shared" si="6"/>
        <v>11809.319677107493</v>
      </c>
      <c r="Z20" s="2">
        <f t="shared" si="6"/>
        <v>11791.023648837017</v>
      </c>
      <c r="AA20" s="130">
        <f t="shared" si="7"/>
        <v>1.5516912539039751E-3</v>
      </c>
    </row>
    <row r="21" spans="1:27" x14ac:dyDescent="0.25">
      <c r="A21" t="s">
        <v>66</v>
      </c>
      <c r="B21" s="176">
        <f>(B20/B10)^(1/10)-1</f>
        <v>1.7779318546655709E-2</v>
      </c>
      <c r="C21" s="176">
        <f>(C20/C10)^(1/10)-1</f>
        <v>1.657298925931161E-2</v>
      </c>
      <c r="D21" s="196"/>
      <c r="E21" s="176">
        <f>(E20/E10)^(1/10)-1</f>
        <v>1.0384136962729107E-2</v>
      </c>
      <c r="F21" s="176">
        <f>(F20/F10)^(1/10)-1</f>
        <v>9.6443957621901166E-3</v>
      </c>
      <c r="G21" s="196"/>
      <c r="H21" s="176">
        <f>(H20/H10)^(1/10)-1</f>
        <v>1.049250263238366E-2</v>
      </c>
      <c r="I21" s="176">
        <f>(I20/I10)^(1/10)-1</f>
        <v>1.0017192221319693E-2</v>
      </c>
      <c r="J21" s="196"/>
      <c r="K21" s="176">
        <f>(K20/K10)^(1/10)-1</f>
        <v>1.6077327863622815E-2</v>
      </c>
      <c r="L21" s="176">
        <f>(L20/L10)^(1/10)-1</f>
        <v>1.647629721039201E-2</v>
      </c>
      <c r="M21" s="196"/>
      <c r="N21" s="176">
        <f>(N20/N10)^(1/10)-1</f>
        <v>1.9047455245057021E-2</v>
      </c>
      <c r="O21" s="176">
        <f>(O20/O10)^(1/10)-1</f>
        <v>1.7842218037472213E-2</v>
      </c>
      <c r="P21" s="196"/>
      <c r="Q21" s="176">
        <f>(Q20/Q10)^(1/10)-1</f>
        <v>1.4743688773814378E-2</v>
      </c>
      <c r="R21" s="176">
        <f>(R20/R10)^(1/10)-1</f>
        <v>1.4112542589271193E-2</v>
      </c>
    </row>
    <row r="22" spans="1:27" ht="15.75" thickBot="1" x14ac:dyDescent="0.3"/>
    <row r="23" spans="1:27" s="13" customFormat="1" ht="15.75" thickBot="1" x14ac:dyDescent="0.3">
      <c r="A23" s="17" t="s">
        <v>7</v>
      </c>
      <c r="B23" s="226" t="s">
        <v>8</v>
      </c>
      <c r="C23" s="227"/>
      <c r="D23" s="228"/>
      <c r="E23" s="226" t="s">
        <v>9</v>
      </c>
      <c r="F23" s="227"/>
      <c r="G23" s="228"/>
      <c r="H23" s="226" t="s">
        <v>10</v>
      </c>
      <c r="I23" s="227"/>
      <c r="J23" s="228"/>
      <c r="K23" s="226" t="s">
        <v>11</v>
      </c>
      <c r="L23" s="227"/>
      <c r="M23" s="228"/>
      <c r="N23" s="226" t="s">
        <v>12</v>
      </c>
      <c r="O23" s="227"/>
      <c r="P23" s="228"/>
      <c r="Q23" s="226" t="s">
        <v>13</v>
      </c>
      <c r="R23" s="227"/>
      <c r="S23" s="228"/>
      <c r="T23" s="11"/>
      <c r="U23" s="11"/>
      <c r="V23" s="11"/>
      <c r="W23" s="12"/>
      <c r="X23" s="12"/>
      <c r="Y23" s="12"/>
      <c r="Z23" s="12"/>
    </row>
    <row r="24" spans="1:27" s="14" customFormat="1" x14ac:dyDescent="0.25">
      <c r="A24" s="18"/>
      <c r="B24" s="169" t="s">
        <v>71</v>
      </c>
      <c r="C24" s="170" t="s">
        <v>61</v>
      </c>
      <c r="D24" s="79"/>
      <c r="E24" s="169" t="s">
        <v>71</v>
      </c>
      <c r="F24" s="170" t="s">
        <v>61</v>
      </c>
      <c r="G24" s="79"/>
      <c r="H24" s="169" t="s">
        <v>71</v>
      </c>
      <c r="I24" s="170" t="s">
        <v>61</v>
      </c>
      <c r="J24" s="79"/>
      <c r="K24" s="169" t="s">
        <v>71</v>
      </c>
      <c r="L24" s="170" t="s">
        <v>61</v>
      </c>
      <c r="M24" s="79"/>
      <c r="N24" s="169" t="s">
        <v>71</v>
      </c>
      <c r="O24" s="170" t="s">
        <v>61</v>
      </c>
      <c r="P24" s="79"/>
      <c r="Q24" s="169" t="s">
        <v>71</v>
      </c>
      <c r="R24" s="170" t="s">
        <v>61</v>
      </c>
      <c r="S24" s="79"/>
      <c r="T24" s="11"/>
      <c r="U24" s="11"/>
      <c r="V24" s="11"/>
      <c r="W24" s="12"/>
      <c r="X24" s="12"/>
      <c r="Y24" s="12"/>
      <c r="Z24" s="12"/>
    </row>
    <row r="25" spans="1:27" x14ac:dyDescent="0.25">
      <c r="A25" s="20"/>
      <c r="B25" s="21"/>
      <c r="C25" s="22"/>
      <c r="D25" s="23"/>
      <c r="E25" s="21"/>
      <c r="F25" s="22"/>
      <c r="G25" s="23"/>
      <c r="H25" s="21"/>
      <c r="I25" s="22"/>
      <c r="J25" s="23"/>
      <c r="K25" s="21"/>
      <c r="L25" s="22"/>
      <c r="M25" s="23"/>
      <c r="N25" s="21"/>
      <c r="O25" s="22"/>
      <c r="P25" s="23"/>
      <c r="Q25" s="21"/>
      <c r="R25" s="22"/>
      <c r="S25" s="23"/>
    </row>
    <row r="26" spans="1:27" x14ac:dyDescent="0.25">
      <c r="A26" s="17">
        <f t="shared" ref="A26:A37" si="10">A9</f>
        <v>2019</v>
      </c>
      <c r="B26" s="70">
        <f t="shared" ref="B26:C37" si="11">B9/B8-1</f>
        <v>-0.1298274933669642</v>
      </c>
      <c r="C26" s="77">
        <f t="shared" si="11"/>
        <v>-4.8369493396364538E-2</v>
      </c>
      <c r="D26" s="23"/>
      <c r="E26" s="70">
        <f t="shared" ref="E26:F37" si="12">E9/E8-1</f>
        <v>0.10247393324018628</v>
      </c>
      <c r="F26" s="77">
        <f t="shared" si="12"/>
        <v>0.16691684320033895</v>
      </c>
      <c r="G26" s="23"/>
      <c r="H26" s="70">
        <f t="shared" ref="H26:I37" si="13">H9/H8-1</f>
        <v>-3.9353135837143727E-2</v>
      </c>
      <c r="I26" s="77">
        <f t="shared" si="13"/>
        <v>4.5905771001258255E-2</v>
      </c>
      <c r="J26" s="23"/>
      <c r="K26" s="70">
        <f t="shared" ref="K26:L37" si="14">K9/K8-1</f>
        <v>-2.898243028752423E-2</v>
      </c>
      <c r="L26" s="77">
        <f t="shared" si="14"/>
        <v>9.2986217785471226E-3</v>
      </c>
      <c r="M26" s="23"/>
      <c r="N26" s="70">
        <f t="shared" ref="N26:O37" si="15">N9/N8-1</f>
        <v>0.34164727888509305</v>
      </c>
      <c r="O26" s="77">
        <f t="shared" si="15"/>
        <v>5.7599727772013276E-2</v>
      </c>
      <c r="P26" s="23"/>
      <c r="Q26" s="70">
        <f t="shared" ref="Q26:R37" si="16">Q9/Q8-1</f>
        <v>4.6184376691322582E-2</v>
      </c>
      <c r="R26" s="77">
        <f t="shared" si="16"/>
        <v>4.6184376691322582E-2</v>
      </c>
      <c r="S26" s="23"/>
    </row>
    <row r="27" spans="1:27" x14ac:dyDescent="0.25">
      <c r="A27" s="17">
        <f t="shared" si="10"/>
        <v>2020</v>
      </c>
      <c r="B27" s="70">
        <f t="shared" si="11"/>
        <v>0.12072616796366109</v>
      </c>
      <c r="C27" s="77">
        <f t="shared" si="11"/>
        <v>2.1954246375379016E-2</v>
      </c>
      <c r="D27" s="23"/>
      <c r="E27" s="70">
        <f t="shared" si="12"/>
        <v>1.7274498885733847E-2</v>
      </c>
      <c r="F27" s="77">
        <f t="shared" si="12"/>
        <v>1.4937329787992226E-2</v>
      </c>
      <c r="G27" s="23"/>
      <c r="H27" s="70">
        <f t="shared" si="13"/>
        <v>8.7300525061675405E-2</v>
      </c>
      <c r="I27" s="77">
        <f t="shared" si="13"/>
        <v>1.2445431106903104E-2</v>
      </c>
      <c r="J27" s="23"/>
      <c r="K27" s="70">
        <f t="shared" si="14"/>
        <v>7.4225702753008438E-2</v>
      </c>
      <c r="L27" s="77">
        <f t="shared" si="14"/>
        <v>2.0429549751238563E-2</v>
      </c>
      <c r="M27" s="23"/>
      <c r="N27" s="70">
        <f t="shared" si="15"/>
        <v>-0.19572246137037752</v>
      </c>
      <c r="O27" s="77">
        <f t="shared" si="15"/>
        <v>2.458814791299968E-2</v>
      </c>
      <c r="P27" s="23"/>
      <c r="Q27" s="70">
        <f t="shared" si="16"/>
        <v>7.2492329137348044E-3</v>
      </c>
      <c r="R27" s="77">
        <f t="shared" si="16"/>
        <v>1.8754106000645532E-2</v>
      </c>
      <c r="S27" s="23"/>
    </row>
    <row r="28" spans="1:27" x14ac:dyDescent="0.25">
      <c r="A28" s="17">
        <f t="shared" si="10"/>
        <v>2021</v>
      </c>
      <c r="B28" s="70">
        <f t="shared" si="11"/>
        <v>1.6494731083713132E-2</v>
      </c>
      <c r="C28" s="77">
        <f t="shared" si="11"/>
        <v>5.9746384936338881E-3</v>
      </c>
      <c r="D28" s="23"/>
      <c r="E28" s="70">
        <f t="shared" si="12"/>
        <v>7.1338642792069251E-3</v>
      </c>
      <c r="F28" s="77">
        <f t="shared" si="12"/>
        <v>-1.6290096663548193E-3</v>
      </c>
      <c r="G28" s="23"/>
      <c r="H28" s="70">
        <f t="shared" si="13"/>
        <v>4.3322389038737974E-3</v>
      </c>
      <c r="I28" s="77">
        <f t="shared" si="13"/>
        <v>-2.2940788170331405E-3</v>
      </c>
      <c r="J28" s="23"/>
      <c r="K28" s="70">
        <f t="shared" si="14"/>
        <v>8.7217736825642156E-3</v>
      </c>
      <c r="L28" s="77">
        <f t="shared" si="14"/>
        <v>5.9904881720689307E-3</v>
      </c>
      <c r="M28" s="23"/>
      <c r="N28" s="70">
        <f t="shared" si="15"/>
        <v>1.7241013958159357E-2</v>
      </c>
      <c r="O28" s="77">
        <f t="shared" si="15"/>
        <v>8.3136746288736685E-3</v>
      </c>
      <c r="P28" s="23"/>
      <c r="Q28" s="70">
        <f t="shared" si="16"/>
        <v>1.0435101465535723E-2</v>
      </c>
      <c r="R28" s="77">
        <f t="shared" si="16"/>
        <v>3.2241829421355561E-3</v>
      </c>
      <c r="S28" s="23"/>
    </row>
    <row r="29" spans="1:27" x14ac:dyDescent="0.25">
      <c r="A29" s="17">
        <f t="shared" si="10"/>
        <v>2022</v>
      </c>
      <c r="B29" s="70">
        <f t="shared" si="11"/>
        <v>1.4296183393793127E-2</v>
      </c>
      <c r="C29" s="77">
        <f t="shared" si="11"/>
        <v>7.6805768468126701E-3</v>
      </c>
      <c r="D29" s="23"/>
      <c r="E29" s="70">
        <f t="shared" si="12"/>
        <v>6.705939772069458E-3</v>
      </c>
      <c r="F29" s="77">
        <f t="shared" si="12"/>
        <v>3.5740020862040645E-4</v>
      </c>
      <c r="G29" s="23"/>
      <c r="H29" s="70">
        <f t="shared" si="13"/>
        <v>6.3033575812678766E-3</v>
      </c>
      <c r="I29" s="77">
        <f t="shared" si="13"/>
        <v>-1.0471270769185637E-4</v>
      </c>
      <c r="J29" s="23"/>
      <c r="K29" s="70">
        <f t="shared" si="14"/>
        <v>1.2513540218770824E-2</v>
      </c>
      <c r="L29" s="77">
        <f t="shared" si="14"/>
        <v>7.7432066218008355E-3</v>
      </c>
      <c r="M29" s="23"/>
      <c r="N29" s="70">
        <f t="shared" si="15"/>
        <v>1.7190549975488967E-2</v>
      </c>
      <c r="O29" s="77">
        <f t="shared" si="15"/>
        <v>9.2709438667351041E-3</v>
      </c>
      <c r="P29" s="23"/>
      <c r="Q29" s="70">
        <f t="shared" si="16"/>
        <v>1.1338993510677131E-2</v>
      </c>
      <c r="R29" s="77">
        <f t="shared" si="16"/>
        <v>4.9690442400267543E-3</v>
      </c>
      <c r="S29" s="23"/>
    </row>
    <row r="30" spans="1:27" x14ac:dyDescent="0.25">
      <c r="A30" s="17">
        <f t="shared" si="10"/>
        <v>2023</v>
      </c>
      <c r="B30" s="70">
        <f t="shared" si="11"/>
        <v>2.0734199563843259E-2</v>
      </c>
      <c r="C30" s="77">
        <f t="shared" si="11"/>
        <v>1.5413425285186966E-2</v>
      </c>
      <c r="D30" s="23"/>
      <c r="E30" s="70">
        <f t="shared" si="12"/>
        <v>1.3164907445818663E-2</v>
      </c>
      <c r="F30" s="77">
        <f t="shared" si="12"/>
        <v>8.1935923090155072E-3</v>
      </c>
      <c r="G30" s="23"/>
      <c r="H30" s="70">
        <f t="shared" si="13"/>
        <v>1.3147780935051978E-2</v>
      </c>
      <c r="I30" s="77">
        <f t="shared" si="13"/>
        <v>8.2046404510021098E-3</v>
      </c>
      <c r="J30" s="23"/>
      <c r="K30" s="70">
        <f t="shared" si="14"/>
        <v>1.9456628156853562E-2</v>
      </c>
      <c r="L30" s="77">
        <f t="shared" si="14"/>
        <v>1.5350073645164164E-2</v>
      </c>
      <c r="M30" s="23"/>
      <c r="N30" s="70">
        <f t="shared" si="15"/>
        <v>2.2530889249216868E-2</v>
      </c>
      <c r="O30" s="77">
        <f t="shared" si="15"/>
        <v>1.6485409206984825E-2</v>
      </c>
      <c r="P30" s="23"/>
      <c r="Q30" s="70">
        <f t="shared" si="16"/>
        <v>1.7791623657295474E-2</v>
      </c>
      <c r="R30" s="77">
        <f t="shared" si="16"/>
        <v>1.2715439153116792E-2</v>
      </c>
      <c r="S30" s="23"/>
    </row>
    <row r="31" spans="1:27" x14ac:dyDescent="0.25">
      <c r="A31" s="17">
        <f t="shared" si="10"/>
        <v>2024</v>
      </c>
      <c r="B31" s="70">
        <f t="shared" si="11"/>
        <v>2.0755878176304421E-2</v>
      </c>
      <c r="C31" s="77">
        <f t="shared" si="11"/>
        <v>1.7081459266042209E-2</v>
      </c>
      <c r="D31" s="23"/>
      <c r="E31" s="70">
        <f t="shared" si="12"/>
        <v>1.331755468484741E-2</v>
      </c>
      <c r="F31" s="77">
        <f t="shared" si="12"/>
        <v>9.983197653576692E-3</v>
      </c>
      <c r="G31" s="23"/>
      <c r="H31" s="70">
        <f t="shared" si="13"/>
        <v>1.3604471936206286E-2</v>
      </c>
      <c r="I31" s="77">
        <f t="shared" si="13"/>
        <v>1.0329557471363993E-2</v>
      </c>
      <c r="J31" s="23"/>
      <c r="K31" s="70">
        <f t="shared" si="14"/>
        <v>1.9559516466589377E-2</v>
      </c>
      <c r="L31" s="77">
        <f t="shared" si="14"/>
        <v>1.6814288357503537E-2</v>
      </c>
      <c r="M31" s="23"/>
      <c r="N31" s="70">
        <f t="shared" si="15"/>
        <v>2.197896114128195E-2</v>
      </c>
      <c r="O31" s="77">
        <f t="shared" si="15"/>
        <v>1.7982963011250241E-2</v>
      </c>
      <c r="P31" s="23"/>
      <c r="Q31" s="70">
        <f t="shared" si="16"/>
        <v>1.7844245199776898E-2</v>
      </c>
      <c r="R31" s="77">
        <f t="shared" si="16"/>
        <v>1.4422523869048964E-2</v>
      </c>
      <c r="S31" s="23"/>
    </row>
    <row r="32" spans="1:27" x14ac:dyDescent="0.25">
      <c r="A32" s="17">
        <f t="shared" si="10"/>
        <v>2025</v>
      </c>
      <c r="B32" s="70">
        <f t="shared" si="11"/>
        <v>1.699548627962133E-2</v>
      </c>
      <c r="C32" s="77">
        <f t="shared" si="11"/>
        <v>1.7605756598131794E-2</v>
      </c>
      <c r="D32" s="23"/>
      <c r="E32" s="70">
        <f t="shared" si="12"/>
        <v>9.6844225554180152E-3</v>
      </c>
      <c r="F32" s="77">
        <f t="shared" si="12"/>
        <v>1.0611311894351827E-2</v>
      </c>
      <c r="G32" s="23"/>
      <c r="H32" s="70">
        <f t="shared" si="13"/>
        <v>1.0102942429869977E-2</v>
      </c>
      <c r="I32" s="77">
        <f t="shared" si="13"/>
        <v>1.1106560948954458E-2</v>
      </c>
      <c r="J32" s="23"/>
      <c r="K32" s="70">
        <f t="shared" si="14"/>
        <v>1.5857912414432018E-2</v>
      </c>
      <c r="L32" s="77">
        <f t="shared" si="14"/>
        <v>1.7237250421825445E-2</v>
      </c>
      <c r="M32" s="23"/>
      <c r="N32" s="70">
        <f t="shared" si="15"/>
        <v>1.7979100529704084E-2</v>
      </c>
      <c r="O32" s="77">
        <f t="shared" si="15"/>
        <v>1.850850669636972E-2</v>
      </c>
      <c r="P32" s="23"/>
      <c r="Q32" s="70">
        <f t="shared" si="16"/>
        <v>1.4138387985852985E-2</v>
      </c>
      <c r="R32" s="77">
        <f t="shared" si="16"/>
        <v>1.5001672105163566E-2</v>
      </c>
      <c r="S32" s="23"/>
    </row>
    <row r="33" spans="1:19" x14ac:dyDescent="0.25">
      <c r="A33" s="17">
        <f t="shared" si="10"/>
        <v>2026</v>
      </c>
      <c r="B33" s="70">
        <f t="shared" si="11"/>
        <v>1.6367254128368147E-2</v>
      </c>
      <c r="C33" s="77">
        <f t="shared" si="11"/>
        <v>1.8528544561412508E-2</v>
      </c>
      <c r="D33" s="23"/>
      <c r="E33" s="70">
        <f t="shared" si="12"/>
        <v>9.1232145775297369E-3</v>
      </c>
      <c r="F33" s="77">
        <f t="shared" si="12"/>
        <v>1.1571603554526577E-2</v>
      </c>
      <c r="G33" s="23"/>
      <c r="H33" s="70">
        <f t="shared" si="13"/>
        <v>9.6022192219915592E-3</v>
      </c>
      <c r="I33" s="77">
        <f t="shared" si="13"/>
        <v>1.2131856237868499E-2</v>
      </c>
      <c r="J33" s="23"/>
      <c r="K33" s="70">
        <f t="shared" si="14"/>
        <v>1.5311790201654185E-2</v>
      </c>
      <c r="L33" s="77">
        <f t="shared" si="14"/>
        <v>1.8161910233920775E-2</v>
      </c>
      <c r="M33" s="23"/>
      <c r="N33" s="70">
        <f t="shared" si="15"/>
        <v>1.7257412568310926E-2</v>
      </c>
      <c r="O33" s="77">
        <f t="shared" si="15"/>
        <v>1.9449187683726388E-2</v>
      </c>
      <c r="P33" s="23"/>
      <c r="Q33" s="70">
        <f t="shared" si="16"/>
        <v>1.3561695066369728E-2</v>
      </c>
      <c r="R33" s="77">
        <f t="shared" si="16"/>
        <v>1.5966334310109298E-2</v>
      </c>
      <c r="S33" s="23"/>
    </row>
    <row r="34" spans="1:19" x14ac:dyDescent="0.25">
      <c r="A34" s="17">
        <f t="shared" si="10"/>
        <v>2027</v>
      </c>
      <c r="B34" s="70">
        <f t="shared" si="11"/>
        <v>1.2630244839095139E-2</v>
      </c>
      <c r="C34" s="77">
        <f t="shared" si="11"/>
        <v>1.5834543588906236E-2</v>
      </c>
      <c r="D34" s="23"/>
      <c r="E34" s="70">
        <f t="shared" si="12"/>
        <v>5.4820109446966914E-3</v>
      </c>
      <c r="F34" s="77">
        <f t="shared" si="12"/>
        <v>8.9731190529152016E-3</v>
      </c>
      <c r="G34" s="23"/>
      <c r="H34" s="70">
        <f t="shared" si="13"/>
        <v>6.1418313996361995E-3</v>
      </c>
      <c r="I34" s="77">
        <f t="shared" si="13"/>
        <v>9.7134036920960565E-3</v>
      </c>
      <c r="J34" s="23"/>
      <c r="K34" s="70">
        <f t="shared" si="14"/>
        <v>1.1684506014359552E-2</v>
      </c>
      <c r="L34" s="77">
        <f t="shared" si="14"/>
        <v>1.5551725376681258E-2</v>
      </c>
      <c r="M34" s="23"/>
      <c r="N34" s="70">
        <f t="shared" si="15"/>
        <v>1.3491975033880443E-2</v>
      </c>
      <c r="O34" s="77">
        <f t="shared" si="15"/>
        <v>1.6801139003114196E-2</v>
      </c>
      <c r="P34" s="23"/>
      <c r="Q34" s="70">
        <f t="shared" si="16"/>
        <v>9.9280944765842705E-3</v>
      </c>
      <c r="R34" s="77">
        <f t="shared" si="16"/>
        <v>1.3383635945721561E-2</v>
      </c>
      <c r="S34" s="23"/>
    </row>
    <row r="35" spans="1:19" x14ac:dyDescent="0.25">
      <c r="A35" s="17">
        <f t="shared" si="10"/>
        <v>2028</v>
      </c>
      <c r="B35" s="70">
        <f t="shared" si="11"/>
        <v>1.6130189938884376E-2</v>
      </c>
      <c r="C35" s="77">
        <f t="shared" si="11"/>
        <v>1.8825767804428573E-2</v>
      </c>
      <c r="D35" s="23"/>
      <c r="E35" s="70">
        <f t="shared" si="12"/>
        <v>9.1658124424611742E-3</v>
      </c>
      <c r="F35" s="77">
        <f t="shared" si="12"/>
        <v>1.2157978288708238E-2</v>
      </c>
      <c r="G35" s="23"/>
      <c r="H35" s="70">
        <f t="shared" si="13"/>
        <v>9.9131605913433951E-3</v>
      </c>
      <c r="I35" s="77">
        <f t="shared" si="13"/>
        <v>1.2988070153473918E-2</v>
      </c>
      <c r="J35" s="23"/>
      <c r="K35" s="70">
        <f t="shared" si="14"/>
        <v>1.5347271798217488E-2</v>
      </c>
      <c r="L35" s="77">
        <f t="shared" si="14"/>
        <v>1.8693511608359747E-2</v>
      </c>
      <c r="M35" s="23"/>
      <c r="N35" s="70">
        <f t="shared" si="15"/>
        <v>1.705947193378532E-2</v>
      </c>
      <c r="O35" s="77">
        <f t="shared" si="15"/>
        <v>1.9911632031156756E-2</v>
      </c>
      <c r="P35" s="23"/>
      <c r="Q35" s="70">
        <f t="shared" si="16"/>
        <v>1.3580250456977749E-2</v>
      </c>
      <c r="R35" s="77">
        <f t="shared" si="16"/>
        <v>1.653902092517523E-2</v>
      </c>
      <c r="S35" s="23"/>
    </row>
    <row r="36" spans="1:19" x14ac:dyDescent="0.25">
      <c r="A36" s="17">
        <f t="shared" si="10"/>
        <v>2029</v>
      </c>
      <c r="B36" s="70">
        <f t="shared" si="11"/>
        <v>2.0392142685994763E-2</v>
      </c>
      <c r="C36" s="77">
        <f t="shared" si="11"/>
        <v>2.3896081948410197E-2</v>
      </c>
      <c r="D36" s="23"/>
      <c r="E36" s="70">
        <f t="shared" si="12"/>
        <v>1.3638873407770147E-2</v>
      </c>
      <c r="F36" s="77">
        <f t="shared" si="12"/>
        <v>1.7523811621079854E-2</v>
      </c>
      <c r="G36" s="23"/>
      <c r="H36" s="70">
        <f t="shared" si="13"/>
        <v>1.4437559802783717E-2</v>
      </c>
      <c r="I36" s="77">
        <f t="shared" si="13"/>
        <v>1.8408805527624361E-2</v>
      </c>
      <c r="J36" s="23"/>
      <c r="K36" s="70">
        <f t="shared" si="14"/>
        <v>1.9790807196528037E-2</v>
      </c>
      <c r="L36" s="77">
        <f t="shared" si="14"/>
        <v>2.4018068152936056E-2</v>
      </c>
      <c r="M36" s="23"/>
      <c r="N36" s="70">
        <f t="shared" si="15"/>
        <v>2.148925918836575E-2</v>
      </c>
      <c r="O36" s="77">
        <f t="shared" si="15"/>
        <v>2.5255304625779074E-2</v>
      </c>
      <c r="P36" s="23"/>
      <c r="Q36" s="70">
        <f t="shared" si="16"/>
        <v>1.8022177250928362E-2</v>
      </c>
      <c r="R36" s="77">
        <f t="shared" si="16"/>
        <v>2.1862699310723599E-2</v>
      </c>
      <c r="S36" s="23"/>
    </row>
    <row r="37" spans="1:19" ht="15.75" thickBot="1" x14ac:dyDescent="0.3">
      <c r="A37" s="17">
        <f t="shared" si="10"/>
        <v>2030</v>
      </c>
      <c r="B37" s="71">
        <f t="shared" si="11"/>
        <v>2.3044896926430525E-2</v>
      </c>
      <c r="C37" s="78">
        <f t="shared" si="11"/>
        <v>2.5051215480083044E-2</v>
      </c>
      <c r="D37" s="64"/>
      <c r="E37" s="71">
        <f t="shared" si="12"/>
        <v>1.6482043509425059E-2</v>
      </c>
      <c r="F37" s="78">
        <f t="shared" si="12"/>
        <v>1.8886718700361182E-2</v>
      </c>
      <c r="G37" s="64"/>
      <c r="H37" s="71">
        <f t="shared" si="13"/>
        <v>1.7416612057970182E-2</v>
      </c>
      <c r="I37" s="78">
        <f t="shared" si="13"/>
        <v>1.9906173114484282E-2</v>
      </c>
      <c r="J37" s="64"/>
      <c r="K37" s="71">
        <f t="shared" si="14"/>
        <v>2.2611900611356983E-2</v>
      </c>
      <c r="L37" s="78">
        <f t="shared" si="14"/>
        <v>2.5366328826298412E-2</v>
      </c>
      <c r="M37" s="64"/>
      <c r="N37" s="71">
        <f t="shared" si="15"/>
        <v>2.4305076332052478E-2</v>
      </c>
      <c r="O37" s="78">
        <f t="shared" si="15"/>
        <v>2.6593903091630455E-2</v>
      </c>
      <c r="P37" s="64"/>
      <c r="Q37" s="71">
        <f t="shared" si="16"/>
        <v>2.0857138459270175E-2</v>
      </c>
      <c r="R37" s="78">
        <f t="shared" si="16"/>
        <v>2.3217565904144033E-2</v>
      </c>
      <c r="S37" s="64"/>
    </row>
  </sheetData>
  <mergeCells count="15">
    <mergeCell ref="Y5:AA5"/>
    <mergeCell ref="Q23:S23"/>
    <mergeCell ref="B3:S3"/>
    <mergeCell ref="B4:S4"/>
    <mergeCell ref="B5:D5"/>
    <mergeCell ref="E5:G5"/>
    <mergeCell ref="H5:J5"/>
    <mergeCell ref="K5:M5"/>
    <mergeCell ref="N5:P5"/>
    <mergeCell ref="Q5:S5"/>
    <mergeCell ref="B23:D23"/>
    <mergeCell ref="E23:G23"/>
    <mergeCell ref="H23:J23"/>
    <mergeCell ref="K23:M23"/>
    <mergeCell ref="N23:P23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5A7686B5-31C8-4EBF-BC84-053CFA105E5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Winter Peak</vt:lpstr>
      <vt:lpstr>Winter NCP-CP Ratio</vt:lpstr>
      <vt:lpstr>Winter CP Comparison</vt:lpstr>
      <vt:lpstr>Winter NCP Comparison</vt:lpstr>
      <vt:lpstr>P80 Winter CP-NCP</vt:lpstr>
      <vt:lpstr>P95 Winter CP-NCP</vt:lpstr>
      <vt:lpstr>Summer Peak</vt:lpstr>
      <vt:lpstr>Summer NCP-CP Ratio</vt:lpstr>
      <vt:lpstr>Summer CP Comparison</vt:lpstr>
      <vt:lpstr>Summer NCP Comparison</vt:lpstr>
      <vt:lpstr>P80 Summer CP-NCP</vt:lpstr>
      <vt:lpstr>P95 Summer CP-NCP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2022-04-14T22:01:52Z</dcterms:created>
  <dcterms:modified xsi:type="dcterms:W3CDTF">2022-04-15T15:22:24Z</dcterms:modified>
</cp:coreProperties>
</file>